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5820" tabRatio="821" firstSheet="77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08" sheetId="27" r:id="rId53"/>
    <sheet name="311" sheetId="70" r:id="rId54"/>
    <sheet name="324" sheetId="82" r:id="rId55"/>
    <sheet name="330" sheetId="24" r:id="rId56"/>
    <sheet name="307" sheetId="68" r:id="rId57"/>
    <sheet name="314" sheetId="73" r:id="rId58"/>
    <sheet name="331" sheetId="30" r:id="rId59"/>
    <sheet name="315" sheetId="74" r:id="rId60"/>
    <sheet name="326" sheetId="84" r:id="rId61"/>
    <sheet name="332" sheetId="33" r:id="rId62"/>
    <sheet name="316" sheetId="75" r:id="rId63"/>
    <sheet name="320" sheetId="78" r:id="rId64"/>
    <sheet name="Div 6" sheetId="51" r:id="rId65"/>
    <sheet name="317" sheetId="76" r:id="rId66"/>
    <sheet name="310" sheetId="21" r:id="rId67"/>
    <sheet name="309" sheetId="69" r:id="rId68"/>
    <sheet name="313" sheetId="72" r:id="rId69"/>
    <sheet name="321" sheetId="79" r:id="rId70"/>
    <sheet name="322" sheetId="80" r:id="rId71"/>
    <sheet name="325" sheetId="83" r:id="rId72"/>
    <sheet name="327" sheetId="85" r:id="rId73"/>
    <sheet name="Div 4" sheetId="36" r:id="rId74"/>
    <sheet name="310 &amp; 491" sheetId="39" r:id="rId75"/>
    <sheet name="491" sheetId="42" r:id="rId76"/>
    <sheet name="405" sheetId="87" r:id="rId77"/>
    <sheet name="406" sheetId="88" r:id="rId78"/>
    <sheet name="411" sheetId="91" r:id="rId79"/>
    <sheet name="412" sheetId="92" r:id="rId80"/>
    <sheet name="420" sheetId="98" r:id="rId81"/>
    <sheet name="413" sheetId="93" r:id="rId82"/>
    <sheet name="414" sheetId="94" r:id="rId83"/>
    <sheet name="415" sheetId="95" r:id="rId84"/>
    <sheet name="418" sheetId="97" r:id="rId85"/>
    <sheet name="423" sheetId="99" r:id="rId86"/>
    <sheet name="424" sheetId="100" r:id="rId87"/>
    <sheet name="425" sheetId="101" r:id="rId88"/>
    <sheet name="455" sheetId="108" r:id="rId89"/>
    <sheet name="492" sheetId="45" r:id="rId90"/>
    <sheet name="430" sheetId="102" r:id="rId91"/>
    <sheet name="433" sheetId="103" r:id="rId92"/>
    <sheet name="435" sheetId="104" r:id="rId93"/>
    <sheet name="444" sheetId="105" r:id="rId94"/>
    <sheet name="450" sheetId="107" r:id="rId95"/>
    <sheet name="Div 5" sheetId="48" r:id="rId96"/>
    <sheet name="501" sheetId="109" r:id="rId97"/>
    <sheet name="Dept" sheetId="110" state="hidden" r:id="rId98"/>
    <sheet name="OSR_Dept_Y0WUKY" sheetId="111" state="hidden" r:id="rId99"/>
    <sheet name="OSR_Summary (...56e5d78f_5JEYZH" sheetId="112" state="hidden" r:id="rId100"/>
  </sheets>
  <definedNames>
    <definedName name="OSRRefD13x_0" localSheetId="44">'204'!$D$13</definedName>
    <definedName name="OSRRefD13x_0" localSheetId="48">'300'!$D$13:$D$112</definedName>
    <definedName name="OSRRefD13x_0" localSheetId="49">'300 &amp; 317'!$D$13:$D$130</definedName>
    <definedName name="OSRRefD13x_0" localSheetId="56">'307'!$D$13:$D$50</definedName>
    <definedName name="OSRRefD13x_0" localSheetId="52">'308'!$D$13:$D$42</definedName>
    <definedName name="OSRRefD13x_0" localSheetId="67">'309'!$D$13:$D$15</definedName>
    <definedName name="OSRRefD13x_0" localSheetId="66">'310'!$D$13:$D$24</definedName>
    <definedName name="OSRRefD13x_0" localSheetId="74">'310 &amp; 491'!$D$13:$D$31</definedName>
    <definedName name="OSRRefD13x_0" localSheetId="53">'311'!$D$13:$D$42</definedName>
    <definedName name="OSRRefD13x_0" localSheetId="68">'313'!$D$13:$D$20</definedName>
    <definedName name="OSRRefD13x_0" localSheetId="57">'314'!$D$13:$D$35</definedName>
    <definedName name="OSRRefD13x_0" localSheetId="59">'315'!$D$13:$D$34</definedName>
    <definedName name="OSRRefD13x_0" localSheetId="62">'316'!$D$13:$D$28</definedName>
    <definedName name="OSRRefD13x_0" localSheetId="65">'317'!$D$13:$D$38</definedName>
    <definedName name="OSRRefD13x_0" localSheetId="63">'320'!$D$13:$D$18</definedName>
    <definedName name="OSRRefD13x_0" localSheetId="69">'321'!$D$13:$D$15</definedName>
    <definedName name="OSRRefD13x_0" localSheetId="70">'322'!$D$13:$D$15</definedName>
    <definedName name="OSRRefD13x_0" localSheetId="54">'324'!$D$13:$D$15</definedName>
    <definedName name="OSRRefD13x_0" localSheetId="71">'325'!$D$13:$D$15</definedName>
    <definedName name="OSRRefD13x_0" localSheetId="60">'326'!$D$13:$D$33</definedName>
    <definedName name="OSRRefD13x_0" localSheetId="72">'327'!$D$13:$D$14</definedName>
    <definedName name="OSRRefD13x_0" localSheetId="55">'330'!$D$13:$D$55</definedName>
    <definedName name="OSRRefD13x_0" localSheetId="58">'331'!$D$13:$D$42</definedName>
    <definedName name="OSRRefD13x_0" localSheetId="61">'332'!$D$13:$D$32</definedName>
    <definedName name="OSRRefD13x_0" localSheetId="76">'405'!$D$13:$D$15</definedName>
    <definedName name="OSRRefD13x_0" localSheetId="77">'406'!$D$13:$D$16</definedName>
    <definedName name="OSRRefD13x_0" localSheetId="79">'412'!$D$13:$D$16</definedName>
    <definedName name="OSRRefD13x_0" localSheetId="81">'413'!$D$13:$D$16</definedName>
    <definedName name="OSRRefD13x_0" localSheetId="82">'414'!$D$13:$D$16</definedName>
    <definedName name="OSRRefD13x_0" localSheetId="83">'415'!$D$13:$D$15</definedName>
    <definedName name="OSRRefD13x_0" localSheetId="84">'418'!$D$13:$D$16</definedName>
    <definedName name="OSRRefD13x_0" localSheetId="80">'420'!$D$13:$D$14</definedName>
    <definedName name="OSRRefD13x_0" localSheetId="86">'424'!$D$13:$D$16</definedName>
    <definedName name="OSRRefD13x_0" localSheetId="87">'425'!$D$13:$D$18</definedName>
    <definedName name="OSRRefD13x_0" localSheetId="91">'433'!$D$13:$D$17</definedName>
    <definedName name="OSRRefD13x_0" localSheetId="92">'435'!$D$13:$D$16</definedName>
    <definedName name="OSRRefD13x_0" localSheetId="93">'444'!$D$13:$D$16</definedName>
    <definedName name="OSRRefD13x_0" localSheetId="94">'450'!$D$13:$D$16</definedName>
    <definedName name="OSRRefD13x_0" localSheetId="75">'491'!$D$13:$D$24</definedName>
    <definedName name="OSRRefD13x_0" localSheetId="89">'492'!$D$13:$D$19</definedName>
    <definedName name="OSRRefD13x_0" localSheetId="96">'501'!$D$13</definedName>
    <definedName name="OSRRefD13x_0" localSheetId="39">'Div 2'!$D$13</definedName>
    <definedName name="OSRRefD13x_0" localSheetId="47">'Div 3'!$D$13:$D$115</definedName>
    <definedName name="OSRRefD13x_0" localSheetId="73">'Div 4'!$D$13:$D$25</definedName>
    <definedName name="OSRRefD13x_0" localSheetId="95">'Div 5'!$D$13</definedName>
    <definedName name="OSRRefD13x_0" localSheetId="64">'Div 6'!$D$13:$D$38</definedName>
    <definedName name="OSRRefD13x_0" localSheetId="2">Summary!$D$13:$D$141</definedName>
    <definedName name="OSRRefD16x_0" localSheetId="48">'300'!$D$115:$D$165</definedName>
    <definedName name="OSRRefD16x_0" localSheetId="49">'300 &amp; 317'!$D$133:$D$191</definedName>
    <definedName name="OSRRefD16x_0" localSheetId="56">'307'!$D$53:$D$73</definedName>
    <definedName name="OSRRefD16x_0" localSheetId="52">'308'!$D$45:$D$61</definedName>
    <definedName name="OSRRefD16x_0" localSheetId="67">'309'!$D$18:$D$20</definedName>
    <definedName name="OSRRefD16x_0" localSheetId="66">'310'!$D$27:$D$29</definedName>
    <definedName name="OSRRefD16x_0" localSheetId="74">'310 &amp; 491'!$D$34:$D$36</definedName>
    <definedName name="OSRRefD16x_0" localSheetId="53">'311'!$D$45:$D$61</definedName>
    <definedName name="OSRRefD16x_0" localSheetId="68">'313'!$D$23:$D$25</definedName>
    <definedName name="OSRRefD16x_0" localSheetId="57">'314'!$D$38:$D$53</definedName>
    <definedName name="OSRRefD16x_0" localSheetId="59">'315'!$D$37:$D$52</definedName>
    <definedName name="OSRRefD16x_0" localSheetId="65">'317'!$D$41:$D$56</definedName>
    <definedName name="OSRRefD16x_0" localSheetId="63">'320'!$D$21:$D$26</definedName>
    <definedName name="OSRRefD16x_0" localSheetId="69">'321'!$D$18:$D$20</definedName>
    <definedName name="OSRRefD16x_0" localSheetId="70">'322'!$D$18:$D$20</definedName>
    <definedName name="OSRRefD16x_0" localSheetId="54">'324'!$D$18:$D$20</definedName>
    <definedName name="OSRRefD16x_0" localSheetId="71">'325'!$D$18:$D$20</definedName>
    <definedName name="OSRRefD16x_0" localSheetId="60">'326'!$D$36:$D$52</definedName>
    <definedName name="OSRRefD16x_0" localSheetId="72">'327'!$D$17:$D$18</definedName>
    <definedName name="OSRRefD16x_0" localSheetId="55">'330'!$D$58:$D$81</definedName>
    <definedName name="OSRRefD16x_0" localSheetId="58">'331'!$D$45:$D$67</definedName>
    <definedName name="OSRRefD16x_0" localSheetId="61">'332'!$D$35:$D$40</definedName>
    <definedName name="OSRRefD16x_0" localSheetId="76">'405'!$D$18:$D$20</definedName>
    <definedName name="OSRRefD16x_0" localSheetId="77">'406'!$D$19:$D$21</definedName>
    <definedName name="OSRRefD16x_0" localSheetId="79">'412'!$D$19:$D$21</definedName>
    <definedName name="OSRRefD16x_0" localSheetId="81">'413'!$D$19:$D$21</definedName>
    <definedName name="OSRRefD16x_0" localSheetId="82">'414'!$D$19:$D$21</definedName>
    <definedName name="OSRRefD16x_0" localSheetId="83">'415'!$D$18:$D$20</definedName>
    <definedName name="OSRRefD16x_0" localSheetId="84">'418'!$D$19:$D$21</definedName>
    <definedName name="OSRRefD16x_0" localSheetId="80">'420'!$D$17:$D$18</definedName>
    <definedName name="OSRRefD16x_0" localSheetId="85">'423'!$D$15</definedName>
    <definedName name="OSRRefD16x_0" localSheetId="86">'424'!$D$19:$D$21</definedName>
    <definedName name="OSRRefD16x_0" localSheetId="87">'425'!$D$21:$D$23</definedName>
    <definedName name="OSRRefD16x_0" localSheetId="91">'433'!$D$20:$D$22</definedName>
    <definedName name="OSRRefD16x_0" localSheetId="92">'435'!$D$19:$D$21</definedName>
    <definedName name="OSRRefD16x_0" localSheetId="93">'444'!$D$19:$D$21</definedName>
    <definedName name="OSRRefD16x_0" localSheetId="94">'450'!$D$19:$D$21</definedName>
    <definedName name="OSRRefD16x_0" localSheetId="75">'491'!$D$27:$D$29</definedName>
    <definedName name="OSRRefD16x_0" localSheetId="89">'492'!$D$22:$D$24</definedName>
    <definedName name="OSRRefD16x_0" localSheetId="47">'Div 3'!$D$118:$D$170</definedName>
    <definedName name="OSRRefD16x_0" localSheetId="73">'Div 4'!$D$28:$D$30</definedName>
    <definedName name="OSRRefD16x_0" localSheetId="64">'Div 6'!$D$41:$D$56</definedName>
    <definedName name="OSRRefD16x_0" localSheetId="2">Summary!$D$144:$D$204</definedName>
    <definedName name="OSRRefD22_0x_0" localSheetId="40">'200'!$D$20:$D$21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'204'!$D$21:$D$30</definedName>
    <definedName name="OSRRefD22_0x_0" localSheetId="45">'205'!$D$20:$D$28</definedName>
    <definedName name="OSRRefD22_0x_0" localSheetId="46">'206'!$D$20:$D$28</definedName>
    <definedName name="OSRRefD22_0x_0" localSheetId="48">'300'!$D$171:$D$180</definedName>
    <definedName name="OSRRefD22_0x_0" localSheetId="49">'300 &amp; 317'!$D$197:$D$206</definedName>
    <definedName name="OSRRefD22_0x_0" localSheetId="50">'301'!$D$20:$D$28</definedName>
    <definedName name="OSRRefD22_0x_0" localSheetId="51">'306'!$D$20:$D$28</definedName>
    <definedName name="OSRRefD22_0x_0" localSheetId="56">'307'!$D$79:$D$87</definedName>
    <definedName name="OSRRefD22_0x_0" localSheetId="52">'308'!$D$67:$D$76</definedName>
    <definedName name="OSRRefD22_0x_0" localSheetId="67">'309'!$D$26:$D$34</definedName>
    <definedName name="OSRRefD22_0x_0" localSheetId="66">'310'!$D$35:$D$43</definedName>
    <definedName name="OSRRefD22_0x_0" localSheetId="74">'310 &amp; 491'!$D$42:$D$51</definedName>
    <definedName name="OSRRefD22_0x_0" localSheetId="53">'311'!$D$67:$D$76</definedName>
    <definedName name="OSRRefD22_0x_0" localSheetId="68">'313'!$D$31:$D$39</definedName>
    <definedName name="OSRRefD22_0x_0" localSheetId="57">'314'!$D$59:$D$68</definedName>
    <definedName name="OSRRefD22_0x_0" localSheetId="59">'315'!$D$58:$D$66</definedName>
    <definedName name="OSRRefD22_0x_0" localSheetId="62">'316'!$D$36:$D$44</definedName>
    <definedName name="OSRRefD22_0x_0" localSheetId="65">'317'!$D$62:$D$71</definedName>
    <definedName name="OSRRefD22_0x_0" localSheetId="63">'320'!$D$32:$D$39</definedName>
    <definedName name="OSRRefD22_0x_0" localSheetId="69">'321'!$D$26:$D$33</definedName>
    <definedName name="OSRRefD22_0x_0" localSheetId="70">'322'!$D$26:$D$34</definedName>
    <definedName name="OSRRefD22_0x_0" localSheetId="71">'325'!$D$26:$D$34</definedName>
    <definedName name="OSRRefD22_0x_0" localSheetId="60">'326'!$D$58:$D$66</definedName>
    <definedName name="OSRRefD22_0x_0" localSheetId="72">'327'!$D$24</definedName>
    <definedName name="OSRRefD22_0x_0" localSheetId="55">'330'!$D$87:$D$96</definedName>
    <definedName name="OSRRefD22_0x_0" localSheetId="58">'331'!$D$73:$D$81</definedName>
    <definedName name="OSRRefD22_0x_0" localSheetId="61">'332'!$D$46:$D$54</definedName>
    <definedName name="OSRRefD22_0x_0" localSheetId="76">'405'!$D$26:$D$34</definedName>
    <definedName name="OSRRefD22_0x_0" localSheetId="77">'406'!$D$27:$D$35</definedName>
    <definedName name="OSRRefD22_0x_0" localSheetId="78">'411'!$D$20:$D$29</definedName>
    <definedName name="OSRRefD22_0x_0" localSheetId="79">'412'!$D$27:$D$35</definedName>
    <definedName name="OSRRefD22_0x_0" localSheetId="81">'413'!$D$27:$D$35</definedName>
    <definedName name="OSRRefD22_0x_0" localSheetId="82">'414'!$D$27:$D$35</definedName>
    <definedName name="OSRRefD22_0x_0" localSheetId="83">'415'!$D$26:$D$34</definedName>
    <definedName name="OSRRefD22_0x_0" localSheetId="84">'418'!$D$27:$D$35</definedName>
    <definedName name="OSRRefD22_0x_0" localSheetId="80">'420'!$D$24:$D$31</definedName>
    <definedName name="OSRRefD22_0x_0" localSheetId="85">'423'!$D$21:$D$29</definedName>
    <definedName name="OSRRefD22_0x_0" localSheetId="86">'424'!$D$27:$D$34</definedName>
    <definedName name="OSRRefD22_0x_0" localSheetId="87">'425'!$D$29:$D$38</definedName>
    <definedName name="OSRRefD22_0x_0" localSheetId="90">'430'!$D$20:$D$28</definedName>
    <definedName name="OSRRefD22_0x_0" localSheetId="91">'433'!$D$28:$D$37</definedName>
    <definedName name="OSRRefD22_0x_0" localSheetId="92">'435'!$D$27:$D$34</definedName>
    <definedName name="OSRRefD22_0x_0" localSheetId="93">'444'!$D$27:$D$36</definedName>
    <definedName name="OSRRefD22_0x_0" localSheetId="94">'450'!$D$27:$D$36</definedName>
    <definedName name="OSRRefD22_0x_0" localSheetId="88">'455'!$D$20:$D$27</definedName>
    <definedName name="OSRRefD22_0x_0" localSheetId="75">'491'!$D$35:$D$44</definedName>
    <definedName name="OSRRefD22_0x_0" localSheetId="89">'492'!$D$30:$D$39</definedName>
    <definedName name="OSRRefD22_0x_0" localSheetId="96">'501'!$D$21:$D$29</definedName>
    <definedName name="OSRRefD22_0x_0" localSheetId="39">'Div 2'!$D$21:$D$31</definedName>
    <definedName name="OSRRefD22_0x_0" localSheetId="47">'Div 3'!$D$176:$D$185</definedName>
    <definedName name="OSRRefD22_0x_0" localSheetId="73">'Div 4'!$D$36:$D$45</definedName>
    <definedName name="OSRRefD22_0x_0" localSheetId="95">'Div 5'!$D$21:$D$29</definedName>
    <definedName name="OSRRefD22_0x_0" localSheetId="64">'Div 6'!$D$62:$D$71</definedName>
    <definedName name="OSRRefD22_0x_0" localSheetId="2">Summary!$D$210:$D$219</definedName>
    <definedName name="OSRRefD22_10x_0" localSheetId="41">'201'!$D$58:$D$60</definedName>
    <definedName name="OSRRefD22_10x_0" localSheetId="42">'202'!$D$59</definedName>
    <definedName name="OSRRefD22_10x_0" localSheetId="43">'203'!$D$60:$D$61</definedName>
    <definedName name="OSRRefD22_10x_0" localSheetId="44">'204'!$D$64:$D$65</definedName>
    <definedName name="OSRRefD22_10x_0" localSheetId="46">'206'!$D$58</definedName>
    <definedName name="OSRRefD22_10x_0" localSheetId="48">'300'!$D$215:$D$216</definedName>
    <definedName name="OSRRefD22_10x_0" localSheetId="49">'300 &amp; 317'!$D$241:$D$242</definedName>
    <definedName name="OSRRefD22_10x_0" localSheetId="50">'301'!$D$63</definedName>
    <definedName name="OSRRefD22_10x_0" localSheetId="51">'306'!$D$61</definedName>
    <definedName name="OSRRefD22_10x_0" localSheetId="56">'307'!$D$138:$D$139</definedName>
    <definedName name="OSRRefD22_10x_0" localSheetId="52">'308'!$D$118:$D$119</definedName>
    <definedName name="OSRRefD22_10x_0" localSheetId="67">'309'!$D$65:$D$67</definedName>
    <definedName name="OSRRefD22_10x_0" localSheetId="66">'310'!$D$74</definedName>
    <definedName name="OSRRefD22_10x_0" localSheetId="74">'310 &amp; 491'!$D$83:$D$84</definedName>
    <definedName name="OSRRefD22_10x_0" localSheetId="53">'311'!$D$118:$D$119</definedName>
    <definedName name="OSRRefD22_10x_0" localSheetId="68">'313'!$D$68:$D$70</definedName>
    <definedName name="OSRRefD22_10x_0" localSheetId="57">'314'!$D$108</definedName>
    <definedName name="OSRRefD22_10x_0" localSheetId="59">'315'!$D$104:$D$106</definedName>
    <definedName name="OSRRefD22_10x_0" localSheetId="62">'316'!$D$74:$D$75</definedName>
    <definedName name="OSRRefD22_10x_0" localSheetId="65">'317'!$D$107</definedName>
    <definedName name="OSRRefD22_10x_0" localSheetId="69">'321'!$D$64:$D$65</definedName>
    <definedName name="OSRRefD22_10x_0" localSheetId="70">'322'!$D$66:$D$68</definedName>
    <definedName name="OSRRefD22_10x_0" localSheetId="71">'325'!$D$65</definedName>
    <definedName name="OSRRefD22_10x_0" localSheetId="60">'326'!$D$96:$D$108</definedName>
    <definedName name="OSRRefD22_10x_0" localSheetId="55">'330'!$D$147:$D$148</definedName>
    <definedName name="OSRRefD22_10x_0" localSheetId="58">'331'!$D$113</definedName>
    <definedName name="OSRRefD22_10x_0" localSheetId="61">'332'!$D$86:$D$87</definedName>
    <definedName name="OSRRefD22_10x_0" localSheetId="76">'405'!$D$65</definedName>
    <definedName name="OSRRefD22_10x_0" localSheetId="77">'406'!$D$67:$D$69</definedName>
    <definedName name="OSRRefD22_10x_0" localSheetId="78">'411'!$D$61</definedName>
    <definedName name="OSRRefD22_10x_0" localSheetId="79">'412'!$D$68</definedName>
    <definedName name="OSRRefD22_10x_0" localSheetId="81">'413'!$D$67:$D$73</definedName>
    <definedName name="OSRRefD22_10x_0" localSheetId="82">'414'!$D$66</definedName>
    <definedName name="OSRRefD22_10x_0" localSheetId="83">'415'!$D$65</definedName>
    <definedName name="OSRRefD22_10x_0" localSheetId="84">'418'!$D$66:$D$67</definedName>
    <definedName name="OSRRefD22_10x_0" localSheetId="86">'424'!$D$66</definedName>
    <definedName name="OSRRefD22_10x_0" localSheetId="87">'425'!$D$70:$D$71</definedName>
    <definedName name="OSRRefD22_10x_0" localSheetId="90">'430'!$D$60</definedName>
    <definedName name="OSRRefD22_10x_0" localSheetId="91">'433'!$D$66:$D$68</definedName>
    <definedName name="OSRRefD22_10x_0" localSheetId="93">'444'!$D$65</definedName>
    <definedName name="OSRRefD22_10x_0" localSheetId="94">'450'!$D$66</definedName>
    <definedName name="OSRRefD22_10x_0" localSheetId="75">'491'!$D$76</definedName>
    <definedName name="OSRRefD22_10x_0" localSheetId="89">'492'!$D$70</definedName>
    <definedName name="OSRRefD22_10x_0" localSheetId="96">'501'!$D$58:$D$61</definedName>
    <definedName name="OSRRefD22_10x_0" localSheetId="39">'Div 2'!$D$62</definedName>
    <definedName name="OSRRefD22_10x_0" localSheetId="47">'Div 3'!$D$220:$D$221</definedName>
    <definedName name="OSRRefD22_10x_0" localSheetId="73">'Div 4'!$D$79</definedName>
    <definedName name="OSRRefD22_10x_0" localSheetId="95">'Div 5'!$D$58:$D$61</definedName>
    <definedName name="OSRRefD22_10x_0" localSheetId="64">'Div 6'!$D$107</definedName>
    <definedName name="OSRRefD22_10x_0" localSheetId="2">Summary!$D$255:$D$256</definedName>
    <definedName name="OSRRefD22_11x_0" localSheetId="41">'201'!$D$62:$D$64</definedName>
    <definedName name="OSRRefD22_11x_0" localSheetId="42">'202'!$D$61:$D$63</definedName>
    <definedName name="OSRRefD22_11x_0" localSheetId="43">'203'!$D$63</definedName>
    <definedName name="OSRRefD22_11x_0" localSheetId="44">'204'!$D$67</definedName>
    <definedName name="OSRRefD22_11x_0" localSheetId="48">'300'!$D$218</definedName>
    <definedName name="OSRRefD22_11x_0" localSheetId="49">'300 &amp; 317'!$D$244</definedName>
    <definedName name="OSRRefD22_11x_0" localSheetId="50">'301'!$D$65</definedName>
    <definedName name="OSRRefD22_11x_0" localSheetId="56">'307'!$D$141:$D$143</definedName>
    <definedName name="OSRRefD22_11x_0" localSheetId="52">'308'!$D$121:$D$123</definedName>
    <definedName name="OSRRefD22_11x_0" localSheetId="67">'309'!$D$69:$D$71</definedName>
    <definedName name="OSRRefD22_11x_0" localSheetId="66">'310'!$D$76</definedName>
    <definedName name="OSRRefD22_11x_0" localSheetId="74">'310 &amp; 491'!$D$86:$D$87</definedName>
    <definedName name="OSRRefD22_11x_0" localSheetId="53">'311'!$D$121:$D$123</definedName>
    <definedName name="OSRRefD22_11x_0" localSheetId="68">'313'!$D$72</definedName>
    <definedName name="OSRRefD22_11x_0" localSheetId="57">'314'!$D$110</definedName>
    <definedName name="OSRRefD22_11x_0" localSheetId="59">'315'!$D$108:$D$109</definedName>
    <definedName name="OSRRefD22_11x_0" localSheetId="62">'316'!$D$77:$D$81</definedName>
    <definedName name="OSRRefD22_11x_0" localSheetId="65">'317'!$D$109:$D$110</definedName>
    <definedName name="OSRRefD22_11x_0" localSheetId="69">'321'!$D$67:$D$69</definedName>
    <definedName name="OSRRefD22_11x_0" localSheetId="70">'322'!$D$70:$D$76</definedName>
    <definedName name="OSRRefD22_11x_0" localSheetId="71">'325'!$D$67:$D$69</definedName>
    <definedName name="OSRRefD22_11x_0" localSheetId="60">'326'!$D$110</definedName>
    <definedName name="OSRRefD22_11x_0" localSheetId="55">'330'!$D$150:$D$151</definedName>
    <definedName name="OSRRefD22_11x_0" localSheetId="58">'331'!$D$115:$D$127</definedName>
    <definedName name="OSRRefD22_11x_0" localSheetId="61">'332'!$D$89:$D$90</definedName>
    <definedName name="OSRRefD22_11x_0" localSheetId="76">'405'!$D$67:$D$69</definedName>
    <definedName name="OSRRefD22_11x_0" localSheetId="77">'406'!$D$71:$D$76</definedName>
    <definedName name="OSRRefD22_11x_0" localSheetId="78">'411'!$D$63</definedName>
    <definedName name="OSRRefD22_11x_0" localSheetId="79">'412'!$D$70:$D$72</definedName>
    <definedName name="OSRRefD22_11x_0" localSheetId="81">'413'!$D$75:$D$76</definedName>
    <definedName name="OSRRefD22_11x_0" localSheetId="82">'414'!$D$68</definedName>
    <definedName name="OSRRefD22_11x_0" localSheetId="83">'415'!$D$67:$D$70</definedName>
    <definedName name="OSRRefD22_11x_0" localSheetId="84">'418'!$D$69:$D$71</definedName>
    <definedName name="OSRRefD22_11x_0" localSheetId="86">'424'!$D$68:$D$72</definedName>
    <definedName name="OSRRefD22_11x_0" localSheetId="87">'425'!$D$73:$D$75</definedName>
    <definedName name="OSRRefD22_11x_0" localSheetId="91">'433'!$D$70:$D$73</definedName>
    <definedName name="OSRRefD22_11x_0" localSheetId="93">'444'!$D$67:$D$69</definedName>
    <definedName name="OSRRefD22_11x_0" localSheetId="94">'450'!$D$68</definedName>
    <definedName name="OSRRefD22_11x_0" localSheetId="75">'491'!$D$78:$D$79</definedName>
    <definedName name="OSRRefD22_11x_0" localSheetId="89">'492'!$D$72</definedName>
    <definedName name="OSRRefD22_11x_0" localSheetId="96">'501'!$D$63</definedName>
    <definedName name="OSRRefD22_11x_0" localSheetId="39">'Div 2'!$D$64</definedName>
    <definedName name="OSRRefD22_11x_0" localSheetId="47">'Div 3'!$D$223</definedName>
    <definedName name="OSRRefD22_11x_0" localSheetId="73">'Div 4'!$D$81:$D$82</definedName>
    <definedName name="OSRRefD22_11x_0" localSheetId="95">'Div 5'!$D$63</definedName>
    <definedName name="OSRRefD22_11x_0" localSheetId="64">'Div 6'!$D$109:$D$110</definedName>
    <definedName name="OSRRefD22_11x_0" localSheetId="2">Summary!$D$258:$D$259</definedName>
    <definedName name="OSRRefD22_12x_0" localSheetId="41">'201'!$D$66</definedName>
    <definedName name="OSRRefD22_12x_0" localSheetId="42">'202'!$D$65</definedName>
    <definedName name="OSRRefD22_12x_0" localSheetId="43">'203'!$D$65:$D$68</definedName>
    <definedName name="OSRRefD22_12x_0" localSheetId="44">'204'!$D$69:$D$70</definedName>
    <definedName name="OSRRefD22_12x_0" localSheetId="48">'300'!$D$220</definedName>
    <definedName name="OSRRefD22_12x_0" localSheetId="49">'300 &amp; 317'!$D$246</definedName>
    <definedName name="OSRRefD22_12x_0" localSheetId="50">'301'!$D$67</definedName>
    <definedName name="OSRRefD22_12x_0" localSheetId="56">'307'!$D$145</definedName>
    <definedName name="OSRRefD22_12x_0" localSheetId="52">'308'!$D$125:$D$126</definedName>
    <definedName name="OSRRefD22_12x_0" localSheetId="67">'309'!$D$73</definedName>
    <definedName name="OSRRefD22_12x_0" localSheetId="66">'310'!$D$78</definedName>
    <definedName name="OSRRefD22_12x_0" localSheetId="74">'310 &amp; 491'!$D$89</definedName>
    <definedName name="OSRRefD22_12x_0" localSheetId="53">'311'!$D$125:$D$126</definedName>
    <definedName name="OSRRefD22_12x_0" localSheetId="68">'313'!$D$74:$D$79</definedName>
    <definedName name="OSRRefD22_12x_0" localSheetId="59">'315'!$D$111:$D$115</definedName>
    <definedName name="OSRRefD22_12x_0" localSheetId="62">'316'!$D$83:$D$84</definedName>
    <definedName name="OSRRefD22_12x_0" localSheetId="65">'317'!$D$112:$D$113</definedName>
    <definedName name="OSRRefD22_12x_0" localSheetId="69">'321'!$D$71:$D$74</definedName>
    <definedName name="OSRRefD22_12x_0" localSheetId="70">'322'!$D$78</definedName>
    <definedName name="OSRRefD22_12x_0" localSheetId="71">'325'!$D$71:$D$75</definedName>
    <definedName name="OSRRefD22_12x_0" localSheetId="60">'326'!$D$112</definedName>
    <definedName name="OSRRefD22_12x_0" localSheetId="55">'330'!$D$153</definedName>
    <definedName name="OSRRefD22_12x_0" localSheetId="58">'331'!$D$129</definedName>
    <definedName name="OSRRefD22_12x_0" localSheetId="61">'332'!$D$92:$D$96</definedName>
    <definedName name="OSRRefD22_12x_0" localSheetId="76">'405'!$D$71</definedName>
    <definedName name="OSRRefD22_12x_0" localSheetId="77">'406'!$D$78:$D$79</definedName>
    <definedName name="OSRRefD22_12x_0" localSheetId="78">'411'!$D$65:$D$68</definedName>
    <definedName name="OSRRefD22_12x_0" localSheetId="79">'412'!$D$74:$D$81</definedName>
    <definedName name="OSRRefD22_12x_0" localSheetId="81">'413'!$D$78</definedName>
    <definedName name="OSRRefD22_12x_0" localSheetId="82">'414'!$D$70</definedName>
    <definedName name="OSRRefD22_12x_0" localSheetId="83">'415'!$D$72:$D$76</definedName>
    <definedName name="OSRRefD22_12x_0" localSheetId="84">'418'!$D$73:$D$75</definedName>
    <definedName name="OSRRefD22_12x_0" localSheetId="86">'424'!$D$74:$D$75</definedName>
    <definedName name="OSRRefD22_12x_0" localSheetId="87">'425'!$D$77</definedName>
    <definedName name="OSRRefD22_12x_0" localSheetId="91">'433'!$D$75:$D$83</definedName>
    <definedName name="OSRRefD22_12x_0" localSheetId="93">'444'!$D$71:$D$74</definedName>
    <definedName name="OSRRefD22_12x_0" localSheetId="94">'450'!$D$70:$D$73</definedName>
    <definedName name="OSRRefD22_12x_0" localSheetId="75">'491'!$D$81</definedName>
    <definedName name="OSRRefD22_12x_0" localSheetId="89">'492'!$D$74</definedName>
    <definedName name="OSRRefD22_12x_0" localSheetId="96">'501'!$D$65:$D$67</definedName>
    <definedName name="OSRRefD22_12x_0" localSheetId="39">'Div 2'!$D$66:$D$68</definedName>
    <definedName name="OSRRefD22_12x_0" localSheetId="47">'Div 3'!$D$225</definedName>
    <definedName name="OSRRefD22_12x_0" localSheetId="73">'Div 4'!$D$84</definedName>
    <definedName name="OSRRefD22_12x_0" localSheetId="95">'Div 5'!$D$65:$D$67</definedName>
    <definedName name="OSRRefD22_12x_0" localSheetId="64">'Div 6'!$D$112:$D$113</definedName>
    <definedName name="OSRRefD22_12x_0" localSheetId="2">Summary!$D$261</definedName>
    <definedName name="OSRRefD22_13x_0" localSheetId="41">'201'!$D$68:$D$71</definedName>
    <definedName name="OSRRefD22_13x_0" localSheetId="42">'202'!$D$67</definedName>
    <definedName name="OSRRefD22_13x_0" localSheetId="43">'203'!$D$70</definedName>
    <definedName name="OSRRefD22_13x_0" localSheetId="48">'300'!$D$222:$D$255</definedName>
    <definedName name="OSRRefD22_13x_0" localSheetId="49">'300 &amp; 317'!$D$248:$D$284</definedName>
    <definedName name="OSRRefD22_13x_0" localSheetId="50">'301'!$D$69:$D$70</definedName>
    <definedName name="OSRRefD22_13x_0" localSheetId="56">'307'!$D$147</definedName>
    <definedName name="OSRRefD22_13x_0" localSheetId="52">'308'!$D$128</definedName>
    <definedName name="OSRRefD22_13x_0" localSheetId="67">'309'!$D$75</definedName>
    <definedName name="OSRRefD22_13x_0" localSheetId="66">'310'!$D$80</definedName>
    <definedName name="OSRRefD22_13x_0" localSheetId="74">'310 &amp; 491'!$D$91</definedName>
    <definedName name="OSRRefD22_13x_0" localSheetId="53">'311'!$D$128</definedName>
    <definedName name="OSRRefD22_13x_0" localSheetId="68">'313'!$D$81</definedName>
    <definedName name="OSRRefD22_13x_0" localSheetId="59">'315'!$D$117</definedName>
    <definedName name="OSRRefD22_13x_0" localSheetId="62">'316'!$D$86</definedName>
    <definedName name="OSRRefD22_13x_0" localSheetId="65">'317'!$D$115</definedName>
    <definedName name="OSRRefD22_13x_0" localSheetId="69">'321'!$D$76</definedName>
    <definedName name="OSRRefD22_13x_0" localSheetId="70">'322'!$D$80</definedName>
    <definedName name="OSRRefD22_13x_0" localSheetId="71">'325'!$D$77</definedName>
    <definedName name="OSRRefD22_13x_0" localSheetId="60">'326'!$D$114:$D$115</definedName>
    <definedName name="OSRRefD22_13x_0" localSheetId="55">'330'!$D$155:$D$157</definedName>
    <definedName name="OSRRefD22_13x_0" localSheetId="58">'331'!$D$131</definedName>
    <definedName name="OSRRefD22_13x_0" localSheetId="61">'332'!$D$98:$D$99</definedName>
    <definedName name="OSRRefD22_13x_0" localSheetId="76">'405'!$D$73:$D$75</definedName>
    <definedName name="OSRRefD22_13x_0" localSheetId="77">'406'!$D$81</definedName>
    <definedName name="OSRRefD22_13x_0" localSheetId="78">'411'!$D$70:$D$74</definedName>
    <definedName name="OSRRefD22_13x_0" localSheetId="79">'412'!$D$83</definedName>
    <definedName name="OSRRefD22_13x_0" localSheetId="81">'413'!$D$80</definedName>
    <definedName name="OSRRefD22_13x_0" localSheetId="82">'414'!$D$72:$D$78</definedName>
    <definedName name="OSRRefD22_13x_0" localSheetId="83">'415'!$D$78:$D$79</definedName>
    <definedName name="OSRRefD22_13x_0" localSheetId="84">'418'!$D$77:$D$78</definedName>
    <definedName name="OSRRefD22_13x_0" localSheetId="87">'425'!$D$79:$D$85</definedName>
    <definedName name="OSRRefD22_13x_0" localSheetId="91">'433'!$D$85</definedName>
    <definedName name="OSRRefD22_13x_0" localSheetId="93">'444'!$D$76:$D$83</definedName>
    <definedName name="OSRRefD22_13x_0" localSheetId="94">'450'!$D$75:$D$77</definedName>
    <definedName name="OSRRefD22_13x_0" localSheetId="75">'491'!$D$83</definedName>
    <definedName name="OSRRefD22_13x_0" localSheetId="89">'492'!$D$76:$D$79</definedName>
    <definedName name="OSRRefD22_13x_0" localSheetId="96">'501'!$D$69</definedName>
    <definedName name="OSRRefD22_13x_0" localSheetId="39">'Div 2'!$D$70:$D$73</definedName>
    <definedName name="OSRRefD22_13x_0" localSheetId="47">'Div 3'!$D$227</definedName>
    <definedName name="OSRRefD22_13x_0" localSheetId="73">'Div 4'!$D$86</definedName>
    <definedName name="OSRRefD22_13x_0" localSheetId="95">'Div 5'!$D$69</definedName>
    <definedName name="OSRRefD22_13x_0" localSheetId="64">'Div 6'!$D$115</definedName>
    <definedName name="OSRRefD22_13x_0" localSheetId="2">Summary!$D$263</definedName>
    <definedName name="OSRRefD22_14x_0" localSheetId="41">'201'!$D$73</definedName>
    <definedName name="OSRRefD22_14x_0" localSheetId="42">'202'!$D$69:$D$70</definedName>
    <definedName name="OSRRefD22_14x_0" localSheetId="43">'203'!$D$72</definedName>
    <definedName name="OSRRefD22_14x_0" localSheetId="48">'300'!$D$257</definedName>
    <definedName name="OSRRefD22_14x_0" localSheetId="49">'300 &amp; 317'!$D$286</definedName>
    <definedName name="OSRRefD22_14x_0" localSheetId="50">'301'!$D$72</definedName>
    <definedName name="OSRRefD22_14x_0" localSheetId="52">'308'!$D$130:$D$131</definedName>
    <definedName name="OSRRefD22_14x_0" localSheetId="66">'310'!$D$82</definedName>
    <definedName name="OSRRefD22_14x_0" localSheetId="74">'310 &amp; 491'!$D$93</definedName>
    <definedName name="OSRRefD22_14x_0" localSheetId="53">'311'!$D$130:$D$131</definedName>
    <definedName name="OSRRefD22_14x_0" localSheetId="68">'313'!$D$83</definedName>
    <definedName name="OSRRefD22_14x_0" localSheetId="59">'315'!$D$119</definedName>
    <definedName name="OSRRefD22_14x_0" localSheetId="65">'317'!$D$117</definedName>
    <definedName name="OSRRefD22_14x_0" localSheetId="69">'321'!$D$78</definedName>
    <definedName name="OSRRefD22_14x_0" localSheetId="70">'322'!$D$82</definedName>
    <definedName name="OSRRefD22_14x_0" localSheetId="71">'325'!$D$79:$D$85</definedName>
    <definedName name="OSRRefD22_14x_0" localSheetId="60">'326'!$D$117:$D$119</definedName>
    <definedName name="OSRRefD22_14x_0" localSheetId="55">'330'!$D$159</definedName>
    <definedName name="OSRRefD22_14x_0" localSheetId="58">'331'!$D$133:$D$134</definedName>
    <definedName name="OSRRefD22_14x_0" localSheetId="61">'332'!$D$101</definedName>
    <definedName name="OSRRefD22_14x_0" localSheetId="76">'405'!$D$77:$D$78</definedName>
    <definedName name="OSRRefD22_14x_0" localSheetId="77">'406'!$D$83:$D$84</definedName>
    <definedName name="OSRRefD22_14x_0" localSheetId="78">'411'!$D$76</definedName>
    <definedName name="OSRRefD22_14x_0" localSheetId="79">'412'!$D$85</definedName>
    <definedName name="OSRRefD22_14x_0" localSheetId="82">'414'!$D$80</definedName>
    <definedName name="OSRRefD22_14x_0" localSheetId="83">'415'!$D$81:$D$89</definedName>
    <definedName name="OSRRefD22_14x_0" localSheetId="84">'418'!$D$80:$D$87</definedName>
    <definedName name="OSRRefD22_14x_0" localSheetId="87">'425'!$D$87:$D$88</definedName>
    <definedName name="OSRRefD22_14x_0" localSheetId="91">'433'!$D$87</definedName>
    <definedName name="OSRRefD22_14x_0" localSheetId="93">'444'!$D$85</definedName>
    <definedName name="OSRRefD22_14x_0" localSheetId="94">'450'!$D$79:$D$84</definedName>
    <definedName name="OSRRefD22_14x_0" localSheetId="75">'491'!$D$85</definedName>
    <definedName name="OSRRefD22_14x_0" localSheetId="89">'492'!$D$81:$D$84</definedName>
    <definedName name="OSRRefD22_14x_0" localSheetId="96">'501'!$D$71</definedName>
    <definedName name="OSRRefD22_14x_0" localSheetId="39">'Div 2'!$D$75:$D$78</definedName>
    <definedName name="OSRRefD22_14x_0" localSheetId="47">'Div 3'!$D$229:$D$262</definedName>
    <definedName name="OSRRefD22_14x_0" localSheetId="73">'Div 4'!$D$88</definedName>
    <definedName name="OSRRefD22_14x_0" localSheetId="95">'Div 5'!$D$71</definedName>
    <definedName name="OSRRefD22_14x_0" localSheetId="64">'Div 6'!$D$117</definedName>
    <definedName name="OSRRefD22_14x_0" localSheetId="2">Summary!$D$265:$D$301</definedName>
    <definedName name="OSRRefD22_15x_0" localSheetId="41">'201'!$D$75</definedName>
    <definedName name="OSRRefD22_15x_0" localSheetId="42">'202'!$D$72</definedName>
    <definedName name="OSRRefD22_15x_0" localSheetId="43">'203'!$D$74</definedName>
    <definedName name="OSRRefD22_15x_0" localSheetId="48">'300'!$D$259</definedName>
    <definedName name="OSRRefD22_15x_0" localSheetId="49">'300 &amp; 317'!$D$288</definedName>
    <definedName name="OSRRefD22_15x_0" localSheetId="50">'301'!$D$74</definedName>
    <definedName name="OSRRefD22_15x_0" localSheetId="66">'310'!$D$84:$D$86</definedName>
    <definedName name="OSRRefD22_15x_0" localSheetId="74">'310 &amp; 491'!$D$95</definedName>
    <definedName name="OSRRefD22_15x_0" localSheetId="59">'315'!$D$121:$D$122</definedName>
    <definedName name="OSRRefD22_15x_0" localSheetId="71">'325'!$D$87</definedName>
    <definedName name="OSRRefD22_15x_0" localSheetId="60">'326'!$D$121:$D$122</definedName>
    <definedName name="OSRRefD22_15x_0" localSheetId="55">'330'!$D$161</definedName>
    <definedName name="OSRRefD22_15x_0" localSheetId="58">'331'!$D$136:$D$138</definedName>
    <definedName name="OSRRefD22_15x_0" localSheetId="76">'405'!$D$80:$D$88</definedName>
    <definedName name="OSRRefD22_15x_0" localSheetId="78">'411'!$D$78:$D$86</definedName>
    <definedName name="OSRRefD22_15x_0" localSheetId="79">'412'!$D$87</definedName>
    <definedName name="OSRRefD22_15x_0" localSheetId="82">'414'!$D$82</definedName>
    <definedName name="OSRRefD22_15x_0" localSheetId="83">'415'!$D$91</definedName>
    <definedName name="OSRRefD22_15x_0" localSheetId="84">'418'!$D$89</definedName>
    <definedName name="OSRRefD22_15x_0" localSheetId="87">'425'!$D$90</definedName>
    <definedName name="OSRRefD22_15x_0" localSheetId="91">'433'!$D$89:$D$90</definedName>
    <definedName name="OSRRefD22_15x_0" localSheetId="93">'444'!$D$87</definedName>
    <definedName name="OSRRefD22_15x_0" localSheetId="94">'450'!$D$86</definedName>
    <definedName name="OSRRefD22_15x_0" localSheetId="75">'491'!$D$87</definedName>
    <definedName name="OSRRefD22_15x_0" localSheetId="89">'492'!$D$86:$D$95</definedName>
    <definedName name="OSRRefD22_15x_0" localSheetId="39">'Div 2'!$D$80:$D$81</definedName>
    <definedName name="OSRRefD22_15x_0" localSheetId="47">'Div 3'!$D$264</definedName>
    <definedName name="OSRRefD22_15x_0" localSheetId="73">'Div 4'!$D$90</definedName>
    <definedName name="OSRRefD22_15x_0" localSheetId="2">Summary!$D$303</definedName>
    <definedName name="OSRRefD22_16x_0" localSheetId="41">'201'!$D$77:$D$78</definedName>
    <definedName name="OSRRefD22_16x_0" localSheetId="42">'202'!$D$74</definedName>
    <definedName name="OSRRefD22_16x_0" localSheetId="48">'300'!$D$261:$D$264</definedName>
    <definedName name="OSRRefD22_16x_0" localSheetId="49">'300 &amp; 317'!$D$290:$D$293</definedName>
    <definedName name="OSRRefD22_16x_0" localSheetId="50">'301'!$D$76:$D$79</definedName>
    <definedName name="OSRRefD22_16x_0" localSheetId="66">'310'!$D$88:$D$89</definedName>
    <definedName name="OSRRefD22_16x_0" localSheetId="74">'310 &amp; 491'!$D$97</definedName>
    <definedName name="OSRRefD22_16x_0" localSheetId="71">'325'!$D$89</definedName>
    <definedName name="OSRRefD22_16x_0" localSheetId="60">'326'!$D$124:$D$129</definedName>
    <definedName name="OSRRefD22_16x_0" localSheetId="55">'330'!$D$163</definedName>
    <definedName name="OSRRefD22_16x_0" localSheetId="58">'331'!$D$140:$D$142</definedName>
    <definedName name="OSRRefD22_16x_0" localSheetId="76">'405'!$D$90</definedName>
    <definedName name="OSRRefD22_16x_0" localSheetId="78">'411'!$D$88</definedName>
    <definedName name="OSRRefD22_16x_0" localSheetId="83">'415'!$D$93</definedName>
    <definedName name="OSRRefD22_16x_0" localSheetId="84">'418'!$D$91</definedName>
    <definedName name="OSRRefD22_16x_0" localSheetId="87">'425'!$D$92</definedName>
    <definedName name="OSRRefD22_16x_0" localSheetId="93">'444'!$D$89</definedName>
    <definedName name="OSRRefD22_16x_0" localSheetId="94">'450'!$D$88</definedName>
    <definedName name="OSRRefD22_16x_0" localSheetId="75">'491'!$D$89:$D$92</definedName>
    <definedName name="OSRRefD22_16x_0" localSheetId="89">'492'!$D$97</definedName>
    <definedName name="OSRRefD22_16x_0" localSheetId="39">'Div 2'!$D$83:$D$84</definedName>
    <definedName name="OSRRefD22_16x_0" localSheetId="47">'Div 3'!$D$266</definedName>
    <definedName name="OSRRefD22_16x_0" localSheetId="73">'Div 4'!$D$92</definedName>
    <definedName name="OSRRefD22_16x_0" localSheetId="2">Summary!$D$305</definedName>
    <definedName name="OSRRefD22_17x_0" localSheetId="48">'300'!$D$266:$D$269</definedName>
    <definedName name="OSRRefD22_17x_0" localSheetId="49">'300 &amp; 317'!$D$295:$D$298</definedName>
    <definedName name="OSRRefD22_17x_0" localSheetId="50">'301'!$D$81:$D$83</definedName>
    <definedName name="OSRRefD22_17x_0" localSheetId="66">'310'!$D$91:$D$95</definedName>
    <definedName name="OSRRefD22_17x_0" localSheetId="74">'310 &amp; 491'!$D$99:$D$102</definedName>
    <definedName name="OSRRefD22_17x_0" localSheetId="71">'325'!$D$91</definedName>
    <definedName name="OSRRefD22_17x_0" localSheetId="60">'326'!$D$131:$D$132</definedName>
    <definedName name="OSRRefD22_17x_0" localSheetId="58">'331'!$D$144:$D$145</definedName>
    <definedName name="OSRRefD22_17x_0" localSheetId="76">'405'!$D$92</definedName>
    <definedName name="OSRRefD22_17x_0" localSheetId="78">'411'!$D$90</definedName>
    <definedName name="OSRRefD22_17x_0" localSheetId="83">'415'!$D$95:$D$96</definedName>
    <definedName name="OSRRefD22_17x_0" localSheetId="84">'418'!$D$93:$D$94</definedName>
    <definedName name="OSRRefD22_17x_0" localSheetId="94">'450'!$D$90:$D$91</definedName>
    <definedName name="OSRRefD22_17x_0" localSheetId="75">'491'!$D$94:$D$97</definedName>
    <definedName name="OSRRefD22_17x_0" localSheetId="89">'492'!$D$99</definedName>
    <definedName name="OSRRefD22_17x_0" localSheetId="39">'Div 2'!$D$86:$D$91</definedName>
    <definedName name="OSRRefD22_17x_0" localSheetId="47">'Div 3'!$D$268</definedName>
    <definedName name="OSRRefD22_17x_0" localSheetId="73">'Div 4'!$D$94:$D$97</definedName>
    <definedName name="OSRRefD22_17x_0" localSheetId="2">Summary!$D$307</definedName>
    <definedName name="OSRRefD22_18x_0" localSheetId="48">'300'!$D$271:$D$274</definedName>
    <definedName name="OSRRefD22_18x_0" localSheetId="49">'300 &amp; 317'!$D$300:$D$303</definedName>
    <definedName name="OSRRefD22_18x_0" localSheetId="50">'301'!$D$85:$D$86</definedName>
    <definedName name="OSRRefD22_18x_0" localSheetId="66">'310'!$D$97</definedName>
    <definedName name="OSRRefD22_18x_0" localSheetId="74">'310 &amp; 491'!$D$104:$D$107</definedName>
    <definedName name="OSRRefD22_18x_0" localSheetId="71">'325'!$D$93</definedName>
    <definedName name="OSRRefD22_18x_0" localSheetId="60">'326'!$D$134</definedName>
    <definedName name="OSRRefD22_18x_0" localSheetId="58">'331'!$D$147:$D$152</definedName>
    <definedName name="OSRRefD22_18x_0" localSheetId="76">'405'!$D$94</definedName>
    <definedName name="OSRRefD22_18x_0" localSheetId="78">'411'!$D$92:$D$94</definedName>
    <definedName name="OSRRefD22_18x_0" localSheetId="83">'415'!$D$98</definedName>
    <definedName name="OSRRefD22_18x_0" localSheetId="75">'491'!$D$99:$D$103</definedName>
    <definedName name="OSRRefD22_18x_0" localSheetId="89">'492'!$D$101:$D$102</definedName>
    <definedName name="OSRRefD22_18x_0" localSheetId="39">'Div 2'!$D$93:$D$94</definedName>
    <definedName name="OSRRefD22_18x_0" localSheetId="47">'Div 3'!$D$270:$D$273</definedName>
    <definedName name="OSRRefD22_18x_0" localSheetId="73">'Div 4'!$D$99:$D$102</definedName>
    <definedName name="OSRRefD22_18x_0" localSheetId="2">Summary!$D$309:$D$312</definedName>
    <definedName name="OSRRefD22_19x_0" localSheetId="48">'300'!$D$276:$D$277</definedName>
    <definedName name="OSRRefD22_19x_0" localSheetId="49">'300 &amp; 317'!$D$305:$D$306</definedName>
    <definedName name="OSRRefD22_19x_0" localSheetId="50">'301'!$D$88:$D$94</definedName>
    <definedName name="OSRRefD22_19x_0" localSheetId="66">'310'!$D$99:$D$107</definedName>
    <definedName name="OSRRefD22_19x_0" localSheetId="74">'310 &amp; 491'!$D$109:$D$114</definedName>
    <definedName name="OSRRefD22_19x_0" localSheetId="60">'326'!$D$136</definedName>
    <definedName name="OSRRefD22_19x_0" localSheetId="58">'331'!$D$154:$D$155</definedName>
    <definedName name="OSRRefD22_19x_0" localSheetId="76">'405'!$D$96</definedName>
    <definedName name="OSRRefD22_19x_0" localSheetId="78">'411'!$D$96</definedName>
    <definedName name="OSRRefD22_19x_0" localSheetId="75">'491'!$D$105:$D$106</definedName>
    <definedName name="OSRRefD22_19x_0" localSheetId="39">'Div 2'!$D$96</definedName>
    <definedName name="OSRRefD22_19x_0" localSheetId="47">'Div 3'!$D$275:$D$278</definedName>
    <definedName name="OSRRefD22_19x_0" localSheetId="73">'Div 4'!$D$104:$D$108</definedName>
    <definedName name="OSRRefD22_19x_0" localSheetId="2">Summary!$D$314:$D$317</definedName>
    <definedName name="OSRRefD22_1x_0" localSheetId="40">'200'!$D$23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'204'!$D$32:$D$41</definedName>
    <definedName name="OSRRefD22_1x_0" localSheetId="45">'205'!$D$30:$D$39</definedName>
    <definedName name="OSRRefD22_1x_0" localSheetId="46">'206'!$D$30:$D$39</definedName>
    <definedName name="OSRRefD22_1x_0" localSheetId="48">'300'!$D$182:$D$191</definedName>
    <definedName name="OSRRefD22_1x_0" localSheetId="49">'300 &amp; 317'!$D$208:$D$217</definedName>
    <definedName name="OSRRefD22_1x_0" localSheetId="50">'301'!$D$30:$D$39</definedName>
    <definedName name="OSRRefD22_1x_0" localSheetId="51">'306'!$D$30:$D$39</definedName>
    <definedName name="OSRRefD22_1x_0" localSheetId="56">'307'!$D$89:$D$98</definedName>
    <definedName name="OSRRefD22_1x_0" localSheetId="52">'308'!$D$78:$D$87</definedName>
    <definedName name="OSRRefD22_1x_0" localSheetId="67">'309'!$D$36:$D$45</definedName>
    <definedName name="OSRRefD22_1x_0" localSheetId="66">'310'!$D$45:$D$54</definedName>
    <definedName name="OSRRefD22_1x_0" localSheetId="74">'310 &amp; 491'!$D$53:$D$62</definedName>
    <definedName name="OSRRefD22_1x_0" localSheetId="53">'311'!$D$78:$D$87</definedName>
    <definedName name="OSRRefD22_1x_0" localSheetId="68">'313'!$D$41:$D$50</definedName>
    <definedName name="OSRRefD22_1x_0" localSheetId="57">'314'!$D$70:$D$79</definedName>
    <definedName name="OSRRefD22_1x_0" localSheetId="59">'315'!$D$68:$D$77</definedName>
    <definedName name="OSRRefD22_1x_0" localSheetId="62">'316'!$D$46:$D$55</definedName>
    <definedName name="OSRRefD22_1x_0" localSheetId="65">'317'!$D$73:$D$82</definedName>
    <definedName name="OSRRefD22_1x_0" localSheetId="63">'320'!$D$41:$D$50</definedName>
    <definedName name="OSRRefD22_1x_0" localSheetId="69">'321'!$D$35:$D$44</definedName>
    <definedName name="OSRRefD22_1x_0" localSheetId="70">'322'!$D$36:$D$45</definedName>
    <definedName name="OSRRefD22_1x_0" localSheetId="71">'325'!$D$36:$D$45</definedName>
    <definedName name="OSRRefD22_1x_0" localSheetId="60">'326'!$D$68:$D$77</definedName>
    <definedName name="OSRRefD22_1x_0" localSheetId="72">'327'!$D$26</definedName>
    <definedName name="OSRRefD22_1x_0" localSheetId="55">'330'!$D$98:$D$107</definedName>
    <definedName name="OSRRefD22_1x_0" localSheetId="58">'331'!$D$83:$D$92</definedName>
    <definedName name="OSRRefD22_1x_0" localSheetId="61">'332'!$D$56:$D$65</definedName>
    <definedName name="OSRRefD22_1x_0" localSheetId="76">'405'!$D$36:$D$45</definedName>
    <definedName name="OSRRefD22_1x_0" localSheetId="77">'406'!$D$37:$D$46</definedName>
    <definedName name="OSRRefD22_1x_0" localSheetId="78">'411'!$D$31:$D$40</definedName>
    <definedName name="OSRRefD22_1x_0" localSheetId="79">'412'!$D$37:$D$46</definedName>
    <definedName name="OSRRefD22_1x_0" localSheetId="81">'413'!$D$37:$D$46</definedName>
    <definedName name="OSRRefD22_1x_0" localSheetId="82">'414'!$D$37:$D$46</definedName>
    <definedName name="OSRRefD22_1x_0" localSheetId="83">'415'!$D$36:$D$45</definedName>
    <definedName name="OSRRefD22_1x_0" localSheetId="84">'418'!$D$37:$D$46</definedName>
    <definedName name="OSRRefD22_1x_0" localSheetId="80">'420'!$D$33:$D$36</definedName>
    <definedName name="OSRRefD22_1x_0" localSheetId="85">'423'!$D$31:$D$40</definedName>
    <definedName name="OSRRefD22_1x_0" localSheetId="86">'424'!$D$36:$D$45</definedName>
    <definedName name="OSRRefD22_1x_0" localSheetId="87">'425'!$D$40:$D$49</definedName>
    <definedName name="OSRRefD22_1x_0" localSheetId="90">'430'!$D$30:$D$39</definedName>
    <definedName name="OSRRefD22_1x_0" localSheetId="91">'433'!$D$39:$D$48</definedName>
    <definedName name="OSRRefD22_1x_0" localSheetId="92">'435'!$D$36:$D$45</definedName>
    <definedName name="OSRRefD22_1x_0" localSheetId="93">'444'!$D$38:$D$47</definedName>
    <definedName name="OSRRefD22_1x_0" localSheetId="94">'450'!$D$38:$D$47</definedName>
    <definedName name="OSRRefD22_1x_0" localSheetId="88">'455'!$D$29:$D$38</definedName>
    <definedName name="OSRRefD22_1x_0" localSheetId="75">'491'!$D$46:$D$55</definedName>
    <definedName name="OSRRefD22_1x_0" localSheetId="89">'492'!$D$41:$D$50</definedName>
    <definedName name="OSRRefD22_1x_0" localSheetId="96">'501'!$D$31:$D$40</definedName>
    <definedName name="OSRRefD22_1x_0" localSheetId="39">'Div 2'!$D$33:$D$42</definedName>
    <definedName name="OSRRefD22_1x_0" localSheetId="47">'Div 3'!$D$187:$D$196</definedName>
    <definedName name="OSRRefD22_1x_0" localSheetId="73">'Div 4'!$D$47:$D$56</definedName>
    <definedName name="OSRRefD22_1x_0" localSheetId="95">'Div 5'!$D$31:$D$40</definedName>
    <definedName name="OSRRefD22_1x_0" localSheetId="64">'Div 6'!$D$73:$D$82</definedName>
    <definedName name="OSRRefD22_1x_0" localSheetId="2">Summary!$D$221:$D$230</definedName>
    <definedName name="OSRRefD22_20x_0" localSheetId="48">'300'!$D$279:$D$286</definedName>
    <definedName name="OSRRefD22_20x_0" localSheetId="49">'300 &amp; 317'!$D$308:$D$315</definedName>
    <definedName name="OSRRefD22_20x_0" localSheetId="50">'301'!$D$96</definedName>
    <definedName name="OSRRefD22_20x_0" localSheetId="66">'310'!$D$109</definedName>
    <definedName name="OSRRefD22_20x_0" localSheetId="74">'310 &amp; 491'!$D$116:$D$117</definedName>
    <definedName name="OSRRefD22_20x_0" localSheetId="60">'326'!$D$138</definedName>
    <definedName name="OSRRefD22_20x_0" localSheetId="58">'331'!$D$157</definedName>
    <definedName name="OSRRefD22_20x_0" localSheetId="75">'491'!$D$108:$D$118</definedName>
    <definedName name="OSRRefD22_20x_0" localSheetId="39">'Div 2'!$D$98:$D$99</definedName>
    <definedName name="OSRRefD22_20x_0" localSheetId="47">'Div 3'!$D$280:$D$285</definedName>
    <definedName name="OSRRefD22_20x_0" localSheetId="73">'Div 4'!$D$110:$D$111</definedName>
    <definedName name="OSRRefD22_20x_0" localSheetId="2">Summary!$D$319:$D$324</definedName>
    <definedName name="OSRRefD22_21x_0" localSheetId="48">'300'!$D$288:$D$289</definedName>
    <definedName name="OSRRefD22_21x_0" localSheetId="49">'300 &amp; 317'!$D$317:$D$318</definedName>
    <definedName name="OSRRefD22_21x_0" localSheetId="50">'301'!$D$98</definedName>
    <definedName name="OSRRefD22_21x_0" localSheetId="66">'310'!$D$111</definedName>
    <definedName name="OSRRefD22_21x_0" localSheetId="74">'310 &amp; 491'!$D$119:$D$129</definedName>
    <definedName name="OSRRefD22_21x_0" localSheetId="58">'331'!$D$159:$D$160</definedName>
    <definedName name="OSRRefD22_21x_0" localSheetId="75">'491'!$D$120:$D$121</definedName>
    <definedName name="OSRRefD22_21x_0" localSheetId="47">'Div 3'!$D$287:$D$288</definedName>
    <definedName name="OSRRefD22_21x_0" localSheetId="73">'Div 4'!$D$113:$D$123</definedName>
    <definedName name="OSRRefD22_21x_0" localSheetId="2">Summary!$D$326:$D$327</definedName>
    <definedName name="OSRRefD22_22x_0" localSheetId="48">'300'!$D$291</definedName>
    <definedName name="OSRRefD22_22x_0" localSheetId="49">'300 &amp; 317'!$D$320</definedName>
    <definedName name="OSRRefD22_22x_0" localSheetId="50">'301'!$D$100:$D$102</definedName>
    <definedName name="OSRRefD22_22x_0" localSheetId="66">'310'!$D$113:$D$114</definedName>
    <definedName name="OSRRefD22_22x_0" localSheetId="74">'310 &amp; 491'!$D$131:$D$132</definedName>
    <definedName name="OSRRefD22_22x_0" localSheetId="58">'331'!$D$162</definedName>
    <definedName name="OSRRefD22_22x_0" localSheetId="75">'491'!$D$123</definedName>
    <definedName name="OSRRefD22_22x_0" localSheetId="47">'Div 3'!$D$290:$D$299</definedName>
    <definedName name="OSRRefD22_22x_0" localSheetId="73">'Div 4'!$D$125:$D$126</definedName>
    <definedName name="OSRRefD22_22x_0" localSheetId="2">Summary!$D$329:$D$339</definedName>
    <definedName name="OSRRefD22_23x_0" localSheetId="48">'300'!$D$293:$D$295</definedName>
    <definedName name="OSRRefD22_23x_0" localSheetId="49">'300 &amp; 317'!$D$322:$D$324</definedName>
    <definedName name="OSRRefD22_23x_0" localSheetId="50">'301'!$D$104</definedName>
    <definedName name="OSRRefD22_23x_0" localSheetId="66">'310'!$D$116</definedName>
    <definedName name="OSRRefD22_23x_0" localSheetId="74">'310 &amp; 491'!$D$134</definedName>
    <definedName name="OSRRefD22_23x_0" localSheetId="75">'491'!$D$125:$D$127</definedName>
    <definedName name="OSRRefD22_23x_0" localSheetId="47">'Div 3'!$D$301:$D$302</definedName>
    <definedName name="OSRRefD22_23x_0" localSheetId="73">'Div 4'!$D$128</definedName>
    <definedName name="OSRRefD22_23x_0" localSheetId="2">Summary!$D$341:$D$342</definedName>
    <definedName name="OSRRefD22_24x_0" localSheetId="48">'300'!$D$297</definedName>
    <definedName name="OSRRefD22_24x_0" localSheetId="49">'300 &amp; 317'!$D$326</definedName>
    <definedName name="OSRRefD22_24x_0" localSheetId="74">'310 &amp; 491'!$D$136:$D$138</definedName>
    <definedName name="OSRRefD22_24x_0" localSheetId="75">'491'!$D$129</definedName>
    <definedName name="OSRRefD22_24x_0" localSheetId="47">'Div 3'!$D$304</definedName>
    <definedName name="OSRRefD22_24x_0" localSheetId="73">'Div 4'!$D$130:$D$132</definedName>
    <definedName name="OSRRefD22_24x_0" localSheetId="2">Summary!$D$344</definedName>
    <definedName name="OSRRefD22_25x_0" localSheetId="74">'310 &amp; 491'!$D$140</definedName>
    <definedName name="OSRRefD22_25x_0" localSheetId="47">'Div 3'!$D$306:$D$308</definedName>
    <definedName name="OSRRefD22_25x_0" localSheetId="73">'Div 4'!$D$134</definedName>
    <definedName name="OSRRefD22_25x_0" localSheetId="2">Summary!$D$346:$D$348</definedName>
    <definedName name="OSRRefD22_26x_0" localSheetId="47">'Div 3'!$D$310</definedName>
    <definedName name="OSRRefD22_26x_0" localSheetId="2">Summary!$D$350</definedName>
    <definedName name="OSRRefD22_2x_0" localSheetId="40">'200'!$D$25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'204'!$D$43</definedName>
    <definedName name="OSRRefD22_2x_0" localSheetId="45">'205'!$D$41</definedName>
    <definedName name="OSRRefD22_2x_0" localSheetId="46">'206'!$D$41</definedName>
    <definedName name="OSRRefD22_2x_0" localSheetId="48">'300'!$D$193</definedName>
    <definedName name="OSRRefD22_2x_0" localSheetId="49">'300 &amp; 317'!$D$219</definedName>
    <definedName name="OSRRefD22_2x_0" localSheetId="50">'301'!$D$41</definedName>
    <definedName name="OSRRefD22_2x_0" localSheetId="51">'306'!$D$41</definedName>
    <definedName name="OSRRefD22_2x_0" localSheetId="56">'307'!$D$100</definedName>
    <definedName name="OSRRefD22_2x_0" localSheetId="52">'308'!$D$89</definedName>
    <definedName name="OSRRefD22_2x_0" localSheetId="67">'309'!$D$47</definedName>
    <definedName name="OSRRefD22_2x_0" localSheetId="66">'310'!$D$56</definedName>
    <definedName name="OSRRefD22_2x_0" localSheetId="74">'310 &amp; 491'!$D$64</definedName>
    <definedName name="OSRRefD22_2x_0" localSheetId="53">'311'!$D$89</definedName>
    <definedName name="OSRRefD22_2x_0" localSheetId="68">'313'!$D$52</definedName>
    <definedName name="OSRRefD22_2x_0" localSheetId="57">'314'!$D$81</definedName>
    <definedName name="OSRRefD22_2x_0" localSheetId="59">'315'!$D$79</definedName>
    <definedName name="OSRRefD22_2x_0" localSheetId="62">'316'!$D$57</definedName>
    <definedName name="OSRRefD22_2x_0" localSheetId="65">'317'!$D$84</definedName>
    <definedName name="OSRRefD22_2x_0" localSheetId="63">'320'!$D$52</definedName>
    <definedName name="OSRRefD22_2x_0" localSheetId="69">'321'!$D$46</definedName>
    <definedName name="OSRRefD22_2x_0" localSheetId="70">'322'!$D$47</definedName>
    <definedName name="OSRRefD22_2x_0" localSheetId="71">'325'!$D$47</definedName>
    <definedName name="OSRRefD22_2x_0" localSheetId="60">'326'!$D$79</definedName>
    <definedName name="OSRRefD22_2x_0" localSheetId="72">'327'!$D$28</definedName>
    <definedName name="OSRRefD22_2x_0" localSheetId="55">'330'!$D$109</definedName>
    <definedName name="OSRRefD22_2x_0" localSheetId="58">'331'!$D$94</definedName>
    <definedName name="OSRRefD22_2x_0" localSheetId="61">'332'!$D$67</definedName>
    <definedName name="OSRRefD22_2x_0" localSheetId="76">'405'!$D$47</definedName>
    <definedName name="OSRRefD22_2x_0" localSheetId="77">'406'!$D$48</definedName>
    <definedName name="OSRRefD22_2x_0" localSheetId="78">'411'!$D$42</definedName>
    <definedName name="OSRRefD22_2x_0" localSheetId="79">'412'!$D$48</definedName>
    <definedName name="OSRRefD22_2x_0" localSheetId="81">'413'!$D$48</definedName>
    <definedName name="OSRRefD22_2x_0" localSheetId="82">'414'!$D$48</definedName>
    <definedName name="OSRRefD22_2x_0" localSheetId="83">'415'!$D$47</definedName>
    <definedName name="OSRRefD22_2x_0" localSheetId="84">'418'!$D$48</definedName>
    <definedName name="OSRRefD22_2x_0" localSheetId="80">'420'!$D$38</definedName>
    <definedName name="OSRRefD22_2x_0" localSheetId="85">'423'!$D$42</definedName>
    <definedName name="OSRRefD22_2x_0" localSheetId="86">'424'!$D$47</definedName>
    <definedName name="OSRRefD22_2x_0" localSheetId="87">'425'!$D$51</definedName>
    <definedName name="OSRRefD22_2x_0" localSheetId="90">'430'!$D$41</definedName>
    <definedName name="OSRRefD22_2x_0" localSheetId="91">'433'!$D$50</definedName>
    <definedName name="OSRRefD22_2x_0" localSheetId="92">'435'!$D$47</definedName>
    <definedName name="OSRRefD22_2x_0" localSheetId="93">'444'!$D$49</definedName>
    <definedName name="OSRRefD22_2x_0" localSheetId="94">'450'!$D$49</definedName>
    <definedName name="OSRRefD22_2x_0" localSheetId="75">'491'!$D$57</definedName>
    <definedName name="OSRRefD22_2x_0" localSheetId="89">'492'!$D$52</definedName>
    <definedName name="OSRRefD22_2x_0" localSheetId="96">'501'!$D$42</definedName>
    <definedName name="OSRRefD22_2x_0" localSheetId="39">'Div 2'!$D$44</definedName>
    <definedName name="OSRRefD22_2x_0" localSheetId="47">'Div 3'!$D$198</definedName>
    <definedName name="OSRRefD22_2x_0" localSheetId="73">'Div 4'!$D$58</definedName>
    <definedName name="OSRRefD22_2x_0" localSheetId="95">'Div 5'!$D$42</definedName>
    <definedName name="OSRRefD22_2x_0" localSheetId="64">'Div 6'!$D$84</definedName>
    <definedName name="OSRRefD22_2x_0" localSheetId="2">Summary!$D$232</definedName>
    <definedName name="OSRRefD22_3x_0" localSheetId="40">'200'!$D$27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'204'!$D$45:$D$46</definedName>
    <definedName name="OSRRefD22_3x_0" localSheetId="45">'205'!$D$43</definedName>
    <definedName name="OSRRefD22_3x_0" localSheetId="46">'206'!$D$43</definedName>
    <definedName name="OSRRefD22_3x_0" localSheetId="48">'300'!$D$195:$D$196</definedName>
    <definedName name="OSRRefD22_3x_0" localSheetId="49">'300 &amp; 317'!$D$221:$D$222</definedName>
    <definedName name="OSRRefD22_3x_0" localSheetId="50">'301'!$D$43:$D$44</definedName>
    <definedName name="OSRRefD22_3x_0" localSheetId="51">'306'!$D$43</definedName>
    <definedName name="OSRRefD22_3x_0" localSheetId="56">'307'!$D$102</definedName>
    <definedName name="OSRRefD22_3x_0" localSheetId="52">'308'!$D$91:$D$92</definedName>
    <definedName name="OSRRefD22_3x_0" localSheetId="67">'309'!$D$49</definedName>
    <definedName name="OSRRefD22_3x_0" localSheetId="66">'310'!$D$58</definedName>
    <definedName name="OSRRefD22_3x_0" localSheetId="74">'310 &amp; 491'!$D$66</definedName>
    <definedName name="OSRRefD22_3x_0" localSheetId="53">'311'!$D$91:$D$92</definedName>
    <definedName name="OSRRefD22_3x_0" localSheetId="68">'313'!$D$54</definedName>
    <definedName name="OSRRefD22_3x_0" localSheetId="57">'314'!$D$83:$D$84</definedName>
    <definedName name="OSRRefD22_3x_0" localSheetId="59">'315'!$D$81:$D$82</definedName>
    <definedName name="OSRRefD22_3x_0" localSheetId="62">'316'!$D$59</definedName>
    <definedName name="OSRRefD22_3x_0" localSheetId="65">'317'!$D$86</definedName>
    <definedName name="OSRRefD22_3x_0" localSheetId="63">'320'!$D$54</definedName>
    <definedName name="OSRRefD22_3x_0" localSheetId="69">'321'!$D$48</definedName>
    <definedName name="OSRRefD22_3x_0" localSheetId="70">'322'!$D$49</definedName>
    <definedName name="OSRRefD22_3x_0" localSheetId="71">'325'!$D$49</definedName>
    <definedName name="OSRRefD22_3x_0" localSheetId="60">'326'!$D$81:$D$82</definedName>
    <definedName name="OSRRefD22_3x_0" localSheetId="55">'330'!$D$111</definedName>
    <definedName name="OSRRefD22_3x_0" localSheetId="58">'331'!$D$96:$D$97</definedName>
    <definedName name="OSRRefD22_3x_0" localSheetId="61">'332'!$D$69</definedName>
    <definedName name="OSRRefD22_3x_0" localSheetId="76">'405'!$D$49</definedName>
    <definedName name="OSRRefD22_3x_0" localSheetId="77">'406'!$D$50</definedName>
    <definedName name="OSRRefD22_3x_0" localSheetId="78">'411'!$D$44</definedName>
    <definedName name="OSRRefD22_3x_0" localSheetId="79">'412'!$D$50</definedName>
    <definedName name="OSRRefD22_3x_0" localSheetId="81">'413'!$D$50</definedName>
    <definedName name="OSRRefD22_3x_0" localSheetId="82">'414'!$D$50</definedName>
    <definedName name="OSRRefD22_3x_0" localSheetId="83">'415'!$D$49</definedName>
    <definedName name="OSRRefD22_3x_0" localSheetId="84">'418'!$D$50</definedName>
    <definedName name="OSRRefD22_3x_0" localSheetId="80">'420'!$D$40</definedName>
    <definedName name="OSRRefD22_3x_0" localSheetId="85">'423'!$D$44</definedName>
    <definedName name="OSRRefD22_3x_0" localSheetId="86">'424'!$D$49</definedName>
    <definedName name="OSRRefD22_3x_0" localSheetId="87">'425'!$D$53</definedName>
    <definedName name="OSRRefD22_3x_0" localSheetId="90">'430'!$D$43</definedName>
    <definedName name="OSRRefD22_3x_0" localSheetId="91">'433'!$D$52</definedName>
    <definedName name="OSRRefD22_3x_0" localSheetId="92">'435'!$D$49</definedName>
    <definedName name="OSRRefD22_3x_0" localSheetId="93">'444'!$D$51</definedName>
    <definedName name="OSRRefD22_3x_0" localSheetId="94">'450'!$D$51:$D$52</definedName>
    <definedName name="OSRRefD22_3x_0" localSheetId="75">'491'!$D$59</definedName>
    <definedName name="OSRRefD22_3x_0" localSheetId="89">'492'!$D$54:$D$55</definedName>
    <definedName name="OSRRefD22_3x_0" localSheetId="96">'501'!$D$44</definedName>
    <definedName name="OSRRefD22_3x_0" localSheetId="39">'Div 2'!$D$46</definedName>
    <definedName name="OSRRefD22_3x_0" localSheetId="47">'Div 3'!$D$200:$D$201</definedName>
    <definedName name="OSRRefD22_3x_0" localSheetId="73">'Div 4'!$D$60:$D$61</definedName>
    <definedName name="OSRRefD22_3x_0" localSheetId="95">'Div 5'!$D$44</definedName>
    <definedName name="OSRRefD22_3x_0" localSheetId="64">'Div 6'!$D$86</definedName>
    <definedName name="OSRRefD22_3x_0" localSheetId="2">Summary!$D$234:$D$235</definedName>
    <definedName name="OSRRefD22_4x_0" localSheetId="40">'200'!$D$29:$D$30</definedName>
    <definedName name="OSRRefD22_4x_0" localSheetId="41">'201'!$D$45:$D$46</definedName>
    <definedName name="OSRRefD22_4x_0" localSheetId="42">'202'!$D$45</definedName>
    <definedName name="OSRRefD22_4x_0" localSheetId="43">'203'!$D$46</definedName>
    <definedName name="OSRRefD22_4x_0" localSheetId="44">'204'!$D$48</definedName>
    <definedName name="OSRRefD22_4x_0" localSheetId="45">'205'!$D$45</definedName>
    <definedName name="OSRRefD22_4x_0" localSheetId="46">'206'!$D$45</definedName>
    <definedName name="OSRRefD22_4x_0" localSheetId="48">'300'!$D$198</definedName>
    <definedName name="OSRRefD22_4x_0" localSheetId="49">'300 &amp; 317'!$D$224</definedName>
    <definedName name="OSRRefD22_4x_0" localSheetId="50">'301'!$D$46</definedName>
    <definedName name="OSRRefD22_4x_0" localSheetId="51">'306'!$D$45</definedName>
    <definedName name="OSRRefD22_4x_0" localSheetId="56">'307'!$D$104:$D$105</definedName>
    <definedName name="OSRRefD22_4x_0" localSheetId="52">'308'!$D$94</definedName>
    <definedName name="OSRRefD22_4x_0" localSheetId="67">'309'!$D$51</definedName>
    <definedName name="OSRRefD22_4x_0" localSheetId="66">'310'!$D$60</definedName>
    <definedName name="OSRRefD22_4x_0" localSheetId="74">'310 &amp; 491'!$D$68</definedName>
    <definedName name="OSRRefD22_4x_0" localSheetId="53">'311'!$D$94</definedName>
    <definedName name="OSRRefD22_4x_0" localSheetId="68">'313'!$D$56</definedName>
    <definedName name="OSRRefD22_4x_0" localSheetId="57">'314'!$D$86</definedName>
    <definedName name="OSRRefD22_4x_0" localSheetId="59">'315'!$D$84</definedName>
    <definedName name="OSRRefD22_4x_0" localSheetId="62">'316'!$D$61</definedName>
    <definedName name="OSRRefD22_4x_0" localSheetId="65">'317'!$D$88</definedName>
    <definedName name="OSRRefD22_4x_0" localSheetId="63">'320'!$D$56:$D$57</definedName>
    <definedName name="OSRRefD22_4x_0" localSheetId="69">'321'!$D$50</definedName>
    <definedName name="OSRRefD22_4x_0" localSheetId="70">'322'!$D$51</definedName>
    <definedName name="OSRRefD22_4x_0" localSheetId="71">'325'!$D$51</definedName>
    <definedName name="OSRRefD22_4x_0" localSheetId="60">'326'!$D$84</definedName>
    <definedName name="OSRRefD22_4x_0" localSheetId="55">'330'!$D$113:$D$114</definedName>
    <definedName name="OSRRefD22_4x_0" localSheetId="58">'331'!$D$99</definedName>
    <definedName name="OSRRefD22_4x_0" localSheetId="61">'332'!$D$71</definedName>
    <definedName name="OSRRefD22_4x_0" localSheetId="76">'405'!$D$51</definedName>
    <definedName name="OSRRefD22_4x_0" localSheetId="77">'406'!$D$52</definedName>
    <definedName name="OSRRefD22_4x_0" localSheetId="78">'411'!$D$46:$D$49</definedName>
    <definedName name="OSRRefD22_4x_0" localSheetId="79">'412'!$D$52</definedName>
    <definedName name="OSRRefD22_4x_0" localSheetId="81">'413'!$D$52</definedName>
    <definedName name="OSRRefD22_4x_0" localSheetId="82">'414'!$D$52</definedName>
    <definedName name="OSRRefD22_4x_0" localSheetId="83">'415'!$D$51</definedName>
    <definedName name="OSRRefD22_4x_0" localSheetId="84">'418'!$D$52</definedName>
    <definedName name="OSRRefD22_4x_0" localSheetId="80">'420'!$D$42</definedName>
    <definedName name="OSRRefD22_4x_0" localSheetId="85">'423'!$D$46</definedName>
    <definedName name="OSRRefD22_4x_0" localSheetId="86">'424'!$D$51</definedName>
    <definedName name="OSRRefD22_4x_0" localSheetId="87">'425'!$D$55</definedName>
    <definedName name="OSRRefD22_4x_0" localSheetId="90">'430'!$D$45</definedName>
    <definedName name="OSRRefD22_4x_0" localSheetId="91">'433'!$D$54</definedName>
    <definedName name="OSRRefD22_4x_0" localSheetId="92">'435'!$D$51</definedName>
    <definedName name="OSRRefD22_4x_0" localSheetId="93">'444'!$D$53</definedName>
    <definedName name="OSRRefD22_4x_0" localSheetId="94">'450'!$D$54</definedName>
    <definedName name="OSRRefD22_4x_0" localSheetId="75">'491'!$D$61</definedName>
    <definedName name="OSRRefD22_4x_0" localSheetId="89">'492'!$D$57</definedName>
    <definedName name="OSRRefD22_4x_0" localSheetId="96">'501'!$D$46</definedName>
    <definedName name="OSRRefD22_4x_0" localSheetId="39">'Div 2'!$D$48</definedName>
    <definedName name="OSRRefD22_4x_0" localSheetId="47">'Div 3'!$D$203</definedName>
    <definedName name="OSRRefD22_4x_0" localSheetId="73">'Div 4'!$D$63</definedName>
    <definedName name="OSRRefD22_4x_0" localSheetId="95">'Div 5'!$D$46</definedName>
    <definedName name="OSRRefD22_4x_0" localSheetId="64">'Div 6'!$D$88</definedName>
    <definedName name="OSRRefD22_4x_0" localSheetId="2">Summary!$D$237</definedName>
    <definedName name="OSRRefD22_5x_0" localSheetId="41">'201'!$D$48</definedName>
    <definedName name="OSRRefD22_5x_0" localSheetId="42">'202'!$D$47</definedName>
    <definedName name="OSRRefD22_5x_0" localSheetId="43">'203'!$D$48</definedName>
    <definedName name="OSRRefD22_5x_0" localSheetId="44">'204'!$D$50</definedName>
    <definedName name="OSRRefD22_5x_0" localSheetId="45">'205'!$D$47:$D$49</definedName>
    <definedName name="OSRRefD22_5x_0" localSheetId="46">'206'!$D$47</definedName>
    <definedName name="OSRRefD22_5x_0" localSheetId="48">'300'!$D$200:$D$203</definedName>
    <definedName name="OSRRefD22_5x_0" localSheetId="49">'300 &amp; 317'!$D$226:$D$229</definedName>
    <definedName name="OSRRefD22_5x_0" localSheetId="50">'301'!$D$48:$D$51</definedName>
    <definedName name="OSRRefD22_5x_0" localSheetId="51">'306'!$D$47</definedName>
    <definedName name="OSRRefD22_5x_0" localSheetId="56">'307'!$D$107</definedName>
    <definedName name="OSRRefD22_5x_0" localSheetId="52">'308'!$D$96</definedName>
    <definedName name="OSRRefD22_5x_0" localSheetId="67">'309'!$D$53:$D$54</definedName>
    <definedName name="OSRRefD22_5x_0" localSheetId="66">'310'!$D$62:$D$64</definedName>
    <definedName name="OSRRefD22_5x_0" localSheetId="74">'310 &amp; 491'!$D$70:$D$73</definedName>
    <definedName name="OSRRefD22_5x_0" localSheetId="53">'311'!$D$96</definedName>
    <definedName name="OSRRefD22_5x_0" localSheetId="68">'313'!$D$58</definedName>
    <definedName name="OSRRefD22_5x_0" localSheetId="57">'314'!$D$88</definedName>
    <definedName name="OSRRefD22_5x_0" localSheetId="59">'315'!$D$86:$D$87</definedName>
    <definedName name="OSRRefD22_5x_0" localSheetId="62">'316'!$D$63</definedName>
    <definedName name="OSRRefD22_5x_0" localSheetId="65">'317'!$D$90</definedName>
    <definedName name="OSRRefD22_5x_0" localSheetId="63">'320'!$D$59</definedName>
    <definedName name="OSRRefD22_5x_0" localSheetId="69">'321'!$D$52</definedName>
    <definedName name="OSRRefD22_5x_0" localSheetId="70">'322'!$D$53:$D$54</definedName>
    <definedName name="OSRRefD22_5x_0" localSheetId="71">'325'!$D$53:$D$55</definedName>
    <definedName name="OSRRefD22_5x_0" localSheetId="60">'326'!$D$86</definedName>
    <definedName name="OSRRefD22_5x_0" localSheetId="55">'330'!$D$116</definedName>
    <definedName name="OSRRefD22_5x_0" localSheetId="58">'331'!$D$101:$D$102</definedName>
    <definedName name="OSRRefD22_5x_0" localSheetId="61">'332'!$D$73</definedName>
    <definedName name="OSRRefD22_5x_0" localSheetId="76">'405'!$D$53:$D$55</definedName>
    <definedName name="OSRRefD22_5x_0" localSheetId="77">'406'!$D$54:$D$55</definedName>
    <definedName name="OSRRefD22_5x_0" localSheetId="78">'411'!$D$51</definedName>
    <definedName name="OSRRefD22_5x_0" localSheetId="79">'412'!$D$54:$D$56</definedName>
    <definedName name="OSRRefD22_5x_0" localSheetId="81">'413'!$D$54</definedName>
    <definedName name="OSRRefD22_5x_0" localSheetId="82">'414'!$D$54:$D$55</definedName>
    <definedName name="OSRRefD22_5x_0" localSheetId="83">'415'!$D$53:$D$55</definedName>
    <definedName name="OSRRefD22_5x_0" localSheetId="84">'418'!$D$54:$D$56</definedName>
    <definedName name="OSRRefD22_5x_0" localSheetId="80">'420'!$D$44</definedName>
    <definedName name="OSRRefD22_5x_0" localSheetId="85">'423'!$D$48</definedName>
    <definedName name="OSRRefD22_5x_0" localSheetId="86">'424'!$D$53</definedName>
    <definedName name="OSRRefD22_5x_0" localSheetId="87">'425'!$D$57:$D$58</definedName>
    <definedName name="OSRRefD22_5x_0" localSheetId="90">'430'!$D$47</definedName>
    <definedName name="OSRRefD22_5x_0" localSheetId="91">'433'!$D$56</definedName>
    <definedName name="OSRRefD22_5x_0" localSheetId="92">'435'!$D$53</definedName>
    <definedName name="OSRRefD22_5x_0" localSheetId="93">'444'!$D$55</definedName>
    <definedName name="OSRRefD22_5x_0" localSheetId="94">'450'!$D$56</definedName>
    <definedName name="OSRRefD22_5x_0" localSheetId="75">'491'!$D$63:$D$66</definedName>
    <definedName name="OSRRefD22_5x_0" localSheetId="89">'492'!$D$59</definedName>
    <definedName name="OSRRefD22_5x_0" localSheetId="96">'501'!$D$48</definedName>
    <definedName name="OSRRefD22_5x_0" localSheetId="39">'Div 2'!$D$50:$D$51</definedName>
    <definedName name="OSRRefD22_5x_0" localSheetId="47">'Div 3'!$D$205:$D$208</definedName>
    <definedName name="OSRRefD22_5x_0" localSheetId="73">'Div 4'!$D$65:$D$68</definedName>
    <definedName name="OSRRefD22_5x_0" localSheetId="95">'Div 5'!$D$48</definedName>
    <definedName name="OSRRefD22_5x_0" localSheetId="64">'Div 6'!$D$90</definedName>
    <definedName name="OSRRefD22_5x_0" localSheetId="2">Summary!$D$239:$D$242</definedName>
    <definedName name="OSRRefD22_6x_0" localSheetId="41">'201'!$D$50</definedName>
    <definedName name="OSRRefD22_6x_0" localSheetId="42">'202'!$D$49</definedName>
    <definedName name="OSRRefD22_6x_0" localSheetId="43">'203'!$D$50</definedName>
    <definedName name="OSRRefD22_6x_0" localSheetId="44">'204'!$D$52</definedName>
    <definedName name="OSRRefD22_6x_0" localSheetId="45">'205'!$D$51</definedName>
    <definedName name="OSRRefD22_6x_0" localSheetId="46">'206'!$D$49</definedName>
    <definedName name="OSRRefD22_6x_0" localSheetId="48">'300'!$D$205:$D$206</definedName>
    <definedName name="OSRRefD22_6x_0" localSheetId="49">'300 &amp; 317'!$D$231:$D$232</definedName>
    <definedName name="OSRRefD22_6x_0" localSheetId="50">'301'!$D$53:$D$54</definedName>
    <definedName name="OSRRefD22_6x_0" localSheetId="51">'306'!$D$49</definedName>
    <definedName name="OSRRefD22_6x_0" localSheetId="56">'307'!$D$109</definedName>
    <definedName name="OSRRefD22_6x_0" localSheetId="52">'308'!$D$98:$D$99</definedName>
    <definedName name="OSRRefD22_6x_0" localSheetId="67">'309'!$D$56</definedName>
    <definedName name="OSRRefD22_6x_0" localSheetId="66">'310'!$D$66</definedName>
    <definedName name="OSRRefD22_6x_0" localSheetId="74">'310 &amp; 491'!$D$75</definedName>
    <definedName name="OSRRefD22_6x_0" localSheetId="53">'311'!$D$98:$D$99</definedName>
    <definedName name="OSRRefD22_6x_0" localSheetId="68">'313'!$D$60</definedName>
    <definedName name="OSRRefD22_6x_0" localSheetId="57">'314'!$D$90</definedName>
    <definedName name="OSRRefD22_6x_0" localSheetId="59">'315'!$D$89</definedName>
    <definedName name="OSRRefD22_6x_0" localSheetId="62">'316'!$D$65</definedName>
    <definedName name="OSRRefD22_6x_0" localSheetId="65">'317'!$D$92</definedName>
    <definedName name="OSRRefD22_6x_0" localSheetId="63">'320'!$D$61:$D$63</definedName>
    <definedName name="OSRRefD22_6x_0" localSheetId="69">'321'!$D$54</definedName>
    <definedName name="OSRRefD22_6x_0" localSheetId="70">'322'!$D$56</definedName>
    <definedName name="OSRRefD22_6x_0" localSheetId="71">'325'!$D$57</definedName>
    <definedName name="OSRRefD22_6x_0" localSheetId="60">'326'!$D$88</definedName>
    <definedName name="OSRRefD22_6x_0" localSheetId="55">'330'!$D$118</definedName>
    <definedName name="OSRRefD22_6x_0" localSheetId="58">'331'!$D$104</definedName>
    <definedName name="OSRRefD22_6x_0" localSheetId="61">'332'!$D$75</definedName>
    <definedName name="OSRRefD22_6x_0" localSheetId="76">'405'!$D$57</definedName>
    <definedName name="OSRRefD22_6x_0" localSheetId="77">'406'!$D$57</definedName>
    <definedName name="OSRRefD22_6x_0" localSheetId="78">'411'!$D$53</definedName>
    <definedName name="OSRRefD22_6x_0" localSheetId="79">'412'!$D$58</definedName>
    <definedName name="OSRRefD22_6x_0" localSheetId="81">'413'!$D$56</definedName>
    <definedName name="OSRRefD22_6x_0" localSheetId="82">'414'!$D$57</definedName>
    <definedName name="OSRRefD22_6x_0" localSheetId="83">'415'!$D$57</definedName>
    <definedName name="OSRRefD22_6x_0" localSheetId="84">'418'!$D$58</definedName>
    <definedName name="OSRRefD22_6x_0" localSheetId="80">'420'!$D$46:$D$47</definedName>
    <definedName name="OSRRefD22_6x_0" localSheetId="85">'423'!$D$50</definedName>
    <definedName name="OSRRefD22_6x_0" localSheetId="86">'424'!$D$55</definedName>
    <definedName name="OSRRefD22_6x_0" localSheetId="87">'425'!$D$60</definedName>
    <definedName name="OSRRefD22_6x_0" localSheetId="90">'430'!$D$49</definedName>
    <definedName name="OSRRefD22_6x_0" localSheetId="91">'433'!$D$58</definedName>
    <definedName name="OSRRefD22_6x_0" localSheetId="92">'435'!$D$55</definedName>
    <definedName name="OSRRefD22_6x_0" localSheetId="93">'444'!$D$57</definedName>
    <definedName name="OSRRefD22_6x_0" localSheetId="94">'450'!$D$58</definedName>
    <definedName name="OSRRefD22_6x_0" localSheetId="75">'491'!$D$68</definedName>
    <definedName name="OSRRefD22_6x_0" localSheetId="89">'492'!$D$61:$D$62</definedName>
    <definedName name="OSRRefD22_6x_0" localSheetId="96">'501'!$D$50</definedName>
    <definedName name="OSRRefD22_6x_0" localSheetId="39">'Div 2'!$D$53:$D$54</definedName>
    <definedName name="OSRRefD22_6x_0" localSheetId="47">'Div 3'!$D$210:$D$211</definedName>
    <definedName name="OSRRefD22_6x_0" localSheetId="73">'Div 4'!$D$70</definedName>
    <definedName name="OSRRefD22_6x_0" localSheetId="95">'Div 5'!$D$50</definedName>
    <definedName name="OSRRefD22_6x_0" localSheetId="64">'Div 6'!$D$92</definedName>
    <definedName name="OSRRefD22_6x_0" localSheetId="2">Summary!$D$244:$D$245</definedName>
    <definedName name="OSRRefD22_7x_0" localSheetId="41">'201'!$D$52</definedName>
    <definedName name="OSRRefD22_7x_0" localSheetId="42">'202'!$D$51</definedName>
    <definedName name="OSRRefD22_7x_0" localSheetId="43">'203'!$D$52</definedName>
    <definedName name="OSRRefD22_7x_0" localSheetId="44">'204'!$D$54:$D$57</definedName>
    <definedName name="OSRRefD22_7x_0" localSheetId="45">'205'!$D$53:$D$54</definedName>
    <definedName name="OSRRefD22_7x_0" localSheetId="46">'206'!$D$51:$D$52</definedName>
    <definedName name="OSRRefD22_7x_0" localSheetId="48">'300'!$D$208:$D$209</definedName>
    <definedName name="OSRRefD22_7x_0" localSheetId="49">'300 &amp; 317'!$D$234:$D$235</definedName>
    <definedName name="OSRRefD22_7x_0" localSheetId="50">'301'!$D$56:$D$57</definedName>
    <definedName name="OSRRefD22_7x_0" localSheetId="51">'306'!$D$51:$D$52</definedName>
    <definedName name="OSRRefD22_7x_0" localSheetId="56">'307'!$D$111:$D$131</definedName>
    <definedName name="OSRRefD22_7x_0" localSheetId="52">'308'!$D$101</definedName>
    <definedName name="OSRRefD22_7x_0" localSheetId="67">'309'!$D$58</definedName>
    <definedName name="OSRRefD22_7x_0" localSheetId="66">'310'!$D$68</definedName>
    <definedName name="OSRRefD22_7x_0" localSheetId="74">'310 &amp; 491'!$D$77</definedName>
    <definedName name="OSRRefD22_7x_0" localSheetId="53">'311'!$D$101</definedName>
    <definedName name="OSRRefD22_7x_0" localSheetId="68">'313'!$D$62</definedName>
    <definedName name="OSRRefD22_7x_0" localSheetId="57">'314'!$D$92:$D$101</definedName>
    <definedName name="OSRRefD22_7x_0" localSheetId="59">'315'!$D$91:$D$97</definedName>
    <definedName name="OSRRefD22_7x_0" localSheetId="62">'316'!$D$67</definedName>
    <definedName name="OSRRefD22_7x_0" localSheetId="65">'317'!$D$94</definedName>
    <definedName name="OSRRefD22_7x_0" localSheetId="63">'320'!$D$65:$D$66</definedName>
    <definedName name="OSRRefD22_7x_0" localSheetId="69">'321'!$D$56</definedName>
    <definedName name="OSRRefD22_7x_0" localSheetId="70">'322'!$D$58</definedName>
    <definedName name="OSRRefD22_7x_0" localSheetId="71">'325'!$D$59</definedName>
    <definedName name="OSRRefD22_7x_0" localSheetId="60">'326'!$D$90</definedName>
    <definedName name="OSRRefD22_7x_0" localSheetId="55">'330'!$D$120</definedName>
    <definedName name="OSRRefD22_7x_0" localSheetId="58">'331'!$D$106</definedName>
    <definedName name="OSRRefD22_7x_0" localSheetId="61">'332'!$D$77:$D$78</definedName>
    <definedName name="OSRRefD22_7x_0" localSheetId="76">'405'!$D$59</definedName>
    <definedName name="OSRRefD22_7x_0" localSheetId="77">'406'!$D$59</definedName>
    <definedName name="OSRRefD22_7x_0" localSheetId="78">'411'!$D$55</definedName>
    <definedName name="OSRRefD22_7x_0" localSheetId="79">'412'!$D$60</definedName>
    <definedName name="OSRRefD22_7x_0" localSheetId="81">'413'!$D$58</definedName>
    <definedName name="OSRRefD22_7x_0" localSheetId="82">'414'!$D$59</definedName>
    <definedName name="OSRRefD22_7x_0" localSheetId="83">'415'!$D$59</definedName>
    <definedName name="OSRRefD22_7x_0" localSheetId="84">'418'!$D$60</definedName>
    <definedName name="OSRRefD22_7x_0" localSheetId="80">'420'!$D$49</definedName>
    <definedName name="OSRRefD22_7x_0" localSheetId="86">'424'!$D$57</definedName>
    <definedName name="OSRRefD22_7x_0" localSheetId="87">'425'!$D$62</definedName>
    <definedName name="OSRRefD22_7x_0" localSheetId="90">'430'!$D$51:$D$54</definedName>
    <definedName name="OSRRefD22_7x_0" localSheetId="91">'433'!$D$60</definedName>
    <definedName name="OSRRefD22_7x_0" localSheetId="92">'435'!$D$57:$D$59</definedName>
    <definedName name="OSRRefD22_7x_0" localSheetId="93">'444'!$D$59</definedName>
    <definedName name="OSRRefD22_7x_0" localSheetId="94">'450'!$D$60</definedName>
    <definedName name="OSRRefD22_7x_0" localSheetId="75">'491'!$D$70</definedName>
    <definedName name="OSRRefD22_7x_0" localSheetId="89">'492'!$D$64</definedName>
    <definedName name="OSRRefD22_7x_0" localSheetId="96">'501'!$D$52</definedName>
    <definedName name="OSRRefD22_7x_0" localSheetId="39">'Div 2'!$D$56</definedName>
    <definedName name="OSRRefD22_7x_0" localSheetId="47">'Div 3'!$D$213:$D$214</definedName>
    <definedName name="OSRRefD22_7x_0" localSheetId="73">'Div 4'!$D$72:$D$73</definedName>
    <definedName name="OSRRefD22_7x_0" localSheetId="95">'Div 5'!$D$52</definedName>
    <definedName name="OSRRefD22_7x_0" localSheetId="64">'Div 6'!$D$94</definedName>
    <definedName name="OSRRefD22_7x_0" localSheetId="2">Summary!$D$247:$D$249</definedName>
    <definedName name="OSRRefD22_8x_0" localSheetId="41">'201'!$D$54</definedName>
    <definedName name="OSRRefD22_8x_0" localSheetId="42">'202'!$D$53</definedName>
    <definedName name="OSRRefD22_8x_0" localSheetId="43">'203'!$D$54</definedName>
    <definedName name="OSRRefD22_8x_0" localSheetId="44">'204'!$D$59</definedName>
    <definedName name="OSRRefD22_8x_0" localSheetId="45">'205'!$D$56</definedName>
    <definedName name="OSRRefD22_8x_0" localSheetId="46">'206'!$D$54</definedName>
    <definedName name="OSRRefD22_8x_0" localSheetId="48">'300'!$D$211</definedName>
    <definedName name="OSRRefD22_8x_0" localSheetId="49">'300 &amp; 317'!$D$237</definedName>
    <definedName name="OSRRefD22_8x_0" localSheetId="50">'301'!$D$59</definedName>
    <definedName name="OSRRefD22_8x_0" localSheetId="51">'306'!$D$54:$D$57</definedName>
    <definedName name="OSRRefD22_8x_0" localSheetId="56">'307'!$D$133</definedName>
    <definedName name="OSRRefD22_8x_0" localSheetId="52">'308'!$D$103:$D$111</definedName>
    <definedName name="OSRRefD22_8x_0" localSheetId="67">'309'!$D$60</definedName>
    <definedName name="OSRRefD22_8x_0" localSheetId="66">'310'!$D$70</definedName>
    <definedName name="OSRRefD22_8x_0" localSheetId="74">'310 &amp; 491'!$D$79</definedName>
    <definedName name="OSRRefD22_8x_0" localSheetId="53">'311'!$D$103:$D$111</definedName>
    <definedName name="OSRRefD22_8x_0" localSheetId="68">'313'!$D$64</definedName>
    <definedName name="OSRRefD22_8x_0" localSheetId="57">'314'!$D$103</definedName>
    <definedName name="OSRRefD22_8x_0" localSheetId="59">'315'!$D$99</definedName>
    <definedName name="OSRRefD22_8x_0" localSheetId="62">'316'!$D$69</definedName>
    <definedName name="OSRRefD22_8x_0" localSheetId="65">'317'!$D$96:$D$103</definedName>
    <definedName name="OSRRefD22_8x_0" localSheetId="63">'320'!$D$68</definedName>
    <definedName name="OSRRefD22_8x_0" localSheetId="69">'321'!$D$58</definedName>
    <definedName name="OSRRefD22_8x_0" localSheetId="70">'322'!$D$60</definedName>
    <definedName name="OSRRefD22_8x_0" localSheetId="71">'325'!$D$61</definedName>
    <definedName name="OSRRefD22_8x_0" localSheetId="60">'326'!$D$92</definedName>
    <definedName name="OSRRefD22_8x_0" localSheetId="55">'330'!$D$122:$D$143</definedName>
    <definedName name="OSRRefD22_8x_0" localSheetId="58">'331'!$D$108:$D$109</definedName>
    <definedName name="OSRRefD22_8x_0" localSheetId="61">'332'!$D$80</definedName>
    <definedName name="OSRRefD22_8x_0" localSheetId="76">'405'!$D$61</definedName>
    <definedName name="OSRRefD22_8x_0" localSheetId="77">'406'!$D$61</definedName>
    <definedName name="OSRRefD22_8x_0" localSheetId="78">'411'!$D$57</definedName>
    <definedName name="OSRRefD22_8x_0" localSheetId="79">'412'!$D$62</definedName>
    <definedName name="OSRRefD22_8x_0" localSheetId="81">'413'!$D$60:$D$62</definedName>
    <definedName name="OSRRefD22_8x_0" localSheetId="82">'414'!$D$61</definedName>
    <definedName name="OSRRefD22_8x_0" localSheetId="83">'415'!$D$61</definedName>
    <definedName name="OSRRefD22_8x_0" localSheetId="84">'418'!$D$62</definedName>
    <definedName name="OSRRefD22_8x_0" localSheetId="86">'424'!$D$59:$D$60</definedName>
    <definedName name="OSRRefD22_8x_0" localSheetId="87">'425'!$D$64</definedName>
    <definedName name="OSRRefD22_8x_0" localSheetId="90">'430'!$D$56</definedName>
    <definedName name="OSRRefD22_8x_0" localSheetId="91">'433'!$D$62</definedName>
    <definedName name="OSRRefD22_8x_0" localSheetId="92">'435'!$D$61</definedName>
    <definedName name="OSRRefD22_8x_0" localSheetId="93">'444'!$D$61</definedName>
    <definedName name="OSRRefD22_8x_0" localSheetId="94">'450'!$D$62</definedName>
    <definedName name="OSRRefD22_8x_0" localSheetId="75">'491'!$D$72</definedName>
    <definedName name="OSRRefD22_8x_0" localSheetId="89">'492'!$D$66</definedName>
    <definedName name="OSRRefD22_8x_0" localSheetId="96">'501'!$D$54</definedName>
    <definedName name="OSRRefD22_8x_0" localSheetId="39">'Div 2'!$D$58</definedName>
    <definedName name="OSRRefD22_8x_0" localSheetId="47">'Div 3'!$D$216</definedName>
    <definedName name="OSRRefD22_8x_0" localSheetId="73">'Div 4'!$D$75</definedName>
    <definedName name="OSRRefD22_8x_0" localSheetId="95">'Div 5'!$D$54</definedName>
    <definedName name="OSRRefD22_8x_0" localSheetId="64">'Div 6'!$D$96:$D$103</definedName>
    <definedName name="OSRRefD22_8x_0" localSheetId="2">Summary!$D$251</definedName>
    <definedName name="OSRRefD22_9x_0" localSheetId="41">'201'!$D$56</definedName>
    <definedName name="OSRRefD22_9x_0" localSheetId="42">'202'!$D$55:$D$57</definedName>
    <definedName name="OSRRefD22_9x_0" localSheetId="43">'203'!$D$56:$D$58</definedName>
    <definedName name="OSRRefD22_9x_0" localSheetId="44">'204'!$D$61:$D$62</definedName>
    <definedName name="OSRRefD22_9x_0" localSheetId="45">'205'!$D$58</definedName>
    <definedName name="OSRRefD22_9x_0" localSheetId="46">'206'!$D$56</definedName>
    <definedName name="OSRRefD22_9x_0" localSheetId="48">'300'!$D$213</definedName>
    <definedName name="OSRRefD22_9x_0" localSheetId="49">'300 &amp; 317'!$D$239</definedName>
    <definedName name="OSRRefD22_9x_0" localSheetId="50">'301'!$D$61</definedName>
    <definedName name="OSRRefD22_9x_0" localSheetId="51">'306'!$D$59</definedName>
    <definedName name="OSRRefD22_9x_0" localSheetId="56">'307'!$D$135:$D$136</definedName>
    <definedName name="OSRRefD22_9x_0" localSheetId="52">'308'!$D$113:$D$116</definedName>
    <definedName name="OSRRefD22_9x_0" localSheetId="67">'309'!$D$62:$D$63</definedName>
    <definedName name="OSRRefD22_9x_0" localSheetId="66">'310'!$D$72</definedName>
    <definedName name="OSRRefD22_9x_0" localSheetId="74">'310 &amp; 491'!$D$81</definedName>
    <definedName name="OSRRefD22_9x_0" localSheetId="53">'311'!$D$113:$D$116</definedName>
    <definedName name="OSRRefD22_9x_0" localSheetId="68">'313'!$D$66</definedName>
    <definedName name="OSRRefD22_9x_0" localSheetId="57">'314'!$D$105:$D$106</definedName>
    <definedName name="OSRRefD22_9x_0" localSheetId="59">'315'!$D$101:$D$102</definedName>
    <definedName name="OSRRefD22_9x_0" localSheetId="62">'316'!$D$71:$D$72</definedName>
    <definedName name="OSRRefD22_9x_0" localSheetId="65">'317'!$D$105</definedName>
    <definedName name="OSRRefD22_9x_0" localSheetId="69">'321'!$D$60:$D$62</definedName>
    <definedName name="OSRRefD22_9x_0" localSheetId="70">'322'!$D$62:$D$64</definedName>
    <definedName name="OSRRefD22_9x_0" localSheetId="71">'325'!$D$63</definedName>
    <definedName name="OSRRefD22_9x_0" localSheetId="60">'326'!$D$94</definedName>
    <definedName name="OSRRefD22_9x_0" localSheetId="55">'330'!$D$145</definedName>
    <definedName name="OSRRefD22_9x_0" localSheetId="58">'331'!$D$111</definedName>
    <definedName name="OSRRefD22_9x_0" localSheetId="61">'332'!$D$82:$D$84</definedName>
    <definedName name="OSRRefD22_9x_0" localSheetId="76">'405'!$D$63</definedName>
    <definedName name="OSRRefD22_9x_0" localSheetId="77">'406'!$D$63:$D$65</definedName>
    <definedName name="OSRRefD22_9x_0" localSheetId="78">'411'!$D$59</definedName>
    <definedName name="OSRRefD22_9x_0" localSheetId="79">'412'!$D$64:$D$66</definedName>
    <definedName name="OSRRefD22_9x_0" localSheetId="81">'413'!$D$64:$D$65</definedName>
    <definedName name="OSRRefD22_9x_0" localSheetId="82">'414'!$D$63:$D$64</definedName>
    <definedName name="OSRRefD22_9x_0" localSheetId="83">'415'!$D$63</definedName>
    <definedName name="OSRRefD22_9x_0" localSheetId="84">'418'!$D$64</definedName>
    <definedName name="OSRRefD22_9x_0" localSheetId="86">'424'!$D$62:$D$64</definedName>
    <definedName name="OSRRefD22_9x_0" localSheetId="87">'425'!$D$66:$D$68</definedName>
    <definedName name="OSRRefD22_9x_0" localSheetId="90">'430'!$D$58</definedName>
    <definedName name="OSRRefD22_9x_0" localSheetId="91">'433'!$D$64</definedName>
    <definedName name="OSRRefD22_9x_0" localSheetId="93">'444'!$D$63</definedName>
    <definedName name="OSRRefD22_9x_0" localSheetId="94">'450'!$D$64</definedName>
    <definedName name="OSRRefD22_9x_0" localSheetId="75">'491'!$D$74</definedName>
    <definedName name="OSRRefD22_9x_0" localSheetId="89">'492'!$D$68</definedName>
    <definedName name="OSRRefD22_9x_0" localSheetId="96">'501'!$D$56</definedName>
    <definedName name="OSRRefD22_9x_0" localSheetId="39">'Div 2'!$D$60</definedName>
    <definedName name="OSRRefD22_9x_0" localSheetId="47">'Div 3'!$D$218</definedName>
    <definedName name="OSRRefD22_9x_0" localSheetId="73">'Div 4'!$D$77</definedName>
    <definedName name="OSRRefD22_9x_0" localSheetId="95">'Div 5'!$D$56</definedName>
    <definedName name="OSRRefD22_9x_0" localSheetId="64">'Div 6'!$D$105</definedName>
    <definedName name="OSRRefD22_9x_0" localSheetId="2">Summary!$D$253</definedName>
    <definedName name="OSRRefD22x_0" localSheetId="40">'200'!$D$20:$D$21,'200'!$D$23,'200'!$D$25,'200'!$D$27,'200'!$D$29:$D$30</definedName>
    <definedName name="OSRRefD22x_0" localSheetId="41">'201'!$D$20:$D$28,'201'!$D$30:$D$39,'201'!$D$41,'201'!$D$43,'201'!$D$45:$D$46,'201'!$D$48,'201'!$D$50,'201'!$D$52,'201'!$D$54,'201'!$D$56,'201'!$D$58:$D$60,'201'!$D$62:$D$64,'201'!$D$66,'201'!$D$68:$D$71,'201'!$D$73,'201'!$D$75,'201'!$D$77:$D$78</definedName>
    <definedName name="OSRRefD22x_0" localSheetId="42">'202'!$D$20:$D$28,'202'!$D$30:$D$39,'202'!$D$41,'202'!$D$43,'202'!$D$45,'202'!$D$47,'202'!$D$49,'202'!$D$51,'202'!$D$53,'202'!$D$55:$D$57,'202'!$D$59,'202'!$D$61:$D$63,'202'!$D$65,'202'!$D$67,'202'!$D$69:$D$70,'202'!$D$72,'202'!$D$74</definedName>
    <definedName name="OSRRefD22x_0" localSheetId="43">'203'!$D$20:$D$29,'203'!$D$31:$D$40,'203'!$D$42,'203'!$D$44,'203'!$D$46,'203'!$D$48,'203'!$D$50,'203'!$D$52,'203'!$D$54,'203'!$D$56:$D$58,'203'!$D$60:$D$61,'203'!$D$63,'203'!$D$65:$D$68,'203'!$D$70,'203'!$D$72,'203'!$D$74</definedName>
    <definedName name="OSRRefD22x_0" localSheetId="44">'204'!$D$21:$D$30,'204'!$D$32:$D$41,'204'!$D$43,'204'!$D$45:$D$46,'204'!$D$48,'204'!$D$50,'204'!$D$52,'204'!$D$54:$D$57,'204'!$D$59,'204'!$D$61:$D$62,'204'!$D$64:$D$65,'204'!$D$67,'204'!$D$69:$D$70</definedName>
    <definedName name="OSRRefD22x_0" localSheetId="45">'205'!$D$20:$D$28,'205'!$D$30:$D$39,'205'!$D$41,'205'!$D$43,'205'!$D$45,'205'!$D$47:$D$49,'205'!$D$51,'205'!$D$53:$D$54,'205'!$D$56,'205'!$D$58</definedName>
    <definedName name="OSRRefD22x_0" localSheetId="46">'206'!$D$20:$D$28,'206'!$D$30:$D$39,'206'!$D$41,'206'!$D$43,'206'!$D$45,'206'!$D$47,'206'!$D$49,'206'!$D$51:$D$52,'206'!$D$54,'206'!$D$56,'206'!$D$58</definedName>
    <definedName name="OSRRefD22x_0" localSheetId="48">'300'!$D$171:$D$180,'300'!$D$182:$D$191,'300'!$D$193,'300'!$D$195:$D$196,'300'!$D$198,'300'!$D$200:$D$203,'300'!$D$205:$D$206,'300'!$D$208:$D$209,'300'!$D$211,'300'!$D$213,'300'!$D$215:$D$216,'300'!$D$218,'300'!$D$220,'300'!$D$222:$D$255,'300'!$D$257,'300'!$D$259,'300'!$D$261:$D$264,'300'!$D$266:$D$269,'300'!$D$271:$D$274,'300'!$D$276:$D$277,'300'!$D$279:$D$286,'300'!$D$288:$D$289,'300'!$D$291,'300'!$D$293:$D$295,'300'!$D$297</definedName>
    <definedName name="OSRRefD22x_0" localSheetId="49">'300 &amp; 317'!$D$197:$D$206,'300 &amp; 317'!$D$208:$D$217,'300 &amp; 317'!$D$219,'300 &amp; 317'!$D$221:$D$222,'300 &amp; 317'!$D$224,'300 &amp; 317'!$D$226:$D$229,'300 &amp; 317'!$D$231:$D$232,'300 &amp; 317'!$D$234:$D$235,'300 &amp; 317'!$D$237,'300 &amp; 317'!$D$239,'300 &amp; 317'!$D$241:$D$242,'300 &amp; 317'!$D$244,'300 &amp; 317'!$D$246,'300 &amp; 317'!$D$248:$D$284,'300 &amp; 317'!$D$286,'300 &amp; 317'!$D$288,'300 &amp; 317'!$D$290:$D$293,'300 &amp; 317'!$D$295:$D$298,'300 &amp; 317'!$D$300:$D$303,'300 &amp; 317'!$D$305:$D$306,'300 &amp; 317'!$D$308:$D$315,'300 &amp; 317'!$D$317:$D$318,'300 &amp; 317'!$D$320,'300 &amp; 317'!$D$322:$D$324,'300 &amp; 317'!$D$326</definedName>
    <definedName name="OSRRefD22x_0" localSheetId="50">'301'!$D$20:$D$28,'301'!$D$30:$D$39,'301'!$D$41,'301'!$D$43:$D$44,'301'!$D$46,'301'!$D$48:$D$51,'301'!$D$53:$D$54,'301'!$D$56:$D$57,'301'!$D$59,'301'!$D$61,'301'!$D$63,'301'!$D$65,'301'!$D$67,'301'!$D$69:$D$70,'301'!$D$72,'301'!$D$74,'301'!$D$76:$D$79,'301'!$D$81:$D$83,'301'!$D$85:$D$86,'301'!$D$88:$D$94,'301'!$D$96,'301'!$D$98,'301'!$D$100:$D$102,'301'!$D$104</definedName>
    <definedName name="OSRRefD22x_0" localSheetId="51">'306'!$D$20:$D$28,'306'!$D$30:$D$39,'306'!$D$41,'306'!$D$43,'306'!$D$45,'306'!$D$47,'306'!$D$49,'306'!$D$51:$D$52,'306'!$D$54:$D$57,'306'!$D$59,'306'!$D$61</definedName>
    <definedName name="OSRRefD22x_0" localSheetId="56">'307'!$D$79:$D$87,'307'!$D$89:$D$98,'307'!$D$100,'307'!$D$102,'307'!$D$104:$D$105,'307'!$D$107,'307'!$D$109,'307'!$D$111:$D$131,'307'!$D$133,'307'!$D$135:$D$136,'307'!$D$138:$D$139,'307'!$D$141:$D$143,'307'!$D$145,'307'!$D$147</definedName>
    <definedName name="OSRRefD22x_0" localSheetId="52">'308'!$D$67:$D$76,'308'!$D$78:$D$87,'308'!$D$89,'308'!$D$91:$D$92,'308'!$D$94,'308'!$D$96,'308'!$D$98:$D$99,'308'!$D$101,'308'!$D$103:$D$111,'308'!$D$113:$D$116,'308'!$D$118:$D$119,'308'!$D$121:$D$123,'308'!$D$125:$D$126,'308'!$D$128,'308'!$D$130:$D$131</definedName>
    <definedName name="OSRRefD22x_0" localSheetId="67">'309'!$D$26:$D$34,'309'!$D$36:$D$45,'309'!$D$47,'309'!$D$49,'309'!$D$51,'309'!$D$53:$D$54,'309'!$D$56,'309'!$D$58,'309'!$D$60,'309'!$D$62:$D$63,'309'!$D$65:$D$67,'309'!$D$69:$D$71,'309'!$D$73,'309'!$D$75</definedName>
    <definedName name="OSRRefD22x_0" localSheetId="66">'310'!$D$35:$D$43,'310'!$D$45:$D$54,'310'!$D$56,'310'!$D$58,'310'!$D$60,'310'!$D$62:$D$64,'310'!$D$66,'310'!$D$68,'310'!$D$70,'310'!$D$72,'310'!$D$74,'310'!$D$76,'310'!$D$78,'310'!$D$80,'310'!$D$82,'310'!$D$84:$D$86,'310'!$D$88:$D$89,'310'!$D$91:$D$95,'310'!$D$97,'310'!$D$99:$D$107,'310'!$D$109,'310'!$D$111,'310'!$D$113:$D$114,'310'!$D$116</definedName>
    <definedName name="OSRRefD22x_0" localSheetId="74">'310 &amp; 491'!$D$42:$D$51,'310 &amp; 491'!$D$53:$D$62,'310 &amp; 491'!$D$64,'310 &amp; 491'!$D$66,'310 &amp; 491'!$D$68,'310 &amp; 491'!$D$70:$D$73,'310 &amp; 491'!$D$75,'310 &amp; 491'!$D$77,'310 &amp; 491'!$D$79,'310 &amp; 491'!$D$81,'310 &amp; 491'!$D$83:$D$84,'310 &amp; 491'!$D$86:$D$87,'310 &amp; 491'!$D$89,'310 &amp; 491'!$D$91,'310 &amp; 491'!$D$93,'310 &amp; 491'!$D$95,'310 &amp; 491'!$D$97,'310 &amp; 491'!$D$99:$D$102,'310 &amp; 491'!$D$104:$D$107,'310 &amp; 491'!$D$109:$D$114,'310 &amp; 491'!$D$116:$D$117,'310 &amp; 491'!$D$119:$D$129,'310 &amp; 491'!$D$131:$D$132,'310 &amp; 491'!$D$134,'310 &amp; 491'!$D$136:$D$138,'310 &amp; 491'!$D$140</definedName>
    <definedName name="OSRRefD22x_0" localSheetId="53">'311'!$D$67:$D$76,'311'!$D$78:$D$87,'311'!$D$89,'311'!$D$91:$D$92,'311'!$D$94,'311'!$D$96,'311'!$D$98:$D$99,'311'!$D$101,'311'!$D$103:$D$111,'311'!$D$113:$D$116,'311'!$D$118:$D$119,'311'!$D$121:$D$123,'311'!$D$125:$D$126,'311'!$D$128,'311'!$D$130:$D$131</definedName>
    <definedName name="OSRRefD22x_0" localSheetId="68">'313'!$D$31:$D$39,'313'!$D$41:$D$50,'313'!$D$52,'313'!$D$54,'313'!$D$56,'313'!$D$58,'313'!$D$60,'313'!$D$62,'313'!$D$64,'313'!$D$66,'313'!$D$68:$D$70,'313'!$D$72,'313'!$D$74:$D$79,'313'!$D$81,'313'!$D$83</definedName>
    <definedName name="OSRRefD22x_0" localSheetId="57">'314'!$D$59:$D$68,'314'!$D$70:$D$79,'314'!$D$81,'314'!$D$83:$D$84,'314'!$D$86,'314'!$D$88,'314'!$D$90,'314'!$D$92:$D$101,'314'!$D$103,'314'!$D$105:$D$106,'314'!$D$108,'314'!$D$110</definedName>
    <definedName name="OSRRefD22x_0" localSheetId="59">'315'!$D$58:$D$66,'315'!$D$68:$D$77,'315'!$D$79,'315'!$D$81:$D$82,'315'!$D$84,'315'!$D$86:$D$87,'315'!$D$89,'315'!$D$91:$D$97,'315'!$D$99,'315'!$D$101:$D$102,'315'!$D$104:$D$106,'315'!$D$108:$D$109,'315'!$D$111:$D$115,'315'!$D$117,'315'!$D$119,'315'!$D$121:$D$122</definedName>
    <definedName name="OSRRefD22x_0" localSheetId="62">'316'!$D$36:$D$44,'316'!$D$46:$D$55,'316'!$D$57,'316'!$D$59,'316'!$D$61,'316'!$D$63,'316'!$D$65,'316'!$D$67,'316'!$D$69,'316'!$D$71:$D$72,'316'!$D$74:$D$75,'316'!$D$77:$D$81,'316'!$D$83:$D$84,'316'!$D$86</definedName>
    <definedName name="OSRRefD22x_0" localSheetId="65">'317'!$D$62:$D$71,'317'!$D$73:$D$82,'317'!$D$84,'317'!$D$86,'317'!$D$88,'317'!$D$90,'317'!$D$92,'317'!$D$94,'317'!$D$96:$D$103,'317'!$D$105,'317'!$D$107,'317'!$D$109:$D$110,'317'!$D$112:$D$113,'317'!$D$115,'317'!$D$117</definedName>
    <definedName name="OSRRefD22x_0" localSheetId="63">'320'!$D$32:$D$39,'320'!$D$41:$D$50,'320'!$D$52,'320'!$D$54,'320'!$D$56:$D$57,'320'!$D$59,'320'!$D$61:$D$63,'320'!$D$65:$D$66,'320'!$D$68</definedName>
    <definedName name="OSRRefD22x_0" localSheetId="69">'321'!$D$26:$D$33,'321'!$D$35:$D$44,'321'!$D$46,'321'!$D$48,'321'!$D$50,'321'!$D$52,'321'!$D$54,'321'!$D$56,'321'!$D$58,'321'!$D$60:$D$62,'321'!$D$64:$D$65,'321'!$D$67:$D$69,'321'!$D$71:$D$74,'321'!$D$76,'321'!$D$78</definedName>
    <definedName name="OSRRefD22x_0" localSheetId="70">'322'!$D$26:$D$34,'322'!$D$36:$D$45,'322'!$D$47,'322'!$D$49,'322'!$D$51,'322'!$D$53:$D$54,'322'!$D$56,'322'!$D$58,'322'!$D$60,'322'!$D$62:$D$64,'322'!$D$66:$D$68,'322'!$D$70:$D$76,'322'!$D$78,'322'!$D$80,'322'!$D$82</definedName>
    <definedName name="OSRRefD22x_0" localSheetId="71">'325'!$D$26:$D$34,'325'!$D$36:$D$45,'325'!$D$47,'325'!$D$49,'325'!$D$51,'325'!$D$53:$D$55,'325'!$D$57,'325'!$D$59,'325'!$D$61,'325'!$D$63,'325'!$D$65,'325'!$D$67:$D$69,'325'!$D$71:$D$75,'325'!$D$77,'325'!$D$79:$D$85,'325'!$D$87,'325'!$D$89,'325'!$D$91,'325'!$D$93</definedName>
    <definedName name="OSRRefD22x_0" localSheetId="60">'326'!$D$58:$D$66,'326'!$D$68:$D$77,'326'!$D$79,'326'!$D$81:$D$82,'326'!$D$84,'326'!$D$86,'326'!$D$88,'326'!$D$90,'326'!$D$92,'326'!$D$94,'326'!$D$96:$D$108,'326'!$D$110,'326'!$D$112,'326'!$D$114:$D$115,'326'!$D$117:$D$119,'326'!$D$121:$D$122,'326'!$D$124:$D$129,'326'!$D$131:$D$132,'326'!$D$134,'326'!$D$136,'326'!$D$138</definedName>
    <definedName name="OSRRefD22x_0" localSheetId="72">'327'!$D$24,'327'!$D$26,'327'!$D$28</definedName>
    <definedName name="OSRRefD22x_0" localSheetId="55">'330'!$D$87:$D$96,'330'!$D$98:$D$107,'330'!$D$109,'330'!$D$111,'330'!$D$113:$D$114,'330'!$D$116,'330'!$D$118,'330'!$D$120,'330'!$D$122:$D$143,'330'!$D$145,'330'!$D$147:$D$148,'330'!$D$150:$D$151,'330'!$D$153,'330'!$D$155:$D$157,'330'!$D$159,'330'!$D$161,'330'!$D$163</definedName>
    <definedName name="OSRRefD22x_0" localSheetId="58">'331'!$D$73:$D$81,'331'!$D$83:$D$92,'331'!$D$94,'331'!$D$96:$D$97,'331'!$D$99,'331'!$D$101:$D$102,'331'!$D$104,'331'!$D$106,'331'!$D$108:$D$109,'331'!$D$111,'331'!$D$113,'331'!$D$115:$D$127,'331'!$D$129,'331'!$D$131,'331'!$D$133:$D$134,'331'!$D$136:$D$138,'331'!$D$140:$D$142,'331'!$D$144:$D$145,'331'!$D$147:$D$152,'331'!$D$154:$D$155,'331'!$D$157,'331'!$D$159:$D$160,'331'!$D$162</definedName>
    <definedName name="OSRRefD22x_0" localSheetId="61">'332'!$D$46:$D$54,'332'!$D$56:$D$65,'332'!$D$67,'332'!$D$69,'332'!$D$71,'332'!$D$73,'332'!$D$75,'332'!$D$77:$D$78,'332'!$D$80,'332'!$D$82:$D$84,'332'!$D$86:$D$87,'332'!$D$89:$D$90,'332'!$D$92:$D$96,'332'!$D$98:$D$99,'332'!$D$101</definedName>
    <definedName name="OSRRefD22x_0" localSheetId="76">'405'!$D$26:$D$34,'405'!$D$36:$D$45,'405'!$D$47,'405'!$D$49,'405'!$D$51,'405'!$D$53:$D$55,'405'!$D$57,'405'!$D$59,'405'!$D$61,'405'!$D$63,'405'!$D$65,'405'!$D$67:$D$69,'405'!$D$71,'405'!$D$73:$D$75,'405'!$D$77:$D$78,'405'!$D$80:$D$88,'405'!$D$90,'405'!$D$92,'405'!$D$94,'405'!$D$96</definedName>
    <definedName name="OSRRefD22x_0" localSheetId="77">'406'!$D$27:$D$35,'406'!$D$37:$D$46,'406'!$D$48,'406'!$D$50,'406'!$D$52,'406'!$D$54:$D$55,'406'!$D$57,'406'!$D$59,'406'!$D$61,'406'!$D$63:$D$65,'406'!$D$67:$D$69,'406'!$D$71:$D$76,'406'!$D$78:$D$79,'406'!$D$81,'406'!$D$83:$D$84</definedName>
    <definedName name="OSRRefD22x_0" localSheetId="78">'411'!$D$20:$D$29,'411'!$D$31:$D$40,'411'!$D$42,'411'!$D$44,'411'!$D$46:$D$49,'411'!$D$51,'411'!$D$53,'411'!$D$55,'411'!$D$57,'411'!$D$59,'411'!$D$61,'411'!$D$63,'411'!$D$65:$D$68,'411'!$D$70:$D$74,'411'!$D$76,'411'!$D$78:$D$86,'411'!$D$88,'411'!$D$90,'411'!$D$92:$D$94,'411'!$D$96</definedName>
    <definedName name="OSRRefD22x_0" localSheetId="79">'412'!$D$27:$D$35,'412'!$D$37:$D$46,'412'!$D$48,'412'!$D$50,'412'!$D$52,'412'!$D$54:$D$56,'412'!$D$58,'412'!$D$60,'412'!$D$62,'412'!$D$64:$D$66,'412'!$D$68,'412'!$D$70:$D$72,'412'!$D$74:$D$81,'412'!$D$83,'412'!$D$85,'412'!$D$87</definedName>
    <definedName name="OSRRefD22x_0" localSheetId="81">'413'!$D$27:$D$35,'413'!$D$37:$D$46,'413'!$D$48,'413'!$D$50,'413'!$D$52,'413'!$D$54,'413'!$D$56,'413'!$D$58,'413'!$D$60:$D$62,'413'!$D$64:$D$65,'413'!$D$67:$D$73,'413'!$D$75:$D$76,'413'!$D$78,'413'!$D$80</definedName>
    <definedName name="OSRRefD22x_0" localSheetId="82">'414'!$D$27:$D$35,'414'!$D$37:$D$46,'414'!$D$48,'414'!$D$50,'414'!$D$52,'414'!$D$54:$D$55,'414'!$D$57,'414'!$D$59,'414'!$D$61,'414'!$D$63:$D$64,'414'!$D$66,'414'!$D$68,'414'!$D$70,'414'!$D$72:$D$78,'414'!$D$80,'414'!$D$82</definedName>
    <definedName name="OSRRefD22x_0" localSheetId="83">'415'!$D$26:$D$34,'415'!$D$36:$D$45,'415'!$D$47,'415'!$D$49,'415'!$D$51,'415'!$D$53:$D$55,'415'!$D$57,'415'!$D$59,'415'!$D$61,'415'!$D$63,'415'!$D$65,'415'!$D$67:$D$70,'415'!$D$72:$D$76,'415'!$D$78:$D$79,'415'!$D$81:$D$89,'415'!$D$91,'415'!$D$93,'415'!$D$95:$D$96,'415'!$D$98</definedName>
    <definedName name="OSRRefD22x_0" localSheetId="84">'418'!$D$27:$D$35,'418'!$D$37:$D$46,'418'!$D$48,'418'!$D$50,'418'!$D$52,'418'!$D$54:$D$56,'418'!$D$58,'418'!$D$60,'418'!$D$62,'418'!$D$64,'418'!$D$66:$D$67,'418'!$D$69:$D$71,'418'!$D$73:$D$75,'418'!$D$77:$D$78,'418'!$D$80:$D$87,'418'!$D$89,'418'!$D$91,'418'!$D$93:$D$94</definedName>
    <definedName name="OSRRefD22x_0" localSheetId="80">'420'!$D$24:$D$31,'420'!$D$33:$D$36,'420'!$D$38,'420'!$D$40,'420'!$D$42,'420'!$D$44,'420'!$D$46:$D$47,'420'!$D$49</definedName>
    <definedName name="OSRRefD22x_0" localSheetId="85">'423'!$D$21:$D$29,'423'!$D$31:$D$40,'423'!$D$42,'423'!$D$44,'423'!$D$46,'423'!$D$48,'423'!$D$50</definedName>
    <definedName name="OSRRefD22x_0" localSheetId="86">'424'!$D$27:$D$34,'424'!$D$36:$D$45,'424'!$D$47,'424'!$D$49,'424'!$D$51,'424'!$D$53,'424'!$D$55,'424'!$D$57,'424'!$D$59:$D$60,'424'!$D$62:$D$64,'424'!$D$66,'424'!$D$68:$D$72,'424'!$D$74:$D$75</definedName>
    <definedName name="OSRRefD22x_0" localSheetId="87">'425'!$D$29:$D$38,'425'!$D$40:$D$49,'425'!$D$51,'425'!$D$53,'425'!$D$55,'425'!$D$57:$D$58,'425'!$D$60,'425'!$D$62,'425'!$D$64,'425'!$D$66:$D$68,'425'!$D$70:$D$71,'425'!$D$73:$D$75,'425'!$D$77,'425'!$D$79:$D$85,'425'!$D$87:$D$88,'425'!$D$90,'425'!$D$92</definedName>
    <definedName name="OSRRefD22x_0" localSheetId="90">'430'!$D$20:$D$28,'430'!$D$30:$D$39,'430'!$D$41,'430'!$D$43,'430'!$D$45,'430'!$D$47,'430'!$D$49,'430'!$D$51:$D$54,'430'!$D$56,'430'!$D$58,'430'!$D$60</definedName>
    <definedName name="OSRRefD22x_0" localSheetId="91">'433'!$D$28:$D$37,'433'!$D$39:$D$48,'433'!$D$50,'433'!$D$52,'433'!$D$54,'433'!$D$56,'433'!$D$58,'433'!$D$60,'433'!$D$62,'433'!$D$64,'433'!$D$66:$D$68,'433'!$D$70:$D$73,'433'!$D$75:$D$83,'433'!$D$85,'433'!$D$87,'433'!$D$89:$D$90</definedName>
    <definedName name="OSRRefD22x_0" localSheetId="92">'435'!$D$27:$D$34,'435'!$D$36:$D$45,'435'!$D$47,'435'!$D$49,'435'!$D$51,'435'!$D$53,'435'!$D$55,'435'!$D$57:$D$59,'435'!$D$61</definedName>
    <definedName name="OSRRefD22x_0" localSheetId="93">'444'!$D$27:$D$36,'444'!$D$38:$D$47,'444'!$D$49,'444'!$D$51,'444'!$D$53,'444'!$D$55,'444'!$D$57,'444'!$D$59,'444'!$D$61,'444'!$D$63,'444'!$D$65,'444'!$D$67:$D$69,'444'!$D$71:$D$74,'444'!$D$76:$D$83,'444'!$D$85,'444'!$D$87,'444'!$D$89</definedName>
    <definedName name="OSRRefD22x_0" localSheetId="94">'450'!$D$27:$D$36,'450'!$D$38:$D$47,'450'!$D$49,'450'!$D$51:$D$52,'450'!$D$54,'450'!$D$56,'450'!$D$58,'450'!$D$60,'450'!$D$62,'450'!$D$64,'450'!$D$66,'450'!$D$68,'450'!$D$70:$D$73,'450'!$D$75:$D$77,'450'!$D$79:$D$84,'450'!$D$86,'450'!$D$88,'450'!$D$90:$D$91</definedName>
    <definedName name="OSRRefD22x_0" localSheetId="88">'455'!$D$20:$D$27,'455'!$D$29:$D$38</definedName>
    <definedName name="OSRRefD22x_0" localSheetId="75">'491'!$D$35:$D$44,'491'!$D$46:$D$55,'491'!$D$57,'491'!$D$59,'491'!$D$61,'491'!$D$63:$D$66,'491'!$D$68,'491'!$D$70,'491'!$D$72,'491'!$D$74,'491'!$D$76,'491'!$D$78:$D$79,'491'!$D$81,'491'!$D$83,'491'!$D$85,'491'!$D$87,'491'!$D$89:$D$92,'491'!$D$94:$D$97,'491'!$D$99:$D$103,'491'!$D$105:$D$106,'491'!$D$108:$D$118,'491'!$D$120:$D$121,'491'!$D$123,'491'!$D$125:$D$127,'491'!$D$129</definedName>
    <definedName name="OSRRefD22x_0" localSheetId="89">'492'!$D$30:$D$39,'492'!$D$41:$D$50,'492'!$D$52,'492'!$D$54:$D$55,'492'!$D$57,'492'!$D$59,'492'!$D$61:$D$62,'492'!$D$64,'492'!$D$66,'492'!$D$68,'492'!$D$70,'492'!$D$72,'492'!$D$74,'492'!$D$76:$D$79,'492'!$D$81:$D$84,'492'!$D$86:$D$95,'492'!$D$97,'492'!$D$99,'492'!$D$101:$D$102</definedName>
    <definedName name="OSRRefD22x_0" localSheetId="96">'501'!$D$21:$D$29,'501'!$D$31:$D$40,'501'!$D$42,'501'!$D$44,'501'!$D$46,'501'!$D$48,'501'!$D$50,'501'!$D$52,'501'!$D$54,'501'!$D$56,'501'!$D$58:$D$61,'501'!$D$63,'501'!$D$65:$D$67,'501'!$D$69,'501'!$D$71</definedName>
    <definedName name="OSRRefD22x_0" localSheetId="39">'Div 2'!$D$21:$D$31,'Div 2'!$D$33:$D$42,'Div 2'!$D$44,'Div 2'!$D$46,'Div 2'!$D$48,'Div 2'!$D$50:$D$51,'Div 2'!$D$53:$D$54,'Div 2'!$D$56,'Div 2'!$D$58,'Div 2'!$D$60,'Div 2'!$D$62,'Div 2'!$D$64,'Div 2'!$D$66:$D$68,'Div 2'!$D$70:$D$73,'Div 2'!$D$75:$D$78,'Div 2'!$D$80:$D$81,'Div 2'!$D$83:$D$84,'Div 2'!$D$86:$D$91,'Div 2'!$D$93:$D$94,'Div 2'!$D$96,'Div 2'!$D$98:$D$99</definedName>
    <definedName name="OSRRefD22x_0" localSheetId="47">'Div 3'!$D$176:$D$185,'Div 3'!$D$187:$D$196,'Div 3'!$D$198,'Div 3'!$D$200:$D$201,'Div 3'!$D$203,'Div 3'!$D$205:$D$208,'Div 3'!$D$210:$D$211,'Div 3'!$D$213:$D$214,'Div 3'!$D$216,'Div 3'!$D$218,'Div 3'!$D$220:$D$221,'Div 3'!$D$223,'Div 3'!$D$225,'Div 3'!$D$227,'Div 3'!$D$229:$D$262,'Div 3'!$D$264,'Div 3'!$D$266,'Div 3'!$D$268,'Div 3'!$D$270:$D$273,'Div 3'!$D$275:$D$278,'Div 3'!$D$280:$D$285,'Div 3'!$D$287:$D$288,'Div 3'!$D$290:$D$299,'Div 3'!$D$301:$D$302,'Div 3'!$D$304,'Div 3'!$D$306:$D$308,'Div 3'!$D$310</definedName>
    <definedName name="OSRRefD22x_0" localSheetId="73">'Div 4'!$D$36:$D$45,'Div 4'!$D$47:$D$56,'Div 4'!$D$58,'Div 4'!$D$60:$D$61,'Div 4'!$D$63,'Div 4'!$D$65:$D$68,'Div 4'!$D$70,'Div 4'!$D$72:$D$73,'Div 4'!$D$75,'Div 4'!$D$77,'Div 4'!$D$79,'Div 4'!$D$81:$D$82,'Div 4'!$D$84,'Div 4'!$D$86,'Div 4'!$D$88,'Div 4'!$D$90,'Div 4'!$D$92,'Div 4'!$D$94:$D$97,'Div 4'!$D$99:$D$102,'Div 4'!$D$104:$D$108,'Div 4'!$D$110:$D$111,'Div 4'!$D$113:$D$123,'Div 4'!$D$125:$D$126,'Div 4'!$D$128,'Div 4'!$D$130:$D$132,'Div 4'!$D$134</definedName>
    <definedName name="OSRRefD22x_0" localSheetId="95">'Div 5'!$D$21:$D$29,'Div 5'!$D$31:$D$40,'Div 5'!$D$42,'Div 5'!$D$44,'Div 5'!$D$46,'Div 5'!$D$48,'Div 5'!$D$50,'Div 5'!$D$52,'Div 5'!$D$54,'Div 5'!$D$56,'Div 5'!$D$58:$D$61,'Div 5'!$D$63,'Div 5'!$D$65:$D$67,'Div 5'!$D$69,'Div 5'!$D$71</definedName>
    <definedName name="OSRRefD22x_0" localSheetId="64">'Div 6'!$D$62:$D$71,'Div 6'!$D$73:$D$82,'Div 6'!$D$84,'Div 6'!$D$86,'Div 6'!$D$88,'Div 6'!$D$90,'Div 6'!$D$92,'Div 6'!$D$94,'Div 6'!$D$96:$D$103,'Div 6'!$D$105,'Div 6'!$D$107,'Div 6'!$D$109:$D$110,'Div 6'!$D$112:$D$113,'Div 6'!$D$115,'Div 6'!$D$117</definedName>
    <definedName name="OSRRefD22x_0" localSheetId="2">Summary!$D$210:$D$219,Summary!$D$221:$D$230,Summary!$D$232,Summary!$D$234:$D$235,Summary!$D$237,Summary!$D$239:$D$242,Summary!$D$244:$D$245,Summary!$D$247:$D$249,Summary!$D$251,Summary!$D$253,Summary!$D$255:$D$256,Summary!$D$258:$D$259,Summary!$D$261,Summary!$D$263,Summary!$D$265:$D$301,Summary!$D$303,Summary!$D$305,Summary!$D$307,Summary!$D$309:$D$312,Summary!$D$314:$D$317,Summary!$D$319:$D$324,Summary!$D$326:$D$327,Summary!$D$329:$D$339,Summary!$D$341:$D$342,Summary!$D$344,Summary!$D$346:$D$348,Summary!$D$350</definedName>
    <definedName name="OSRRefD25x_0" localSheetId="48">'300'!$D$300:$D$308</definedName>
    <definedName name="OSRRefD25x_0" localSheetId="49">'300 &amp; 317'!$D$329:$D$340</definedName>
    <definedName name="OSRRefD25x_0" localSheetId="50">'301'!$D$107:$D$110</definedName>
    <definedName name="OSRRefD25x_0" localSheetId="56">'307'!$D$150</definedName>
    <definedName name="OSRRefD25x_0" localSheetId="52">'308'!$D$134:$D$137</definedName>
    <definedName name="OSRRefD25x_0" localSheetId="74">'310 &amp; 491'!$D$143:$D$146</definedName>
    <definedName name="OSRRefD25x_0" localSheetId="53">'311'!$D$134:$D$137</definedName>
    <definedName name="OSRRefD25x_0" localSheetId="59">'315'!$D$125:$D$127</definedName>
    <definedName name="OSRRefD25x_0" localSheetId="62">'316'!$D$89:$D$90</definedName>
    <definedName name="OSRRefD25x_0" localSheetId="65">'317'!$D$120:$D$123</definedName>
    <definedName name="OSRRefD25x_0" localSheetId="63">'320'!$D$71:$D$75</definedName>
    <definedName name="OSRRefD25x_0" localSheetId="55">'330'!$D$166</definedName>
    <definedName name="OSRRefD25x_0" localSheetId="58">'331'!$D$165:$D$167</definedName>
    <definedName name="OSRRefD25x_0" localSheetId="61">'332'!$D$104:$D$110</definedName>
    <definedName name="OSRRefD25x_0" localSheetId="78">'411'!$D$99:$D$100</definedName>
    <definedName name="OSRRefD25x_0" localSheetId="81">'413'!$D$83</definedName>
    <definedName name="OSRRefD25x_0" localSheetId="83">'415'!$D$101</definedName>
    <definedName name="OSRRefD25x_0" localSheetId="85">'423'!$D$53</definedName>
    <definedName name="OSRRefD25x_0" localSheetId="86">'424'!$D$78</definedName>
    <definedName name="OSRRefD25x_0" localSheetId="87">'425'!$D$95</definedName>
    <definedName name="OSRRefD25x_0" localSheetId="88">'455'!$D$41:$D$44</definedName>
    <definedName name="OSRRefD25x_0" localSheetId="75">'491'!$D$132:$D$135</definedName>
    <definedName name="OSRRefD25x_0" localSheetId="96">'501'!$D$74</definedName>
    <definedName name="OSRRefD25x_0" localSheetId="47">'Div 3'!$D$313:$D$321</definedName>
    <definedName name="OSRRefD25x_0" localSheetId="73">'Div 4'!$D$137:$D$140</definedName>
    <definedName name="OSRRefD25x_0" localSheetId="95">'Div 5'!$D$74</definedName>
    <definedName name="OSRRefD25x_0" localSheetId="64">'Div 6'!$D$120:$D$123</definedName>
    <definedName name="OSRRefD25x_0" localSheetId="2">Summary!$D$353:$D$365</definedName>
    <definedName name="OSRRefH13x_0" localSheetId="44">'204'!$H$13</definedName>
    <definedName name="OSRRefH13x_0" localSheetId="48">'300'!$H$13:$H$112</definedName>
    <definedName name="OSRRefH13x_0" localSheetId="49">'300 &amp; 317'!$H$13:$H$130</definedName>
    <definedName name="OSRRefH13x_0" localSheetId="56">'307'!$H$13:$H$50</definedName>
    <definedName name="OSRRefH13x_0" localSheetId="52">'308'!$H$13:$H$42</definedName>
    <definedName name="OSRRefH13x_0" localSheetId="67">'309'!$H$13:$H$15</definedName>
    <definedName name="OSRRefH13x_0" localSheetId="66">'310'!$H$13:$H$24</definedName>
    <definedName name="OSRRefH13x_0" localSheetId="74">'310 &amp; 491'!$H$13:$H$31</definedName>
    <definedName name="OSRRefH13x_0" localSheetId="53">'311'!$H$13:$H$42</definedName>
    <definedName name="OSRRefH13x_0" localSheetId="68">'313'!$H$13:$H$20</definedName>
    <definedName name="OSRRefH13x_0" localSheetId="57">'314'!$H$13:$H$35</definedName>
    <definedName name="OSRRefH13x_0" localSheetId="59">'315'!$H$13:$H$34</definedName>
    <definedName name="OSRRefH13x_0" localSheetId="62">'316'!$H$13:$H$28</definedName>
    <definedName name="OSRRefH13x_0" localSheetId="65">'317'!$H$13:$H$38</definedName>
    <definedName name="OSRRefH13x_0" localSheetId="63">'320'!$H$13:$H$18</definedName>
    <definedName name="OSRRefH13x_0" localSheetId="69">'321'!$H$13:$H$15</definedName>
    <definedName name="OSRRefH13x_0" localSheetId="70">'322'!$H$13:$H$15</definedName>
    <definedName name="OSRRefH13x_0" localSheetId="54">'324'!$H$13:$H$15</definedName>
    <definedName name="OSRRefH13x_0" localSheetId="71">'325'!$H$13:$H$15</definedName>
    <definedName name="OSRRefH13x_0" localSheetId="60">'326'!$H$13:$H$33</definedName>
    <definedName name="OSRRefH13x_0" localSheetId="72">'327'!$H$13:$H$14</definedName>
    <definedName name="OSRRefH13x_0" localSheetId="55">'330'!$H$13:$H$55</definedName>
    <definedName name="OSRRefH13x_0" localSheetId="58">'331'!$H$13:$H$42</definedName>
    <definedName name="OSRRefH13x_0" localSheetId="61">'332'!$H$13:$H$32</definedName>
    <definedName name="OSRRefH13x_0" localSheetId="76">'405'!$H$13:$H$15</definedName>
    <definedName name="OSRRefH13x_0" localSheetId="77">'406'!$H$13:$H$16</definedName>
    <definedName name="OSRRefH13x_0" localSheetId="79">'412'!$H$13:$H$16</definedName>
    <definedName name="OSRRefH13x_0" localSheetId="81">'413'!$H$13:$H$16</definedName>
    <definedName name="OSRRefH13x_0" localSheetId="82">'414'!$H$13:$H$16</definedName>
    <definedName name="OSRRefH13x_0" localSheetId="83">'415'!$H$13:$H$15</definedName>
    <definedName name="OSRRefH13x_0" localSheetId="84">'418'!$H$13:$H$16</definedName>
    <definedName name="OSRRefH13x_0" localSheetId="80">'420'!$H$13:$H$14</definedName>
    <definedName name="OSRRefH13x_0" localSheetId="86">'424'!$H$13:$H$16</definedName>
    <definedName name="OSRRefH13x_0" localSheetId="87">'425'!$H$13:$H$18</definedName>
    <definedName name="OSRRefH13x_0" localSheetId="91">'433'!$H$13:$H$17</definedName>
    <definedName name="OSRRefH13x_0" localSheetId="92">'435'!$H$13:$H$16</definedName>
    <definedName name="OSRRefH13x_0" localSheetId="93">'444'!$H$13:$H$16</definedName>
    <definedName name="OSRRefH13x_0" localSheetId="94">'450'!$H$13:$H$16</definedName>
    <definedName name="OSRRefH13x_0" localSheetId="75">'491'!$H$13:$H$24</definedName>
    <definedName name="OSRRefH13x_0" localSheetId="89">'492'!$H$13:$H$19</definedName>
    <definedName name="OSRRefH13x_0" localSheetId="96">'501'!$H$13</definedName>
    <definedName name="OSRRefH13x_0" localSheetId="39">'Div 2'!$H$13</definedName>
    <definedName name="OSRRefH13x_0" localSheetId="47">'Div 3'!$H$13:$H$115</definedName>
    <definedName name="OSRRefH13x_0" localSheetId="73">'Div 4'!$H$13:$H$25</definedName>
    <definedName name="OSRRefH13x_0" localSheetId="95">'Div 5'!$H$13</definedName>
    <definedName name="OSRRefH13x_0" localSheetId="64">'Div 6'!$H$13:$H$38</definedName>
    <definedName name="OSRRefH13x_0" localSheetId="2">Summary!$H$13:$H$141</definedName>
    <definedName name="OSRRefH16x_0" localSheetId="48">'300'!$H$115:$H$165</definedName>
    <definedName name="OSRRefH16x_0" localSheetId="49">'300 &amp; 317'!$H$133:$H$191</definedName>
    <definedName name="OSRRefH16x_0" localSheetId="56">'307'!$H$53:$H$73</definedName>
    <definedName name="OSRRefH16x_0" localSheetId="52">'308'!$H$45:$H$61</definedName>
    <definedName name="OSRRefH16x_0" localSheetId="67">'309'!$H$18:$H$20</definedName>
    <definedName name="OSRRefH16x_0" localSheetId="66">'310'!$H$27:$H$29</definedName>
    <definedName name="OSRRefH16x_0" localSheetId="74">'310 &amp; 491'!$H$34:$H$36</definedName>
    <definedName name="OSRRefH16x_0" localSheetId="53">'311'!$H$45:$H$61</definedName>
    <definedName name="OSRRefH16x_0" localSheetId="68">'313'!$H$23:$H$25</definedName>
    <definedName name="OSRRefH16x_0" localSheetId="57">'314'!$H$38:$H$53</definedName>
    <definedName name="OSRRefH16x_0" localSheetId="59">'315'!$H$37:$H$52</definedName>
    <definedName name="OSRRefH16x_0" localSheetId="65">'317'!$H$41:$H$56</definedName>
    <definedName name="OSRRefH16x_0" localSheetId="63">'320'!$H$21:$H$26</definedName>
    <definedName name="OSRRefH16x_0" localSheetId="69">'321'!$H$18:$H$20</definedName>
    <definedName name="OSRRefH16x_0" localSheetId="70">'322'!$H$18:$H$20</definedName>
    <definedName name="OSRRefH16x_0" localSheetId="54">'324'!$H$18:$H$20</definedName>
    <definedName name="OSRRefH16x_0" localSheetId="71">'325'!$H$18:$H$20</definedName>
    <definedName name="OSRRefH16x_0" localSheetId="60">'326'!$H$36:$H$52</definedName>
    <definedName name="OSRRefH16x_0" localSheetId="72">'327'!$H$17:$H$18</definedName>
    <definedName name="OSRRefH16x_0" localSheetId="55">'330'!$H$58:$H$81</definedName>
    <definedName name="OSRRefH16x_0" localSheetId="58">'331'!$H$45:$H$67</definedName>
    <definedName name="OSRRefH16x_0" localSheetId="61">'332'!$H$35:$H$40</definedName>
    <definedName name="OSRRefH16x_0" localSheetId="76">'405'!$H$18:$H$20</definedName>
    <definedName name="OSRRefH16x_0" localSheetId="77">'406'!$H$19:$H$21</definedName>
    <definedName name="OSRRefH16x_0" localSheetId="79">'412'!$H$19:$H$21</definedName>
    <definedName name="OSRRefH16x_0" localSheetId="81">'413'!$H$19:$H$21</definedName>
    <definedName name="OSRRefH16x_0" localSheetId="82">'414'!$H$19:$H$21</definedName>
    <definedName name="OSRRefH16x_0" localSheetId="83">'415'!$H$18:$H$20</definedName>
    <definedName name="OSRRefH16x_0" localSheetId="84">'418'!$H$19:$H$21</definedName>
    <definedName name="OSRRefH16x_0" localSheetId="80">'420'!$H$17:$H$18</definedName>
    <definedName name="OSRRefH16x_0" localSheetId="85">'423'!$H$15</definedName>
    <definedName name="OSRRefH16x_0" localSheetId="86">'424'!$H$19:$H$21</definedName>
    <definedName name="OSRRefH16x_0" localSheetId="87">'425'!$H$21:$H$23</definedName>
    <definedName name="OSRRefH16x_0" localSheetId="91">'433'!$H$20:$H$22</definedName>
    <definedName name="OSRRefH16x_0" localSheetId="92">'435'!$H$19:$H$21</definedName>
    <definedName name="OSRRefH16x_0" localSheetId="93">'444'!$H$19:$H$21</definedName>
    <definedName name="OSRRefH16x_0" localSheetId="94">'450'!$H$19:$H$21</definedName>
    <definedName name="OSRRefH16x_0" localSheetId="75">'491'!$H$27:$H$29</definedName>
    <definedName name="OSRRefH16x_0" localSheetId="89">'492'!$H$22:$H$24</definedName>
    <definedName name="OSRRefH16x_0" localSheetId="47">'Div 3'!$H$118:$H$170</definedName>
    <definedName name="OSRRefH16x_0" localSheetId="73">'Div 4'!$H$28:$H$30</definedName>
    <definedName name="OSRRefH16x_0" localSheetId="64">'Div 6'!$H$41:$H$56</definedName>
    <definedName name="OSRRefH16x_0" localSheetId="2">Summary!$H$144:$H$204</definedName>
    <definedName name="OSRRefH22_0x_0" localSheetId="40">'200'!$H$20:$H$21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'204'!$H$21:$H$30</definedName>
    <definedName name="OSRRefH22_0x_0" localSheetId="45">'205'!$H$20:$H$28</definedName>
    <definedName name="OSRRefH22_0x_0" localSheetId="46">'206'!$H$20:$H$28</definedName>
    <definedName name="OSRRefH22_0x_0" localSheetId="48">'300'!$H$171:$H$180</definedName>
    <definedName name="OSRRefH22_0x_0" localSheetId="49">'300 &amp; 317'!$H$197:$H$206</definedName>
    <definedName name="OSRRefH22_0x_0" localSheetId="50">'301'!$H$20:$H$28</definedName>
    <definedName name="OSRRefH22_0x_0" localSheetId="51">'306'!$H$20:$H$28</definedName>
    <definedName name="OSRRefH22_0x_0" localSheetId="56">'307'!$H$79:$H$87</definedName>
    <definedName name="OSRRefH22_0x_0" localSheetId="52">'308'!$H$67:$H$76</definedName>
    <definedName name="OSRRefH22_0x_0" localSheetId="67">'309'!$H$26:$H$34</definedName>
    <definedName name="OSRRefH22_0x_0" localSheetId="66">'310'!$H$35:$H$43</definedName>
    <definedName name="OSRRefH22_0x_0" localSheetId="74">'310 &amp; 491'!$H$42:$H$51</definedName>
    <definedName name="OSRRefH22_0x_0" localSheetId="53">'311'!$H$67:$H$76</definedName>
    <definedName name="OSRRefH22_0x_0" localSheetId="68">'313'!$H$31:$H$39</definedName>
    <definedName name="OSRRefH22_0x_0" localSheetId="57">'314'!$H$59:$H$68</definedName>
    <definedName name="OSRRefH22_0x_0" localSheetId="59">'315'!$H$58:$H$66</definedName>
    <definedName name="OSRRefH22_0x_0" localSheetId="62">'316'!$H$36:$H$44</definedName>
    <definedName name="OSRRefH22_0x_0" localSheetId="65">'317'!$H$62:$H$71</definedName>
    <definedName name="OSRRefH22_0x_0" localSheetId="63">'320'!$H$32:$H$39</definedName>
    <definedName name="OSRRefH22_0x_0" localSheetId="69">'321'!$H$26:$H$33</definedName>
    <definedName name="OSRRefH22_0x_0" localSheetId="70">'322'!$H$26:$H$34</definedName>
    <definedName name="OSRRefH22_0x_0" localSheetId="71">'325'!$H$26:$H$34</definedName>
    <definedName name="OSRRefH22_0x_0" localSheetId="60">'326'!$H$58:$H$66</definedName>
    <definedName name="OSRRefH22_0x_0" localSheetId="72">'327'!$H$24</definedName>
    <definedName name="OSRRefH22_0x_0" localSheetId="55">'330'!$H$87:$H$96</definedName>
    <definedName name="OSRRefH22_0x_0" localSheetId="58">'331'!$H$73:$H$81</definedName>
    <definedName name="OSRRefH22_0x_0" localSheetId="61">'332'!$H$46:$H$54</definedName>
    <definedName name="OSRRefH22_0x_0" localSheetId="76">'405'!$H$26:$H$34</definedName>
    <definedName name="OSRRefH22_0x_0" localSheetId="77">'406'!$H$27:$H$35</definedName>
    <definedName name="OSRRefH22_0x_0" localSheetId="78">'411'!$H$20:$H$29</definedName>
    <definedName name="OSRRefH22_0x_0" localSheetId="79">'412'!$H$27:$H$35</definedName>
    <definedName name="OSRRefH22_0x_0" localSheetId="81">'413'!$H$27:$H$35</definedName>
    <definedName name="OSRRefH22_0x_0" localSheetId="82">'414'!$H$27:$H$35</definedName>
    <definedName name="OSRRefH22_0x_0" localSheetId="83">'415'!$H$26:$H$34</definedName>
    <definedName name="OSRRefH22_0x_0" localSheetId="84">'418'!$H$27:$H$35</definedName>
    <definedName name="OSRRefH22_0x_0" localSheetId="80">'420'!$H$24:$H$31</definedName>
    <definedName name="OSRRefH22_0x_0" localSheetId="85">'423'!$H$21:$H$29</definedName>
    <definedName name="OSRRefH22_0x_0" localSheetId="86">'424'!$H$27:$H$34</definedName>
    <definedName name="OSRRefH22_0x_0" localSheetId="87">'425'!$H$29:$H$38</definedName>
    <definedName name="OSRRefH22_0x_0" localSheetId="90">'430'!$H$20:$H$28</definedName>
    <definedName name="OSRRefH22_0x_0" localSheetId="91">'433'!$H$28:$H$37</definedName>
    <definedName name="OSRRefH22_0x_0" localSheetId="92">'435'!$H$27:$H$34</definedName>
    <definedName name="OSRRefH22_0x_0" localSheetId="93">'444'!$H$27:$H$36</definedName>
    <definedName name="OSRRefH22_0x_0" localSheetId="94">'450'!$H$27:$H$36</definedName>
    <definedName name="OSRRefH22_0x_0" localSheetId="88">'455'!$H$20:$H$27</definedName>
    <definedName name="OSRRefH22_0x_0" localSheetId="75">'491'!$H$35:$H$44</definedName>
    <definedName name="OSRRefH22_0x_0" localSheetId="89">'492'!$H$30:$H$39</definedName>
    <definedName name="OSRRefH22_0x_0" localSheetId="96">'501'!$H$21:$H$29</definedName>
    <definedName name="OSRRefH22_0x_0" localSheetId="39">'Div 2'!$H$21:$H$31</definedName>
    <definedName name="OSRRefH22_0x_0" localSheetId="47">'Div 3'!$H$176:$H$185</definedName>
    <definedName name="OSRRefH22_0x_0" localSheetId="73">'Div 4'!$H$36:$H$45</definedName>
    <definedName name="OSRRefH22_0x_0" localSheetId="95">'Div 5'!$H$21:$H$29</definedName>
    <definedName name="OSRRefH22_0x_0" localSheetId="64">'Div 6'!$H$62:$H$71</definedName>
    <definedName name="OSRRefH22_0x_0" localSheetId="2">Summary!$H$210:$H$219</definedName>
    <definedName name="OSRRefH22_10x_0" localSheetId="41">'201'!$H$58:$H$60</definedName>
    <definedName name="OSRRefH22_10x_0" localSheetId="42">'202'!$H$59</definedName>
    <definedName name="OSRRefH22_10x_0" localSheetId="43">'203'!$H$60:$H$61</definedName>
    <definedName name="OSRRefH22_10x_0" localSheetId="44">'204'!$H$64:$H$65</definedName>
    <definedName name="OSRRefH22_10x_0" localSheetId="46">'206'!$H$58</definedName>
    <definedName name="OSRRefH22_10x_0" localSheetId="48">'300'!$H$215:$H$216</definedName>
    <definedName name="OSRRefH22_10x_0" localSheetId="49">'300 &amp; 317'!$H$241:$H$242</definedName>
    <definedName name="OSRRefH22_10x_0" localSheetId="50">'301'!$H$63</definedName>
    <definedName name="OSRRefH22_10x_0" localSheetId="51">'306'!$H$61</definedName>
    <definedName name="OSRRefH22_10x_0" localSheetId="56">'307'!$H$138:$H$139</definedName>
    <definedName name="OSRRefH22_10x_0" localSheetId="52">'308'!$H$118:$H$119</definedName>
    <definedName name="OSRRefH22_10x_0" localSheetId="67">'309'!$H$65:$H$67</definedName>
    <definedName name="OSRRefH22_10x_0" localSheetId="66">'310'!$H$74</definedName>
    <definedName name="OSRRefH22_10x_0" localSheetId="74">'310 &amp; 491'!$H$83:$H$84</definedName>
    <definedName name="OSRRefH22_10x_0" localSheetId="53">'311'!$H$118:$H$119</definedName>
    <definedName name="OSRRefH22_10x_0" localSheetId="68">'313'!$H$68:$H$70</definedName>
    <definedName name="OSRRefH22_10x_0" localSheetId="57">'314'!$H$108</definedName>
    <definedName name="OSRRefH22_10x_0" localSheetId="59">'315'!$H$104:$H$106</definedName>
    <definedName name="OSRRefH22_10x_0" localSheetId="62">'316'!$H$74:$H$75</definedName>
    <definedName name="OSRRefH22_10x_0" localSheetId="65">'317'!$H$107</definedName>
    <definedName name="OSRRefH22_10x_0" localSheetId="69">'321'!$H$64:$H$65</definedName>
    <definedName name="OSRRefH22_10x_0" localSheetId="70">'322'!$H$66:$H$68</definedName>
    <definedName name="OSRRefH22_10x_0" localSheetId="71">'325'!$H$65</definedName>
    <definedName name="OSRRefH22_10x_0" localSheetId="60">'326'!$H$96:$H$108</definedName>
    <definedName name="OSRRefH22_10x_0" localSheetId="55">'330'!$H$147:$H$148</definedName>
    <definedName name="OSRRefH22_10x_0" localSheetId="58">'331'!$H$113</definedName>
    <definedName name="OSRRefH22_10x_0" localSheetId="61">'332'!$H$86:$H$87</definedName>
    <definedName name="OSRRefH22_10x_0" localSheetId="76">'405'!$H$65</definedName>
    <definedName name="OSRRefH22_10x_0" localSheetId="77">'406'!$H$67:$H$69</definedName>
    <definedName name="OSRRefH22_10x_0" localSheetId="78">'411'!$H$61</definedName>
    <definedName name="OSRRefH22_10x_0" localSheetId="79">'412'!$H$68</definedName>
    <definedName name="OSRRefH22_10x_0" localSheetId="81">'413'!$H$67:$H$73</definedName>
    <definedName name="OSRRefH22_10x_0" localSheetId="82">'414'!$H$66</definedName>
    <definedName name="OSRRefH22_10x_0" localSheetId="83">'415'!$H$65</definedName>
    <definedName name="OSRRefH22_10x_0" localSheetId="84">'418'!$H$66:$H$67</definedName>
    <definedName name="OSRRefH22_10x_0" localSheetId="86">'424'!$H$66</definedName>
    <definedName name="OSRRefH22_10x_0" localSheetId="87">'425'!$H$70:$H$71</definedName>
    <definedName name="OSRRefH22_10x_0" localSheetId="90">'430'!$H$60</definedName>
    <definedName name="OSRRefH22_10x_0" localSheetId="91">'433'!$H$66:$H$68</definedName>
    <definedName name="OSRRefH22_10x_0" localSheetId="93">'444'!$H$65</definedName>
    <definedName name="OSRRefH22_10x_0" localSheetId="94">'450'!$H$66</definedName>
    <definedName name="OSRRefH22_10x_0" localSheetId="75">'491'!$H$76</definedName>
    <definedName name="OSRRefH22_10x_0" localSheetId="89">'492'!$H$70</definedName>
    <definedName name="OSRRefH22_10x_0" localSheetId="96">'501'!$H$58:$H$61</definedName>
    <definedName name="OSRRefH22_10x_0" localSheetId="39">'Div 2'!$H$62</definedName>
    <definedName name="OSRRefH22_10x_0" localSheetId="47">'Div 3'!$H$220:$H$221</definedName>
    <definedName name="OSRRefH22_10x_0" localSheetId="73">'Div 4'!$H$79</definedName>
    <definedName name="OSRRefH22_10x_0" localSheetId="95">'Div 5'!$H$58:$H$61</definedName>
    <definedName name="OSRRefH22_10x_0" localSheetId="64">'Div 6'!$H$107</definedName>
    <definedName name="OSRRefH22_10x_0" localSheetId="2">Summary!$H$255:$H$256</definedName>
    <definedName name="OSRRefH22_11x_0" localSheetId="41">'201'!$H$62:$H$64</definedName>
    <definedName name="OSRRefH22_11x_0" localSheetId="42">'202'!$H$61:$H$63</definedName>
    <definedName name="OSRRefH22_11x_0" localSheetId="43">'203'!$H$63</definedName>
    <definedName name="OSRRefH22_11x_0" localSheetId="44">'204'!$H$67</definedName>
    <definedName name="OSRRefH22_11x_0" localSheetId="48">'300'!$H$218</definedName>
    <definedName name="OSRRefH22_11x_0" localSheetId="49">'300 &amp; 317'!$H$244</definedName>
    <definedName name="OSRRefH22_11x_0" localSheetId="50">'301'!$H$65</definedName>
    <definedName name="OSRRefH22_11x_0" localSheetId="56">'307'!$H$141:$H$143</definedName>
    <definedName name="OSRRefH22_11x_0" localSheetId="52">'308'!$H$121:$H$123</definedName>
    <definedName name="OSRRefH22_11x_0" localSheetId="67">'309'!$H$69:$H$71</definedName>
    <definedName name="OSRRefH22_11x_0" localSheetId="66">'310'!$H$76</definedName>
    <definedName name="OSRRefH22_11x_0" localSheetId="74">'310 &amp; 491'!$H$86:$H$87</definedName>
    <definedName name="OSRRefH22_11x_0" localSheetId="53">'311'!$H$121:$H$123</definedName>
    <definedName name="OSRRefH22_11x_0" localSheetId="68">'313'!$H$72</definedName>
    <definedName name="OSRRefH22_11x_0" localSheetId="57">'314'!$H$110</definedName>
    <definedName name="OSRRefH22_11x_0" localSheetId="59">'315'!$H$108:$H$109</definedName>
    <definedName name="OSRRefH22_11x_0" localSheetId="62">'316'!$H$77:$H$81</definedName>
    <definedName name="OSRRefH22_11x_0" localSheetId="65">'317'!$H$109:$H$110</definedName>
    <definedName name="OSRRefH22_11x_0" localSheetId="69">'321'!$H$67:$H$69</definedName>
    <definedName name="OSRRefH22_11x_0" localSheetId="70">'322'!$H$70:$H$76</definedName>
    <definedName name="OSRRefH22_11x_0" localSheetId="71">'325'!$H$67:$H$69</definedName>
    <definedName name="OSRRefH22_11x_0" localSheetId="60">'326'!$H$110</definedName>
    <definedName name="OSRRefH22_11x_0" localSheetId="55">'330'!$H$150:$H$151</definedName>
    <definedName name="OSRRefH22_11x_0" localSheetId="58">'331'!$H$115:$H$127</definedName>
    <definedName name="OSRRefH22_11x_0" localSheetId="61">'332'!$H$89:$H$90</definedName>
    <definedName name="OSRRefH22_11x_0" localSheetId="76">'405'!$H$67:$H$69</definedName>
    <definedName name="OSRRefH22_11x_0" localSheetId="77">'406'!$H$71:$H$76</definedName>
    <definedName name="OSRRefH22_11x_0" localSheetId="78">'411'!$H$63</definedName>
    <definedName name="OSRRefH22_11x_0" localSheetId="79">'412'!$H$70:$H$72</definedName>
    <definedName name="OSRRefH22_11x_0" localSheetId="81">'413'!$H$75:$H$76</definedName>
    <definedName name="OSRRefH22_11x_0" localSheetId="82">'414'!$H$68</definedName>
    <definedName name="OSRRefH22_11x_0" localSheetId="83">'415'!$H$67:$H$70</definedName>
    <definedName name="OSRRefH22_11x_0" localSheetId="84">'418'!$H$69:$H$71</definedName>
    <definedName name="OSRRefH22_11x_0" localSheetId="86">'424'!$H$68:$H$72</definedName>
    <definedName name="OSRRefH22_11x_0" localSheetId="87">'425'!$H$73:$H$75</definedName>
    <definedName name="OSRRefH22_11x_0" localSheetId="91">'433'!$H$70:$H$73</definedName>
    <definedName name="OSRRefH22_11x_0" localSheetId="93">'444'!$H$67:$H$69</definedName>
    <definedName name="OSRRefH22_11x_0" localSheetId="94">'450'!$H$68</definedName>
    <definedName name="OSRRefH22_11x_0" localSheetId="75">'491'!$H$78:$H$79</definedName>
    <definedName name="OSRRefH22_11x_0" localSheetId="89">'492'!$H$72</definedName>
    <definedName name="OSRRefH22_11x_0" localSheetId="96">'501'!$H$63</definedName>
    <definedName name="OSRRefH22_11x_0" localSheetId="39">'Div 2'!$H$64</definedName>
    <definedName name="OSRRefH22_11x_0" localSheetId="47">'Div 3'!$H$223</definedName>
    <definedName name="OSRRefH22_11x_0" localSheetId="73">'Div 4'!$H$81:$H$82</definedName>
    <definedName name="OSRRefH22_11x_0" localSheetId="95">'Div 5'!$H$63</definedName>
    <definedName name="OSRRefH22_11x_0" localSheetId="64">'Div 6'!$H$109:$H$110</definedName>
    <definedName name="OSRRefH22_11x_0" localSheetId="2">Summary!$H$258:$H$259</definedName>
    <definedName name="OSRRefH22_12x_0" localSheetId="41">'201'!$H$66</definedName>
    <definedName name="OSRRefH22_12x_0" localSheetId="42">'202'!$H$65</definedName>
    <definedName name="OSRRefH22_12x_0" localSheetId="43">'203'!$H$65:$H$68</definedName>
    <definedName name="OSRRefH22_12x_0" localSheetId="44">'204'!$H$69:$H$70</definedName>
    <definedName name="OSRRefH22_12x_0" localSheetId="48">'300'!$H$220</definedName>
    <definedName name="OSRRefH22_12x_0" localSheetId="49">'300 &amp; 317'!$H$246</definedName>
    <definedName name="OSRRefH22_12x_0" localSheetId="50">'301'!$H$67</definedName>
    <definedName name="OSRRefH22_12x_0" localSheetId="56">'307'!$H$145</definedName>
    <definedName name="OSRRefH22_12x_0" localSheetId="52">'308'!$H$125:$H$126</definedName>
    <definedName name="OSRRefH22_12x_0" localSheetId="67">'309'!$H$73</definedName>
    <definedName name="OSRRefH22_12x_0" localSheetId="66">'310'!$H$78</definedName>
    <definedName name="OSRRefH22_12x_0" localSheetId="74">'310 &amp; 491'!$H$89</definedName>
    <definedName name="OSRRefH22_12x_0" localSheetId="53">'311'!$H$125:$H$126</definedName>
    <definedName name="OSRRefH22_12x_0" localSheetId="68">'313'!$H$74:$H$79</definedName>
    <definedName name="OSRRefH22_12x_0" localSheetId="59">'315'!$H$111:$H$115</definedName>
    <definedName name="OSRRefH22_12x_0" localSheetId="62">'316'!$H$83:$H$84</definedName>
    <definedName name="OSRRefH22_12x_0" localSheetId="65">'317'!$H$112:$H$113</definedName>
    <definedName name="OSRRefH22_12x_0" localSheetId="69">'321'!$H$71:$H$74</definedName>
    <definedName name="OSRRefH22_12x_0" localSheetId="70">'322'!$H$78</definedName>
    <definedName name="OSRRefH22_12x_0" localSheetId="71">'325'!$H$71:$H$75</definedName>
    <definedName name="OSRRefH22_12x_0" localSheetId="60">'326'!$H$112</definedName>
    <definedName name="OSRRefH22_12x_0" localSheetId="55">'330'!$H$153</definedName>
    <definedName name="OSRRefH22_12x_0" localSheetId="58">'331'!$H$129</definedName>
    <definedName name="OSRRefH22_12x_0" localSheetId="61">'332'!$H$92:$H$96</definedName>
    <definedName name="OSRRefH22_12x_0" localSheetId="76">'405'!$H$71</definedName>
    <definedName name="OSRRefH22_12x_0" localSheetId="77">'406'!$H$78:$H$79</definedName>
    <definedName name="OSRRefH22_12x_0" localSheetId="78">'411'!$H$65:$H$68</definedName>
    <definedName name="OSRRefH22_12x_0" localSheetId="79">'412'!$H$74:$H$81</definedName>
    <definedName name="OSRRefH22_12x_0" localSheetId="81">'413'!$H$78</definedName>
    <definedName name="OSRRefH22_12x_0" localSheetId="82">'414'!$H$70</definedName>
    <definedName name="OSRRefH22_12x_0" localSheetId="83">'415'!$H$72:$H$76</definedName>
    <definedName name="OSRRefH22_12x_0" localSheetId="84">'418'!$H$73:$H$75</definedName>
    <definedName name="OSRRefH22_12x_0" localSheetId="86">'424'!$H$74:$H$75</definedName>
    <definedName name="OSRRefH22_12x_0" localSheetId="87">'425'!$H$77</definedName>
    <definedName name="OSRRefH22_12x_0" localSheetId="91">'433'!$H$75:$H$83</definedName>
    <definedName name="OSRRefH22_12x_0" localSheetId="93">'444'!$H$71:$H$74</definedName>
    <definedName name="OSRRefH22_12x_0" localSheetId="94">'450'!$H$70:$H$73</definedName>
    <definedName name="OSRRefH22_12x_0" localSheetId="75">'491'!$H$81</definedName>
    <definedName name="OSRRefH22_12x_0" localSheetId="89">'492'!$H$74</definedName>
    <definedName name="OSRRefH22_12x_0" localSheetId="96">'501'!$H$65:$H$67</definedName>
    <definedName name="OSRRefH22_12x_0" localSheetId="39">'Div 2'!$H$66:$H$68</definedName>
    <definedName name="OSRRefH22_12x_0" localSheetId="47">'Div 3'!$H$225</definedName>
    <definedName name="OSRRefH22_12x_0" localSheetId="73">'Div 4'!$H$84</definedName>
    <definedName name="OSRRefH22_12x_0" localSheetId="95">'Div 5'!$H$65:$H$67</definedName>
    <definedName name="OSRRefH22_12x_0" localSheetId="64">'Div 6'!$H$112:$H$113</definedName>
    <definedName name="OSRRefH22_12x_0" localSheetId="2">Summary!$H$261</definedName>
    <definedName name="OSRRefH22_13x_0" localSheetId="41">'201'!$H$68:$H$71</definedName>
    <definedName name="OSRRefH22_13x_0" localSheetId="42">'202'!$H$67</definedName>
    <definedName name="OSRRefH22_13x_0" localSheetId="43">'203'!$H$70</definedName>
    <definedName name="OSRRefH22_13x_0" localSheetId="48">'300'!$H$222:$H$255</definedName>
    <definedName name="OSRRefH22_13x_0" localSheetId="49">'300 &amp; 317'!$H$248:$H$284</definedName>
    <definedName name="OSRRefH22_13x_0" localSheetId="50">'301'!$H$69:$H$70</definedName>
    <definedName name="OSRRefH22_13x_0" localSheetId="56">'307'!$H$147</definedName>
    <definedName name="OSRRefH22_13x_0" localSheetId="52">'308'!$H$128</definedName>
    <definedName name="OSRRefH22_13x_0" localSheetId="67">'309'!$H$75</definedName>
    <definedName name="OSRRefH22_13x_0" localSheetId="66">'310'!$H$80</definedName>
    <definedName name="OSRRefH22_13x_0" localSheetId="74">'310 &amp; 491'!$H$91</definedName>
    <definedName name="OSRRefH22_13x_0" localSheetId="53">'311'!$H$128</definedName>
    <definedName name="OSRRefH22_13x_0" localSheetId="68">'313'!$H$81</definedName>
    <definedName name="OSRRefH22_13x_0" localSheetId="59">'315'!$H$117</definedName>
    <definedName name="OSRRefH22_13x_0" localSheetId="62">'316'!$H$86</definedName>
    <definedName name="OSRRefH22_13x_0" localSheetId="65">'317'!$H$115</definedName>
    <definedName name="OSRRefH22_13x_0" localSheetId="69">'321'!$H$76</definedName>
    <definedName name="OSRRefH22_13x_0" localSheetId="70">'322'!$H$80</definedName>
    <definedName name="OSRRefH22_13x_0" localSheetId="71">'325'!$H$77</definedName>
    <definedName name="OSRRefH22_13x_0" localSheetId="60">'326'!$H$114:$H$115</definedName>
    <definedName name="OSRRefH22_13x_0" localSheetId="55">'330'!$H$155:$H$157</definedName>
    <definedName name="OSRRefH22_13x_0" localSheetId="58">'331'!$H$131</definedName>
    <definedName name="OSRRefH22_13x_0" localSheetId="61">'332'!$H$98:$H$99</definedName>
    <definedName name="OSRRefH22_13x_0" localSheetId="76">'405'!$H$73:$H$75</definedName>
    <definedName name="OSRRefH22_13x_0" localSheetId="77">'406'!$H$81</definedName>
    <definedName name="OSRRefH22_13x_0" localSheetId="78">'411'!$H$70:$H$74</definedName>
    <definedName name="OSRRefH22_13x_0" localSheetId="79">'412'!$H$83</definedName>
    <definedName name="OSRRefH22_13x_0" localSheetId="81">'413'!$H$80</definedName>
    <definedName name="OSRRefH22_13x_0" localSheetId="82">'414'!$H$72:$H$78</definedName>
    <definedName name="OSRRefH22_13x_0" localSheetId="83">'415'!$H$78:$H$79</definedName>
    <definedName name="OSRRefH22_13x_0" localSheetId="84">'418'!$H$77:$H$78</definedName>
    <definedName name="OSRRefH22_13x_0" localSheetId="87">'425'!$H$79:$H$85</definedName>
    <definedName name="OSRRefH22_13x_0" localSheetId="91">'433'!$H$85</definedName>
    <definedName name="OSRRefH22_13x_0" localSheetId="93">'444'!$H$76:$H$83</definedName>
    <definedName name="OSRRefH22_13x_0" localSheetId="94">'450'!$H$75:$H$77</definedName>
    <definedName name="OSRRefH22_13x_0" localSheetId="75">'491'!$H$83</definedName>
    <definedName name="OSRRefH22_13x_0" localSheetId="89">'492'!$H$76:$H$79</definedName>
    <definedName name="OSRRefH22_13x_0" localSheetId="96">'501'!$H$69</definedName>
    <definedName name="OSRRefH22_13x_0" localSheetId="39">'Div 2'!$H$70:$H$73</definedName>
    <definedName name="OSRRefH22_13x_0" localSheetId="47">'Div 3'!$H$227</definedName>
    <definedName name="OSRRefH22_13x_0" localSheetId="73">'Div 4'!$H$86</definedName>
    <definedName name="OSRRefH22_13x_0" localSheetId="95">'Div 5'!$H$69</definedName>
    <definedName name="OSRRefH22_13x_0" localSheetId="64">'Div 6'!$H$115</definedName>
    <definedName name="OSRRefH22_13x_0" localSheetId="2">Summary!$H$263</definedName>
    <definedName name="OSRRefH22_14x_0" localSheetId="41">'201'!$H$73</definedName>
    <definedName name="OSRRefH22_14x_0" localSheetId="42">'202'!$H$69:$H$70</definedName>
    <definedName name="OSRRefH22_14x_0" localSheetId="43">'203'!$H$72</definedName>
    <definedName name="OSRRefH22_14x_0" localSheetId="48">'300'!$H$257</definedName>
    <definedName name="OSRRefH22_14x_0" localSheetId="49">'300 &amp; 317'!$H$286</definedName>
    <definedName name="OSRRefH22_14x_0" localSheetId="50">'301'!$H$72</definedName>
    <definedName name="OSRRefH22_14x_0" localSheetId="52">'308'!$H$130:$H$131</definedName>
    <definedName name="OSRRefH22_14x_0" localSheetId="66">'310'!$H$82</definedName>
    <definedName name="OSRRefH22_14x_0" localSheetId="74">'310 &amp; 491'!$H$93</definedName>
    <definedName name="OSRRefH22_14x_0" localSheetId="53">'311'!$H$130:$H$131</definedName>
    <definedName name="OSRRefH22_14x_0" localSheetId="68">'313'!$H$83</definedName>
    <definedName name="OSRRefH22_14x_0" localSheetId="59">'315'!$H$119</definedName>
    <definedName name="OSRRefH22_14x_0" localSheetId="65">'317'!$H$117</definedName>
    <definedName name="OSRRefH22_14x_0" localSheetId="69">'321'!$H$78</definedName>
    <definedName name="OSRRefH22_14x_0" localSheetId="70">'322'!$H$82</definedName>
    <definedName name="OSRRefH22_14x_0" localSheetId="71">'325'!$H$79:$H$85</definedName>
    <definedName name="OSRRefH22_14x_0" localSheetId="60">'326'!$H$117:$H$119</definedName>
    <definedName name="OSRRefH22_14x_0" localSheetId="55">'330'!$H$159</definedName>
    <definedName name="OSRRefH22_14x_0" localSheetId="58">'331'!$H$133:$H$134</definedName>
    <definedName name="OSRRefH22_14x_0" localSheetId="61">'332'!$H$101</definedName>
    <definedName name="OSRRefH22_14x_0" localSheetId="76">'405'!$H$77:$H$78</definedName>
    <definedName name="OSRRefH22_14x_0" localSheetId="77">'406'!$H$83:$H$84</definedName>
    <definedName name="OSRRefH22_14x_0" localSheetId="78">'411'!$H$76</definedName>
    <definedName name="OSRRefH22_14x_0" localSheetId="79">'412'!$H$85</definedName>
    <definedName name="OSRRefH22_14x_0" localSheetId="82">'414'!$H$80</definedName>
    <definedName name="OSRRefH22_14x_0" localSheetId="83">'415'!$H$81:$H$89</definedName>
    <definedName name="OSRRefH22_14x_0" localSheetId="84">'418'!$H$80:$H$87</definedName>
    <definedName name="OSRRefH22_14x_0" localSheetId="87">'425'!$H$87:$H$88</definedName>
    <definedName name="OSRRefH22_14x_0" localSheetId="91">'433'!$H$87</definedName>
    <definedName name="OSRRefH22_14x_0" localSheetId="93">'444'!$H$85</definedName>
    <definedName name="OSRRefH22_14x_0" localSheetId="94">'450'!$H$79:$H$84</definedName>
    <definedName name="OSRRefH22_14x_0" localSheetId="75">'491'!$H$85</definedName>
    <definedName name="OSRRefH22_14x_0" localSheetId="89">'492'!$H$81:$H$84</definedName>
    <definedName name="OSRRefH22_14x_0" localSheetId="96">'501'!$H$71</definedName>
    <definedName name="OSRRefH22_14x_0" localSheetId="39">'Div 2'!$H$75:$H$78</definedName>
    <definedName name="OSRRefH22_14x_0" localSheetId="47">'Div 3'!$H$229:$H$262</definedName>
    <definedName name="OSRRefH22_14x_0" localSheetId="73">'Div 4'!$H$88</definedName>
    <definedName name="OSRRefH22_14x_0" localSheetId="95">'Div 5'!$H$71</definedName>
    <definedName name="OSRRefH22_14x_0" localSheetId="64">'Div 6'!$H$117</definedName>
    <definedName name="OSRRefH22_14x_0" localSheetId="2">Summary!$H$265:$H$301</definedName>
    <definedName name="OSRRefH22_15x_0" localSheetId="41">'201'!$H$75</definedName>
    <definedName name="OSRRefH22_15x_0" localSheetId="42">'202'!$H$72</definedName>
    <definedName name="OSRRefH22_15x_0" localSheetId="43">'203'!$H$74</definedName>
    <definedName name="OSRRefH22_15x_0" localSheetId="48">'300'!$H$259</definedName>
    <definedName name="OSRRefH22_15x_0" localSheetId="49">'300 &amp; 317'!$H$288</definedName>
    <definedName name="OSRRefH22_15x_0" localSheetId="50">'301'!$H$74</definedName>
    <definedName name="OSRRefH22_15x_0" localSheetId="66">'310'!$H$84:$H$86</definedName>
    <definedName name="OSRRefH22_15x_0" localSheetId="74">'310 &amp; 491'!$H$95</definedName>
    <definedName name="OSRRefH22_15x_0" localSheetId="59">'315'!$H$121:$H$122</definedName>
    <definedName name="OSRRefH22_15x_0" localSheetId="71">'325'!$H$87</definedName>
    <definedName name="OSRRefH22_15x_0" localSheetId="60">'326'!$H$121:$H$122</definedName>
    <definedName name="OSRRefH22_15x_0" localSheetId="55">'330'!$H$161</definedName>
    <definedName name="OSRRefH22_15x_0" localSheetId="58">'331'!$H$136:$H$138</definedName>
    <definedName name="OSRRefH22_15x_0" localSheetId="76">'405'!$H$80:$H$88</definedName>
    <definedName name="OSRRefH22_15x_0" localSheetId="78">'411'!$H$78:$H$86</definedName>
    <definedName name="OSRRefH22_15x_0" localSheetId="79">'412'!$H$87</definedName>
    <definedName name="OSRRefH22_15x_0" localSheetId="82">'414'!$H$82</definedName>
    <definedName name="OSRRefH22_15x_0" localSheetId="83">'415'!$H$91</definedName>
    <definedName name="OSRRefH22_15x_0" localSheetId="84">'418'!$H$89</definedName>
    <definedName name="OSRRefH22_15x_0" localSheetId="87">'425'!$H$90</definedName>
    <definedName name="OSRRefH22_15x_0" localSheetId="91">'433'!$H$89:$H$90</definedName>
    <definedName name="OSRRefH22_15x_0" localSheetId="93">'444'!$H$87</definedName>
    <definedName name="OSRRefH22_15x_0" localSheetId="94">'450'!$H$86</definedName>
    <definedName name="OSRRefH22_15x_0" localSheetId="75">'491'!$H$87</definedName>
    <definedName name="OSRRefH22_15x_0" localSheetId="89">'492'!$H$86:$H$95</definedName>
    <definedName name="OSRRefH22_15x_0" localSheetId="39">'Div 2'!$H$80:$H$81</definedName>
    <definedName name="OSRRefH22_15x_0" localSheetId="47">'Div 3'!$H$264</definedName>
    <definedName name="OSRRefH22_15x_0" localSheetId="73">'Div 4'!$H$90</definedName>
    <definedName name="OSRRefH22_15x_0" localSheetId="2">Summary!$H$303</definedName>
    <definedName name="OSRRefH22_16x_0" localSheetId="41">'201'!$H$77:$H$78</definedName>
    <definedName name="OSRRefH22_16x_0" localSheetId="42">'202'!$H$74</definedName>
    <definedName name="OSRRefH22_16x_0" localSheetId="48">'300'!$H$261:$H$264</definedName>
    <definedName name="OSRRefH22_16x_0" localSheetId="49">'300 &amp; 317'!$H$290:$H$293</definedName>
    <definedName name="OSRRefH22_16x_0" localSheetId="50">'301'!$H$76:$H$79</definedName>
    <definedName name="OSRRefH22_16x_0" localSheetId="66">'310'!$H$88:$H$89</definedName>
    <definedName name="OSRRefH22_16x_0" localSheetId="74">'310 &amp; 491'!$H$97</definedName>
    <definedName name="OSRRefH22_16x_0" localSheetId="71">'325'!$H$89</definedName>
    <definedName name="OSRRefH22_16x_0" localSheetId="60">'326'!$H$124:$H$129</definedName>
    <definedName name="OSRRefH22_16x_0" localSheetId="55">'330'!$H$163</definedName>
    <definedName name="OSRRefH22_16x_0" localSheetId="58">'331'!$H$140:$H$142</definedName>
    <definedName name="OSRRefH22_16x_0" localSheetId="76">'405'!$H$90</definedName>
    <definedName name="OSRRefH22_16x_0" localSheetId="78">'411'!$H$88</definedName>
    <definedName name="OSRRefH22_16x_0" localSheetId="83">'415'!$H$93</definedName>
    <definedName name="OSRRefH22_16x_0" localSheetId="84">'418'!$H$91</definedName>
    <definedName name="OSRRefH22_16x_0" localSheetId="87">'425'!$H$92</definedName>
    <definedName name="OSRRefH22_16x_0" localSheetId="93">'444'!$H$89</definedName>
    <definedName name="OSRRefH22_16x_0" localSheetId="94">'450'!$H$88</definedName>
    <definedName name="OSRRefH22_16x_0" localSheetId="75">'491'!$H$89:$H$92</definedName>
    <definedName name="OSRRefH22_16x_0" localSheetId="89">'492'!$H$97</definedName>
    <definedName name="OSRRefH22_16x_0" localSheetId="39">'Div 2'!$H$83:$H$84</definedName>
    <definedName name="OSRRefH22_16x_0" localSheetId="47">'Div 3'!$H$266</definedName>
    <definedName name="OSRRefH22_16x_0" localSheetId="73">'Div 4'!$H$92</definedName>
    <definedName name="OSRRefH22_16x_0" localSheetId="2">Summary!$H$305</definedName>
    <definedName name="OSRRefH22_17x_0" localSheetId="48">'300'!$H$266:$H$269</definedName>
    <definedName name="OSRRefH22_17x_0" localSheetId="49">'300 &amp; 317'!$H$295:$H$298</definedName>
    <definedName name="OSRRefH22_17x_0" localSheetId="50">'301'!$H$81:$H$83</definedName>
    <definedName name="OSRRefH22_17x_0" localSheetId="66">'310'!$H$91:$H$95</definedName>
    <definedName name="OSRRefH22_17x_0" localSheetId="74">'310 &amp; 491'!$H$99:$H$102</definedName>
    <definedName name="OSRRefH22_17x_0" localSheetId="71">'325'!$H$91</definedName>
    <definedName name="OSRRefH22_17x_0" localSheetId="60">'326'!$H$131:$H$132</definedName>
    <definedName name="OSRRefH22_17x_0" localSheetId="58">'331'!$H$144:$H$145</definedName>
    <definedName name="OSRRefH22_17x_0" localSheetId="76">'405'!$H$92</definedName>
    <definedName name="OSRRefH22_17x_0" localSheetId="78">'411'!$H$90</definedName>
    <definedName name="OSRRefH22_17x_0" localSheetId="83">'415'!$H$95:$H$96</definedName>
    <definedName name="OSRRefH22_17x_0" localSheetId="84">'418'!$H$93:$H$94</definedName>
    <definedName name="OSRRefH22_17x_0" localSheetId="94">'450'!$H$90:$H$91</definedName>
    <definedName name="OSRRefH22_17x_0" localSheetId="75">'491'!$H$94:$H$97</definedName>
    <definedName name="OSRRefH22_17x_0" localSheetId="89">'492'!$H$99</definedName>
    <definedName name="OSRRefH22_17x_0" localSheetId="39">'Div 2'!$H$86:$H$91</definedName>
    <definedName name="OSRRefH22_17x_0" localSheetId="47">'Div 3'!$H$268</definedName>
    <definedName name="OSRRefH22_17x_0" localSheetId="73">'Div 4'!$H$94:$H$97</definedName>
    <definedName name="OSRRefH22_17x_0" localSheetId="2">Summary!$H$307</definedName>
    <definedName name="OSRRefH22_18x_0" localSheetId="48">'300'!$H$271:$H$274</definedName>
    <definedName name="OSRRefH22_18x_0" localSheetId="49">'300 &amp; 317'!$H$300:$H$303</definedName>
    <definedName name="OSRRefH22_18x_0" localSheetId="50">'301'!$H$85:$H$86</definedName>
    <definedName name="OSRRefH22_18x_0" localSheetId="66">'310'!$H$97</definedName>
    <definedName name="OSRRefH22_18x_0" localSheetId="74">'310 &amp; 491'!$H$104:$H$107</definedName>
    <definedName name="OSRRefH22_18x_0" localSheetId="71">'325'!$H$93</definedName>
    <definedName name="OSRRefH22_18x_0" localSheetId="60">'326'!$H$134</definedName>
    <definedName name="OSRRefH22_18x_0" localSheetId="58">'331'!$H$147:$H$152</definedName>
    <definedName name="OSRRefH22_18x_0" localSheetId="76">'405'!$H$94</definedName>
    <definedName name="OSRRefH22_18x_0" localSheetId="78">'411'!$H$92:$H$94</definedName>
    <definedName name="OSRRefH22_18x_0" localSheetId="83">'415'!$H$98</definedName>
    <definedName name="OSRRefH22_18x_0" localSheetId="75">'491'!$H$99:$H$103</definedName>
    <definedName name="OSRRefH22_18x_0" localSheetId="89">'492'!$H$101:$H$102</definedName>
    <definedName name="OSRRefH22_18x_0" localSheetId="39">'Div 2'!$H$93:$H$94</definedName>
    <definedName name="OSRRefH22_18x_0" localSheetId="47">'Div 3'!$H$270:$H$273</definedName>
    <definedName name="OSRRefH22_18x_0" localSheetId="73">'Div 4'!$H$99:$H$102</definedName>
    <definedName name="OSRRefH22_18x_0" localSheetId="2">Summary!$H$309:$H$312</definedName>
    <definedName name="OSRRefH22_19x_0" localSheetId="48">'300'!$H$276:$H$277</definedName>
    <definedName name="OSRRefH22_19x_0" localSheetId="49">'300 &amp; 317'!$H$305:$H$306</definedName>
    <definedName name="OSRRefH22_19x_0" localSheetId="50">'301'!$H$88:$H$94</definedName>
    <definedName name="OSRRefH22_19x_0" localSheetId="66">'310'!$H$99:$H$107</definedName>
    <definedName name="OSRRefH22_19x_0" localSheetId="74">'310 &amp; 491'!$H$109:$H$114</definedName>
    <definedName name="OSRRefH22_19x_0" localSheetId="60">'326'!$H$136</definedName>
    <definedName name="OSRRefH22_19x_0" localSheetId="58">'331'!$H$154:$H$155</definedName>
    <definedName name="OSRRefH22_19x_0" localSheetId="76">'405'!$H$96</definedName>
    <definedName name="OSRRefH22_19x_0" localSheetId="78">'411'!$H$96</definedName>
    <definedName name="OSRRefH22_19x_0" localSheetId="75">'491'!$H$105:$H$106</definedName>
    <definedName name="OSRRefH22_19x_0" localSheetId="39">'Div 2'!$H$96</definedName>
    <definedName name="OSRRefH22_19x_0" localSheetId="47">'Div 3'!$H$275:$H$278</definedName>
    <definedName name="OSRRefH22_19x_0" localSheetId="73">'Div 4'!$H$104:$H$108</definedName>
    <definedName name="OSRRefH22_19x_0" localSheetId="2">Summary!$H$314:$H$317</definedName>
    <definedName name="OSRRefH22_1x_0" localSheetId="40">'200'!$H$23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'204'!$H$32:$H$41</definedName>
    <definedName name="OSRRefH22_1x_0" localSheetId="45">'205'!$H$30:$H$39</definedName>
    <definedName name="OSRRefH22_1x_0" localSheetId="46">'206'!$H$30:$H$39</definedName>
    <definedName name="OSRRefH22_1x_0" localSheetId="48">'300'!$H$182:$H$191</definedName>
    <definedName name="OSRRefH22_1x_0" localSheetId="49">'300 &amp; 317'!$H$208:$H$217</definedName>
    <definedName name="OSRRefH22_1x_0" localSheetId="50">'301'!$H$30:$H$39</definedName>
    <definedName name="OSRRefH22_1x_0" localSheetId="51">'306'!$H$30:$H$39</definedName>
    <definedName name="OSRRefH22_1x_0" localSheetId="56">'307'!$H$89:$H$98</definedName>
    <definedName name="OSRRefH22_1x_0" localSheetId="52">'308'!$H$78:$H$87</definedName>
    <definedName name="OSRRefH22_1x_0" localSheetId="67">'309'!$H$36:$H$45</definedName>
    <definedName name="OSRRefH22_1x_0" localSheetId="66">'310'!$H$45:$H$54</definedName>
    <definedName name="OSRRefH22_1x_0" localSheetId="74">'310 &amp; 491'!$H$53:$H$62</definedName>
    <definedName name="OSRRefH22_1x_0" localSheetId="53">'311'!$H$78:$H$87</definedName>
    <definedName name="OSRRefH22_1x_0" localSheetId="68">'313'!$H$41:$H$50</definedName>
    <definedName name="OSRRefH22_1x_0" localSheetId="57">'314'!$H$70:$H$79</definedName>
    <definedName name="OSRRefH22_1x_0" localSheetId="59">'315'!$H$68:$H$77</definedName>
    <definedName name="OSRRefH22_1x_0" localSheetId="62">'316'!$H$46:$H$55</definedName>
    <definedName name="OSRRefH22_1x_0" localSheetId="65">'317'!$H$73:$H$82</definedName>
    <definedName name="OSRRefH22_1x_0" localSheetId="63">'320'!$H$41:$H$50</definedName>
    <definedName name="OSRRefH22_1x_0" localSheetId="69">'321'!$H$35:$H$44</definedName>
    <definedName name="OSRRefH22_1x_0" localSheetId="70">'322'!$H$36:$H$45</definedName>
    <definedName name="OSRRefH22_1x_0" localSheetId="71">'325'!$H$36:$H$45</definedName>
    <definedName name="OSRRefH22_1x_0" localSheetId="60">'326'!$H$68:$H$77</definedName>
    <definedName name="OSRRefH22_1x_0" localSheetId="72">'327'!$H$26</definedName>
    <definedName name="OSRRefH22_1x_0" localSheetId="55">'330'!$H$98:$H$107</definedName>
    <definedName name="OSRRefH22_1x_0" localSheetId="58">'331'!$H$83:$H$92</definedName>
    <definedName name="OSRRefH22_1x_0" localSheetId="61">'332'!$H$56:$H$65</definedName>
    <definedName name="OSRRefH22_1x_0" localSheetId="76">'405'!$H$36:$H$45</definedName>
    <definedName name="OSRRefH22_1x_0" localSheetId="77">'406'!$H$37:$H$46</definedName>
    <definedName name="OSRRefH22_1x_0" localSheetId="78">'411'!$H$31:$H$40</definedName>
    <definedName name="OSRRefH22_1x_0" localSheetId="79">'412'!$H$37:$H$46</definedName>
    <definedName name="OSRRefH22_1x_0" localSheetId="81">'413'!$H$37:$H$46</definedName>
    <definedName name="OSRRefH22_1x_0" localSheetId="82">'414'!$H$37:$H$46</definedName>
    <definedName name="OSRRefH22_1x_0" localSheetId="83">'415'!$H$36:$H$45</definedName>
    <definedName name="OSRRefH22_1x_0" localSheetId="84">'418'!$H$37:$H$46</definedName>
    <definedName name="OSRRefH22_1x_0" localSheetId="80">'420'!$H$33:$H$36</definedName>
    <definedName name="OSRRefH22_1x_0" localSheetId="85">'423'!$H$31:$H$40</definedName>
    <definedName name="OSRRefH22_1x_0" localSheetId="86">'424'!$H$36:$H$45</definedName>
    <definedName name="OSRRefH22_1x_0" localSheetId="87">'425'!$H$40:$H$49</definedName>
    <definedName name="OSRRefH22_1x_0" localSheetId="90">'430'!$H$30:$H$39</definedName>
    <definedName name="OSRRefH22_1x_0" localSheetId="91">'433'!$H$39:$H$48</definedName>
    <definedName name="OSRRefH22_1x_0" localSheetId="92">'435'!$H$36:$H$45</definedName>
    <definedName name="OSRRefH22_1x_0" localSheetId="93">'444'!$H$38:$H$47</definedName>
    <definedName name="OSRRefH22_1x_0" localSheetId="94">'450'!$H$38:$H$47</definedName>
    <definedName name="OSRRefH22_1x_0" localSheetId="88">'455'!$H$29:$H$38</definedName>
    <definedName name="OSRRefH22_1x_0" localSheetId="75">'491'!$H$46:$H$55</definedName>
    <definedName name="OSRRefH22_1x_0" localSheetId="89">'492'!$H$41:$H$50</definedName>
    <definedName name="OSRRefH22_1x_0" localSheetId="96">'501'!$H$31:$H$40</definedName>
    <definedName name="OSRRefH22_1x_0" localSheetId="39">'Div 2'!$H$33:$H$42</definedName>
    <definedName name="OSRRefH22_1x_0" localSheetId="47">'Div 3'!$H$187:$H$196</definedName>
    <definedName name="OSRRefH22_1x_0" localSheetId="73">'Div 4'!$H$47:$H$56</definedName>
    <definedName name="OSRRefH22_1x_0" localSheetId="95">'Div 5'!$H$31:$H$40</definedName>
    <definedName name="OSRRefH22_1x_0" localSheetId="64">'Div 6'!$H$73:$H$82</definedName>
    <definedName name="OSRRefH22_1x_0" localSheetId="2">Summary!$H$221:$H$230</definedName>
    <definedName name="OSRRefH22_20x_0" localSheetId="48">'300'!$H$279:$H$286</definedName>
    <definedName name="OSRRefH22_20x_0" localSheetId="49">'300 &amp; 317'!$H$308:$H$315</definedName>
    <definedName name="OSRRefH22_20x_0" localSheetId="50">'301'!$H$96</definedName>
    <definedName name="OSRRefH22_20x_0" localSheetId="66">'310'!$H$109</definedName>
    <definedName name="OSRRefH22_20x_0" localSheetId="74">'310 &amp; 491'!$H$116:$H$117</definedName>
    <definedName name="OSRRefH22_20x_0" localSheetId="60">'326'!$H$138</definedName>
    <definedName name="OSRRefH22_20x_0" localSheetId="58">'331'!$H$157</definedName>
    <definedName name="OSRRefH22_20x_0" localSheetId="75">'491'!$H$108:$H$118</definedName>
    <definedName name="OSRRefH22_20x_0" localSheetId="39">'Div 2'!$H$98:$H$99</definedName>
    <definedName name="OSRRefH22_20x_0" localSheetId="47">'Div 3'!$H$280:$H$285</definedName>
    <definedName name="OSRRefH22_20x_0" localSheetId="73">'Div 4'!$H$110:$H$111</definedName>
    <definedName name="OSRRefH22_20x_0" localSheetId="2">Summary!$H$319:$H$324</definedName>
    <definedName name="OSRRefH22_21x_0" localSheetId="48">'300'!$H$288:$H$289</definedName>
    <definedName name="OSRRefH22_21x_0" localSheetId="49">'300 &amp; 317'!$H$317:$H$318</definedName>
    <definedName name="OSRRefH22_21x_0" localSheetId="50">'301'!$H$98</definedName>
    <definedName name="OSRRefH22_21x_0" localSheetId="66">'310'!$H$111</definedName>
    <definedName name="OSRRefH22_21x_0" localSheetId="74">'310 &amp; 491'!$H$119:$H$129</definedName>
    <definedName name="OSRRefH22_21x_0" localSheetId="58">'331'!$H$159:$H$160</definedName>
    <definedName name="OSRRefH22_21x_0" localSheetId="75">'491'!$H$120:$H$121</definedName>
    <definedName name="OSRRefH22_21x_0" localSheetId="47">'Div 3'!$H$287:$H$288</definedName>
    <definedName name="OSRRefH22_21x_0" localSheetId="73">'Div 4'!$H$113:$H$123</definedName>
    <definedName name="OSRRefH22_21x_0" localSheetId="2">Summary!$H$326:$H$327</definedName>
    <definedName name="OSRRefH22_22x_0" localSheetId="48">'300'!$H$291</definedName>
    <definedName name="OSRRefH22_22x_0" localSheetId="49">'300 &amp; 317'!$H$320</definedName>
    <definedName name="OSRRefH22_22x_0" localSheetId="50">'301'!$H$100:$H$102</definedName>
    <definedName name="OSRRefH22_22x_0" localSheetId="66">'310'!$H$113:$H$114</definedName>
    <definedName name="OSRRefH22_22x_0" localSheetId="74">'310 &amp; 491'!$H$131:$H$132</definedName>
    <definedName name="OSRRefH22_22x_0" localSheetId="58">'331'!$H$162</definedName>
    <definedName name="OSRRefH22_22x_0" localSheetId="75">'491'!$H$123</definedName>
    <definedName name="OSRRefH22_22x_0" localSheetId="47">'Div 3'!$H$290:$H$299</definedName>
    <definedName name="OSRRefH22_22x_0" localSheetId="73">'Div 4'!$H$125:$H$126</definedName>
    <definedName name="OSRRefH22_22x_0" localSheetId="2">Summary!$H$329:$H$339</definedName>
    <definedName name="OSRRefH22_23x_0" localSheetId="48">'300'!$H$293:$H$295</definedName>
    <definedName name="OSRRefH22_23x_0" localSheetId="49">'300 &amp; 317'!$H$322:$H$324</definedName>
    <definedName name="OSRRefH22_23x_0" localSheetId="50">'301'!$H$104</definedName>
    <definedName name="OSRRefH22_23x_0" localSheetId="66">'310'!$H$116</definedName>
    <definedName name="OSRRefH22_23x_0" localSheetId="74">'310 &amp; 491'!$H$134</definedName>
    <definedName name="OSRRefH22_23x_0" localSheetId="75">'491'!$H$125:$H$127</definedName>
    <definedName name="OSRRefH22_23x_0" localSheetId="47">'Div 3'!$H$301:$H$302</definedName>
    <definedName name="OSRRefH22_23x_0" localSheetId="73">'Div 4'!$H$128</definedName>
    <definedName name="OSRRefH22_23x_0" localSheetId="2">Summary!$H$341:$H$342</definedName>
    <definedName name="OSRRefH22_24x_0" localSheetId="48">'300'!$H$297</definedName>
    <definedName name="OSRRefH22_24x_0" localSheetId="49">'300 &amp; 317'!$H$326</definedName>
    <definedName name="OSRRefH22_24x_0" localSheetId="74">'310 &amp; 491'!$H$136:$H$138</definedName>
    <definedName name="OSRRefH22_24x_0" localSheetId="75">'491'!$H$129</definedName>
    <definedName name="OSRRefH22_24x_0" localSheetId="47">'Div 3'!$H$304</definedName>
    <definedName name="OSRRefH22_24x_0" localSheetId="73">'Div 4'!$H$130:$H$132</definedName>
    <definedName name="OSRRefH22_24x_0" localSheetId="2">Summary!$H$344</definedName>
    <definedName name="OSRRefH22_25x_0" localSheetId="74">'310 &amp; 491'!$H$140</definedName>
    <definedName name="OSRRefH22_25x_0" localSheetId="47">'Div 3'!$H$306:$H$308</definedName>
    <definedName name="OSRRefH22_25x_0" localSheetId="73">'Div 4'!$H$134</definedName>
    <definedName name="OSRRefH22_25x_0" localSheetId="2">Summary!$H$346:$H$348</definedName>
    <definedName name="OSRRefH22_26x_0" localSheetId="47">'Div 3'!$H$310</definedName>
    <definedName name="OSRRefH22_26x_0" localSheetId="2">Summary!$H$350</definedName>
    <definedName name="OSRRefH22_2x_0" localSheetId="40">'200'!$H$25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'204'!$H$43</definedName>
    <definedName name="OSRRefH22_2x_0" localSheetId="45">'205'!$H$41</definedName>
    <definedName name="OSRRefH22_2x_0" localSheetId="46">'206'!$H$41</definedName>
    <definedName name="OSRRefH22_2x_0" localSheetId="48">'300'!$H$193</definedName>
    <definedName name="OSRRefH22_2x_0" localSheetId="49">'300 &amp; 317'!$H$219</definedName>
    <definedName name="OSRRefH22_2x_0" localSheetId="50">'301'!$H$41</definedName>
    <definedName name="OSRRefH22_2x_0" localSheetId="51">'306'!$H$41</definedName>
    <definedName name="OSRRefH22_2x_0" localSheetId="56">'307'!$H$100</definedName>
    <definedName name="OSRRefH22_2x_0" localSheetId="52">'308'!$H$89</definedName>
    <definedName name="OSRRefH22_2x_0" localSheetId="67">'309'!$H$47</definedName>
    <definedName name="OSRRefH22_2x_0" localSheetId="66">'310'!$H$56</definedName>
    <definedName name="OSRRefH22_2x_0" localSheetId="74">'310 &amp; 491'!$H$64</definedName>
    <definedName name="OSRRefH22_2x_0" localSheetId="53">'311'!$H$89</definedName>
    <definedName name="OSRRefH22_2x_0" localSheetId="68">'313'!$H$52</definedName>
    <definedName name="OSRRefH22_2x_0" localSheetId="57">'314'!$H$81</definedName>
    <definedName name="OSRRefH22_2x_0" localSheetId="59">'315'!$H$79</definedName>
    <definedName name="OSRRefH22_2x_0" localSheetId="62">'316'!$H$57</definedName>
    <definedName name="OSRRefH22_2x_0" localSheetId="65">'317'!$H$84</definedName>
    <definedName name="OSRRefH22_2x_0" localSheetId="63">'320'!$H$52</definedName>
    <definedName name="OSRRefH22_2x_0" localSheetId="69">'321'!$H$46</definedName>
    <definedName name="OSRRefH22_2x_0" localSheetId="70">'322'!$H$47</definedName>
    <definedName name="OSRRefH22_2x_0" localSheetId="71">'325'!$H$47</definedName>
    <definedName name="OSRRefH22_2x_0" localSheetId="60">'326'!$H$79</definedName>
    <definedName name="OSRRefH22_2x_0" localSheetId="72">'327'!$H$28</definedName>
    <definedName name="OSRRefH22_2x_0" localSheetId="55">'330'!$H$109</definedName>
    <definedName name="OSRRefH22_2x_0" localSheetId="58">'331'!$H$94</definedName>
    <definedName name="OSRRefH22_2x_0" localSheetId="61">'332'!$H$67</definedName>
    <definedName name="OSRRefH22_2x_0" localSheetId="76">'405'!$H$47</definedName>
    <definedName name="OSRRefH22_2x_0" localSheetId="77">'406'!$H$48</definedName>
    <definedName name="OSRRefH22_2x_0" localSheetId="78">'411'!$H$42</definedName>
    <definedName name="OSRRefH22_2x_0" localSheetId="79">'412'!$H$48</definedName>
    <definedName name="OSRRefH22_2x_0" localSheetId="81">'413'!$H$48</definedName>
    <definedName name="OSRRefH22_2x_0" localSheetId="82">'414'!$H$48</definedName>
    <definedName name="OSRRefH22_2x_0" localSheetId="83">'415'!$H$47</definedName>
    <definedName name="OSRRefH22_2x_0" localSheetId="84">'418'!$H$48</definedName>
    <definedName name="OSRRefH22_2x_0" localSheetId="80">'420'!$H$38</definedName>
    <definedName name="OSRRefH22_2x_0" localSheetId="85">'423'!$H$42</definedName>
    <definedName name="OSRRefH22_2x_0" localSheetId="86">'424'!$H$47</definedName>
    <definedName name="OSRRefH22_2x_0" localSheetId="87">'425'!$H$51</definedName>
    <definedName name="OSRRefH22_2x_0" localSheetId="90">'430'!$H$41</definedName>
    <definedName name="OSRRefH22_2x_0" localSheetId="91">'433'!$H$50</definedName>
    <definedName name="OSRRefH22_2x_0" localSheetId="92">'435'!$H$47</definedName>
    <definedName name="OSRRefH22_2x_0" localSheetId="93">'444'!$H$49</definedName>
    <definedName name="OSRRefH22_2x_0" localSheetId="94">'450'!$H$49</definedName>
    <definedName name="OSRRefH22_2x_0" localSheetId="75">'491'!$H$57</definedName>
    <definedName name="OSRRefH22_2x_0" localSheetId="89">'492'!$H$52</definedName>
    <definedName name="OSRRefH22_2x_0" localSheetId="96">'501'!$H$42</definedName>
    <definedName name="OSRRefH22_2x_0" localSheetId="39">'Div 2'!$H$44</definedName>
    <definedName name="OSRRefH22_2x_0" localSheetId="47">'Div 3'!$H$198</definedName>
    <definedName name="OSRRefH22_2x_0" localSheetId="73">'Div 4'!$H$58</definedName>
    <definedName name="OSRRefH22_2x_0" localSheetId="95">'Div 5'!$H$42</definedName>
    <definedName name="OSRRefH22_2x_0" localSheetId="64">'Div 6'!$H$84</definedName>
    <definedName name="OSRRefH22_2x_0" localSheetId="2">Summary!$H$232</definedName>
    <definedName name="OSRRefH22_3x_0" localSheetId="40">'200'!$H$27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'204'!$H$45:$H$46</definedName>
    <definedName name="OSRRefH22_3x_0" localSheetId="45">'205'!$H$43</definedName>
    <definedName name="OSRRefH22_3x_0" localSheetId="46">'206'!$H$43</definedName>
    <definedName name="OSRRefH22_3x_0" localSheetId="48">'300'!$H$195:$H$196</definedName>
    <definedName name="OSRRefH22_3x_0" localSheetId="49">'300 &amp; 317'!$H$221:$H$222</definedName>
    <definedName name="OSRRefH22_3x_0" localSheetId="50">'301'!$H$43:$H$44</definedName>
    <definedName name="OSRRefH22_3x_0" localSheetId="51">'306'!$H$43</definedName>
    <definedName name="OSRRefH22_3x_0" localSheetId="56">'307'!$H$102</definedName>
    <definedName name="OSRRefH22_3x_0" localSheetId="52">'308'!$H$91:$H$92</definedName>
    <definedName name="OSRRefH22_3x_0" localSheetId="67">'309'!$H$49</definedName>
    <definedName name="OSRRefH22_3x_0" localSheetId="66">'310'!$H$58</definedName>
    <definedName name="OSRRefH22_3x_0" localSheetId="74">'310 &amp; 491'!$H$66</definedName>
    <definedName name="OSRRefH22_3x_0" localSheetId="53">'311'!$H$91:$H$92</definedName>
    <definedName name="OSRRefH22_3x_0" localSheetId="68">'313'!$H$54</definedName>
    <definedName name="OSRRefH22_3x_0" localSheetId="57">'314'!$H$83:$H$84</definedName>
    <definedName name="OSRRefH22_3x_0" localSheetId="59">'315'!$H$81:$H$82</definedName>
    <definedName name="OSRRefH22_3x_0" localSheetId="62">'316'!$H$59</definedName>
    <definedName name="OSRRefH22_3x_0" localSheetId="65">'317'!$H$86</definedName>
    <definedName name="OSRRefH22_3x_0" localSheetId="63">'320'!$H$54</definedName>
    <definedName name="OSRRefH22_3x_0" localSheetId="69">'321'!$H$48</definedName>
    <definedName name="OSRRefH22_3x_0" localSheetId="70">'322'!$H$49</definedName>
    <definedName name="OSRRefH22_3x_0" localSheetId="71">'325'!$H$49</definedName>
    <definedName name="OSRRefH22_3x_0" localSheetId="60">'326'!$H$81:$H$82</definedName>
    <definedName name="OSRRefH22_3x_0" localSheetId="55">'330'!$H$111</definedName>
    <definedName name="OSRRefH22_3x_0" localSheetId="58">'331'!$H$96:$H$97</definedName>
    <definedName name="OSRRefH22_3x_0" localSheetId="61">'332'!$H$69</definedName>
    <definedName name="OSRRefH22_3x_0" localSheetId="76">'405'!$H$49</definedName>
    <definedName name="OSRRefH22_3x_0" localSheetId="77">'406'!$H$50</definedName>
    <definedName name="OSRRefH22_3x_0" localSheetId="78">'411'!$H$44</definedName>
    <definedName name="OSRRefH22_3x_0" localSheetId="79">'412'!$H$50</definedName>
    <definedName name="OSRRefH22_3x_0" localSheetId="81">'413'!$H$50</definedName>
    <definedName name="OSRRefH22_3x_0" localSheetId="82">'414'!$H$50</definedName>
    <definedName name="OSRRefH22_3x_0" localSheetId="83">'415'!$H$49</definedName>
    <definedName name="OSRRefH22_3x_0" localSheetId="84">'418'!$H$50</definedName>
    <definedName name="OSRRefH22_3x_0" localSheetId="80">'420'!$H$40</definedName>
    <definedName name="OSRRefH22_3x_0" localSheetId="85">'423'!$H$44</definedName>
    <definedName name="OSRRefH22_3x_0" localSheetId="86">'424'!$H$49</definedName>
    <definedName name="OSRRefH22_3x_0" localSheetId="87">'425'!$H$53</definedName>
    <definedName name="OSRRefH22_3x_0" localSheetId="90">'430'!$H$43</definedName>
    <definedName name="OSRRefH22_3x_0" localSheetId="91">'433'!$H$52</definedName>
    <definedName name="OSRRefH22_3x_0" localSheetId="92">'435'!$H$49</definedName>
    <definedName name="OSRRefH22_3x_0" localSheetId="93">'444'!$H$51</definedName>
    <definedName name="OSRRefH22_3x_0" localSheetId="94">'450'!$H$51:$H$52</definedName>
    <definedName name="OSRRefH22_3x_0" localSheetId="75">'491'!$H$59</definedName>
    <definedName name="OSRRefH22_3x_0" localSheetId="89">'492'!$H$54:$H$55</definedName>
    <definedName name="OSRRefH22_3x_0" localSheetId="96">'501'!$H$44</definedName>
    <definedName name="OSRRefH22_3x_0" localSheetId="39">'Div 2'!$H$46</definedName>
    <definedName name="OSRRefH22_3x_0" localSheetId="47">'Div 3'!$H$200:$H$201</definedName>
    <definedName name="OSRRefH22_3x_0" localSheetId="73">'Div 4'!$H$60:$H$61</definedName>
    <definedName name="OSRRefH22_3x_0" localSheetId="95">'Div 5'!$H$44</definedName>
    <definedName name="OSRRefH22_3x_0" localSheetId="64">'Div 6'!$H$86</definedName>
    <definedName name="OSRRefH22_3x_0" localSheetId="2">Summary!$H$234:$H$235</definedName>
    <definedName name="OSRRefH22_4x_0" localSheetId="40">'200'!$H$29:$H$30</definedName>
    <definedName name="OSRRefH22_4x_0" localSheetId="41">'201'!$H$45:$H$46</definedName>
    <definedName name="OSRRefH22_4x_0" localSheetId="42">'202'!$H$45</definedName>
    <definedName name="OSRRefH22_4x_0" localSheetId="43">'203'!$H$46</definedName>
    <definedName name="OSRRefH22_4x_0" localSheetId="44">'204'!$H$48</definedName>
    <definedName name="OSRRefH22_4x_0" localSheetId="45">'205'!$H$45</definedName>
    <definedName name="OSRRefH22_4x_0" localSheetId="46">'206'!$H$45</definedName>
    <definedName name="OSRRefH22_4x_0" localSheetId="48">'300'!$H$198</definedName>
    <definedName name="OSRRefH22_4x_0" localSheetId="49">'300 &amp; 317'!$H$224</definedName>
    <definedName name="OSRRefH22_4x_0" localSheetId="50">'301'!$H$46</definedName>
    <definedName name="OSRRefH22_4x_0" localSheetId="51">'306'!$H$45</definedName>
    <definedName name="OSRRefH22_4x_0" localSheetId="56">'307'!$H$104:$H$105</definedName>
    <definedName name="OSRRefH22_4x_0" localSheetId="52">'308'!$H$94</definedName>
    <definedName name="OSRRefH22_4x_0" localSheetId="67">'309'!$H$51</definedName>
    <definedName name="OSRRefH22_4x_0" localSheetId="66">'310'!$H$60</definedName>
    <definedName name="OSRRefH22_4x_0" localSheetId="74">'310 &amp; 491'!$H$68</definedName>
    <definedName name="OSRRefH22_4x_0" localSheetId="53">'311'!$H$94</definedName>
    <definedName name="OSRRefH22_4x_0" localSheetId="68">'313'!$H$56</definedName>
    <definedName name="OSRRefH22_4x_0" localSheetId="57">'314'!$H$86</definedName>
    <definedName name="OSRRefH22_4x_0" localSheetId="59">'315'!$H$84</definedName>
    <definedName name="OSRRefH22_4x_0" localSheetId="62">'316'!$H$61</definedName>
    <definedName name="OSRRefH22_4x_0" localSheetId="65">'317'!$H$88</definedName>
    <definedName name="OSRRefH22_4x_0" localSheetId="63">'320'!$H$56:$H$57</definedName>
    <definedName name="OSRRefH22_4x_0" localSheetId="69">'321'!$H$50</definedName>
    <definedName name="OSRRefH22_4x_0" localSheetId="70">'322'!$H$51</definedName>
    <definedName name="OSRRefH22_4x_0" localSheetId="71">'325'!$H$51</definedName>
    <definedName name="OSRRefH22_4x_0" localSheetId="60">'326'!$H$84</definedName>
    <definedName name="OSRRefH22_4x_0" localSheetId="55">'330'!$H$113:$H$114</definedName>
    <definedName name="OSRRefH22_4x_0" localSheetId="58">'331'!$H$99</definedName>
    <definedName name="OSRRefH22_4x_0" localSheetId="61">'332'!$H$71</definedName>
    <definedName name="OSRRefH22_4x_0" localSheetId="76">'405'!$H$51</definedName>
    <definedName name="OSRRefH22_4x_0" localSheetId="77">'406'!$H$52</definedName>
    <definedName name="OSRRefH22_4x_0" localSheetId="78">'411'!$H$46:$H$49</definedName>
    <definedName name="OSRRefH22_4x_0" localSheetId="79">'412'!$H$52</definedName>
    <definedName name="OSRRefH22_4x_0" localSheetId="81">'413'!$H$52</definedName>
    <definedName name="OSRRefH22_4x_0" localSheetId="82">'414'!$H$52</definedName>
    <definedName name="OSRRefH22_4x_0" localSheetId="83">'415'!$H$51</definedName>
    <definedName name="OSRRefH22_4x_0" localSheetId="84">'418'!$H$52</definedName>
    <definedName name="OSRRefH22_4x_0" localSheetId="80">'420'!$H$42</definedName>
    <definedName name="OSRRefH22_4x_0" localSheetId="85">'423'!$H$46</definedName>
    <definedName name="OSRRefH22_4x_0" localSheetId="86">'424'!$H$51</definedName>
    <definedName name="OSRRefH22_4x_0" localSheetId="87">'425'!$H$55</definedName>
    <definedName name="OSRRefH22_4x_0" localSheetId="90">'430'!$H$45</definedName>
    <definedName name="OSRRefH22_4x_0" localSheetId="91">'433'!$H$54</definedName>
    <definedName name="OSRRefH22_4x_0" localSheetId="92">'435'!$H$51</definedName>
    <definedName name="OSRRefH22_4x_0" localSheetId="93">'444'!$H$53</definedName>
    <definedName name="OSRRefH22_4x_0" localSheetId="94">'450'!$H$54</definedName>
    <definedName name="OSRRefH22_4x_0" localSheetId="75">'491'!$H$61</definedName>
    <definedName name="OSRRefH22_4x_0" localSheetId="89">'492'!$H$57</definedName>
    <definedName name="OSRRefH22_4x_0" localSheetId="96">'501'!$H$46</definedName>
    <definedName name="OSRRefH22_4x_0" localSheetId="39">'Div 2'!$H$48</definedName>
    <definedName name="OSRRefH22_4x_0" localSheetId="47">'Div 3'!$H$203</definedName>
    <definedName name="OSRRefH22_4x_0" localSheetId="73">'Div 4'!$H$63</definedName>
    <definedName name="OSRRefH22_4x_0" localSheetId="95">'Div 5'!$H$46</definedName>
    <definedName name="OSRRefH22_4x_0" localSheetId="64">'Div 6'!$H$88</definedName>
    <definedName name="OSRRefH22_4x_0" localSheetId="2">Summary!$H$237</definedName>
    <definedName name="OSRRefH22_5x_0" localSheetId="41">'201'!$H$48</definedName>
    <definedName name="OSRRefH22_5x_0" localSheetId="42">'202'!$H$47</definedName>
    <definedName name="OSRRefH22_5x_0" localSheetId="43">'203'!$H$48</definedName>
    <definedName name="OSRRefH22_5x_0" localSheetId="44">'204'!$H$50</definedName>
    <definedName name="OSRRefH22_5x_0" localSheetId="45">'205'!$H$47:$H$49</definedName>
    <definedName name="OSRRefH22_5x_0" localSheetId="46">'206'!$H$47</definedName>
    <definedName name="OSRRefH22_5x_0" localSheetId="48">'300'!$H$200:$H$203</definedName>
    <definedName name="OSRRefH22_5x_0" localSheetId="49">'300 &amp; 317'!$H$226:$H$229</definedName>
    <definedName name="OSRRefH22_5x_0" localSheetId="50">'301'!$H$48:$H$51</definedName>
    <definedName name="OSRRefH22_5x_0" localSheetId="51">'306'!$H$47</definedName>
    <definedName name="OSRRefH22_5x_0" localSheetId="56">'307'!$H$107</definedName>
    <definedName name="OSRRefH22_5x_0" localSheetId="52">'308'!$H$96</definedName>
    <definedName name="OSRRefH22_5x_0" localSheetId="67">'309'!$H$53:$H$54</definedName>
    <definedName name="OSRRefH22_5x_0" localSheetId="66">'310'!$H$62:$H$64</definedName>
    <definedName name="OSRRefH22_5x_0" localSheetId="74">'310 &amp; 491'!$H$70:$H$73</definedName>
    <definedName name="OSRRefH22_5x_0" localSheetId="53">'311'!$H$96</definedName>
    <definedName name="OSRRefH22_5x_0" localSheetId="68">'313'!$H$58</definedName>
    <definedName name="OSRRefH22_5x_0" localSheetId="57">'314'!$H$88</definedName>
    <definedName name="OSRRefH22_5x_0" localSheetId="59">'315'!$H$86:$H$87</definedName>
    <definedName name="OSRRefH22_5x_0" localSheetId="62">'316'!$H$63</definedName>
    <definedName name="OSRRefH22_5x_0" localSheetId="65">'317'!$H$90</definedName>
    <definedName name="OSRRefH22_5x_0" localSheetId="63">'320'!$H$59</definedName>
    <definedName name="OSRRefH22_5x_0" localSheetId="69">'321'!$H$52</definedName>
    <definedName name="OSRRefH22_5x_0" localSheetId="70">'322'!$H$53:$H$54</definedName>
    <definedName name="OSRRefH22_5x_0" localSheetId="71">'325'!$H$53:$H$55</definedName>
    <definedName name="OSRRefH22_5x_0" localSheetId="60">'326'!$H$86</definedName>
    <definedName name="OSRRefH22_5x_0" localSheetId="55">'330'!$H$116</definedName>
    <definedName name="OSRRefH22_5x_0" localSheetId="58">'331'!$H$101:$H$102</definedName>
    <definedName name="OSRRefH22_5x_0" localSheetId="61">'332'!$H$73</definedName>
    <definedName name="OSRRefH22_5x_0" localSheetId="76">'405'!$H$53:$H$55</definedName>
    <definedName name="OSRRefH22_5x_0" localSheetId="77">'406'!$H$54:$H$55</definedName>
    <definedName name="OSRRefH22_5x_0" localSheetId="78">'411'!$H$51</definedName>
    <definedName name="OSRRefH22_5x_0" localSheetId="79">'412'!$H$54:$H$56</definedName>
    <definedName name="OSRRefH22_5x_0" localSheetId="81">'413'!$H$54</definedName>
    <definedName name="OSRRefH22_5x_0" localSheetId="82">'414'!$H$54:$H$55</definedName>
    <definedName name="OSRRefH22_5x_0" localSheetId="83">'415'!$H$53:$H$55</definedName>
    <definedName name="OSRRefH22_5x_0" localSheetId="84">'418'!$H$54:$H$56</definedName>
    <definedName name="OSRRefH22_5x_0" localSheetId="80">'420'!$H$44</definedName>
    <definedName name="OSRRefH22_5x_0" localSheetId="85">'423'!$H$48</definedName>
    <definedName name="OSRRefH22_5x_0" localSheetId="86">'424'!$H$53</definedName>
    <definedName name="OSRRefH22_5x_0" localSheetId="87">'425'!$H$57:$H$58</definedName>
    <definedName name="OSRRefH22_5x_0" localSheetId="90">'430'!$H$47</definedName>
    <definedName name="OSRRefH22_5x_0" localSheetId="91">'433'!$H$56</definedName>
    <definedName name="OSRRefH22_5x_0" localSheetId="92">'435'!$H$53</definedName>
    <definedName name="OSRRefH22_5x_0" localSheetId="93">'444'!$H$55</definedName>
    <definedName name="OSRRefH22_5x_0" localSheetId="94">'450'!$H$56</definedName>
    <definedName name="OSRRefH22_5x_0" localSheetId="75">'491'!$H$63:$H$66</definedName>
    <definedName name="OSRRefH22_5x_0" localSheetId="89">'492'!$H$59</definedName>
    <definedName name="OSRRefH22_5x_0" localSheetId="96">'501'!$H$48</definedName>
    <definedName name="OSRRefH22_5x_0" localSheetId="39">'Div 2'!$H$50:$H$51</definedName>
    <definedName name="OSRRefH22_5x_0" localSheetId="47">'Div 3'!$H$205:$H$208</definedName>
    <definedName name="OSRRefH22_5x_0" localSheetId="73">'Div 4'!$H$65:$H$68</definedName>
    <definedName name="OSRRefH22_5x_0" localSheetId="95">'Div 5'!$H$48</definedName>
    <definedName name="OSRRefH22_5x_0" localSheetId="64">'Div 6'!$H$90</definedName>
    <definedName name="OSRRefH22_5x_0" localSheetId="2">Summary!$H$239:$H$242</definedName>
    <definedName name="OSRRefH22_6x_0" localSheetId="41">'201'!$H$50</definedName>
    <definedName name="OSRRefH22_6x_0" localSheetId="42">'202'!$H$49</definedName>
    <definedName name="OSRRefH22_6x_0" localSheetId="43">'203'!$H$50</definedName>
    <definedName name="OSRRefH22_6x_0" localSheetId="44">'204'!$H$52</definedName>
    <definedName name="OSRRefH22_6x_0" localSheetId="45">'205'!$H$51</definedName>
    <definedName name="OSRRefH22_6x_0" localSheetId="46">'206'!$H$49</definedName>
    <definedName name="OSRRefH22_6x_0" localSheetId="48">'300'!$H$205:$H$206</definedName>
    <definedName name="OSRRefH22_6x_0" localSheetId="49">'300 &amp; 317'!$H$231:$H$232</definedName>
    <definedName name="OSRRefH22_6x_0" localSheetId="50">'301'!$H$53:$H$54</definedName>
    <definedName name="OSRRefH22_6x_0" localSheetId="51">'306'!$H$49</definedName>
    <definedName name="OSRRefH22_6x_0" localSheetId="56">'307'!$H$109</definedName>
    <definedName name="OSRRefH22_6x_0" localSheetId="52">'308'!$H$98:$H$99</definedName>
    <definedName name="OSRRefH22_6x_0" localSheetId="67">'309'!$H$56</definedName>
    <definedName name="OSRRefH22_6x_0" localSheetId="66">'310'!$H$66</definedName>
    <definedName name="OSRRefH22_6x_0" localSheetId="74">'310 &amp; 491'!$H$75</definedName>
    <definedName name="OSRRefH22_6x_0" localSheetId="53">'311'!$H$98:$H$99</definedName>
    <definedName name="OSRRefH22_6x_0" localSheetId="68">'313'!$H$60</definedName>
    <definedName name="OSRRefH22_6x_0" localSheetId="57">'314'!$H$90</definedName>
    <definedName name="OSRRefH22_6x_0" localSheetId="59">'315'!$H$89</definedName>
    <definedName name="OSRRefH22_6x_0" localSheetId="62">'316'!$H$65</definedName>
    <definedName name="OSRRefH22_6x_0" localSheetId="65">'317'!$H$92</definedName>
    <definedName name="OSRRefH22_6x_0" localSheetId="63">'320'!$H$61:$H$63</definedName>
    <definedName name="OSRRefH22_6x_0" localSheetId="69">'321'!$H$54</definedName>
    <definedName name="OSRRefH22_6x_0" localSheetId="70">'322'!$H$56</definedName>
    <definedName name="OSRRefH22_6x_0" localSheetId="71">'325'!$H$57</definedName>
    <definedName name="OSRRefH22_6x_0" localSheetId="60">'326'!$H$88</definedName>
    <definedName name="OSRRefH22_6x_0" localSheetId="55">'330'!$H$118</definedName>
    <definedName name="OSRRefH22_6x_0" localSheetId="58">'331'!$H$104</definedName>
    <definedName name="OSRRefH22_6x_0" localSheetId="61">'332'!$H$75</definedName>
    <definedName name="OSRRefH22_6x_0" localSheetId="76">'405'!$H$57</definedName>
    <definedName name="OSRRefH22_6x_0" localSheetId="77">'406'!$H$57</definedName>
    <definedName name="OSRRefH22_6x_0" localSheetId="78">'411'!$H$53</definedName>
    <definedName name="OSRRefH22_6x_0" localSheetId="79">'412'!$H$58</definedName>
    <definedName name="OSRRefH22_6x_0" localSheetId="81">'413'!$H$56</definedName>
    <definedName name="OSRRefH22_6x_0" localSheetId="82">'414'!$H$57</definedName>
    <definedName name="OSRRefH22_6x_0" localSheetId="83">'415'!$H$57</definedName>
    <definedName name="OSRRefH22_6x_0" localSheetId="84">'418'!$H$58</definedName>
    <definedName name="OSRRefH22_6x_0" localSheetId="80">'420'!$H$46:$H$47</definedName>
    <definedName name="OSRRefH22_6x_0" localSheetId="85">'423'!$H$50</definedName>
    <definedName name="OSRRefH22_6x_0" localSheetId="86">'424'!$H$55</definedName>
    <definedName name="OSRRefH22_6x_0" localSheetId="87">'425'!$H$60</definedName>
    <definedName name="OSRRefH22_6x_0" localSheetId="90">'430'!$H$49</definedName>
    <definedName name="OSRRefH22_6x_0" localSheetId="91">'433'!$H$58</definedName>
    <definedName name="OSRRefH22_6x_0" localSheetId="92">'435'!$H$55</definedName>
    <definedName name="OSRRefH22_6x_0" localSheetId="93">'444'!$H$57</definedName>
    <definedName name="OSRRefH22_6x_0" localSheetId="94">'450'!$H$58</definedName>
    <definedName name="OSRRefH22_6x_0" localSheetId="75">'491'!$H$68</definedName>
    <definedName name="OSRRefH22_6x_0" localSheetId="89">'492'!$H$61:$H$62</definedName>
    <definedName name="OSRRefH22_6x_0" localSheetId="96">'501'!$H$50</definedName>
    <definedName name="OSRRefH22_6x_0" localSheetId="39">'Div 2'!$H$53:$H$54</definedName>
    <definedName name="OSRRefH22_6x_0" localSheetId="47">'Div 3'!$H$210:$H$211</definedName>
    <definedName name="OSRRefH22_6x_0" localSheetId="73">'Div 4'!$H$70</definedName>
    <definedName name="OSRRefH22_6x_0" localSheetId="95">'Div 5'!$H$50</definedName>
    <definedName name="OSRRefH22_6x_0" localSheetId="64">'Div 6'!$H$92</definedName>
    <definedName name="OSRRefH22_6x_0" localSheetId="2">Summary!$H$244:$H$245</definedName>
    <definedName name="OSRRefH22_7x_0" localSheetId="41">'201'!$H$52</definedName>
    <definedName name="OSRRefH22_7x_0" localSheetId="42">'202'!$H$51</definedName>
    <definedName name="OSRRefH22_7x_0" localSheetId="43">'203'!$H$52</definedName>
    <definedName name="OSRRefH22_7x_0" localSheetId="44">'204'!$H$54:$H$57</definedName>
    <definedName name="OSRRefH22_7x_0" localSheetId="45">'205'!$H$53:$H$54</definedName>
    <definedName name="OSRRefH22_7x_0" localSheetId="46">'206'!$H$51:$H$52</definedName>
    <definedName name="OSRRefH22_7x_0" localSheetId="48">'300'!$H$208:$H$209</definedName>
    <definedName name="OSRRefH22_7x_0" localSheetId="49">'300 &amp; 317'!$H$234:$H$235</definedName>
    <definedName name="OSRRefH22_7x_0" localSheetId="50">'301'!$H$56:$H$57</definedName>
    <definedName name="OSRRefH22_7x_0" localSheetId="51">'306'!$H$51:$H$52</definedName>
    <definedName name="OSRRefH22_7x_0" localSheetId="56">'307'!$H$111:$H$131</definedName>
    <definedName name="OSRRefH22_7x_0" localSheetId="52">'308'!$H$101</definedName>
    <definedName name="OSRRefH22_7x_0" localSheetId="67">'309'!$H$58</definedName>
    <definedName name="OSRRefH22_7x_0" localSheetId="66">'310'!$H$68</definedName>
    <definedName name="OSRRefH22_7x_0" localSheetId="74">'310 &amp; 491'!$H$77</definedName>
    <definedName name="OSRRefH22_7x_0" localSheetId="53">'311'!$H$101</definedName>
    <definedName name="OSRRefH22_7x_0" localSheetId="68">'313'!$H$62</definedName>
    <definedName name="OSRRefH22_7x_0" localSheetId="57">'314'!$H$92:$H$101</definedName>
    <definedName name="OSRRefH22_7x_0" localSheetId="59">'315'!$H$91:$H$97</definedName>
    <definedName name="OSRRefH22_7x_0" localSheetId="62">'316'!$H$67</definedName>
    <definedName name="OSRRefH22_7x_0" localSheetId="65">'317'!$H$94</definedName>
    <definedName name="OSRRefH22_7x_0" localSheetId="63">'320'!$H$65:$H$66</definedName>
    <definedName name="OSRRefH22_7x_0" localSheetId="69">'321'!$H$56</definedName>
    <definedName name="OSRRefH22_7x_0" localSheetId="70">'322'!$H$58</definedName>
    <definedName name="OSRRefH22_7x_0" localSheetId="71">'325'!$H$59</definedName>
    <definedName name="OSRRefH22_7x_0" localSheetId="60">'326'!$H$90</definedName>
    <definedName name="OSRRefH22_7x_0" localSheetId="55">'330'!$H$120</definedName>
    <definedName name="OSRRefH22_7x_0" localSheetId="58">'331'!$H$106</definedName>
    <definedName name="OSRRefH22_7x_0" localSheetId="61">'332'!$H$77:$H$78</definedName>
    <definedName name="OSRRefH22_7x_0" localSheetId="76">'405'!$H$59</definedName>
    <definedName name="OSRRefH22_7x_0" localSheetId="77">'406'!$H$59</definedName>
    <definedName name="OSRRefH22_7x_0" localSheetId="78">'411'!$H$55</definedName>
    <definedName name="OSRRefH22_7x_0" localSheetId="79">'412'!$H$60</definedName>
    <definedName name="OSRRefH22_7x_0" localSheetId="81">'413'!$H$58</definedName>
    <definedName name="OSRRefH22_7x_0" localSheetId="82">'414'!$H$59</definedName>
    <definedName name="OSRRefH22_7x_0" localSheetId="83">'415'!$H$59</definedName>
    <definedName name="OSRRefH22_7x_0" localSheetId="84">'418'!$H$60</definedName>
    <definedName name="OSRRefH22_7x_0" localSheetId="80">'420'!$H$49</definedName>
    <definedName name="OSRRefH22_7x_0" localSheetId="86">'424'!$H$57</definedName>
    <definedName name="OSRRefH22_7x_0" localSheetId="87">'425'!$H$62</definedName>
    <definedName name="OSRRefH22_7x_0" localSheetId="90">'430'!$H$51:$H$54</definedName>
    <definedName name="OSRRefH22_7x_0" localSheetId="91">'433'!$H$60</definedName>
    <definedName name="OSRRefH22_7x_0" localSheetId="92">'435'!$H$57:$H$59</definedName>
    <definedName name="OSRRefH22_7x_0" localSheetId="93">'444'!$H$59</definedName>
    <definedName name="OSRRefH22_7x_0" localSheetId="94">'450'!$H$60</definedName>
    <definedName name="OSRRefH22_7x_0" localSheetId="75">'491'!$H$70</definedName>
    <definedName name="OSRRefH22_7x_0" localSheetId="89">'492'!$H$64</definedName>
    <definedName name="OSRRefH22_7x_0" localSheetId="96">'501'!$H$52</definedName>
    <definedName name="OSRRefH22_7x_0" localSheetId="39">'Div 2'!$H$56</definedName>
    <definedName name="OSRRefH22_7x_0" localSheetId="47">'Div 3'!$H$213:$H$214</definedName>
    <definedName name="OSRRefH22_7x_0" localSheetId="73">'Div 4'!$H$72:$H$73</definedName>
    <definedName name="OSRRefH22_7x_0" localSheetId="95">'Div 5'!$H$52</definedName>
    <definedName name="OSRRefH22_7x_0" localSheetId="64">'Div 6'!$H$94</definedName>
    <definedName name="OSRRefH22_7x_0" localSheetId="2">Summary!$H$247:$H$249</definedName>
    <definedName name="OSRRefH22_8x_0" localSheetId="41">'201'!$H$54</definedName>
    <definedName name="OSRRefH22_8x_0" localSheetId="42">'202'!$H$53</definedName>
    <definedName name="OSRRefH22_8x_0" localSheetId="43">'203'!$H$54</definedName>
    <definedName name="OSRRefH22_8x_0" localSheetId="44">'204'!$H$59</definedName>
    <definedName name="OSRRefH22_8x_0" localSheetId="45">'205'!$H$56</definedName>
    <definedName name="OSRRefH22_8x_0" localSheetId="46">'206'!$H$54</definedName>
    <definedName name="OSRRefH22_8x_0" localSheetId="48">'300'!$H$211</definedName>
    <definedName name="OSRRefH22_8x_0" localSheetId="49">'300 &amp; 317'!$H$237</definedName>
    <definedName name="OSRRefH22_8x_0" localSheetId="50">'301'!$H$59</definedName>
    <definedName name="OSRRefH22_8x_0" localSheetId="51">'306'!$H$54:$H$57</definedName>
    <definedName name="OSRRefH22_8x_0" localSheetId="56">'307'!$H$133</definedName>
    <definedName name="OSRRefH22_8x_0" localSheetId="52">'308'!$H$103:$H$111</definedName>
    <definedName name="OSRRefH22_8x_0" localSheetId="67">'309'!$H$60</definedName>
    <definedName name="OSRRefH22_8x_0" localSheetId="66">'310'!$H$70</definedName>
    <definedName name="OSRRefH22_8x_0" localSheetId="74">'310 &amp; 491'!$H$79</definedName>
    <definedName name="OSRRefH22_8x_0" localSheetId="53">'311'!$H$103:$H$111</definedName>
    <definedName name="OSRRefH22_8x_0" localSheetId="68">'313'!$H$64</definedName>
    <definedName name="OSRRefH22_8x_0" localSheetId="57">'314'!$H$103</definedName>
    <definedName name="OSRRefH22_8x_0" localSheetId="59">'315'!$H$99</definedName>
    <definedName name="OSRRefH22_8x_0" localSheetId="62">'316'!$H$69</definedName>
    <definedName name="OSRRefH22_8x_0" localSheetId="65">'317'!$H$96:$H$103</definedName>
    <definedName name="OSRRefH22_8x_0" localSheetId="63">'320'!$H$68</definedName>
    <definedName name="OSRRefH22_8x_0" localSheetId="69">'321'!$H$58</definedName>
    <definedName name="OSRRefH22_8x_0" localSheetId="70">'322'!$H$60</definedName>
    <definedName name="OSRRefH22_8x_0" localSheetId="71">'325'!$H$61</definedName>
    <definedName name="OSRRefH22_8x_0" localSheetId="60">'326'!$H$92</definedName>
    <definedName name="OSRRefH22_8x_0" localSheetId="55">'330'!$H$122:$H$143</definedName>
    <definedName name="OSRRefH22_8x_0" localSheetId="58">'331'!$H$108:$H$109</definedName>
    <definedName name="OSRRefH22_8x_0" localSheetId="61">'332'!$H$80</definedName>
    <definedName name="OSRRefH22_8x_0" localSheetId="76">'405'!$H$61</definedName>
    <definedName name="OSRRefH22_8x_0" localSheetId="77">'406'!$H$61</definedName>
    <definedName name="OSRRefH22_8x_0" localSheetId="78">'411'!$H$57</definedName>
    <definedName name="OSRRefH22_8x_0" localSheetId="79">'412'!$H$62</definedName>
    <definedName name="OSRRefH22_8x_0" localSheetId="81">'413'!$H$60:$H$62</definedName>
    <definedName name="OSRRefH22_8x_0" localSheetId="82">'414'!$H$61</definedName>
    <definedName name="OSRRefH22_8x_0" localSheetId="83">'415'!$H$61</definedName>
    <definedName name="OSRRefH22_8x_0" localSheetId="84">'418'!$H$62</definedName>
    <definedName name="OSRRefH22_8x_0" localSheetId="86">'424'!$H$59:$H$60</definedName>
    <definedName name="OSRRefH22_8x_0" localSheetId="87">'425'!$H$64</definedName>
    <definedName name="OSRRefH22_8x_0" localSheetId="90">'430'!$H$56</definedName>
    <definedName name="OSRRefH22_8x_0" localSheetId="91">'433'!$H$62</definedName>
    <definedName name="OSRRefH22_8x_0" localSheetId="92">'435'!$H$61</definedName>
    <definedName name="OSRRefH22_8x_0" localSheetId="93">'444'!$H$61</definedName>
    <definedName name="OSRRefH22_8x_0" localSheetId="94">'450'!$H$62</definedName>
    <definedName name="OSRRefH22_8x_0" localSheetId="75">'491'!$H$72</definedName>
    <definedName name="OSRRefH22_8x_0" localSheetId="89">'492'!$H$66</definedName>
    <definedName name="OSRRefH22_8x_0" localSheetId="96">'501'!$H$54</definedName>
    <definedName name="OSRRefH22_8x_0" localSheetId="39">'Div 2'!$H$58</definedName>
    <definedName name="OSRRefH22_8x_0" localSheetId="47">'Div 3'!$H$216</definedName>
    <definedName name="OSRRefH22_8x_0" localSheetId="73">'Div 4'!$H$75</definedName>
    <definedName name="OSRRefH22_8x_0" localSheetId="95">'Div 5'!$H$54</definedName>
    <definedName name="OSRRefH22_8x_0" localSheetId="64">'Div 6'!$H$96:$H$103</definedName>
    <definedName name="OSRRefH22_8x_0" localSheetId="2">Summary!$H$251</definedName>
    <definedName name="OSRRefH22_9x_0" localSheetId="41">'201'!$H$56</definedName>
    <definedName name="OSRRefH22_9x_0" localSheetId="42">'202'!$H$55:$H$57</definedName>
    <definedName name="OSRRefH22_9x_0" localSheetId="43">'203'!$H$56:$H$58</definedName>
    <definedName name="OSRRefH22_9x_0" localSheetId="44">'204'!$H$61:$H$62</definedName>
    <definedName name="OSRRefH22_9x_0" localSheetId="45">'205'!$H$58</definedName>
    <definedName name="OSRRefH22_9x_0" localSheetId="46">'206'!$H$56</definedName>
    <definedName name="OSRRefH22_9x_0" localSheetId="48">'300'!$H$213</definedName>
    <definedName name="OSRRefH22_9x_0" localSheetId="49">'300 &amp; 317'!$H$239</definedName>
    <definedName name="OSRRefH22_9x_0" localSheetId="50">'301'!$H$61</definedName>
    <definedName name="OSRRefH22_9x_0" localSheetId="51">'306'!$H$59</definedName>
    <definedName name="OSRRefH22_9x_0" localSheetId="56">'307'!$H$135:$H$136</definedName>
    <definedName name="OSRRefH22_9x_0" localSheetId="52">'308'!$H$113:$H$116</definedName>
    <definedName name="OSRRefH22_9x_0" localSheetId="67">'309'!$H$62:$H$63</definedName>
    <definedName name="OSRRefH22_9x_0" localSheetId="66">'310'!$H$72</definedName>
    <definedName name="OSRRefH22_9x_0" localSheetId="74">'310 &amp; 491'!$H$81</definedName>
    <definedName name="OSRRefH22_9x_0" localSheetId="53">'311'!$H$113:$H$116</definedName>
    <definedName name="OSRRefH22_9x_0" localSheetId="68">'313'!$H$66</definedName>
    <definedName name="OSRRefH22_9x_0" localSheetId="57">'314'!$H$105:$H$106</definedName>
    <definedName name="OSRRefH22_9x_0" localSheetId="59">'315'!$H$101:$H$102</definedName>
    <definedName name="OSRRefH22_9x_0" localSheetId="62">'316'!$H$71:$H$72</definedName>
    <definedName name="OSRRefH22_9x_0" localSheetId="65">'317'!$H$105</definedName>
    <definedName name="OSRRefH22_9x_0" localSheetId="69">'321'!$H$60:$H$62</definedName>
    <definedName name="OSRRefH22_9x_0" localSheetId="70">'322'!$H$62:$H$64</definedName>
    <definedName name="OSRRefH22_9x_0" localSheetId="71">'325'!$H$63</definedName>
    <definedName name="OSRRefH22_9x_0" localSheetId="60">'326'!$H$94</definedName>
    <definedName name="OSRRefH22_9x_0" localSheetId="55">'330'!$H$145</definedName>
    <definedName name="OSRRefH22_9x_0" localSheetId="58">'331'!$H$111</definedName>
    <definedName name="OSRRefH22_9x_0" localSheetId="61">'332'!$H$82:$H$84</definedName>
    <definedName name="OSRRefH22_9x_0" localSheetId="76">'405'!$H$63</definedName>
    <definedName name="OSRRefH22_9x_0" localSheetId="77">'406'!$H$63:$H$65</definedName>
    <definedName name="OSRRefH22_9x_0" localSheetId="78">'411'!$H$59</definedName>
    <definedName name="OSRRefH22_9x_0" localSheetId="79">'412'!$H$64:$H$66</definedName>
    <definedName name="OSRRefH22_9x_0" localSheetId="81">'413'!$H$64:$H$65</definedName>
    <definedName name="OSRRefH22_9x_0" localSheetId="82">'414'!$H$63:$H$64</definedName>
    <definedName name="OSRRefH22_9x_0" localSheetId="83">'415'!$H$63</definedName>
    <definedName name="OSRRefH22_9x_0" localSheetId="84">'418'!$H$64</definedName>
    <definedName name="OSRRefH22_9x_0" localSheetId="86">'424'!$H$62:$H$64</definedName>
    <definedName name="OSRRefH22_9x_0" localSheetId="87">'425'!$H$66:$H$68</definedName>
    <definedName name="OSRRefH22_9x_0" localSheetId="90">'430'!$H$58</definedName>
    <definedName name="OSRRefH22_9x_0" localSheetId="91">'433'!$H$64</definedName>
    <definedName name="OSRRefH22_9x_0" localSheetId="93">'444'!$H$63</definedName>
    <definedName name="OSRRefH22_9x_0" localSheetId="94">'450'!$H$64</definedName>
    <definedName name="OSRRefH22_9x_0" localSheetId="75">'491'!$H$74</definedName>
    <definedName name="OSRRefH22_9x_0" localSheetId="89">'492'!$H$68</definedName>
    <definedName name="OSRRefH22_9x_0" localSheetId="96">'501'!$H$56</definedName>
    <definedName name="OSRRefH22_9x_0" localSheetId="39">'Div 2'!$H$60</definedName>
    <definedName name="OSRRefH22_9x_0" localSheetId="47">'Div 3'!$H$218</definedName>
    <definedName name="OSRRefH22_9x_0" localSheetId="73">'Div 4'!$H$77</definedName>
    <definedName name="OSRRefH22_9x_0" localSheetId="95">'Div 5'!$H$56</definedName>
    <definedName name="OSRRefH22_9x_0" localSheetId="64">'Div 6'!$H$105</definedName>
    <definedName name="OSRRefH22_9x_0" localSheetId="2">Summary!$H$253</definedName>
    <definedName name="OSRRefH22x_0" localSheetId="40">'200'!$H$20:$H$21,'200'!$H$23,'200'!$H$25,'200'!$H$27,'200'!$H$29:$H$30</definedName>
    <definedName name="OSRRefH22x_0" localSheetId="41">'201'!$H$20:$H$28,'201'!$H$30:$H$39,'201'!$H$41,'201'!$H$43,'201'!$H$45:$H$46,'201'!$H$48,'201'!$H$50,'201'!$H$52,'201'!$H$54,'201'!$H$56,'201'!$H$58:$H$60,'201'!$H$62:$H$64,'201'!$H$66,'201'!$H$68:$H$71,'201'!$H$73,'201'!$H$75,'201'!$H$77:$H$78</definedName>
    <definedName name="OSRRefH22x_0" localSheetId="42">'202'!$H$20:$H$28,'202'!$H$30:$H$39,'202'!$H$41,'202'!$H$43,'202'!$H$45,'202'!$H$47,'202'!$H$49,'202'!$H$51,'202'!$H$53,'202'!$H$55:$H$57,'202'!$H$59,'202'!$H$61:$H$63,'202'!$H$65,'202'!$H$67,'202'!$H$69:$H$70,'202'!$H$72,'202'!$H$74</definedName>
    <definedName name="OSRRefH22x_0" localSheetId="43">'203'!$H$20:$H$29,'203'!$H$31:$H$40,'203'!$H$42,'203'!$H$44,'203'!$H$46,'203'!$H$48,'203'!$H$50,'203'!$H$52,'203'!$H$54,'203'!$H$56:$H$58,'203'!$H$60:$H$61,'203'!$H$63,'203'!$H$65:$H$68,'203'!$H$70,'203'!$H$72,'203'!$H$74</definedName>
    <definedName name="OSRRefH22x_0" localSheetId="44">'204'!$H$21:$H$30,'204'!$H$32:$H$41,'204'!$H$43,'204'!$H$45:$H$46,'204'!$H$48,'204'!$H$50,'204'!$H$52,'204'!$H$54:$H$57,'204'!$H$59,'204'!$H$61:$H$62,'204'!$H$64:$H$65,'204'!$H$67,'204'!$H$69:$H$70</definedName>
    <definedName name="OSRRefH22x_0" localSheetId="45">'205'!$H$20:$H$28,'205'!$H$30:$H$39,'205'!$H$41,'205'!$H$43,'205'!$H$45,'205'!$H$47:$H$49,'205'!$H$51,'205'!$H$53:$H$54,'205'!$H$56,'205'!$H$58</definedName>
    <definedName name="OSRRefH22x_0" localSheetId="46">'206'!$H$20:$H$28,'206'!$H$30:$H$39,'206'!$H$41,'206'!$H$43,'206'!$H$45,'206'!$H$47,'206'!$H$49,'206'!$H$51:$H$52,'206'!$H$54,'206'!$H$56,'206'!$H$58</definedName>
    <definedName name="OSRRefH22x_0" localSheetId="48">'300'!$H$171:$H$180,'300'!$H$182:$H$191,'300'!$H$193,'300'!$H$195:$H$196,'300'!$H$198,'300'!$H$200:$H$203,'300'!$H$205:$H$206,'300'!$H$208:$H$209,'300'!$H$211,'300'!$H$213,'300'!$H$215:$H$216,'300'!$H$218,'300'!$H$220,'300'!$H$222:$H$255,'300'!$H$257,'300'!$H$259,'300'!$H$261:$H$264,'300'!$H$266:$H$269,'300'!$H$271:$H$274,'300'!$H$276:$H$277,'300'!$H$279:$H$286,'300'!$H$288:$H$289,'300'!$H$291,'300'!$H$293:$H$295,'300'!$H$297</definedName>
    <definedName name="OSRRefH22x_0" localSheetId="49">'300 &amp; 317'!$H$197:$H$206,'300 &amp; 317'!$H$208:$H$217,'300 &amp; 317'!$H$219,'300 &amp; 317'!$H$221:$H$222,'300 &amp; 317'!$H$224,'300 &amp; 317'!$H$226:$H$229,'300 &amp; 317'!$H$231:$H$232,'300 &amp; 317'!$H$234:$H$235,'300 &amp; 317'!$H$237,'300 &amp; 317'!$H$239,'300 &amp; 317'!$H$241:$H$242,'300 &amp; 317'!$H$244,'300 &amp; 317'!$H$246,'300 &amp; 317'!$H$248:$H$284,'300 &amp; 317'!$H$286,'300 &amp; 317'!$H$288,'300 &amp; 317'!$H$290:$H$293,'300 &amp; 317'!$H$295:$H$298,'300 &amp; 317'!$H$300:$H$303,'300 &amp; 317'!$H$305:$H$306,'300 &amp; 317'!$H$308:$H$315,'300 &amp; 317'!$H$317:$H$318,'300 &amp; 317'!$H$320,'300 &amp; 317'!$H$322:$H$324,'300 &amp; 317'!$H$326</definedName>
    <definedName name="OSRRefH22x_0" localSheetId="50">'301'!$H$20:$H$28,'301'!$H$30:$H$39,'301'!$H$41,'301'!$H$43:$H$44,'301'!$H$46,'301'!$H$48:$H$51,'301'!$H$53:$H$54,'301'!$H$56:$H$57,'301'!$H$59,'301'!$H$61,'301'!$H$63,'301'!$H$65,'301'!$H$67,'301'!$H$69:$H$70,'301'!$H$72,'301'!$H$74,'301'!$H$76:$H$79,'301'!$H$81:$H$83,'301'!$H$85:$H$86,'301'!$H$88:$H$94,'301'!$H$96,'301'!$H$98,'301'!$H$100:$H$102,'301'!$H$104</definedName>
    <definedName name="OSRRefH22x_0" localSheetId="51">'306'!$H$20:$H$28,'306'!$H$30:$H$39,'306'!$H$41,'306'!$H$43,'306'!$H$45,'306'!$H$47,'306'!$H$49,'306'!$H$51:$H$52,'306'!$H$54:$H$57,'306'!$H$59,'306'!$H$61</definedName>
    <definedName name="OSRRefH22x_0" localSheetId="56">'307'!$H$79:$H$87,'307'!$H$89:$H$98,'307'!$H$100,'307'!$H$102,'307'!$H$104:$H$105,'307'!$H$107,'307'!$H$109,'307'!$H$111:$H$131,'307'!$H$133,'307'!$H$135:$H$136,'307'!$H$138:$H$139,'307'!$H$141:$H$143,'307'!$H$145,'307'!$H$147</definedName>
    <definedName name="OSRRefH22x_0" localSheetId="52">'308'!$H$67:$H$76,'308'!$H$78:$H$87,'308'!$H$89,'308'!$H$91:$H$92,'308'!$H$94,'308'!$H$96,'308'!$H$98:$H$99,'308'!$H$101,'308'!$H$103:$H$111,'308'!$H$113:$H$116,'308'!$H$118:$H$119,'308'!$H$121:$H$123,'308'!$H$125:$H$126,'308'!$H$128,'308'!$H$130:$H$131</definedName>
    <definedName name="OSRRefH22x_0" localSheetId="67">'309'!$H$26:$H$34,'309'!$H$36:$H$45,'309'!$H$47,'309'!$H$49,'309'!$H$51,'309'!$H$53:$H$54,'309'!$H$56,'309'!$H$58,'309'!$H$60,'309'!$H$62:$H$63,'309'!$H$65:$H$67,'309'!$H$69:$H$71,'309'!$H$73,'309'!$H$75</definedName>
    <definedName name="OSRRefH22x_0" localSheetId="66">'310'!$H$35:$H$43,'310'!$H$45:$H$54,'310'!$H$56,'310'!$H$58,'310'!$H$60,'310'!$H$62:$H$64,'310'!$H$66,'310'!$H$68,'310'!$H$70,'310'!$H$72,'310'!$H$74,'310'!$H$76,'310'!$H$78,'310'!$H$80,'310'!$H$82,'310'!$H$84:$H$86,'310'!$H$88:$H$89,'310'!$H$91:$H$95,'310'!$H$97,'310'!$H$99:$H$107,'310'!$H$109,'310'!$H$111,'310'!$H$113:$H$114,'310'!$H$116</definedName>
    <definedName name="OSRRefH22x_0" localSheetId="74">'310 &amp; 491'!$H$42:$H$51,'310 &amp; 491'!$H$53:$H$62,'310 &amp; 491'!$H$64,'310 &amp; 491'!$H$66,'310 &amp; 491'!$H$68,'310 &amp; 491'!$H$70:$H$73,'310 &amp; 491'!$H$75,'310 &amp; 491'!$H$77,'310 &amp; 491'!$H$79,'310 &amp; 491'!$H$81,'310 &amp; 491'!$H$83:$H$84,'310 &amp; 491'!$H$86:$H$87,'310 &amp; 491'!$H$89,'310 &amp; 491'!$H$91,'310 &amp; 491'!$H$93,'310 &amp; 491'!$H$95,'310 &amp; 491'!$H$97,'310 &amp; 491'!$H$99:$H$102,'310 &amp; 491'!$H$104:$H$107,'310 &amp; 491'!$H$109:$H$114,'310 &amp; 491'!$H$116:$H$117,'310 &amp; 491'!$H$119:$H$129,'310 &amp; 491'!$H$131:$H$132,'310 &amp; 491'!$H$134,'310 &amp; 491'!$H$136:$H$138,'310 &amp; 491'!$H$140</definedName>
    <definedName name="OSRRefH22x_0" localSheetId="53">'311'!$H$67:$H$76,'311'!$H$78:$H$87,'311'!$H$89,'311'!$H$91:$H$92,'311'!$H$94,'311'!$H$96,'311'!$H$98:$H$99,'311'!$H$101,'311'!$H$103:$H$111,'311'!$H$113:$H$116,'311'!$H$118:$H$119,'311'!$H$121:$H$123,'311'!$H$125:$H$126,'311'!$H$128,'311'!$H$130:$H$131</definedName>
    <definedName name="OSRRefH22x_0" localSheetId="68">'313'!$H$31:$H$39,'313'!$H$41:$H$50,'313'!$H$52,'313'!$H$54,'313'!$H$56,'313'!$H$58,'313'!$H$60,'313'!$H$62,'313'!$H$64,'313'!$H$66,'313'!$H$68:$H$70,'313'!$H$72,'313'!$H$74:$H$79,'313'!$H$81,'313'!$H$83</definedName>
    <definedName name="OSRRefH22x_0" localSheetId="57">'314'!$H$59:$H$68,'314'!$H$70:$H$79,'314'!$H$81,'314'!$H$83:$H$84,'314'!$H$86,'314'!$H$88,'314'!$H$90,'314'!$H$92:$H$101,'314'!$H$103,'314'!$H$105:$H$106,'314'!$H$108,'314'!$H$110</definedName>
    <definedName name="OSRRefH22x_0" localSheetId="59">'315'!$H$58:$H$66,'315'!$H$68:$H$77,'315'!$H$79,'315'!$H$81:$H$82,'315'!$H$84,'315'!$H$86:$H$87,'315'!$H$89,'315'!$H$91:$H$97,'315'!$H$99,'315'!$H$101:$H$102,'315'!$H$104:$H$106,'315'!$H$108:$H$109,'315'!$H$111:$H$115,'315'!$H$117,'315'!$H$119,'315'!$H$121:$H$122</definedName>
    <definedName name="OSRRefH22x_0" localSheetId="62">'316'!$H$36:$H$44,'316'!$H$46:$H$55,'316'!$H$57,'316'!$H$59,'316'!$H$61,'316'!$H$63,'316'!$H$65,'316'!$H$67,'316'!$H$69,'316'!$H$71:$H$72,'316'!$H$74:$H$75,'316'!$H$77:$H$81,'316'!$H$83:$H$84,'316'!$H$86</definedName>
    <definedName name="OSRRefH22x_0" localSheetId="65">'317'!$H$62:$H$71,'317'!$H$73:$H$82,'317'!$H$84,'317'!$H$86,'317'!$H$88,'317'!$H$90,'317'!$H$92,'317'!$H$94,'317'!$H$96:$H$103,'317'!$H$105,'317'!$H$107,'317'!$H$109:$H$110,'317'!$H$112:$H$113,'317'!$H$115,'317'!$H$117</definedName>
    <definedName name="OSRRefH22x_0" localSheetId="63">'320'!$H$32:$H$39,'320'!$H$41:$H$50,'320'!$H$52,'320'!$H$54,'320'!$H$56:$H$57,'320'!$H$59,'320'!$H$61:$H$63,'320'!$H$65:$H$66,'320'!$H$68</definedName>
    <definedName name="OSRRefH22x_0" localSheetId="69">'321'!$H$26:$H$33,'321'!$H$35:$H$44,'321'!$H$46,'321'!$H$48,'321'!$H$50,'321'!$H$52,'321'!$H$54,'321'!$H$56,'321'!$H$58,'321'!$H$60:$H$62,'321'!$H$64:$H$65,'321'!$H$67:$H$69,'321'!$H$71:$H$74,'321'!$H$76,'321'!$H$78</definedName>
    <definedName name="OSRRefH22x_0" localSheetId="70">'322'!$H$26:$H$34,'322'!$H$36:$H$45,'322'!$H$47,'322'!$H$49,'322'!$H$51,'322'!$H$53:$H$54,'322'!$H$56,'322'!$H$58,'322'!$H$60,'322'!$H$62:$H$64,'322'!$H$66:$H$68,'322'!$H$70:$H$76,'322'!$H$78,'322'!$H$80,'322'!$H$82</definedName>
    <definedName name="OSRRefH22x_0" localSheetId="71">'325'!$H$26:$H$34,'325'!$H$36:$H$45,'325'!$H$47,'325'!$H$49,'325'!$H$51,'325'!$H$53:$H$55,'325'!$H$57,'325'!$H$59,'325'!$H$61,'325'!$H$63,'325'!$H$65,'325'!$H$67:$H$69,'325'!$H$71:$H$75,'325'!$H$77,'325'!$H$79:$H$85,'325'!$H$87,'325'!$H$89,'325'!$H$91,'325'!$H$93</definedName>
    <definedName name="OSRRefH22x_0" localSheetId="60">'326'!$H$58:$H$66,'326'!$H$68:$H$77,'326'!$H$79,'326'!$H$81:$H$82,'326'!$H$84,'326'!$H$86,'326'!$H$88,'326'!$H$90,'326'!$H$92,'326'!$H$94,'326'!$H$96:$H$108,'326'!$H$110,'326'!$H$112,'326'!$H$114:$H$115,'326'!$H$117:$H$119,'326'!$H$121:$H$122,'326'!$H$124:$H$129,'326'!$H$131:$H$132,'326'!$H$134,'326'!$H$136,'326'!$H$138</definedName>
    <definedName name="OSRRefH22x_0" localSheetId="72">'327'!$H$24,'327'!$H$26,'327'!$H$28</definedName>
    <definedName name="OSRRefH22x_0" localSheetId="55">'330'!$H$87:$H$96,'330'!$H$98:$H$107,'330'!$H$109,'330'!$H$111,'330'!$H$113:$H$114,'330'!$H$116,'330'!$H$118,'330'!$H$120,'330'!$H$122:$H$143,'330'!$H$145,'330'!$H$147:$H$148,'330'!$H$150:$H$151,'330'!$H$153,'330'!$H$155:$H$157,'330'!$H$159,'330'!$H$161,'330'!$H$163</definedName>
    <definedName name="OSRRefH22x_0" localSheetId="58">'331'!$H$73:$H$81,'331'!$H$83:$H$92,'331'!$H$94,'331'!$H$96:$H$97,'331'!$H$99,'331'!$H$101:$H$102,'331'!$H$104,'331'!$H$106,'331'!$H$108:$H$109,'331'!$H$111,'331'!$H$113,'331'!$H$115:$H$127,'331'!$H$129,'331'!$H$131,'331'!$H$133:$H$134,'331'!$H$136:$H$138,'331'!$H$140:$H$142,'331'!$H$144:$H$145,'331'!$H$147:$H$152,'331'!$H$154:$H$155,'331'!$H$157,'331'!$H$159:$H$160,'331'!$H$162</definedName>
    <definedName name="OSRRefH22x_0" localSheetId="61">'332'!$H$46:$H$54,'332'!$H$56:$H$65,'332'!$H$67,'332'!$H$69,'332'!$H$71,'332'!$H$73,'332'!$H$75,'332'!$H$77:$H$78,'332'!$H$80,'332'!$H$82:$H$84,'332'!$H$86:$H$87,'332'!$H$89:$H$90,'332'!$H$92:$H$96,'332'!$H$98:$H$99,'332'!$H$101</definedName>
    <definedName name="OSRRefH22x_0" localSheetId="76">'405'!$H$26:$H$34,'405'!$H$36:$H$45,'405'!$H$47,'405'!$H$49,'405'!$H$51,'405'!$H$53:$H$55,'405'!$H$57,'405'!$H$59,'405'!$H$61,'405'!$H$63,'405'!$H$65,'405'!$H$67:$H$69,'405'!$H$71,'405'!$H$73:$H$75,'405'!$H$77:$H$78,'405'!$H$80:$H$88,'405'!$H$90,'405'!$H$92,'405'!$H$94,'405'!$H$96</definedName>
    <definedName name="OSRRefH22x_0" localSheetId="77">'406'!$H$27:$H$35,'406'!$H$37:$H$46,'406'!$H$48,'406'!$H$50,'406'!$H$52,'406'!$H$54:$H$55,'406'!$H$57,'406'!$H$59,'406'!$H$61,'406'!$H$63:$H$65,'406'!$H$67:$H$69,'406'!$H$71:$H$76,'406'!$H$78:$H$79,'406'!$H$81,'406'!$H$83:$H$84</definedName>
    <definedName name="OSRRefH22x_0" localSheetId="78">'411'!$H$20:$H$29,'411'!$H$31:$H$40,'411'!$H$42,'411'!$H$44,'411'!$H$46:$H$49,'411'!$H$51,'411'!$H$53,'411'!$H$55,'411'!$H$57,'411'!$H$59,'411'!$H$61,'411'!$H$63,'411'!$H$65:$H$68,'411'!$H$70:$H$74,'411'!$H$76,'411'!$H$78:$H$86,'411'!$H$88,'411'!$H$90,'411'!$H$92:$H$94,'411'!$H$96</definedName>
    <definedName name="OSRRefH22x_0" localSheetId="79">'412'!$H$27:$H$35,'412'!$H$37:$H$46,'412'!$H$48,'412'!$H$50,'412'!$H$52,'412'!$H$54:$H$56,'412'!$H$58,'412'!$H$60,'412'!$H$62,'412'!$H$64:$H$66,'412'!$H$68,'412'!$H$70:$H$72,'412'!$H$74:$H$81,'412'!$H$83,'412'!$H$85,'412'!$H$87</definedName>
    <definedName name="OSRRefH22x_0" localSheetId="81">'413'!$H$27:$H$35,'413'!$H$37:$H$46,'413'!$H$48,'413'!$H$50,'413'!$H$52,'413'!$H$54,'413'!$H$56,'413'!$H$58,'413'!$H$60:$H$62,'413'!$H$64:$H$65,'413'!$H$67:$H$73,'413'!$H$75:$H$76,'413'!$H$78,'413'!$H$80</definedName>
    <definedName name="OSRRefH22x_0" localSheetId="82">'414'!$H$27:$H$35,'414'!$H$37:$H$46,'414'!$H$48,'414'!$H$50,'414'!$H$52,'414'!$H$54:$H$55,'414'!$H$57,'414'!$H$59,'414'!$H$61,'414'!$H$63:$H$64,'414'!$H$66,'414'!$H$68,'414'!$H$70,'414'!$H$72:$H$78,'414'!$H$80,'414'!$H$82</definedName>
    <definedName name="OSRRefH22x_0" localSheetId="83">'415'!$H$26:$H$34,'415'!$H$36:$H$45,'415'!$H$47,'415'!$H$49,'415'!$H$51,'415'!$H$53:$H$55,'415'!$H$57,'415'!$H$59,'415'!$H$61,'415'!$H$63,'415'!$H$65,'415'!$H$67:$H$70,'415'!$H$72:$H$76,'415'!$H$78:$H$79,'415'!$H$81:$H$89,'415'!$H$91,'415'!$H$93,'415'!$H$95:$H$96,'415'!$H$98</definedName>
    <definedName name="OSRRefH22x_0" localSheetId="84">'418'!$H$27:$H$35,'418'!$H$37:$H$46,'418'!$H$48,'418'!$H$50,'418'!$H$52,'418'!$H$54:$H$56,'418'!$H$58,'418'!$H$60,'418'!$H$62,'418'!$H$64,'418'!$H$66:$H$67,'418'!$H$69:$H$71,'418'!$H$73:$H$75,'418'!$H$77:$H$78,'418'!$H$80:$H$87,'418'!$H$89,'418'!$H$91,'418'!$H$93:$H$94</definedName>
    <definedName name="OSRRefH22x_0" localSheetId="80">'420'!$H$24:$H$31,'420'!$H$33:$H$36,'420'!$H$38,'420'!$H$40,'420'!$H$42,'420'!$H$44,'420'!$H$46:$H$47,'420'!$H$49</definedName>
    <definedName name="OSRRefH22x_0" localSheetId="85">'423'!$H$21:$H$29,'423'!$H$31:$H$40,'423'!$H$42,'423'!$H$44,'423'!$H$46,'423'!$H$48,'423'!$H$50</definedName>
    <definedName name="OSRRefH22x_0" localSheetId="86">'424'!$H$27:$H$34,'424'!$H$36:$H$45,'424'!$H$47,'424'!$H$49,'424'!$H$51,'424'!$H$53,'424'!$H$55,'424'!$H$57,'424'!$H$59:$H$60,'424'!$H$62:$H$64,'424'!$H$66,'424'!$H$68:$H$72,'424'!$H$74:$H$75</definedName>
    <definedName name="OSRRefH22x_0" localSheetId="87">'425'!$H$29:$H$38,'425'!$H$40:$H$49,'425'!$H$51,'425'!$H$53,'425'!$H$55,'425'!$H$57:$H$58,'425'!$H$60,'425'!$H$62,'425'!$H$64,'425'!$H$66:$H$68,'425'!$H$70:$H$71,'425'!$H$73:$H$75,'425'!$H$77,'425'!$H$79:$H$85,'425'!$H$87:$H$88,'425'!$H$90,'425'!$H$92</definedName>
    <definedName name="OSRRefH22x_0" localSheetId="90">'430'!$H$20:$H$28,'430'!$H$30:$H$39,'430'!$H$41,'430'!$H$43,'430'!$H$45,'430'!$H$47,'430'!$H$49,'430'!$H$51:$H$54,'430'!$H$56,'430'!$H$58,'430'!$H$60</definedName>
    <definedName name="OSRRefH22x_0" localSheetId="91">'433'!$H$28:$H$37,'433'!$H$39:$H$48,'433'!$H$50,'433'!$H$52,'433'!$H$54,'433'!$H$56,'433'!$H$58,'433'!$H$60,'433'!$H$62,'433'!$H$64,'433'!$H$66:$H$68,'433'!$H$70:$H$73,'433'!$H$75:$H$83,'433'!$H$85,'433'!$H$87,'433'!$H$89:$H$90</definedName>
    <definedName name="OSRRefH22x_0" localSheetId="92">'435'!$H$27:$H$34,'435'!$H$36:$H$45,'435'!$H$47,'435'!$H$49,'435'!$H$51,'435'!$H$53,'435'!$H$55,'435'!$H$57:$H$59,'435'!$H$61</definedName>
    <definedName name="OSRRefH22x_0" localSheetId="93">'444'!$H$27:$H$36,'444'!$H$38:$H$47,'444'!$H$49,'444'!$H$51,'444'!$H$53,'444'!$H$55,'444'!$H$57,'444'!$H$59,'444'!$H$61,'444'!$H$63,'444'!$H$65,'444'!$H$67:$H$69,'444'!$H$71:$H$74,'444'!$H$76:$H$83,'444'!$H$85,'444'!$H$87,'444'!$H$89</definedName>
    <definedName name="OSRRefH22x_0" localSheetId="94">'450'!$H$27:$H$36,'450'!$H$38:$H$47,'450'!$H$49,'450'!$H$51:$H$52,'450'!$H$54,'450'!$H$56,'450'!$H$58,'450'!$H$60,'450'!$H$62,'450'!$H$64,'450'!$H$66,'450'!$H$68,'450'!$H$70:$H$73,'450'!$H$75:$H$77,'450'!$H$79:$H$84,'450'!$H$86,'450'!$H$88,'450'!$H$90:$H$91</definedName>
    <definedName name="OSRRefH22x_0" localSheetId="88">'455'!$H$20:$H$27,'455'!$H$29:$H$38</definedName>
    <definedName name="OSRRefH22x_0" localSheetId="75">'491'!$H$35:$H$44,'491'!$H$46:$H$55,'491'!$H$57,'491'!$H$59,'491'!$H$61,'491'!$H$63:$H$66,'491'!$H$68,'491'!$H$70,'491'!$H$72,'491'!$H$74,'491'!$H$76,'491'!$H$78:$H$79,'491'!$H$81,'491'!$H$83,'491'!$H$85,'491'!$H$87,'491'!$H$89:$H$92,'491'!$H$94:$H$97,'491'!$H$99:$H$103,'491'!$H$105:$H$106,'491'!$H$108:$H$118,'491'!$H$120:$H$121,'491'!$H$123,'491'!$H$125:$H$127,'491'!$H$129</definedName>
    <definedName name="OSRRefH22x_0" localSheetId="89">'492'!$H$30:$H$39,'492'!$H$41:$H$50,'492'!$H$52,'492'!$H$54:$H$55,'492'!$H$57,'492'!$H$59,'492'!$H$61:$H$62,'492'!$H$64,'492'!$H$66,'492'!$H$68,'492'!$H$70,'492'!$H$72,'492'!$H$74,'492'!$H$76:$H$79,'492'!$H$81:$H$84,'492'!$H$86:$H$95,'492'!$H$97,'492'!$H$99,'492'!$H$101:$H$102</definedName>
    <definedName name="OSRRefH22x_0" localSheetId="96">'501'!$H$21:$H$29,'501'!$H$31:$H$40,'501'!$H$42,'501'!$H$44,'501'!$H$46,'501'!$H$48,'501'!$H$50,'501'!$H$52,'501'!$H$54,'501'!$H$56,'501'!$H$58:$H$61,'501'!$H$63,'501'!$H$65:$H$67,'501'!$H$69,'501'!$H$71</definedName>
    <definedName name="OSRRefH22x_0" localSheetId="39">'Div 2'!$H$21:$H$31,'Div 2'!$H$33:$H$42,'Div 2'!$H$44,'Div 2'!$H$46,'Div 2'!$H$48,'Div 2'!$H$50:$H$51,'Div 2'!$H$53:$H$54,'Div 2'!$H$56,'Div 2'!$H$58,'Div 2'!$H$60,'Div 2'!$H$62,'Div 2'!$H$64,'Div 2'!$H$66:$H$68,'Div 2'!$H$70:$H$73,'Div 2'!$H$75:$H$78,'Div 2'!$H$80:$H$81,'Div 2'!$H$83:$H$84,'Div 2'!$H$86:$H$91,'Div 2'!$H$93:$H$94,'Div 2'!$H$96,'Div 2'!$H$98:$H$99</definedName>
    <definedName name="OSRRefH22x_0" localSheetId="47">'Div 3'!$H$176:$H$185,'Div 3'!$H$187:$H$196,'Div 3'!$H$198,'Div 3'!$H$200:$H$201,'Div 3'!$H$203,'Div 3'!$H$205:$H$208,'Div 3'!$H$210:$H$211,'Div 3'!$H$213:$H$214,'Div 3'!$H$216,'Div 3'!$H$218,'Div 3'!$H$220:$H$221,'Div 3'!$H$223,'Div 3'!$H$225,'Div 3'!$H$227,'Div 3'!$H$229:$H$262,'Div 3'!$H$264,'Div 3'!$H$266,'Div 3'!$H$268,'Div 3'!$H$270:$H$273,'Div 3'!$H$275:$H$278,'Div 3'!$H$280:$H$285,'Div 3'!$H$287:$H$288,'Div 3'!$H$290:$H$299,'Div 3'!$H$301:$H$302,'Div 3'!$H$304,'Div 3'!$H$306:$H$308,'Div 3'!$H$310</definedName>
    <definedName name="OSRRefH22x_0" localSheetId="73">'Div 4'!$H$36:$H$45,'Div 4'!$H$47:$H$56,'Div 4'!$H$58,'Div 4'!$H$60:$H$61,'Div 4'!$H$63,'Div 4'!$H$65:$H$68,'Div 4'!$H$70,'Div 4'!$H$72:$H$73,'Div 4'!$H$75,'Div 4'!$H$77,'Div 4'!$H$79,'Div 4'!$H$81:$H$82,'Div 4'!$H$84,'Div 4'!$H$86,'Div 4'!$H$88,'Div 4'!$H$90,'Div 4'!$H$92,'Div 4'!$H$94:$H$97,'Div 4'!$H$99:$H$102,'Div 4'!$H$104:$H$108,'Div 4'!$H$110:$H$111,'Div 4'!$H$113:$H$123,'Div 4'!$H$125:$H$126,'Div 4'!$H$128,'Div 4'!$H$130:$H$132,'Div 4'!$H$134</definedName>
    <definedName name="OSRRefH22x_0" localSheetId="95">'Div 5'!$H$21:$H$29,'Div 5'!$H$31:$H$40,'Div 5'!$H$42,'Div 5'!$H$44,'Div 5'!$H$46,'Div 5'!$H$48,'Div 5'!$H$50,'Div 5'!$H$52,'Div 5'!$H$54,'Div 5'!$H$56,'Div 5'!$H$58:$H$61,'Div 5'!$H$63,'Div 5'!$H$65:$H$67,'Div 5'!$H$69,'Div 5'!$H$71</definedName>
    <definedName name="OSRRefH22x_0" localSheetId="64">'Div 6'!$H$62:$H$71,'Div 6'!$H$73:$H$82,'Div 6'!$H$84,'Div 6'!$H$86,'Div 6'!$H$88,'Div 6'!$H$90,'Div 6'!$H$92,'Div 6'!$H$94,'Div 6'!$H$96:$H$103,'Div 6'!$H$105,'Div 6'!$H$107,'Div 6'!$H$109:$H$110,'Div 6'!$H$112:$H$113,'Div 6'!$H$115,'Div 6'!$H$117</definedName>
    <definedName name="OSRRefH22x_0" localSheetId="2">Summary!$H$210:$H$219,Summary!$H$221:$H$230,Summary!$H$232,Summary!$H$234:$H$235,Summary!$H$237,Summary!$H$239:$H$242,Summary!$H$244:$H$245,Summary!$H$247:$H$249,Summary!$H$251,Summary!$H$253,Summary!$H$255:$H$256,Summary!$H$258:$H$259,Summary!$H$261,Summary!$H$263,Summary!$H$265:$H$301,Summary!$H$303,Summary!$H$305,Summary!$H$307,Summary!$H$309:$H$312,Summary!$H$314:$H$317,Summary!$H$319:$H$324,Summary!$H$326:$H$327,Summary!$H$329:$H$339,Summary!$H$341:$H$342,Summary!$H$344,Summary!$H$346:$H$348,Summary!$H$350</definedName>
    <definedName name="OSRRefH25x_0" localSheetId="48">'300'!$H$300:$H$308</definedName>
    <definedName name="OSRRefH25x_0" localSheetId="49">'300 &amp; 317'!$H$329:$H$340</definedName>
    <definedName name="OSRRefH25x_0" localSheetId="50">'301'!$H$107:$H$110</definedName>
    <definedName name="OSRRefH25x_0" localSheetId="56">'307'!$H$150</definedName>
    <definedName name="OSRRefH25x_0" localSheetId="52">'308'!$H$134:$H$137</definedName>
    <definedName name="OSRRefH25x_0" localSheetId="74">'310 &amp; 491'!$H$143:$H$146</definedName>
    <definedName name="OSRRefH25x_0" localSheetId="53">'311'!$H$134:$H$137</definedName>
    <definedName name="OSRRefH25x_0" localSheetId="59">'315'!$H$125:$H$127</definedName>
    <definedName name="OSRRefH25x_0" localSheetId="62">'316'!$H$89:$H$90</definedName>
    <definedName name="OSRRefH25x_0" localSheetId="65">'317'!$H$120:$H$123</definedName>
    <definedName name="OSRRefH25x_0" localSheetId="63">'320'!$H$71:$H$75</definedName>
    <definedName name="OSRRefH25x_0" localSheetId="55">'330'!$H$166</definedName>
    <definedName name="OSRRefH25x_0" localSheetId="58">'331'!$H$165:$H$167</definedName>
    <definedName name="OSRRefH25x_0" localSheetId="61">'332'!$H$104:$H$110</definedName>
    <definedName name="OSRRefH25x_0" localSheetId="78">'411'!$H$99:$H$100</definedName>
    <definedName name="OSRRefH25x_0" localSheetId="81">'413'!$H$83</definedName>
    <definedName name="OSRRefH25x_0" localSheetId="83">'415'!$H$101</definedName>
    <definedName name="OSRRefH25x_0" localSheetId="85">'423'!$H$53</definedName>
    <definedName name="OSRRefH25x_0" localSheetId="86">'424'!$H$78</definedName>
    <definedName name="OSRRefH25x_0" localSheetId="87">'425'!$H$95</definedName>
    <definedName name="OSRRefH25x_0" localSheetId="88">'455'!$H$41:$H$44</definedName>
    <definedName name="OSRRefH25x_0" localSheetId="75">'491'!$H$132:$H$135</definedName>
    <definedName name="OSRRefH25x_0" localSheetId="96">'501'!$H$74</definedName>
    <definedName name="OSRRefH25x_0" localSheetId="47">'Div 3'!$H$313:$H$321</definedName>
    <definedName name="OSRRefH25x_0" localSheetId="73">'Div 4'!$H$137:$H$140</definedName>
    <definedName name="OSRRefH25x_0" localSheetId="95">'Div 5'!$H$74</definedName>
    <definedName name="OSRRefH25x_0" localSheetId="64">'Div 6'!$H$120:$H$123</definedName>
    <definedName name="OSRRefH25x_0" localSheetId="2">Summary!$H$353:$H$365</definedName>
    <definedName name="OSRRefP13x_0" localSheetId="44">'204'!$P$13</definedName>
    <definedName name="OSRRefP13x_0" localSheetId="48">'300'!$P$13:$P$112</definedName>
    <definedName name="OSRRefP13x_0" localSheetId="49">'300 &amp; 317'!$P$13:$P$130</definedName>
    <definedName name="OSRRefP13x_0" localSheetId="56">'307'!$P$13:$P$50</definedName>
    <definedName name="OSRRefP13x_0" localSheetId="52">'308'!$P$13:$P$42</definedName>
    <definedName name="OSRRefP13x_0" localSheetId="67">'309'!$P$13:$P$15</definedName>
    <definedName name="OSRRefP13x_0" localSheetId="66">'310'!$P$13:$P$24</definedName>
    <definedName name="OSRRefP13x_0" localSheetId="74">'310 &amp; 491'!$P$13:$P$31</definedName>
    <definedName name="OSRRefP13x_0" localSheetId="53">'311'!$P$13:$P$42</definedName>
    <definedName name="OSRRefP13x_0" localSheetId="68">'313'!$P$13:$P$20</definedName>
    <definedName name="OSRRefP13x_0" localSheetId="57">'314'!$P$13:$P$35</definedName>
    <definedName name="OSRRefP13x_0" localSheetId="59">'315'!$P$13:$P$34</definedName>
    <definedName name="OSRRefP13x_0" localSheetId="62">'316'!$P$13:$P$28</definedName>
    <definedName name="OSRRefP13x_0" localSheetId="65">'317'!$P$13:$P$38</definedName>
    <definedName name="OSRRefP13x_0" localSheetId="63">'320'!$P$13:$P$18</definedName>
    <definedName name="OSRRefP13x_0" localSheetId="69">'321'!$P$13:$P$15</definedName>
    <definedName name="OSRRefP13x_0" localSheetId="70">'322'!$P$13:$P$15</definedName>
    <definedName name="OSRRefP13x_0" localSheetId="54">'324'!$P$13:$P$15</definedName>
    <definedName name="OSRRefP13x_0" localSheetId="71">'325'!$P$13:$P$15</definedName>
    <definedName name="OSRRefP13x_0" localSheetId="60">'326'!$P$13:$P$33</definedName>
    <definedName name="OSRRefP13x_0" localSheetId="72">'327'!$P$13:$P$14</definedName>
    <definedName name="OSRRefP13x_0" localSheetId="55">'330'!$P$13:$P$55</definedName>
    <definedName name="OSRRefP13x_0" localSheetId="58">'331'!$P$13:$P$42</definedName>
    <definedName name="OSRRefP13x_0" localSheetId="61">'332'!$P$13:$P$32</definedName>
    <definedName name="OSRRefP13x_0" localSheetId="76">'405'!$P$13:$P$15</definedName>
    <definedName name="OSRRefP13x_0" localSheetId="77">'406'!$P$13:$P$16</definedName>
    <definedName name="OSRRefP13x_0" localSheetId="79">'412'!$P$13:$P$16</definedName>
    <definedName name="OSRRefP13x_0" localSheetId="81">'413'!$P$13:$P$16</definedName>
    <definedName name="OSRRefP13x_0" localSheetId="82">'414'!$P$13:$P$16</definedName>
    <definedName name="OSRRefP13x_0" localSheetId="83">'415'!$P$13:$P$15</definedName>
    <definedName name="OSRRefP13x_0" localSheetId="84">'418'!$P$13:$P$16</definedName>
    <definedName name="OSRRefP13x_0" localSheetId="80">'420'!$P$13:$P$14</definedName>
    <definedName name="OSRRefP13x_0" localSheetId="86">'424'!$P$13:$P$16</definedName>
    <definedName name="OSRRefP13x_0" localSheetId="87">'425'!$P$13:$P$18</definedName>
    <definedName name="OSRRefP13x_0" localSheetId="91">'433'!$P$13:$P$17</definedName>
    <definedName name="OSRRefP13x_0" localSheetId="92">'435'!$P$13:$P$16</definedName>
    <definedName name="OSRRefP13x_0" localSheetId="93">'444'!$P$13:$P$16</definedName>
    <definedName name="OSRRefP13x_0" localSheetId="94">'450'!$P$13:$P$16</definedName>
    <definedName name="OSRRefP13x_0" localSheetId="75">'491'!$P$13:$P$24</definedName>
    <definedName name="OSRRefP13x_0" localSheetId="89">'492'!$P$13:$P$19</definedName>
    <definedName name="OSRRefP13x_0" localSheetId="96">'501'!$P$13</definedName>
    <definedName name="OSRRefP13x_0" localSheetId="39">'Div 2'!$P$13</definedName>
    <definedName name="OSRRefP13x_0" localSheetId="47">'Div 3'!$P$13:$P$115</definedName>
    <definedName name="OSRRefP13x_0" localSheetId="73">'Div 4'!$P$13:$P$25</definedName>
    <definedName name="OSRRefP13x_0" localSheetId="95">'Div 5'!$P$13</definedName>
    <definedName name="OSRRefP13x_0" localSheetId="64">'Div 6'!$P$13:$P$38</definedName>
    <definedName name="OSRRefP13x_0" localSheetId="2">Summary!$P$13:$P$141</definedName>
    <definedName name="OSRRefP16x_0" localSheetId="48">'300'!$P$115:$P$165</definedName>
    <definedName name="OSRRefP16x_0" localSheetId="49">'300 &amp; 317'!$P$133:$P$191</definedName>
    <definedName name="OSRRefP16x_0" localSheetId="56">'307'!$P$53:$P$73</definedName>
    <definedName name="OSRRefP16x_0" localSheetId="52">'308'!$P$45:$P$61</definedName>
    <definedName name="OSRRefP16x_0" localSheetId="67">'309'!$P$18:$P$20</definedName>
    <definedName name="OSRRefP16x_0" localSheetId="66">'310'!$P$27:$P$29</definedName>
    <definedName name="OSRRefP16x_0" localSheetId="74">'310 &amp; 491'!$P$34:$P$36</definedName>
    <definedName name="OSRRefP16x_0" localSheetId="53">'311'!$P$45:$P$61</definedName>
    <definedName name="OSRRefP16x_0" localSheetId="68">'313'!$P$23:$P$25</definedName>
    <definedName name="OSRRefP16x_0" localSheetId="57">'314'!$P$38:$P$53</definedName>
    <definedName name="OSRRefP16x_0" localSheetId="59">'315'!$P$37:$P$52</definedName>
    <definedName name="OSRRefP16x_0" localSheetId="65">'317'!$P$41:$P$56</definedName>
    <definedName name="OSRRefP16x_0" localSheetId="63">'320'!$P$21:$P$26</definedName>
    <definedName name="OSRRefP16x_0" localSheetId="69">'321'!$P$18:$P$20</definedName>
    <definedName name="OSRRefP16x_0" localSheetId="70">'322'!$P$18:$P$20</definedName>
    <definedName name="OSRRefP16x_0" localSheetId="54">'324'!$P$18:$P$20</definedName>
    <definedName name="OSRRefP16x_0" localSheetId="71">'325'!$P$18:$P$20</definedName>
    <definedName name="OSRRefP16x_0" localSheetId="60">'326'!$P$36:$P$52</definedName>
    <definedName name="OSRRefP16x_0" localSheetId="72">'327'!$P$17:$P$18</definedName>
    <definedName name="OSRRefP16x_0" localSheetId="55">'330'!$P$58:$P$81</definedName>
    <definedName name="OSRRefP16x_0" localSheetId="58">'331'!$P$45:$P$67</definedName>
    <definedName name="OSRRefP16x_0" localSheetId="61">'332'!$P$35:$P$40</definedName>
    <definedName name="OSRRefP16x_0" localSheetId="76">'405'!$P$18:$P$20</definedName>
    <definedName name="OSRRefP16x_0" localSheetId="77">'406'!$P$19:$P$21</definedName>
    <definedName name="OSRRefP16x_0" localSheetId="79">'412'!$P$19:$P$21</definedName>
    <definedName name="OSRRefP16x_0" localSheetId="81">'413'!$P$19:$P$21</definedName>
    <definedName name="OSRRefP16x_0" localSheetId="82">'414'!$P$19:$P$21</definedName>
    <definedName name="OSRRefP16x_0" localSheetId="83">'415'!$P$18:$P$20</definedName>
    <definedName name="OSRRefP16x_0" localSheetId="84">'418'!$P$19:$P$21</definedName>
    <definedName name="OSRRefP16x_0" localSheetId="80">'420'!$P$17:$P$18</definedName>
    <definedName name="OSRRefP16x_0" localSheetId="85">'423'!$P$15</definedName>
    <definedName name="OSRRefP16x_0" localSheetId="86">'424'!$P$19:$P$21</definedName>
    <definedName name="OSRRefP16x_0" localSheetId="87">'425'!$P$21:$P$23</definedName>
    <definedName name="OSRRefP16x_0" localSheetId="91">'433'!$P$20:$P$22</definedName>
    <definedName name="OSRRefP16x_0" localSheetId="92">'435'!$P$19:$P$21</definedName>
    <definedName name="OSRRefP16x_0" localSheetId="93">'444'!$P$19:$P$21</definedName>
    <definedName name="OSRRefP16x_0" localSheetId="94">'450'!$P$19:$P$21</definedName>
    <definedName name="OSRRefP16x_0" localSheetId="75">'491'!$P$27:$P$29</definedName>
    <definedName name="OSRRefP16x_0" localSheetId="89">'492'!$P$22:$P$24</definedName>
    <definedName name="OSRRefP16x_0" localSheetId="47">'Div 3'!$P$118:$P$170</definedName>
    <definedName name="OSRRefP16x_0" localSheetId="73">'Div 4'!$P$28:$P$30</definedName>
    <definedName name="OSRRefP16x_0" localSheetId="64">'Div 6'!$P$41:$P$56</definedName>
    <definedName name="OSRRefP16x_0" localSheetId="2">Summary!$P$144:$P$204</definedName>
    <definedName name="OSRRefP22_0x_0" localSheetId="40">'200'!$P$20:$P$21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'204'!$P$21:$P$30</definedName>
    <definedName name="OSRRefP22_0x_0" localSheetId="45">'205'!$P$20:$P$28</definedName>
    <definedName name="OSRRefP22_0x_0" localSheetId="46">'206'!$P$20:$P$28</definedName>
    <definedName name="OSRRefP22_0x_0" localSheetId="48">'300'!$P$171:$P$180</definedName>
    <definedName name="OSRRefP22_0x_0" localSheetId="49">'300 &amp; 317'!$P$197:$P$206</definedName>
    <definedName name="OSRRefP22_0x_0" localSheetId="50">'301'!$P$20:$P$28</definedName>
    <definedName name="OSRRefP22_0x_0" localSheetId="51">'306'!$P$20:$P$28</definedName>
    <definedName name="OSRRefP22_0x_0" localSheetId="56">'307'!$P$79:$P$87</definedName>
    <definedName name="OSRRefP22_0x_0" localSheetId="52">'308'!$P$67:$P$76</definedName>
    <definedName name="OSRRefP22_0x_0" localSheetId="67">'309'!$P$26:$P$34</definedName>
    <definedName name="OSRRefP22_0x_0" localSheetId="66">'310'!$P$35:$P$43</definedName>
    <definedName name="OSRRefP22_0x_0" localSheetId="74">'310 &amp; 491'!$P$42:$P$51</definedName>
    <definedName name="OSRRefP22_0x_0" localSheetId="53">'311'!$P$67:$P$76</definedName>
    <definedName name="OSRRefP22_0x_0" localSheetId="68">'313'!$P$31:$P$39</definedName>
    <definedName name="OSRRefP22_0x_0" localSheetId="57">'314'!$P$59:$P$68</definedName>
    <definedName name="OSRRefP22_0x_0" localSheetId="59">'315'!$P$58:$P$66</definedName>
    <definedName name="OSRRefP22_0x_0" localSheetId="62">'316'!$P$36:$P$44</definedName>
    <definedName name="OSRRefP22_0x_0" localSheetId="65">'317'!$P$62:$P$71</definedName>
    <definedName name="OSRRefP22_0x_0" localSheetId="63">'320'!$P$32:$P$39</definedName>
    <definedName name="OSRRefP22_0x_0" localSheetId="69">'321'!$P$26:$P$33</definedName>
    <definedName name="OSRRefP22_0x_0" localSheetId="70">'322'!$P$26:$P$34</definedName>
    <definedName name="OSRRefP22_0x_0" localSheetId="71">'325'!$P$26:$P$34</definedName>
    <definedName name="OSRRefP22_0x_0" localSheetId="60">'326'!$P$58:$P$66</definedName>
    <definedName name="OSRRefP22_0x_0" localSheetId="72">'327'!$P$24</definedName>
    <definedName name="OSRRefP22_0x_0" localSheetId="55">'330'!$P$87:$P$96</definedName>
    <definedName name="OSRRefP22_0x_0" localSheetId="58">'331'!$P$73:$P$81</definedName>
    <definedName name="OSRRefP22_0x_0" localSheetId="61">'332'!$P$46:$P$54</definedName>
    <definedName name="OSRRefP22_0x_0" localSheetId="76">'405'!$P$26:$P$34</definedName>
    <definedName name="OSRRefP22_0x_0" localSheetId="77">'406'!$P$27:$P$35</definedName>
    <definedName name="OSRRefP22_0x_0" localSheetId="78">'411'!$P$20:$P$29</definedName>
    <definedName name="OSRRefP22_0x_0" localSheetId="79">'412'!$P$27:$P$35</definedName>
    <definedName name="OSRRefP22_0x_0" localSheetId="81">'413'!$P$27:$P$35</definedName>
    <definedName name="OSRRefP22_0x_0" localSheetId="82">'414'!$P$27:$P$35</definedName>
    <definedName name="OSRRefP22_0x_0" localSheetId="83">'415'!$P$26:$P$34</definedName>
    <definedName name="OSRRefP22_0x_0" localSheetId="84">'418'!$P$27:$P$35</definedName>
    <definedName name="OSRRefP22_0x_0" localSheetId="80">'420'!$P$24:$P$31</definedName>
    <definedName name="OSRRefP22_0x_0" localSheetId="85">'423'!$P$21:$P$29</definedName>
    <definedName name="OSRRefP22_0x_0" localSheetId="86">'424'!$P$27:$P$34</definedName>
    <definedName name="OSRRefP22_0x_0" localSheetId="87">'425'!$P$29:$P$38</definedName>
    <definedName name="OSRRefP22_0x_0" localSheetId="90">'430'!$P$20:$P$28</definedName>
    <definedName name="OSRRefP22_0x_0" localSheetId="91">'433'!$P$28:$P$37</definedName>
    <definedName name="OSRRefP22_0x_0" localSheetId="92">'435'!$P$27:$P$34</definedName>
    <definedName name="OSRRefP22_0x_0" localSheetId="93">'444'!$P$27:$P$36</definedName>
    <definedName name="OSRRefP22_0x_0" localSheetId="94">'450'!$P$27:$P$36</definedName>
    <definedName name="OSRRefP22_0x_0" localSheetId="88">'455'!$P$20:$P$27</definedName>
    <definedName name="OSRRefP22_0x_0" localSheetId="75">'491'!$P$35:$P$44</definedName>
    <definedName name="OSRRefP22_0x_0" localSheetId="89">'492'!$P$30:$P$39</definedName>
    <definedName name="OSRRefP22_0x_0" localSheetId="96">'501'!$P$21:$P$29</definedName>
    <definedName name="OSRRefP22_0x_0" localSheetId="39">'Div 2'!$P$21:$P$31</definedName>
    <definedName name="OSRRefP22_0x_0" localSheetId="47">'Div 3'!$P$176:$P$185</definedName>
    <definedName name="OSRRefP22_0x_0" localSheetId="73">'Div 4'!$P$36:$P$45</definedName>
    <definedName name="OSRRefP22_0x_0" localSheetId="95">'Div 5'!$P$21:$P$29</definedName>
    <definedName name="OSRRefP22_0x_0" localSheetId="64">'Div 6'!$P$62:$P$71</definedName>
    <definedName name="OSRRefP22_0x_0" localSheetId="2">Summary!$P$210:$P$219</definedName>
    <definedName name="OSRRefP22_10x_0" localSheetId="41">'201'!$P$58:$P$60</definedName>
    <definedName name="OSRRefP22_10x_0" localSheetId="42">'202'!$P$59</definedName>
    <definedName name="OSRRefP22_10x_0" localSheetId="43">'203'!$P$60:$P$61</definedName>
    <definedName name="OSRRefP22_10x_0" localSheetId="44">'204'!$P$64:$P$65</definedName>
    <definedName name="OSRRefP22_10x_0" localSheetId="46">'206'!$P$58</definedName>
    <definedName name="OSRRefP22_10x_0" localSheetId="48">'300'!$P$215:$P$216</definedName>
    <definedName name="OSRRefP22_10x_0" localSheetId="49">'300 &amp; 317'!$P$241:$P$242</definedName>
    <definedName name="OSRRefP22_10x_0" localSheetId="50">'301'!$P$63</definedName>
    <definedName name="OSRRefP22_10x_0" localSheetId="51">'306'!$P$61</definedName>
    <definedName name="OSRRefP22_10x_0" localSheetId="56">'307'!$P$138:$P$139</definedName>
    <definedName name="OSRRefP22_10x_0" localSheetId="52">'308'!$P$118:$P$119</definedName>
    <definedName name="OSRRefP22_10x_0" localSheetId="67">'309'!$P$65:$P$67</definedName>
    <definedName name="OSRRefP22_10x_0" localSheetId="66">'310'!$P$74</definedName>
    <definedName name="OSRRefP22_10x_0" localSheetId="74">'310 &amp; 491'!$P$83:$P$84</definedName>
    <definedName name="OSRRefP22_10x_0" localSheetId="53">'311'!$P$118:$P$119</definedName>
    <definedName name="OSRRefP22_10x_0" localSheetId="68">'313'!$P$68:$P$70</definedName>
    <definedName name="OSRRefP22_10x_0" localSheetId="57">'314'!$P$108</definedName>
    <definedName name="OSRRefP22_10x_0" localSheetId="59">'315'!$P$104:$P$106</definedName>
    <definedName name="OSRRefP22_10x_0" localSheetId="62">'316'!$P$74:$P$75</definedName>
    <definedName name="OSRRefP22_10x_0" localSheetId="65">'317'!$P$107</definedName>
    <definedName name="OSRRefP22_10x_0" localSheetId="69">'321'!$P$64:$P$65</definedName>
    <definedName name="OSRRefP22_10x_0" localSheetId="70">'322'!$P$66:$P$68</definedName>
    <definedName name="OSRRefP22_10x_0" localSheetId="71">'325'!$P$65</definedName>
    <definedName name="OSRRefP22_10x_0" localSheetId="60">'326'!$P$96:$P$108</definedName>
    <definedName name="OSRRefP22_10x_0" localSheetId="55">'330'!$P$147:$P$148</definedName>
    <definedName name="OSRRefP22_10x_0" localSheetId="58">'331'!$P$113</definedName>
    <definedName name="OSRRefP22_10x_0" localSheetId="61">'332'!$P$86:$P$87</definedName>
    <definedName name="OSRRefP22_10x_0" localSheetId="76">'405'!$P$65</definedName>
    <definedName name="OSRRefP22_10x_0" localSheetId="77">'406'!$P$67:$P$69</definedName>
    <definedName name="OSRRefP22_10x_0" localSheetId="78">'411'!$P$61</definedName>
    <definedName name="OSRRefP22_10x_0" localSheetId="79">'412'!$P$68</definedName>
    <definedName name="OSRRefP22_10x_0" localSheetId="81">'413'!$P$67:$P$73</definedName>
    <definedName name="OSRRefP22_10x_0" localSheetId="82">'414'!$P$66</definedName>
    <definedName name="OSRRefP22_10x_0" localSheetId="83">'415'!$P$65</definedName>
    <definedName name="OSRRefP22_10x_0" localSheetId="84">'418'!$P$66:$P$67</definedName>
    <definedName name="OSRRefP22_10x_0" localSheetId="86">'424'!$P$66</definedName>
    <definedName name="OSRRefP22_10x_0" localSheetId="87">'425'!$P$70:$P$71</definedName>
    <definedName name="OSRRefP22_10x_0" localSheetId="90">'430'!$P$60</definedName>
    <definedName name="OSRRefP22_10x_0" localSheetId="91">'433'!$P$66:$P$68</definedName>
    <definedName name="OSRRefP22_10x_0" localSheetId="93">'444'!$P$65</definedName>
    <definedName name="OSRRefP22_10x_0" localSheetId="94">'450'!$P$66</definedName>
    <definedName name="OSRRefP22_10x_0" localSheetId="75">'491'!$P$76</definedName>
    <definedName name="OSRRefP22_10x_0" localSheetId="89">'492'!$P$70</definedName>
    <definedName name="OSRRefP22_10x_0" localSheetId="96">'501'!$P$58:$P$61</definedName>
    <definedName name="OSRRefP22_10x_0" localSheetId="39">'Div 2'!$P$62</definedName>
    <definedName name="OSRRefP22_10x_0" localSheetId="47">'Div 3'!$P$220:$P$221</definedName>
    <definedName name="OSRRefP22_10x_0" localSheetId="73">'Div 4'!$P$79</definedName>
    <definedName name="OSRRefP22_10x_0" localSheetId="95">'Div 5'!$P$58:$P$61</definedName>
    <definedName name="OSRRefP22_10x_0" localSheetId="64">'Div 6'!$P$107</definedName>
    <definedName name="OSRRefP22_10x_0" localSheetId="2">Summary!$P$255:$P$256</definedName>
    <definedName name="OSRRefP22_11x_0" localSheetId="41">'201'!$P$62:$P$64</definedName>
    <definedName name="OSRRefP22_11x_0" localSheetId="42">'202'!$P$61:$P$63</definedName>
    <definedName name="OSRRefP22_11x_0" localSheetId="43">'203'!$P$63</definedName>
    <definedName name="OSRRefP22_11x_0" localSheetId="44">'204'!$P$67</definedName>
    <definedName name="OSRRefP22_11x_0" localSheetId="48">'300'!$P$218</definedName>
    <definedName name="OSRRefP22_11x_0" localSheetId="49">'300 &amp; 317'!$P$244</definedName>
    <definedName name="OSRRefP22_11x_0" localSheetId="50">'301'!$P$65</definedName>
    <definedName name="OSRRefP22_11x_0" localSheetId="56">'307'!$P$141:$P$143</definedName>
    <definedName name="OSRRefP22_11x_0" localSheetId="52">'308'!$P$121:$P$123</definedName>
    <definedName name="OSRRefP22_11x_0" localSheetId="67">'309'!$P$69:$P$71</definedName>
    <definedName name="OSRRefP22_11x_0" localSheetId="66">'310'!$P$76</definedName>
    <definedName name="OSRRefP22_11x_0" localSheetId="74">'310 &amp; 491'!$P$86:$P$87</definedName>
    <definedName name="OSRRefP22_11x_0" localSheetId="53">'311'!$P$121:$P$123</definedName>
    <definedName name="OSRRefP22_11x_0" localSheetId="68">'313'!$P$72</definedName>
    <definedName name="OSRRefP22_11x_0" localSheetId="57">'314'!$P$110</definedName>
    <definedName name="OSRRefP22_11x_0" localSheetId="59">'315'!$P$108:$P$109</definedName>
    <definedName name="OSRRefP22_11x_0" localSheetId="62">'316'!$P$77:$P$81</definedName>
    <definedName name="OSRRefP22_11x_0" localSheetId="65">'317'!$P$109:$P$110</definedName>
    <definedName name="OSRRefP22_11x_0" localSheetId="69">'321'!$P$67:$P$69</definedName>
    <definedName name="OSRRefP22_11x_0" localSheetId="70">'322'!$P$70:$P$76</definedName>
    <definedName name="OSRRefP22_11x_0" localSheetId="71">'325'!$P$67:$P$69</definedName>
    <definedName name="OSRRefP22_11x_0" localSheetId="60">'326'!$P$110</definedName>
    <definedName name="OSRRefP22_11x_0" localSheetId="55">'330'!$P$150:$P$151</definedName>
    <definedName name="OSRRefP22_11x_0" localSheetId="58">'331'!$P$115:$P$127</definedName>
    <definedName name="OSRRefP22_11x_0" localSheetId="61">'332'!$P$89:$P$90</definedName>
    <definedName name="OSRRefP22_11x_0" localSheetId="76">'405'!$P$67:$P$69</definedName>
    <definedName name="OSRRefP22_11x_0" localSheetId="77">'406'!$P$71:$P$76</definedName>
    <definedName name="OSRRefP22_11x_0" localSheetId="78">'411'!$P$63</definedName>
    <definedName name="OSRRefP22_11x_0" localSheetId="79">'412'!$P$70:$P$72</definedName>
    <definedName name="OSRRefP22_11x_0" localSheetId="81">'413'!$P$75:$P$76</definedName>
    <definedName name="OSRRefP22_11x_0" localSheetId="82">'414'!$P$68</definedName>
    <definedName name="OSRRefP22_11x_0" localSheetId="83">'415'!$P$67:$P$70</definedName>
    <definedName name="OSRRefP22_11x_0" localSheetId="84">'418'!$P$69:$P$71</definedName>
    <definedName name="OSRRefP22_11x_0" localSheetId="86">'424'!$P$68:$P$72</definedName>
    <definedName name="OSRRefP22_11x_0" localSheetId="87">'425'!$P$73:$P$75</definedName>
    <definedName name="OSRRefP22_11x_0" localSheetId="91">'433'!$P$70:$P$73</definedName>
    <definedName name="OSRRefP22_11x_0" localSheetId="93">'444'!$P$67:$P$69</definedName>
    <definedName name="OSRRefP22_11x_0" localSheetId="94">'450'!$P$68</definedName>
    <definedName name="OSRRefP22_11x_0" localSheetId="75">'491'!$P$78:$P$79</definedName>
    <definedName name="OSRRefP22_11x_0" localSheetId="89">'492'!$P$72</definedName>
    <definedName name="OSRRefP22_11x_0" localSheetId="96">'501'!$P$63</definedName>
    <definedName name="OSRRefP22_11x_0" localSheetId="39">'Div 2'!$P$64</definedName>
    <definedName name="OSRRefP22_11x_0" localSheetId="47">'Div 3'!$P$223</definedName>
    <definedName name="OSRRefP22_11x_0" localSheetId="73">'Div 4'!$P$81:$P$82</definedName>
    <definedName name="OSRRefP22_11x_0" localSheetId="95">'Div 5'!$P$63</definedName>
    <definedName name="OSRRefP22_11x_0" localSheetId="64">'Div 6'!$P$109:$P$110</definedName>
    <definedName name="OSRRefP22_11x_0" localSheetId="2">Summary!$P$258:$P$259</definedName>
    <definedName name="OSRRefP22_12x_0" localSheetId="41">'201'!$P$66</definedName>
    <definedName name="OSRRefP22_12x_0" localSheetId="42">'202'!$P$65</definedName>
    <definedName name="OSRRefP22_12x_0" localSheetId="43">'203'!$P$65:$P$68</definedName>
    <definedName name="OSRRefP22_12x_0" localSheetId="44">'204'!$P$69:$P$70</definedName>
    <definedName name="OSRRefP22_12x_0" localSheetId="48">'300'!$P$220</definedName>
    <definedName name="OSRRefP22_12x_0" localSheetId="49">'300 &amp; 317'!$P$246</definedName>
    <definedName name="OSRRefP22_12x_0" localSheetId="50">'301'!$P$67</definedName>
    <definedName name="OSRRefP22_12x_0" localSheetId="56">'307'!$P$145</definedName>
    <definedName name="OSRRefP22_12x_0" localSheetId="52">'308'!$P$125:$P$126</definedName>
    <definedName name="OSRRefP22_12x_0" localSheetId="67">'309'!$P$73</definedName>
    <definedName name="OSRRefP22_12x_0" localSheetId="66">'310'!$P$78</definedName>
    <definedName name="OSRRefP22_12x_0" localSheetId="74">'310 &amp; 491'!$P$89</definedName>
    <definedName name="OSRRefP22_12x_0" localSheetId="53">'311'!$P$125:$P$126</definedName>
    <definedName name="OSRRefP22_12x_0" localSheetId="68">'313'!$P$74:$P$79</definedName>
    <definedName name="OSRRefP22_12x_0" localSheetId="59">'315'!$P$111:$P$115</definedName>
    <definedName name="OSRRefP22_12x_0" localSheetId="62">'316'!$P$83:$P$84</definedName>
    <definedName name="OSRRefP22_12x_0" localSheetId="65">'317'!$P$112:$P$113</definedName>
    <definedName name="OSRRefP22_12x_0" localSheetId="69">'321'!$P$71:$P$74</definedName>
    <definedName name="OSRRefP22_12x_0" localSheetId="70">'322'!$P$78</definedName>
    <definedName name="OSRRefP22_12x_0" localSheetId="71">'325'!$P$71:$P$75</definedName>
    <definedName name="OSRRefP22_12x_0" localSheetId="60">'326'!$P$112</definedName>
    <definedName name="OSRRefP22_12x_0" localSheetId="55">'330'!$P$153</definedName>
    <definedName name="OSRRefP22_12x_0" localSheetId="58">'331'!$P$129</definedName>
    <definedName name="OSRRefP22_12x_0" localSheetId="61">'332'!$P$92:$P$96</definedName>
    <definedName name="OSRRefP22_12x_0" localSheetId="76">'405'!$P$71</definedName>
    <definedName name="OSRRefP22_12x_0" localSheetId="77">'406'!$P$78:$P$79</definedName>
    <definedName name="OSRRefP22_12x_0" localSheetId="78">'411'!$P$65:$P$68</definedName>
    <definedName name="OSRRefP22_12x_0" localSheetId="79">'412'!$P$74:$P$81</definedName>
    <definedName name="OSRRefP22_12x_0" localSheetId="81">'413'!$P$78</definedName>
    <definedName name="OSRRefP22_12x_0" localSheetId="82">'414'!$P$70</definedName>
    <definedName name="OSRRefP22_12x_0" localSheetId="83">'415'!$P$72:$P$76</definedName>
    <definedName name="OSRRefP22_12x_0" localSheetId="84">'418'!$P$73:$P$75</definedName>
    <definedName name="OSRRefP22_12x_0" localSheetId="86">'424'!$P$74:$P$75</definedName>
    <definedName name="OSRRefP22_12x_0" localSheetId="87">'425'!$P$77</definedName>
    <definedName name="OSRRefP22_12x_0" localSheetId="91">'433'!$P$75:$P$83</definedName>
    <definedName name="OSRRefP22_12x_0" localSheetId="93">'444'!$P$71:$P$74</definedName>
    <definedName name="OSRRefP22_12x_0" localSheetId="94">'450'!$P$70:$P$73</definedName>
    <definedName name="OSRRefP22_12x_0" localSheetId="75">'491'!$P$81</definedName>
    <definedName name="OSRRefP22_12x_0" localSheetId="89">'492'!$P$74</definedName>
    <definedName name="OSRRefP22_12x_0" localSheetId="96">'501'!$P$65:$P$67</definedName>
    <definedName name="OSRRefP22_12x_0" localSheetId="39">'Div 2'!$P$66:$P$68</definedName>
    <definedName name="OSRRefP22_12x_0" localSheetId="47">'Div 3'!$P$225</definedName>
    <definedName name="OSRRefP22_12x_0" localSheetId="73">'Div 4'!$P$84</definedName>
    <definedName name="OSRRefP22_12x_0" localSheetId="95">'Div 5'!$P$65:$P$67</definedName>
    <definedName name="OSRRefP22_12x_0" localSheetId="64">'Div 6'!$P$112:$P$113</definedName>
    <definedName name="OSRRefP22_12x_0" localSheetId="2">Summary!$P$261</definedName>
    <definedName name="OSRRefP22_13x_0" localSheetId="41">'201'!$P$68:$P$71</definedName>
    <definedName name="OSRRefP22_13x_0" localSheetId="42">'202'!$P$67</definedName>
    <definedName name="OSRRefP22_13x_0" localSheetId="43">'203'!$P$70</definedName>
    <definedName name="OSRRefP22_13x_0" localSheetId="48">'300'!$P$222:$P$255</definedName>
    <definedName name="OSRRefP22_13x_0" localSheetId="49">'300 &amp; 317'!$P$248:$P$284</definedName>
    <definedName name="OSRRefP22_13x_0" localSheetId="50">'301'!$P$69:$P$70</definedName>
    <definedName name="OSRRefP22_13x_0" localSheetId="56">'307'!$P$147</definedName>
    <definedName name="OSRRefP22_13x_0" localSheetId="52">'308'!$P$128</definedName>
    <definedName name="OSRRefP22_13x_0" localSheetId="67">'309'!$P$75</definedName>
    <definedName name="OSRRefP22_13x_0" localSheetId="66">'310'!$P$80</definedName>
    <definedName name="OSRRefP22_13x_0" localSheetId="74">'310 &amp; 491'!$P$91</definedName>
    <definedName name="OSRRefP22_13x_0" localSheetId="53">'311'!$P$128</definedName>
    <definedName name="OSRRefP22_13x_0" localSheetId="68">'313'!$P$81</definedName>
    <definedName name="OSRRefP22_13x_0" localSheetId="59">'315'!$P$117</definedName>
    <definedName name="OSRRefP22_13x_0" localSheetId="62">'316'!$P$86</definedName>
    <definedName name="OSRRefP22_13x_0" localSheetId="65">'317'!$P$115</definedName>
    <definedName name="OSRRefP22_13x_0" localSheetId="69">'321'!$P$76</definedName>
    <definedName name="OSRRefP22_13x_0" localSheetId="70">'322'!$P$80</definedName>
    <definedName name="OSRRefP22_13x_0" localSheetId="71">'325'!$P$77</definedName>
    <definedName name="OSRRefP22_13x_0" localSheetId="60">'326'!$P$114:$P$115</definedName>
    <definedName name="OSRRefP22_13x_0" localSheetId="55">'330'!$P$155:$P$157</definedName>
    <definedName name="OSRRefP22_13x_0" localSheetId="58">'331'!$P$131</definedName>
    <definedName name="OSRRefP22_13x_0" localSheetId="61">'332'!$P$98:$P$99</definedName>
    <definedName name="OSRRefP22_13x_0" localSheetId="76">'405'!$P$73:$P$75</definedName>
    <definedName name="OSRRefP22_13x_0" localSheetId="77">'406'!$P$81</definedName>
    <definedName name="OSRRefP22_13x_0" localSheetId="78">'411'!$P$70:$P$74</definedName>
    <definedName name="OSRRefP22_13x_0" localSheetId="79">'412'!$P$83</definedName>
    <definedName name="OSRRefP22_13x_0" localSheetId="81">'413'!$P$80</definedName>
    <definedName name="OSRRefP22_13x_0" localSheetId="82">'414'!$P$72:$P$78</definedName>
    <definedName name="OSRRefP22_13x_0" localSheetId="83">'415'!$P$78:$P$79</definedName>
    <definedName name="OSRRefP22_13x_0" localSheetId="84">'418'!$P$77:$P$78</definedName>
    <definedName name="OSRRefP22_13x_0" localSheetId="87">'425'!$P$79:$P$85</definedName>
    <definedName name="OSRRefP22_13x_0" localSheetId="91">'433'!$P$85</definedName>
    <definedName name="OSRRefP22_13x_0" localSheetId="93">'444'!$P$76:$P$83</definedName>
    <definedName name="OSRRefP22_13x_0" localSheetId="94">'450'!$P$75:$P$77</definedName>
    <definedName name="OSRRefP22_13x_0" localSheetId="75">'491'!$P$83</definedName>
    <definedName name="OSRRefP22_13x_0" localSheetId="89">'492'!$P$76:$P$79</definedName>
    <definedName name="OSRRefP22_13x_0" localSheetId="96">'501'!$P$69</definedName>
    <definedName name="OSRRefP22_13x_0" localSheetId="39">'Div 2'!$P$70:$P$73</definedName>
    <definedName name="OSRRefP22_13x_0" localSheetId="47">'Div 3'!$P$227</definedName>
    <definedName name="OSRRefP22_13x_0" localSheetId="73">'Div 4'!$P$86</definedName>
    <definedName name="OSRRefP22_13x_0" localSheetId="95">'Div 5'!$P$69</definedName>
    <definedName name="OSRRefP22_13x_0" localSheetId="64">'Div 6'!$P$115</definedName>
    <definedName name="OSRRefP22_13x_0" localSheetId="2">Summary!$P$263</definedName>
    <definedName name="OSRRefP22_14x_0" localSheetId="41">'201'!$P$73</definedName>
    <definedName name="OSRRefP22_14x_0" localSheetId="42">'202'!$P$69:$P$70</definedName>
    <definedName name="OSRRefP22_14x_0" localSheetId="43">'203'!$P$72</definedName>
    <definedName name="OSRRefP22_14x_0" localSheetId="48">'300'!$P$257</definedName>
    <definedName name="OSRRefP22_14x_0" localSheetId="49">'300 &amp; 317'!$P$286</definedName>
    <definedName name="OSRRefP22_14x_0" localSheetId="50">'301'!$P$72</definedName>
    <definedName name="OSRRefP22_14x_0" localSheetId="52">'308'!$P$130:$P$131</definedName>
    <definedName name="OSRRefP22_14x_0" localSheetId="66">'310'!$P$82</definedName>
    <definedName name="OSRRefP22_14x_0" localSheetId="74">'310 &amp; 491'!$P$93</definedName>
    <definedName name="OSRRefP22_14x_0" localSheetId="53">'311'!$P$130:$P$131</definedName>
    <definedName name="OSRRefP22_14x_0" localSheetId="68">'313'!$P$83</definedName>
    <definedName name="OSRRefP22_14x_0" localSheetId="59">'315'!$P$119</definedName>
    <definedName name="OSRRefP22_14x_0" localSheetId="65">'317'!$P$117</definedName>
    <definedName name="OSRRefP22_14x_0" localSheetId="69">'321'!$P$78</definedName>
    <definedName name="OSRRefP22_14x_0" localSheetId="70">'322'!$P$82</definedName>
    <definedName name="OSRRefP22_14x_0" localSheetId="71">'325'!$P$79:$P$85</definedName>
    <definedName name="OSRRefP22_14x_0" localSheetId="60">'326'!$P$117:$P$119</definedName>
    <definedName name="OSRRefP22_14x_0" localSheetId="55">'330'!$P$159</definedName>
    <definedName name="OSRRefP22_14x_0" localSheetId="58">'331'!$P$133:$P$134</definedName>
    <definedName name="OSRRefP22_14x_0" localSheetId="61">'332'!$P$101</definedName>
    <definedName name="OSRRefP22_14x_0" localSheetId="76">'405'!$P$77:$P$78</definedName>
    <definedName name="OSRRefP22_14x_0" localSheetId="77">'406'!$P$83:$P$84</definedName>
    <definedName name="OSRRefP22_14x_0" localSheetId="78">'411'!$P$76</definedName>
    <definedName name="OSRRefP22_14x_0" localSheetId="79">'412'!$P$85</definedName>
    <definedName name="OSRRefP22_14x_0" localSheetId="82">'414'!$P$80</definedName>
    <definedName name="OSRRefP22_14x_0" localSheetId="83">'415'!$P$81:$P$89</definedName>
    <definedName name="OSRRefP22_14x_0" localSheetId="84">'418'!$P$80:$P$87</definedName>
    <definedName name="OSRRefP22_14x_0" localSheetId="87">'425'!$P$87:$P$88</definedName>
    <definedName name="OSRRefP22_14x_0" localSheetId="91">'433'!$P$87</definedName>
    <definedName name="OSRRefP22_14x_0" localSheetId="93">'444'!$P$85</definedName>
    <definedName name="OSRRefP22_14x_0" localSheetId="94">'450'!$P$79:$P$84</definedName>
    <definedName name="OSRRefP22_14x_0" localSheetId="75">'491'!$P$85</definedName>
    <definedName name="OSRRefP22_14x_0" localSheetId="89">'492'!$P$81:$P$84</definedName>
    <definedName name="OSRRefP22_14x_0" localSheetId="96">'501'!$P$71</definedName>
    <definedName name="OSRRefP22_14x_0" localSheetId="39">'Div 2'!$P$75:$P$78</definedName>
    <definedName name="OSRRefP22_14x_0" localSheetId="47">'Div 3'!$P$229:$P$262</definedName>
    <definedName name="OSRRefP22_14x_0" localSheetId="73">'Div 4'!$P$88</definedName>
    <definedName name="OSRRefP22_14x_0" localSheetId="95">'Div 5'!$P$71</definedName>
    <definedName name="OSRRefP22_14x_0" localSheetId="64">'Div 6'!$P$117</definedName>
    <definedName name="OSRRefP22_14x_0" localSheetId="2">Summary!$P$265:$P$301</definedName>
    <definedName name="OSRRefP22_15x_0" localSheetId="41">'201'!$P$75</definedName>
    <definedName name="OSRRefP22_15x_0" localSheetId="42">'202'!$P$72</definedName>
    <definedName name="OSRRefP22_15x_0" localSheetId="43">'203'!$P$74</definedName>
    <definedName name="OSRRefP22_15x_0" localSheetId="48">'300'!$P$259</definedName>
    <definedName name="OSRRefP22_15x_0" localSheetId="49">'300 &amp; 317'!$P$288</definedName>
    <definedName name="OSRRefP22_15x_0" localSheetId="50">'301'!$P$74</definedName>
    <definedName name="OSRRefP22_15x_0" localSheetId="66">'310'!$P$84:$P$86</definedName>
    <definedName name="OSRRefP22_15x_0" localSheetId="74">'310 &amp; 491'!$P$95</definedName>
    <definedName name="OSRRefP22_15x_0" localSheetId="59">'315'!$P$121:$P$122</definedName>
    <definedName name="OSRRefP22_15x_0" localSheetId="71">'325'!$P$87</definedName>
    <definedName name="OSRRefP22_15x_0" localSheetId="60">'326'!$P$121:$P$122</definedName>
    <definedName name="OSRRefP22_15x_0" localSheetId="55">'330'!$P$161</definedName>
    <definedName name="OSRRefP22_15x_0" localSheetId="58">'331'!$P$136:$P$138</definedName>
    <definedName name="OSRRefP22_15x_0" localSheetId="76">'405'!$P$80:$P$88</definedName>
    <definedName name="OSRRefP22_15x_0" localSheetId="78">'411'!$P$78:$P$86</definedName>
    <definedName name="OSRRefP22_15x_0" localSheetId="79">'412'!$P$87</definedName>
    <definedName name="OSRRefP22_15x_0" localSheetId="82">'414'!$P$82</definedName>
    <definedName name="OSRRefP22_15x_0" localSheetId="83">'415'!$P$91</definedName>
    <definedName name="OSRRefP22_15x_0" localSheetId="84">'418'!$P$89</definedName>
    <definedName name="OSRRefP22_15x_0" localSheetId="87">'425'!$P$90</definedName>
    <definedName name="OSRRefP22_15x_0" localSheetId="91">'433'!$P$89:$P$90</definedName>
    <definedName name="OSRRefP22_15x_0" localSheetId="93">'444'!$P$87</definedName>
    <definedName name="OSRRefP22_15x_0" localSheetId="94">'450'!$P$86</definedName>
    <definedName name="OSRRefP22_15x_0" localSheetId="75">'491'!$P$87</definedName>
    <definedName name="OSRRefP22_15x_0" localSheetId="89">'492'!$P$86:$P$95</definedName>
    <definedName name="OSRRefP22_15x_0" localSheetId="39">'Div 2'!$P$80:$P$81</definedName>
    <definedName name="OSRRefP22_15x_0" localSheetId="47">'Div 3'!$P$264</definedName>
    <definedName name="OSRRefP22_15x_0" localSheetId="73">'Div 4'!$P$90</definedName>
    <definedName name="OSRRefP22_15x_0" localSheetId="2">Summary!$P$303</definedName>
    <definedName name="OSRRefP22_16x_0" localSheetId="41">'201'!$P$77:$P$78</definedName>
    <definedName name="OSRRefP22_16x_0" localSheetId="42">'202'!$P$74</definedName>
    <definedName name="OSRRefP22_16x_0" localSheetId="48">'300'!$P$261:$P$264</definedName>
    <definedName name="OSRRefP22_16x_0" localSheetId="49">'300 &amp; 317'!$P$290:$P$293</definedName>
    <definedName name="OSRRefP22_16x_0" localSheetId="50">'301'!$P$76:$P$79</definedName>
    <definedName name="OSRRefP22_16x_0" localSheetId="66">'310'!$P$88:$P$89</definedName>
    <definedName name="OSRRefP22_16x_0" localSheetId="74">'310 &amp; 491'!$P$97</definedName>
    <definedName name="OSRRefP22_16x_0" localSheetId="71">'325'!$P$89</definedName>
    <definedName name="OSRRefP22_16x_0" localSheetId="60">'326'!$P$124:$P$129</definedName>
    <definedName name="OSRRefP22_16x_0" localSheetId="55">'330'!$P$163</definedName>
    <definedName name="OSRRefP22_16x_0" localSheetId="58">'331'!$P$140:$P$142</definedName>
    <definedName name="OSRRefP22_16x_0" localSheetId="76">'405'!$P$90</definedName>
    <definedName name="OSRRefP22_16x_0" localSheetId="78">'411'!$P$88</definedName>
    <definedName name="OSRRefP22_16x_0" localSheetId="83">'415'!$P$93</definedName>
    <definedName name="OSRRefP22_16x_0" localSheetId="84">'418'!$P$91</definedName>
    <definedName name="OSRRefP22_16x_0" localSheetId="87">'425'!$P$92</definedName>
    <definedName name="OSRRefP22_16x_0" localSheetId="93">'444'!$P$89</definedName>
    <definedName name="OSRRefP22_16x_0" localSheetId="94">'450'!$P$88</definedName>
    <definedName name="OSRRefP22_16x_0" localSheetId="75">'491'!$P$89:$P$92</definedName>
    <definedName name="OSRRefP22_16x_0" localSheetId="89">'492'!$P$97</definedName>
    <definedName name="OSRRefP22_16x_0" localSheetId="39">'Div 2'!$P$83:$P$84</definedName>
    <definedName name="OSRRefP22_16x_0" localSheetId="47">'Div 3'!$P$266</definedName>
    <definedName name="OSRRefP22_16x_0" localSheetId="73">'Div 4'!$P$92</definedName>
    <definedName name="OSRRefP22_16x_0" localSheetId="2">Summary!$P$305</definedName>
    <definedName name="OSRRefP22_17x_0" localSheetId="48">'300'!$P$266:$P$269</definedName>
    <definedName name="OSRRefP22_17x_0" localSheetId="49">'300 &amp; 317'!$P$295:$P$298</definedName>
    <definedName name="OSRRefP22_17x_0" localSheetId="50">'301'!$P$81:$P$83</definedName>
    <definedName name="OSRRefP22_17x_0" localSheetId="66">'310'!$P$91:$P$95</definedName>
    <definedName name="OSRRefP22_17x_0" localSheetId="74">'310 &amp; 491'!$P$99:$P$102</definedName>
    <definedName name="OSRRefP22_17x_0" localSheetId="71">'325'!$P$91</definedName>
    <definedName name="OSRRefP22_17x_0" localSheetId="60">'326'!$P$131:$P$132</definedName>
    <definedName name="OSRRefP22_17x_0" localSheetId="58">'331'!$P$144:$P$145</definedName>
    <definedName name="OSRRefP22_17x_0" localSheetId="76">'405'!$P$92</definedName>
    <definedName name="OSRRefP22_17x_0" localSheetId="78">'411'!$P$90</definedName>
    <definedName name="OSRRefP22_17x_0" localSheetId="83">'415'!$P$95:$P$96</definedName>
    <definedName name="OSRRefP22_17x_0" localSheetId="84">'418'!$P$93:$P$94</definedName>
    <definedName name="OSRRefP22_17x_0" localSheetId="94">'450'!$P$90:$P$91</definedName>
    <definedName name="OSRRefP22_17x_0" localSheetId="75">'491'!$P$94:$P$97</definedName>
    <definedName name="OSRRefP22_17x_0" localSheetId="89">'492'!$P$99</definedName>
    <definedName name="OSRRefP22_17x_0" localSheetId="39">'Div 2'!$P$86:$P$91</definedName>
    <definedName name="OSRRefP22_17x_0" localSheetId="47">'Div 3'!$P$268</definedName>
    <definedName name="OSRRefP22_17x_0" localSheetId="73">'Div 4'!$P$94:$P$97</definedName>
    <definedName name="OSRRefP22_17x_0" localSheetId="2">Summary!$P$307</definedName>
    <definedName name="OSRRefP22_18x_0" localSheetId="48">'300'!$P$271:$P$274</definedName>
    <definedName name="OSRRefP22_18x_0" localSheetId="49">'300 &amp; 317'!$P$300:$P$303</definedName>
    <definedName name="OSRRefP22_18x_0" localSheetId="50">'301'!$P$85:$P$86</definedName>
    <definedName name="OSRRefP22_18x_0" localSheetId="66">'310'!$P$97</definedName>
    <definedName name="OSRRefP22_18x_0" localSheetId="74">'310 &amp; 491'!$P$104:$P$107</definedName>
    <definedName name="OSRRefP22_18x_0" localSheetId="71">'325'!$P$93</definedName>
    <definedName name="OSRRefP22_18x_0" localSheetId="60">'326'!$P$134</definedName>
    <definedName name="OSRRefP22_18x_0" localSheetId="58">'331'!$P$147:$P$152</definedName>
    <definedName name="OSRRefP22_18x_0" localSheetId="76">'405'!$P$94</definedName>
    <definedName name="OSRRefP22_18x_0" localSheetId="78">'411'!$P$92:$P$94</definedName>
    <definedName name="OSRRefP22_18x_0" localSheetId="83">'415'!$P$98</definedName>
    <definedName name="OSRRefP22_18x_0" localSheetId="75">'491'!$P$99:$P$103</definedName>
    <definedName name="OSRRefP22_18x_0" localSheetId="89">'492'!$P$101:$P$102</definedName>
    <definedName name="OSRRefP22_18x_0" localSheetId="39">'Div 2'!$P$93:$P$94</definedName>
    <definedName name="OSRRefP22_18x_0" localSheetId="47">'Div 3'!$P$270:$P$273</definedName>
    <definedName name="OSRRefP22_18x_0" localSheetId="73">'Div 4'!$P$99:$P$102</definedName>
    <definedName name="OSRRefP22_18x_0" localSheetId="2">Summary!$P$309:$P$312</definedName>
    <definedName name="OSRRefP22_19x_0" localSheetId="48">'300'!$P$276:$P$277</definedName>
    <definedName name="OSRRefP22_19x_0" localSheetId="49">'300 &amp; 317'!$P$305:$P$306</definedName>
    <definedName name="OSRRefP22_19x_0" localSheetId="50">'301'!$P$88:$P$94</definedName>
    <definedName name="OSRRefP22_19x_0" localSheetId="66">'310'!$P$99:$P$107</definedName>
    <definedName name="OSRRefP22_19x_0" localSheetId="74">'310 &amp; 491'!$P$109:$P$114</definedName>
    <definedName name="OSRRefP22_19x_0" localSheetId="60">'326'!$P$136</definedName>
    <definedName name="OSRRefP22_19x_0" localSheetId="58">'331'!$P$154:$P$155</definedName>
    <definedName name="OSRRefP22_19x_0" localSheetId="76">'405'!$P$96</definedName>
    <definedName name="OSRRefP22_19x_0" localSheetId="78">'411'!$P$96</definedName>
    <definedName name="OSRRefP22_19x_0" localSheetId="75">'491'!$P$105:$P$106</definedName>
    <definedName name="OSRRefP22_19x_0" localSheetId="39">'Div 2'!$P$96</definedName>
    <definedName name="OSRRefP22_19x_0" localSheetId="47">'Div 3'!$P$275:$P$278</definedName>
    <definedName name="OSRRefP22_19x_0" localSheetId="73">'Div 4'!$P$104:$P$108</definedName>
    <definedName name="OSRRefP22_19x_0" localSheetId="2">Summary!$P$314:$P$317</definedName>
    <definedName name="OSRRefP22_1x_0" localSheetId="40">'200'!$P$23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'204'!$P$32:$P$41</definedName>
    <definedName name="OSRRefP22_1x_0" localSheetId="45">'205'!$P$30:$P$39</definedName>
    <definedName name="OSRRefP22_1x_0" localSheetId="46">'206'!$P$30:$P$39</definedName>
    <definedName name="OSRRefP22_1x_0" localSheetId="48">'300'!$P$182:$P$191</definedName>
    <definedName name="OSRRefP22_1x_0" localSheetId="49">'300 &amp; 317'!$P$208:$P$217</definedName>
    <definedName name="OSRRefP22_1x_0" localSheetId="50">'301'!$P$30:$P$39</definedName>
    <definedName name="OSRRefP22_1x_0" localSheetId="51">'306'!$P$30:$P$39</definedName>
    <definedName name="OSRRefP22_1x_0" localSheetId="56">'307'!$P$89:$P$98</definedName>
    <definedName name="OSRRefP22_1x_0" localSheetId="52">'308'!$P$78:$P$87</definedName>
    <definedName name="OSRRefP22_1x_0" localSheetId="67">'309'!$P$36:$P$45</definedName>
    <definedName name="OSRRefP22_1x_0" localSheetId="66">'310'!$P$45:$P$54</definedName>
    <definedName name="OSRRefP22_1x_0" localSheetId="74">'310 &amp; 491'!$P$53:$P$62</definedName>
    <definedName name="OSRRefP22_1x_0" localSheetId="53">'311'!$P$78:$P$87</definedName>
    <definedName name="OSRRefP22_1x_0" localSheetId="68">'313'!$P$41:$P$50</definedName>
    <definedName name="OSRRefP22_1x_0" localSheetId="57">'314'!$P$70:$P$79</definedName>
    <definedName name="OSRRefP22_1x_0" localSheetId="59">'315'!$P$68:$P$77</definedName>
    <definedName name="OSRRefP22_1x_0" localSheetId="62">'316'!$P$46:$P$55</definedName>
    <definedName name="OSRRefP22_1x_0" localSheetId="65">'317'!$P$73:$P$82</definedName>
    <definedName name="OSRRefP22_1x_0" localSheetId="63">'320'!$P$41:$P$50</definedName>
    <definedName name="OSRRefP22_1x_0" localSheetId="69">'321'!$P$35:$P$44</definedName>
    <definedName name="OSRRefP22_1x_0" localSheetId="70">'322'!$P$36:$P$45</definedName>
    <definedName name="OSRRefP22_1x_0" localSheetId="71">'325'!$P$36:$P$45</definedName>
    <definedName name="OSRRefP22_1x_0" localSheetId="60">'326'!$P$68:$P$77</definedName>
    <definedName name="OSRRefP22_1x_0" localSheetId="72">'327'!$P$26</definedName>
    <definedName name="OSRRefP22_1x_0" localSheetId="55">'330'!$P$98:$P$107</definedName>
    <definedName name="OSRRefP22_1x_0" localSheetId="58">'331'!$P$83:$P$92</definedName>
    <definedName name="OSRRefP22_1x_0" localSheetId="61">'332'!$P$56:$P$65</definedName>
    <definedName name="OSRRefP22_1x_0" localSheetId="76">'405'!$P$36:$P$45</definedName>
    <definedName name="OSRRefP22_1x_0" localSheetId="77">'406'!$P$37:$P$46</definedName>
    <definedName name="OSRRefP22_1x_0" localSheetId="78">'411'!$P$31:$P$40</definedName>
    <definedName name="OSRRefP22_1x_0" localSheetId="79">'412'!$P$37:$P$46</definedName>
    <definedName name="OSRRefP22_1x_0" localSheetId="81">'413'!$P$37:$P$46</definedName>
    <definedName name="OSRRefP22_1x_0" localSheetId="82">'414'!$P$37:$P$46</definedName>
    <definedName name="OSRRefP22_1x_0" localSheetId="83">'415'!$P$36:$P$45</definedName>
    <definedName name="OSRRefP22_1x_0" localSheetId="84">'418'!$P$37:$P$46</definedName>
    <definedName name="OSRRefP22_1x_0" localSheetId="80">'420'!$P$33:$P$36</definedName>
    <definedName name="OSRRefP22_1x_0" localSheetId="85">'423'!$P$31:$P$40</definedName>
    <definedName name="OSRRefP22_1x_0" localSheetId="86">'424'!$P$36:$P$45</definedName>
    <definedName name="OSRRefP22_1x_0" localSheetId="87">'425'!$P$40:$P$49</definedName>
    <definedName name="OSRRefP22_1x_0" localSheetId="90">'430'!$P$30:$P$39</definedName>
    <definedName name="OSRRefP22_1x_0" localSheetId="91">'433'!$P$39:$P$48</definedName>
    <definedName name="OSRRefP22_1x_0" localSheetId="92">'435'!$P$36:$P$45</definedName>
    <definedName name="OSRRefP22_1x_0" localSheetId="93">'444'!$P$38:$P$47</definedName>
    <definedName name="OSRRefP22_1x_0" localSheetId="94">'450'!$P$38:$P$47</definedName>
    <definedName name="OSRRefP22_1x_0" localSheetId="88">'455'!$P$29:$P$38</definedName>
    <definedName name="OSRRefP22_1x_0" localSheetId="75">'491'!$P$46:$P$55</definedName>
    <definedName name="OSRRefP22_1x_0" localSheetId="89">'492'!$P$41:$P$50</definedName>
    <definedName name="OSRRefP22_1x_0" localSheetId="96">'501'!$P$31:$P$40</definedName>
    <definedName name="OSRRefP22_1x_0" localSheetId="39">'Div 2'!$P$33:$P$42</definedName>
    <definedName name="OSRRefP22_1x_0" localSheetId="47">'Div 3'!$P$187:$P$196</definedName>
    <definedName name="OSRRefP22_1x_0" localSheetId="73">'Div 4'!$P$47:$P$56</definedName>
    <definedName name="OSRRefP22_1x_0" localSheetId="95">'Div 5'!$P$31:$P$40</definedName>
    <definedName name="OSRRefP22_1x_0" localSheetId="64">'Div 6'!$P$73:$P$82</definedName>
    <definedName name="OSRRefP22_1x_0" localSheetId="2">Summary!$P$221:$P$230</definedName>
    <definedName name="OSRRefP22_20x_0" localSheetId="48">'300'!$P$279:$P$286</definedName>
    <definedName name="OSRRefP22_20x_0" localSheetId="49">'300 &amp; 317'!$P$308:$P$315</definedName>
    <definedName name="OSRRefP22_20x_0" localSheetId="50">'301'!$P$96</definedName>
    <definedName name="OSRRefP22_20x_0" localSheetId="66">'310'!$P$109</definedName>
    <definedName name="OSRRefP22_20x_0" localSheetId="74">'310 &amp; 491'!$P$116:$P$117</definedName>
    <definedName name="OSRRefP22_20x_0" localSheetId="60">'326'!$P$138</definedName>
    <definedName name="OSRRefP22_20x_0" localSheetId="58">'331'!$P$157</definedName>
    <definedName name="OSRRefP22_20x_0" localSheetId="75">'491'!$P$108:$P$118</definedName>
    <definedName name="OSRRefP22_20x_0" localSheetId="39">'Div 2'!$P$98:$P$99</definedName>
    <definedName name="OSRRefP22_20x_0" localSheetId="47">'Div 3'!$P$280:$P$285</definedName>
    <definedName name="OSRRefP22_20x_0" localSheetId="73">'Div 4'!$P$110:$P$111</definedName>
    <definedName name="OSRRefP22_20x_0" localSheetId="2">Summary!$P$319:$P$324</definedName>
    <definedName name="OSRRefP22_21x_0" localSheetId="48">'300'!$P$288:$P$289</definedName>
    <definedName name="OSRRefP22_21x_0" localSheetId="49">'300 &amp; 317'!$P$317:$P$318</definedName>
    <definedName name="OSRRefP22_21x_0" localSheetId="50">'301'!$P$98</definedName>
    <definedName name="OSRRefP22_21x_0" localSheetId="66">'310'!$P$111</definedName>
    <definedName name="OSRRefP22_21x_0" localSheetId="74">'310 &amp; 491'!$P$119:$P$129</definedName>
    <definedName name="OSRRefP22_21x_0" localSheetId="58">'331'!$P$159:$P$160</definedName>
    <definedName name="OSRRefP22_21x_0" localSheetId="75">'491'!$P$120:$P$121</definedName>
    <definedName name="OSRRefP22_21x_0" localSheetId="47">'Div 3'!$P$287:$P$288</definedName>
    <definedName name="OSRRefP22_21x_0" localSheetId="73">'Div 4'!$P$113:$P$123</definedName>
    <definedName name="OSRRefP22_21x_0" localSheetId="2">Summary!$P$326:$P$327</definedName>
    <definedName name="OSRRefP22_22x_0" localSheetId="48">'300'!$P$291</definedName>
    <definedName name="OSRRefP22_22x_0" localSheetId="49">'300 &amp; 317'!$P$320</definedName>
    <definedName name="OSRRefP22_22x_0" localSheetId="50">'301'!$P$100:$P$102</definedName>
    <definedName name="OSRRefP22_22x_0" localSheetId="66">'310'!$P$113:$P$114</definedName>
    <definedName name="OSRRefP22_22x_0" localSheetId="74">'310 &amp; 491'!$P$131:$P$132</definedName>
    <definedName name="OSRRefP22_22x_0" localSheetId="58">'331'!$P$162</definedName>
    <definedName name="OSRRefP22_22x_0" localSheetId="75">'491'!$P$123</definedName>
    <definedName name="OSRRefP22_22x_0" localSheetId="47">'Div 3'!$P$290:$P$299</definedName>
    <definedName name="OSRRefP22_22x_0" localSheetId="73">'Div 4'!$P$125:$P$126</definedName>
    <definedName name="OSRRefP22_22x_0" localSheetId="2">Summary!$P$329:$P$339</definedName>
    <definedName name="OSRRefP22_23x_0" localSheetId="48">'300'!$P$293:$P$295</definedName>
    <definedName name="OSRRefP22_23x_0" localSheetId="49">'300 &amp; 317'!$P$322:$P$324</definedName>
    <definedName name="OSRRefP22_23x_0" localSheetId="50">'301'!$P$104</definedName>
    <definedName name="OSRRefP22_23x_0" localSheetId="66">'310'!$P$116</definedName>
    <definedName name="OSRRefP22_23x_0" localSheetId="74">'310 &amp; 491'!$P$134</definedName>
    <definedName name="OSRRefP22_23x_0" localSheetId="75">'491'!$P$125:$P$127</definedName>
    <definedName name="OSRRefP22_23x_0" localSheetId="47">'Div 3'!$P$301:$P$302</definedName>
    <definedName name="OSRRefP22_23x_0" localSheetId="73">'Div 4'!$P$128</definedName>
    <definedName name="OSRRefP22_23x_0" localSheetId="2">Summary!$P$341:$P$342</definedName>
    <definedName name="OSRRefP22_24x_0" localSheetId="48">'300'!$P$297</definedName>
    <definedName name="OSRRefP22_24x_0" localSheetId="49">'300 &amp; 317'!$P$326</definedName>
    <definedName name="OSRRefP22_24x_0" localSheetId="74">'310 &amp; 491'!$P$136:$P$138</definedName>
    <definedName name="OSRRefP22_24x_0" localSheetId="75">'491'!$P$129</definedName>
    <definedName name="OSRRefP22_24x_0" localSheetId="47">'Div 3'!$P$304</definedName>
    <definedName name="OSRRefP22_24x_0" localSheetId="73">'Div 4'!$P$130:$P$132</definedName>
    <definedName name="OSRRefP22_24x_0" localSheetId="2">Summary!$P$344</definedName>
    <definedName name="OSRRefP22_25x_0" localSheetId="74">'310 &amp; 491'!$P$140</definedName>
    <definedName name="OSRRefP22_25x_0" localSheetId="47">'Div 3'!$P$306:$P$308</definedName>
    <definedName name="OSRRefP22_25x_0" localSheetId="73">'Div 4'!$P$134</definedName>
    <definedName name="OSRRefP22_25x_0" localSheetId="2">Summary!$P$346:$P$348</definedName>
    <definedName name="OSRRefP22_26x_0" localSheetId="47">'Div 3'!$P$310</definedName>
    <definedName name="OSRRefP22_26x_0" localSheetId="2">Summary!$P$350</definedName>
    <definedName name="OSRRefP22_2x_0" localSheetId="40">'200'!$P$25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'204'!$P$43</definedName>
    <definedName name="OSRRefP22_2x_0" localSheetId="45">'205'!$P$41</definedName>
    <definedName name="OSRRefP22_2x_0" localSheetId="46">'206'!$P$41</definedName>
    <definedName name="OSRRefP22_2x_0" localSheetId="48">'300'!$P$193</definedName>
    <definedName name="OSRRefP22_2x_0" localSheetId="49">'300 &amp; 317'!$P$219</definedName>
    <definedName name="OSRRefP22_2x_0" localSheetId="50">'301'!$P$41</definedName>
    <definedName name="OSRRefP22_2x_0" localSheetId="51">'306'!$P$41</definedName>
    <definedName name="OSRRefP22_2x_0" localSheetId="56">'307'!$P$100</definedName>
    <definedName name="OSRRefP22_2x_0" localSheetId="52">'308'!$P$89</definedName>
    <definedName name="OSRRefP22_2x_0" localSheetId="67">'309'!$P$47</definedName>
    <definedName name="OSRRefP22_2x_0" localSheetId="66">'310'!$P$56</definedName>
    <definedName name="OSRRefP22_2x_0" localSheetId="74">'310 &amp; 491'!$P$64</definedName>
    <definedName name="OSRRefP22_2x_0" localSheetId="53">'311'!$P$89</definedName>
    <definedName name="OSRRefP22_2x_0" localSheetId="68">'313'!$P$52</definedName>
    <definedName name="OSRRefP22_2x_0" localSheetId="57">'314'!$P$81</definedName>
    <definedName name="OSRRefP22_2x_0" localSheetId="59">'315'!$P$79</definedName>
    <definedName name="OSRRefP22_2x_0" localSheetId="62">'316'!$P$57</definedName>
    <definedName name="OSRRefP22_2x_0" localSheetId="65">'317'!$P$84</definedName>
    <definedName name="OSRRefP22_2x_0" localSheetId="63">'320'!$P$52</definedName>
    <definedName name="OSRRefP22_2x_0" localSheetId="69">'321'!$P$46</definedName>
    <definedName name="OSRRefP22_2x_0" localSheetId="70">'322'!$P$47</definedName>
    <definedName name="OSRRefP22_2x_0" localSheetId="71">'325'!$P$47</definedName>
    <definedName name="OSRRefP22_2x_0" localSheetId="60">'326'!$P$79</definedName>
    <definedName name="OSRRefP22_2x_0" localSheetId="72">'327'!$P$28</definedName>
    <definedName name="OSRRefP22_2x_0" localSheetId="55">'330'!$P$109</definedName>
    <definedName name="OSRRefP22_2x_0" localSheetId="58">'331'!$P$94</definedName>
    <definedName name="OSRRefP22_2x_0" localSheetId="61">'332'!$P$67</definedName>
    <definedName name="OSRRefP22_2x_0" localSheetId="76">'405'!$P$47</definedName>
    <definedName name="OSRRefP22_2x_0" localSheetId="77">'406'!$P$48</definedName>
    <definedName name="OSRRefP22_2x_0" localSheetId="78">'411'!$P$42</definedName>
    <definedName name="OSRRefP22_2x_0" localSheetId="79">'412'!$P$48</definedName>
    <definedName name="OSRRefP22_2x_0" localSheetId="81">'413'!$P$48</definedName>
    <definedName name="OSRRefP22_2x_0" localSheetId="82">'414'!$P$48</definedName>
    <definedName name="OSRRefP22_2x_0" localSheetId="83">'415'!$P$47</definedName>
    <definedName name="OSRRefP22_2x_0" localSheetId="84">'418'!$P$48</definedName>
    <definedName name="OSRRefP22_2x_0" localSheetId="80">'420'!$P$38</definedName>
    <definedName name="OSRRefP22_2x_0" localSheetId="85">'423'!$P$42</definedName>
    <definedName name="OSRRefP22_2x_0" localSheetId="86">'424'!$P$47</definedName>
    <definedName name="OSRRefP22_2x_0" localSheetId="87">'425'!$P$51</definedName>
    <definedName name="OSRRefP22_2x_0" localSheetId="90">'430'!$P$41</definedName>
    <definedName name="OSRRefP22_2x_0" localSheetId="91">'433'!$P$50</definedName>
    <definedName name="OSRRefP22_2x_0" localSheetId="92">'435'!$P$47</definedName>
    <definedName name="OSRRefP22_2x_0" localSheetId="93">'444'!$P$49</definedName>
    <definedName name="OSRRefP22_2x_0" localSheetId="94">'450'!$P$49</definedName>
    <definedName name="OSRRefP22_2x_0" localSheetId="75">'491'!$P$57</definedName>
    <definedName name="OSRRefP22_2x_0" localSheetId="89">'492'!$P$52</definedName>
    <definedName name="OSRRefP22_2x_0" localSheetId="96">'501'!$P$42</definedName>
    <definedName name="OSRRefP22_2x_0" localSheetId="39">'Div 2'!$P$44</definedName>
    <definedName name="OSRRefP22_2x_0" localSheetId="47">'Div 3'!$P$198</definedName>
    <definedName name="OSRRefP22_2x_0" localSheetId="73">'Div 4'!$P$58</definedName>
    <definedName name="OSRRefP22_2x_0" localSheetId="95">'Div 5'!$P$42</definedName>
    <definedName name="OSRRefP22_2x_0" localSheetId="64">'Div 6'!$P$84</definedName>
    <definedName name="OSRRefP22_2x_0" localSheetId="2">Summary!$P$232</definedName>
    <definedName name="OSRRefP22_3x_0" localSheetId="40">'200'!$P$27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'204'!$P$45:$P$46</definedName>
    <definedName name="OSRRefP22_3x_0" localSheetId="45">'205'!$P$43</definedName>
    <definedName name="OSRRefP22_3x_0" localSheetId="46">'206'!$P$43</definedName>
    <definedName name="OSRRefP22_3x_0" localSheetId="48">'300'!$P$195:$P$196</definedName>
    <definedName name="OSRRefP22_3x_0" localSheetId="49">'300 &amp; 317'!$P$221:$P$222</definedName>
    <definedName name="OSRRefP22_3x_0" localSheetId="50">'301'!$P$43:$P$44</definedName>
    <definedName name="OSRRefP22_3x_0" localSheetId="51">'306'!$P$43</definedName>
    <definedName name="OSRRefP22_3x_0" localSheetId="56">'307'!$P$102</definedName>
    <definedName name="OSRRefP22_3x_0" localSheetId="52">'308'!$P$91:$P$92</definedName>
    <definedName name="OSRRefP22_3x_0" localSheetId="67">'309'!$P$49</definedName>
    <definedName name="OSRRefP22_3x_0" localSheetId="66">'310'!$P$58</definedName>
    <definedName name="OSRRefP22_3x_0" localSheetId="74">'310 &amp; 491'!$P$66</definedName>
    <definedName name="OSRRefP22_3x_0" localSheetId="53">'311'!$P$91:$P$92</definedName>
    <definedName name="OSRRefP22_3x_0" localSheetId="68">'313'!$P$54</definedName>
    <definedName name="OSRRefP22_3x_0" localSheetId="57">'314'!$P$83:$P$84</definedName>
    <definedName name="OSRRefP22_3x_0" localSheetId="59">'315'!$P$81:$P$82</definedName>
    <definedName name="OSRRefP22_3x_0" localSheetId="62">'316'!$P$59</definedName>
    <definedName name="OSRRefP22_3x_0" localSheetId="65">'317'!$P$86</definedName>
    <definedName name="OSRRefP22_3x_0" localSheetId="63">'320'!$P$54</definedName>
    <definedName name="OSRRefP22_3x_0" localSheetId="69">'321'!$P$48</definedName>
    <definedName name="OSRRefP22_3x_0" localSheetId="70">'322'!$P$49</definedName>
    <definedName name="OSRRefP22_3x_0" localSheetId="71">'325'!$P$49</definedName>
    <definedName name="OSRRefP22_3x_0" localSheetId="60">'326'!$P$81:$P$82</definedName>
    <definedName name="OSRRefP22_3x_0" localSheetId="55">'330'!$P$111</definedName>
    <definedName name="OSRRefP22_3x_0" localSheetId="58">'331'!$P$96:$P$97</definedName>
    <definedName name="OSRRefP22_3x_0" localSheetId="61">'332'!$P$69</definedName>
    <definedName name="OSRRefP22_3x_0" localSheetId="76">'405'!$P$49</definedName>
    <definedName name="OSRRefP22_3x_0" localSheetId="77">'406'!$P$50</definedName>
    <definedName name="OSRRefP22_3x_0" localSheetId="78">'411'!$P$44</definedName>
    <definedName name="OSRRefP22_3x_0" localSheetId="79">'412'!$P$50</definedName>
    <definedName name="OSRRefP22_3x_0" localSheetId="81">'413'!$P$50</definedName>
    <definedName name="OSRRefP22_3x_0" localSheetId="82">'414'!$P$50</definedName>
    <definedName name="OSRRefP22_3x_0" localSheetId="83">'415'!$P$49</definedName>
    <definedName name="OSRRefP22_3x_0" localSheetId="84">'418'!$P$50</definedName>
    <definedName name="OSRRefP22_3x_0" localSheetId="80">'420'!$P$40</definedName>
    <definedName name="OSRRefP22_3x_0" localSheetId="85">'423'!$P$44</definedName>
    <definedName name="OSRRefP22_3x_0" localSheetId="86">'424'!$P$49</definedName>
    <definedName name="OSRRefP22_3x_0" localSheetId="87">'425'!$P$53</definedName>
    <definedName name="OSRRefP22_3x_0" localSheetId="90">'430'!$P$43</definedName>
    <definedName name="OSRRefP22_3x_0" localSheetId="91">'433'!$P$52</definedName>
    <definedName name="OSRRefP22_3x_0" localSheetId="92">'435'!$P$49</definedName>
    <definedName name="OSRRefP22_3x_0" localSheetId="93">'444'!$P$51</definedName>
    <definedName name="OSRRefP22_3x_0" localSheetId="94">'450'!$P$51:$P$52</definedName>
    <definedName name="OSRRefP22_3x_0" localSheetId="75">'491'!$P$59</definedName>
    <definedName name="OSRRefP22_3x_0" localSheetId="89">'492'!$P$54:$P$55</definedName>
    <definedName name="OSRRefP22_3x_0" localSheetId="96">'501'!$P$44</definedName>
    <definedName name="OSRRefP22_3x_0" localSheetId="39">'Div 2'!$P$46</definedName>
    <definedName name="OSRRefP22_3x_0" localSheetId="47">'Div 3'!$P$200:$P$201</definedName>
    <definedName name="OSRRefP22_3x_0" localSheetId="73">'Div 4'!$P$60:$P$61</definedName>
    <definedName name="OSRRefP22_3x_0" localSheetId="95">'Div 5'!$P$44</definedName>
    <definedName name="OSRRefP22_3x_0" localSheetId="64">'Div 6'!$P$86</definedName>
    <definedName name="OSRRefP22_3x_0" localSheetId="2">Summary!$P$234:$P$235</definedName>
    <definedName name="OSRRefP22_4x_0" localSheetId="40">'200'!$P$29:$P$30</definedName>
    <definedName name="OSRRefP22_4x_0" localSheetId="41">'201'!$P$45:$P$46</definedName>
    <definedName name="OSRRefP22_4x_0" localSheetId="42">'202'!$P$45</definedName>
    <definedName name="OSRRefP22_4x_0" localSheetId="43">'203'!$P$46</definedName>
    <definedName name="OSRRefP22_4x_0" localSheetId="44">'204'!$P$48</definedName>
    <definedName name="OSRRefP22_4x_0" localSheetId="45">'205'!$P$45</definedName>
    <definedName name="OSRRefP22_4x_0" localSheetId="46">'206'!$P$45</definedName>
    <definedName name="OSRRefP22_4x_0" localSheetId="48">'300'!$P$198</definedName>
    <definedName name="OSRRefP22_4x_0" localSheetId="49">'300 &amp; 317'!$P$224</definedName>
    <definedName name="OSRRefP22_4x_0" localSheetId="50">'301'!$P$46</definedName>
    <definedName name="OSRRefP22_4x_0" localSheetId="51">'306'!$P$45</definedName>
    <definedName name="OSRRefP22_4x_0" localSheetId="56">'307'!$P$104:$P$105</definedName>
    <definedName name="OSRRefP22_4x_0" localSheetId="52">'308'!$P$94</definedName>
    <definedName name="OSRRefP22_4x_0" localSheetId="67">'309'!$P$51</definedName>
    <definedName name="OSRRefP22_4x_0" localSheetId="66">'310'!$P$60</definedName>
    <definedName name="OSRRefP22_4x_0" localSheetId="74">'310 &amp; 491'!$P$68</definedName>
    <definedName name="OSRRefP22_4x_0" localSheetId="53">'311'!$P$94</definedName>
    <definedName name="OSRRefP22_4x_0" localSheetId="68">'313'!$P$56</definedName>
    <definedName name="OSRRefP22_4x_0" localSheetId="57">'314'!$P$86</definedName>
    <definedName name="OSRRefP22_4x_0" localSheetId="59">'315'!$P$84</definedName>
    <definedName name="OSRRefP22_4x_0" localSheetId="62">'316'!$P$61</definedName>
    <definedName name="OSRRefP22_4x_0" localSheetId="65">'317'!$P$88</definedName>
    <definedName name="OSRRefP22_4x_0" localSheetId="63">'320'!$P$56:$P$57</definedName>
    <definedName name="OSRRefP22_4x_0" localSheetId="69">'321'!$P$50</definedName>
    <definedName name="OSRRefP22_4x_0" localSheetId="70">'322'!$P$51</definedName>
    <definedName name="OSRRefP22_4x_0" localSheetId="71">'325'!$P$51</definedName>
    <definedName name="OSRRefP22_4x_0" localSheetId="60">'326'!$P$84</definedName>
    <definedName name="OSRRefP22_4x_0" localSheetId="55">'330'!$P$113:$P$114</definedName>
    <definedName name="OSRRefP22_4x_0" localSheetId="58">'331'!$P$99</definedName>
    <definedName name="OSRRefP22_4x_0" localSheetId="61">'332'!$P$71</definedName>
    <definedName name="OSRRefP22_4x_0" localSheetId="76">'405'!$P$51</definedName>
    <definedName name="OSRRefP22_4x_0" localSheetId="77">'406'!$P$52</definedName>
    <definedName name="OSRRefP22_4x_0" localSheetId="78">'411'!$P$46:$P$49</definedName>
    <definedName name="OSRRefP22_4x_0" localSheetId="79">'412'!$P$52</definedName>
    <definedName name="OSRRefP22_4x_0" localSheetId="81">'413'!$P$52</definedName>
    <definedName name="OSRRefP22_4x_0" localSheetId="82">'414'!$P$52</definedName>
    <definedName name="OSRRefP22_4x_0" localSheetId="83">'415'!$P$51</definedName>
    <definedName name="OSRRefP22_4x_0" localSheetId="84">'418'!$P$52</definedName>
    <definedName name="OSRRefP22_4x_0" localSheetId="80">'420'!$P$42</definedName>
    <definedName name="OSRRefP22_4x_0" localSheetId="85">'423'!$P$46</definedName>
    <definedName name="OSRRefP22_4x_0" localSheetId="86">'424'!$P$51</definedName>
    <definedName name="OSRRefP22_4x_0" localSheetId="87">'425'!$P$55</definedName>
    <definedName name="OSRRefP22_4x_0" localSheetId="90">'430'!$P$45</definedName>
    <definedName name="OSRRefP22_4x_0" localSheetId="91">'433'!$P$54</definedName>
    <definedName name="OSRRefP22_4x_0" localSheetId="92">'435'!$P$51</definedName>
    <definedName name="OSRRefP22_4x_0" localSheetId="93">'444'!$P$53</definedName>
    <definedName name="OSRRefP22_4x_0" localSheetId="94">'450'!$P$54</definedName>
    <definedName name="OSRRefP22_4x_0" localSheetId="75">'491'!$P$61</definedName>
    <definedName name="OSRRefP22_4x_0" localSheetId="89">'492'!$P$57</definedName>
    <definedName name="OSRRefP22_4x_0" localSheetId="96">'501'!$P$46</definedName>
    <definedName name="OSRRefP22_4x_0" localSheetId="39">'Div 2'!$P$48</definedName>
    <definedName name="OSRRefP22_4x_0" localSheetId="47">'Div 3'!$P$203</definedName>
    <definedName name="OSRRefP22_4x_0" localSheetId="73">'Div 4'!$P$63</definedName>
    <definedName name="OSRRefP22_4x_0" localSheetId="95">'Div 5'!$P$46</definedName>
    <definedName name="OSRRefP22_4x_0" localSheetId="64">'Div 6'!$P$88</definedName>
    <definedName name="OSRRefP22_4x_0" localSheetId="2">Summary!$P$237</definedName>
    <definedName name="OSRRefP22_5x_0" localSheetId="41">'201'!$P$48</definedName>
    <definedName name="OSRRefP22_5x_0" localSheetId="42">'202'!$P$47</definedName>
    <definedName name="OSRRefP22_5x_0" localSheetId="43">'203'!$P$48</definedName>
    <definedName name="OSRRefP22_5x_0" localSheetId="44">'204'!$P$50</definedName>
    <definedName name="OSRRefP22_5x_0" localSheetId="45">'205'!$P$47:$P$49</definedName>
    <definedName name="OSRRefP22_5x_0" localSheetId="46">'206'!$P$47</definedName>
    <definedName name="OSRRefP22_5x_0" localSheetId="48">'300'!$P$200:$P$203</definedName>
    <definedName name="OSRRefP22_5x_0" localSheetId="49">'300 &amp; 317'!$P$226:$P$229</definedName>
    <definedName name="OSRRefP22_5x_0" localSheetId="50">'301'!$P$48:$P$51</definedName>
    <definedName name="OSRRefP22_5x_0" localSheetId="51">'306'!$P$47</definedName>
    <definedName name="OSRRefP22_5x_0" localSheetId="56">'307'!$P$107</definedName>
    <definedName name="OSRRefP22_5x_0" localSheetId="52">'308'!$P$96</definedName>
    <definedName name="OSRRefP22_5x_0" localSheetId="67">'309'!$P$53:$P$54</definedName>
    <definedName name="OSRRefP22_5x_0" localSheetId="66">'310'!$P$62:$P$64</definedName>
    <definedName name="OSRRefP22_5x_0" localSheetId="74">'310 &amp; 491'!$P$70:$P$73</definedName>
    <definedName name="OSRRefP22_5x_0" localSheetId="53">'311'!$P$96</definedName>
    <definedName name="OSRRefP22_5x_0" localSheetId="68">'313'!$P$58</definedName>
    <definedName name="OSRRefP22_5x_0" localSheetId="57">'314'!$P$88</definedName>
    <definedName name="OSRRefP22_5x_0" localSheetId="59">'315'!$P$86:$P$87</definedName>
    <definedName name="OSRRefP22_5x_0" localSheetId="62">'316'!$P$63</definedName>
    <definedName name="OSRRefP22_5x_0" localSheetId="65">'317'!$P$90</definedName>
    <definedName name="OSRRefP22_5x_0" localSheetId="63">'320'!$P$59</definedName>
    <definedName name="OSRRefP22_5x_0" localSheetId="69">'321'!$P$52</definedName>
    <definedName name="OSRRefP22_5x_0" localSheetId="70">'322'!$P$53:$P$54</definedName>
    <definedName name="OSRRefP22_5x_0" localSheetId="71">'325'!$P$53:$P$55</definedName>
    <definedName name="OSRRefP22_5x_0" localSheetId="60">'326'!$P$86</definedName>
    <definedName name="OSRRefP22_5x_0" localSheetId="55">'330'!$P$116</definedName>
    <definedName name="OSRRefP22_5x_0" localSheetId="58">'331'!$P$101:$P$102</definedName>
    <definedName name="OSRRefP22_5x_0" localSheetId="61">'332'!$P$73</definedName>
    <definedName name="OSRRefP22_5x_0" localSheetId="76">'405'!$P$53:$P$55</definedName>
    <definedName name="OSRRefP22_5x_0" localSheetId="77">'406'!$P$54:$P$55</definedName>
    <definedName name="OSRRefP22_5x_0" localSheetId="78">'411'!$P$51</definedName>
    <definedName name="OSRRefP22_5x_0" localSheetId="79">'412'!$P$54:$P$56</definedName>
    <definedName name="OSRRefP22_5x_0" localSheetId="81">'413'!$P$54</definedName>
    <definedName name="OSRRefP22_5x_0" localSheetId="82">'414'!$P$54:$P$55</definedName>
    <definedName name="OSRRefP22_5x_0" localSheetId="83">'415'!$P$53:$P$55</definedName>
    <definedName name="OSRRefP22_5x_0" localSheetId="84">'418'!$P$54:$P$56</definedName>
    <definedName name="OSRRefP22_5x_0" localSheetId="80">'420'!$P$44</definedName>
    <definedName name="OSRRefP22_5x_0" localSheetId="85">'423'!$P$48</definedName>
    <definedName name="OSRRefP22_5x_0" localSheetId="86">'424'!$P$53</definedName>
    <definedName name="OSRRefP22_5x_0" localSheetId="87">'425'!$P$57:$P$58</definedName>
    <definedName name="OSRRefP22_5x_0" localSheetId="90">'430'!$P$47</definedName>
    <definedName name="OSRRefP22_5x_0" localSheetId="91">'433'!$P$56</definedName>
    <definedName name="OSRRefP22_5x_0" localSheetId="92">'435'!$P$53</definedName>
    <definedName name="OSRRefP22_5x_0" localSheetId="93">'444'!$P$55</definedName>
    <definedName name="OSRRefP22_5x_0" localSheetId="94">'450'!$P$56</definedName>
    <definedName name="OSRRefP22_5x_0" localSheetId="75">'491'!$P$63:$P$66</definedName>
    <definedName name="OSRRefP22_5x_0" localSheetId="89">'492'!$P$59</definedName>
    <definedName name="OSRRefP22_5x_0" localSheetId="96">'501'!$P$48</definedName>
    <definedName name="OSRRefP22_5x_0" localSheetId="39">'Div 2'!$P$50:$P$51</definedName>
    <definedName name="OSRRefP22_5x_0" localSheetId="47">'Div 3'!$P$205:$P$208</definedName>
    <definedName name="OSRRefP22_5x_0" localSheetId="73">'Div 4'!$P$65:$P$68</definedName>
    <definedName name="OSRRefP22_5x_0" localSheetId="95">'Div 5'!$P$48</definedName>
    <definedName name="OSRRefP22_5x_0" localSheetId="64">'Div 6'!$P$90</definedName>
    <definedName name="OSRRefP22_5x_0" localSheetId="2">Summary!$P$239:$P$242</definedName>
    <definedName name="OSRRefP22_6x_0" localSheetId="41">'201'!$P$50</definedName>
    <definedName name="OSRRefP22_6x_0" localSheetId="42">'202'!$P$49</definedName>
    <definedName name="OSRRefP22_6x_0" localSheetId="43">'203'!$P$50</definedName>
    <definedName name="OSRRefP22_6x_0" localSheetId="44">'204'!$P$52</definedName>
    <definedName name="OSRRefP22_6x_0" localSheetId="45">'205'!$P$51</definedName>
    <definedName name="OSRRefP22_6x_0" localSheetId="46">'206'!$P$49</definedName>
    <definedName name="OSRRefP22_6x_0" localSheetId="48">'300'!$P$205:$P$206</definedName>
    <definedName name="OSRRefP22_6x_0" localSheetId="49">'300 &amp; 317'!$P$231:$P$232</definedName>
    <definedName name="OSRRefP22_6x_0" localSheetId="50">'301'!$P$53:$P$54</definedName>
    <definedName name="OSRRefP22_6x_0" localSheetId="51">'306'!$P$49</definedName>
    <definedName name="OSRRefP22_6x_0" localSheetId="56">'307'!$P$109</definedName>
    <definedName name="OSRRefP22_6x_0" localSheetId="52">'308'!$P$98:$P$99</definedName>
    <definedName name="OSRRefP22_6x_0" localSheetId="67">'309'!$P$56</definedName>
    <definedName name="OSRRefP22_6x_0" localSheetId="66">'310'!$P$66</definedName>
    <definedName name="OSRRefP22_6x_0" localSheetId="74">'310 &amp; 491'!$P$75</definedName>
    <definedName name="OSRRefP22_6x_0" localSheetId="53">'311'!$P$98:$P$99</definedName>
    <definedName name="OSRRefP22_6x_0" localSheetId="68">'313'!$P$60</definedName>
    <definedName name="OSRRefP22_6x_0" localSheetId="57">'314'!$P$90</definedName>
    <definedName name="OSRRefP22_6x_0" localSheetId="59">'315'!$P$89</definedName>
    <definedName name="OSRRefP22_6x_0" localSheetId="62">'316'!$P$65</definedName>
    <definedName name="OSRRefP22_6x_0" localSheetId="65">'317'!$P$92</definedName>
    <definedName name="OSRRefP22_6x_0" localSheetId="63">'320'!$P$61:$P$63</definedName>
    <definedName name="OSRRefP22_6x_0" localSheetId="69">'321'!$P$54</definedName>
    <definedName name="OSRRefP22_6x_0" localSheetId="70">'322'!$P$56</definedName>
    <definedName name="OSRRefP22_6x_0" localSheetId="71">'325'!$P$57</definedName>
    <definedName name="OSRRefP22_6x_0" localSheetId="60">'326'!$P$88</definedName>
    <definedName name="OSRRefP22_6x_0" localSheetId="55">'330'!$P$118</definedName>
    <definedName name="OSRRefP22_6x_0" localSheetId="58">'331'!$P$104</definedName>
    <definedName name="OSRRefP22_6x_0" localSheetId="61">'332'!$P$75</definedName>
    <definedName name="OSRRefP22_6x_0" localSheetId="76">'405'!$P$57</definedName>
    <definedName name="OSRRefP22_6x_0" localSheetId="77">'406'!$P$57</definedName>
    <definedName name="OSRRefP22_6x_0" localSheetId="78">'411'!$P$53</definedName>
    <definedName name="OSRRefP22_6x_0" localSheetId="79">'412'!$P$58</definedName>
    <definedName name="OSRRefP22_6x_0" localSheetId="81">'413'!$P$56</definedName>
    <definedName name="OSRRefP22_6x_0" localSheetId="82">'414'!$P$57</definedName>
    <definedName name="OSRRefP22_6x_0" localSheetId="83">'415'!$P$57</definedName>
    <definedName name="OSRRefP22_6x_0" localSheetId="84">'418'!$P$58</definedName>
    <definedName name="OSRRefP22_6x_0" localSheetId="80">'420'!$P$46:$P$47</definedName>
    <definedName name="OSRRefP22_6x_0" localSheetId="85">'423'!$P$50</definedName>
    <definedName name="OSRRefP22_6x_0" localSheetId="86">'424'!$P$55</definedName>
    <definedName name="OSRRefP22_6x_0" localSheetId="87">'425'!$P$60</definedName>
    <definedName name="OSRRefP22_6x_0" localSheetId="90">'430'!$P$49</definedName>
    <definedName name="OSRRefP22_6x_0" localSheetId="91">'433'!$P$58</definedName>
    <definedName name="OSRRefP22_6x_0" localSheetId="92">'435'!$P$55</definedName>
    <definedName name="OSRRefP22_6x_0" localSheetId="93">'444'!$P$57</definedName>
    <definedName name="OSRRefP22_6x_0" localSheetId="94">'450'!$P$58</definedName>
    <definedName name="OSRRefP22_6x_0" localSheetId="75">'491'!$P$68</definedName>
    <definedName name="OSRRefP22_6x_0" localSheetId="89">'492'!$P$61:$P$62</definedName>
    <definedName name="OSRRefP22_6x_0" localSheetId="96">'501'!$P$50</definedName>
    <definedName name="OSRRefP22_6x_0" localSheetId="39">'Div 2'!$P$53:$P$54</definedName>
    <definedName name="OSRRefP22_6x_0" localSheetId="47">'Div 3'!$P$210:$P$211</definedName>
    <definedName name="OSRRefP22_6x_0" localSheetId="73">'Div 4'!$P$70</definedName>
    <definedName name="OSRRefP22_6x_0" localSheetId="95">'Div 5'!$P$50</definedName>
    <definedName name="OSRRefP22_6x_0" localSheetId="64">'Div 6'!$P$92</definedName>
    <definedName name="OSRRefP22_6x_0" localSheetId="2">Summary!$P$244:$P$245</definedName>
    <definedName name="OSRRefP22_7x_0" localSheetId="41">'201'!$P$52</definedName>
    <definedName name="OSRRefP22_7x_0" localSheetId="42">'202'!$P$51</definedName>
    <definedName name="OSRRefP22_7x_0" localSheetId="43">'203'!$P$52</definedName>
    <definedName name="OSRRefP22_7x_0" localSheetId="44">'204'!$P$54:$P$57</definedName>
    <definedName name="OSRRefP22_7x_0" localSheetId="45">'205'!$P$53:$P$54</definedName>
    <definedName name="OSRRefP22_7x_0" localSheetId="46">'206'!$P$51:$P$52</definedName>
    <definedName name="OSRRefP22_7x_0" localSheetId="48">'300'!$P$208:$P$209</definedName>
    <definedName name="OSRRefP22_7x_0" localSheetId="49">'300 &amp; 317'!$P$234:$P$235</definedName>
    <definedName name="OSRRefP22_7x_0" localSheetId="50">'301'!$P$56:$P$57</definedName>
    <definedName name="OSRRefP22_7x_0" localSheetId="51">'306'!$P$51:$P$52</definedName>
    <definedName name="OSRRefP22_7x_0" localSheetId="56">'307'!$P$111:$P$131</definedName>
    <definedName name="OSRRefP22_7x_0" localSheetId="52">'308'!$P$101</definedName>
    <definedName name="OSRRefP22_7x_0" localSheetId="67">'309'!$P$58</definedName>
    <definedName name="OSRRefP22_7x_0" localSheetId="66">'310'!$P$68</definedName>
    <definedName name="OSRRefP22_7x_0" localSheetId="74">'310 &amp; 491'!$P$77</definedName>
    <definedName name="OSRRefP22_7x_0" localSheetId="53">'311'!$P$101</definedName>
    <definedName name="OSRRefP22_7x_0" localSheetId="68">'313'!$P$62</definedName>
    <definedName name="OSRRefP22_7x_0" localSheetId="57">'314'!$P$92:$P$101</definedName>
    <definedName name="OSRRefP22_7x_0" localSheetId="59">'315'!$P$91:$P$97</definedName>
    <definedName name="OSRRefP22_7x_0" localSheetId="62">'316'!$P$67</definedName>
    <definedName name="OSRRefP22_7x_0" localSheetId="65">'317'!$P$94</definedName>
    <definedName name="OSRRefP22_7x_0" localSheetId="63">'320'!$P$65:$P$66</definedName>
    <definedName name="OSRRefP22_7x_0" localSheetId="69">'321'!$P$56</definedName>
    <definedName name="OSRRefP22_7x_0" localSheetId="70">'322'!$P$58</definedName>
    <definedName name="OSRRefP22_7x_0" localSheetId="71">'325'!$P$59</definedName>
    <definedName name="OSRRefP22_7x_0" localSheetId="60">'326'!$P$90</definedName>
    <definedName name="OSRRefP22_7x_0" localSheetId="55">'330'!$P$120</definedName>
    <definedName name="OSRRefP22_7x_0" localSheetId="58">'331'!$P$106</definedName>
    <definedName name="OSRRefP22_7x_0" localSheetId="61">'332'!$P$77:$P$78</definedName>
    <definedName name="OSRRefP22_7x_0" localSheetId="76">'405'!$P$59</definedName>
    <definedName name="OSRRefP22_7x_0" localSheetId="77">'406'!$P$59</definedName>
    <definedName name="OSRRefP22_7x_0" localSheetId="78">'411'!$P$55</definedName>
    <definedName name="OSRRefP22_7x_0" localSheetId="79">'412'!$P$60</definedName>
    <definedName name="OSRRefP22_7x_0" localSheetId="81">'413'!$P$58</definedName>
    <definedName name="OSRRefP22_7x_0" localSheetId="82">'414'!$P$59</definedName>
    <definedName name="OSRRefP22_7x_0" localSheetId="83">'415'!$P$59</definedName>
    <definedName name="OSRRefP22_7x_0" localSheetId="84">'418'!$P$60</definedName>
    <definedName name="OSRRefP22_7x_0" localSheetId="80">'420'!$P$49</definedName>
    <definedName name="OSRRefP22_7x_0" localSheetId="86">'424'!$P$57</definedName>
    <definedName name="OSRRefP22_7x_0" localSheetId="87">'425'!$P$62</definedName>
    <definedName name="OSRRefP22_7x_0" localSheetId="90">'430'!$P$51:$P$54</definedName>
    <definedName name="OSRRefP22_7x_0" localSheetId="91">'433'!$P$60</definedName>
    <definedName name="OSRRefP22_7x_0" localSheetId="92">'435'!$P$57:$P$59</definedName>
    <definedName name="OSRRefP22_7x_0" localSheetId="93">'444'!$P$59</definedName>
    <definedName name="OSRRefP22_7x_0" localSheetId="94">'450'!$P$60</definedName>
    <definedName name="OSRRefP22_7x_0" localSheetId="75">'491'!$P$70</definedName>
    <definedName name="OSRRefP22_7x_0" localSheetId="89">'492'!$P$64</definedName>
    <definedName name="OSRRefP22_7x_0" localSheetId="96">'501'!$P$52</definedName>
    <definedName name="OSRRefP22_7x_0" localSheetId="39">'Div 2'!$P$56</definedName>
    <definedName name="OSRRefP22_7x_0" localSheetId="47">'Div 3'!$P$213:$P$214</definedName>
    <definedName name="OSRRefP22_7x_0" localSheetId="73">'Div 4'!$P$72:$P$73</definedName>
    <definedName name="OSRRefP22_7x_0" localSheetId="95">'Div 5'!$P$52</definedName>
    <definedName name="OSRRefP22_7x_0" localSheetId="64">'Div 6'!$P$94</definedName>
    <definedName name="OSRRefP22_7x_0" localSheetId="2">Summary!$P$247:$P$249</definedName>
    <definedName name="OSRRefP22_8x_0" localSheetId="41">'201'!$P$54</definedName>
    <definedName name="OSRRefP22_8x_0" localSheetId="42">'202'!$P$53</definedName>
    <definedName name="OSRRefP22_8x_0" localSheetId="43">'203'!$P$54</definedName>
    <definedName name="OSRRefP22_8x_0" localSheetId="44">'204'!$P$59</definedName>
    <definedName name="OSRRefP22_8x_0" localSheetId="45">'205'!$P$56</definedName>
    <definedName name="OSRRefP22_8x_0" localSheetId="46">'206'!$P$54</definedName>
    <definedName name="OSRRefP22_8x_0" localSheetId="48">'300'!$P$211</definedName>
    <definedName name="OSRRefP22_8x_0" localSheetId="49">'300 &amp; 317'!$P$237</definedName>
    <definedName name="OSRRefP22_8x_0" localSheetId="50">'301'!$P$59</definedName>
    <definedName name="OSRRefP22_8x_0" localSheetId="51">'306'!$P$54:$P$57</definedName>
    <definedName name="OSRRefP22_8x_0" localSheetId="56">'307'!$P$133</definedName>
    <definedName name="OSRRefP22_8x_0" localSheetId="52">'308'!$P$103:$P$111</definedName>
    <definedName name="OSRRefP22_8x_0" localSheetId="67">'309'!$P$60</definedName>
    <definedName name="OSRRefP22_8x_0" localSheetId="66">'310'!$P$70</definedName>
    <definedName name="OSRRefP22_8x_0" localSheetId="74">'310 &amp; 491'!$P$79</definedName>
    <definedName name="OSRRefP22_8x_0" localSheetId="53">'311'!$P$103:$P$111</definedName>
    <definedName name="OSRRefP22_8x_0" localSheetId="68">'313'!$P$64</definedName>
    <definedName name="OSRRefP22_8x_0" localSheetId="57">'314'!$P$103</definedName>
    <definedName name="OSRRefP22_8x_0" localSheetId="59">'315'!$P$99</definedName>
    <definedName name="OSRRefP22_8x_0" localSheetId="62">'316'!$P$69</definedName>
    <definedName name="OSRRefP22_8x_0" localSheetId="65">'317'!$P$96:$P$103</definedName>
    <definedName name="OSRRefP22_8x_0" localSheetId="63">'320'!$P$68</definedName>
    <definedName name="OSRRefP22_8x_0" localSheetId="69">'321'!$P$58</definedName>
    <definedName name="OSRRefP22_8x_0" localSheetId="70">'322'!$P$60</definedName>
    <definedName name="OSRRefP22_8x_0" localSheetId="71">'325'!$P$61</definedName>
    <definedName name="OSRRefP22_8x_0" localSheetId="60">'326'!$P$92</definedName>
    <definedName name="OSRRefP22_8x_0" localSheetId="55">'330'!$P$122:$P$143</definedName>
    <definedName name="OSRRefP22_8x_0" localSheetId="58">'331'!$P$108:$P$109</definedName>
    <definedName name="OSRRefP22_8x_0" localSheetId="61">'332'!$P$80</definedName>
    <definedName name="OSRRefP22_8x_0" localSheetId="76">'405'!$P$61</definedName>
    <definedName name="OSRRefP22_8x_0" localSheetId="77">'406'!$P$61</definedName>
    <definedName name="OSRRefP22_8x_0" localSheetId="78">'411'!$P$57</definedName>
    <definedName name="OSRRefP22_8x_0" localSheetId="79">'412'!$P$62</definedName>
    <definedName name="OSRRefP22_8x_0" localSheetId="81">'413'!$P$60:$P$62</definedName>
    <definedName name="OSRRefP22_8x_0" localSheetId="82">'414'!$P$61</definedName>
    <definedName name="OSRRefP22_8x_0" localSheetId="83">'415'!$P$61</definedName>
    <definedName name="OSRRefP22_8x_0" localSheetId="84">'418'!$P$62</definedName>
    <definedName name="OSRRefP22_8x_0" localSheetId="86">'424'!$P$59:$P$60</definedName>
    <definedName name="OSRRefP22_8x_0" localSheetId="87">'425'!$P$64</definedName>
    <definedName name="OSRRefP22_8x_0" localSheetId="90">'430'!$P$56</definedName>
    <definedName name="OSRRefP22_8x_0" localSheetId="91">'433'!$P$62</definedName>
    <definedName name="OSRRefP22_8x_0" localSheetId="92">'435'!$P$61</definedName>
    <definedName name="OSRRefP22_8x_0" localSheetId="93">'444'!$P$61</definedName>
    <definedName name="OSRRefP22_8x_0" localSheetId="94">'450'!$P$62</definedName>
    <definedName name="OSRRefP22_8x_0" localSheetId="75">'491'!$P$72</definedName>
    <definedName name="OSRRefP22_8x_0" localSheetId="89">'492'!$P$66</definedName>
    <definedName name="OSRRefP22_8x_0" localSheetId="96">'501'!$P$54</definedName>
    <definedName name="OSRRefP22_8x_0" localSheetId="39">'Div 2'!$P$58</definedName>
    <definedName name="OSRRefP22_8x_0" localSheetId="47">'Div 3'!$P$216</definedName>
    <definedName name="OSRRefP22_8x_0" localSheetId="73">'Div 4'!$P$75</definedName>
    <definedName name="OSRRefP22_8x_0" localSheetId="95">'Div 5'!$P$54</definedName>
    <definedName name="OSRRefP22_8x_0" localSheetId="64">'Div 6'!$P$96:$P$103</definedName>
    <definedName name="OSRRefP22_8x_0" localSheetId="2">Summary!$P$251</definedName>
    <definedName name="OSRRefP22_9x_0" localSheetId="41">'201'!$P$56</definedName>
    <definedName name="OSRRefP22_9x_0" localSheetId="42">'202'!$P$55:$P$57</definedName>
    <definedName name="OSRRefP22_9x_0" localSheetId="43">'203'!$P$56:$P$58</definedName>
    <definedName name="OSRRefP22_9x_0" localSheetId="44">'204'!$P$61:$P$62</definedName>
    <definedName name="OSRRefP22_9x_0" localSheetId="45">'205'!$P$58</definedName>
    <definedName name="OSRRefP22_9x_0" localSheetId="46">'206'!$P$56</definedName>
    <definedName name="OSRRefP22_9x_0" localSheetId="48">'300'!$P$213</definedName>
    <definedName name="OSRRefP22_9x_0" localSheetId="49">'300 &amp; 317'!$P$239</definedName>
    <definedName name="OSRRefP22_9x_0" localSheetId="50">'301'!$P$61</definedName>
    <definedName name="OSRRefP22_9x_0" localSheetId="51">'306'!$P$59</definedName>
    <definedName name="OSRRefP22_9x_0" localSheetId="56">'307'!$P$135:$P$136</definedName>
    <definedName name="OSRRefP22_9x_0" localSheetId="52">'308'!$P$113:$P$116</definedName>
    <definedName name="OSRRefP22_9x_0" localSheetId="67">'309'!$P$62:$P$63</definedName>
    <definedName name="OSRRefP22_9x_0" localSheetId="66">'310'!$P$72</definedName>
    <definedName name="OSRRefP22_9x_0" localSheetId="74">'310 &amp; 491'!$P$81</definedName>
    <definedName name="OSRRefP22_9x_0" localSheetId="53">'311'!$P$113:$P$116</definedName>
    <definedName name="OSRRefP22_9x_0" localSheetId="68">'313'!$P$66</definedName>
    <definedName name="OSRRefP22_9x_0" localSheetId="57">'314'!$P$105:$P$106</definedName>
    <definedName name="OSRRefP22_9x_0" localSheetId="59">'315'!$P$101:$P$102</definedName>
    <definedName name="OSRRefP22_9x_0" localSheetId="62">'316'!$P$71:$P$72</definedName>
    <definedName name="OSRRefP22_9x_0" localSheetId="65">'317'!$P$105</definedName>
    <definedName name="OSRRefP22_9x_0" localSheetId="69">'321'!$P$60:$P$62</definedName>
    <definedName name="OSRRefP22_9x_0" localSheetId="70">'322'!$P$62:$P$64</definedName>
    <definedName name="OSRRefP22_9x_0" localSheetId="71">'325'!$P$63</definedName>
    <definedName name="OSRRefP22_9x_0" localSheetId="60">'326'!$P$94</definedName>
    <definedName name="OSRRefP22_9x_0" localSheetId="55">'330'!$P$145</definedName>
    <definedName name="OSRRefP22_9x_0" localSheetId="58">'331'!$P$111</definedName>
    <definedName name="OSRRefP22_9x_0" localSheetId="61">'332'!$P$82:$P$84</definedName>
    <definedName name="OSRRefP22_9x_0" localSheetId="76">'405'!$P$63</definedName>
    <definedName name="OSRRefP22_9x_0" localSheetId="77">'406'!$P$63:$P$65</definedName>
    <definedName name="OSRRefP22_9x_0" localSheetId="78">'411'!$P$59</definedName>
    <definedName name="OSRRefP22_9x_0" localSheetId="79">'412'!$P$64:$P$66</definedName>
    <definedName name="OSRRefP22_9x_0" localSheetId="81">'413'!$P$64:$P$65</definedName>
    <definedName name="OSRRefP22_9x_0" localSheetId="82">'414'!$P$63:$P$64</definedName>
    <definedName name="OSRRefP22_9x_0" localSheetId="83">'415'!$P$63</definedName>
    <definedName name="OSRRefP22_9x_0" localSheetId="84">'418'!$P$64</definedName>
    <definedName name="OSRRefP22_9x_0" localSheetId="86">'424'!$P$62:$P$64</definedName>
    <definedName name="OSRRefP22_9x_0" localSheetId="87">'425'!$P$66:$P$68</definedName>
    <definedName name="OSRRefP22_9x_0" localSheetId="90">'430'!$P$58</definedName>
    <definedName name="OSRRefP22_9x_0" localSheetId="91">'433'!$P$64</definedName>
    <definedName name="OSRRefP22_9x_0" localSheetId="93">'444'!$P$63</definedName>
    <definedName name="OSRRefP22_9x_0" localSheetId="94">'450'!$P$64</definedName>
    <definedName name="OSRRefP22_9x_0" localSheetId="75">'491'!$P$74</definedName>
    <definedName name="OSRRefP22_9x_0" localSheetId="89">'492'!$P$68</definedName>
    <definedName name="OSRRefP22_9x_0" localSheetId="96">'501'!$P$56</definedName>
    <definedName name="OSRRefP22_9x_0" localSheetId="39">'Div 2'!$P$60</definedName>
    <definedName name="OSRRefP22_9x_0" localSheetId="47">'Div 3'!$P$218</definedName>
    <definedName name="OSRRefP22_9x_0" localSheetId="73">'Div 4'!$P$77</definedName>
    <definedName name="OSRRefP22_9x_0" localSheetId="95">'Div 5'!$P$56</definedName>
    <definedName name="OSRRefP22_9x_0" localSheetId="64">'Div 6'!$P$105</definedName>
    <definedName name="OSRRefP22_9x_0" localSheetId="2">Summary!$P$253</definedName>
    <definedName name="OSRRefP22x_0" localSheetId="40">'200'!$P$20:$P$21,'200'!$P$23,'200'!$P$25,'200'!$P$27,'200'!$P$29:$P$30</definedName>
    <definedName name="OSRRefP22x_0" localSheetId="41">'201'!$P$20:$P$28,'201'!$P$30:$P$39,'201'!$P$41,'201'!$P$43,'201'!$P$45:$P$46,'201'!$P$48,'201'!$P$50,'201'!$P$52,'201'!$P$54,'201'!$P$56,'201'!$P$58:$P$60,'201'!$P$62:$P$64,'201'!$P$66,'201'!$P$68:$P$71,'201'!$P$73,'201'!$P$75,'201'!$P$77:$P$78</definedName>
    <definedName name="OSRRefP22x_0" localSheetId="42">'202'!$P$20:$P$28,'202'!$P$30:$P$39,'202'!$P$41,'202'!$P$43,'202'!$P$45,'202'!$P$47,'202'!$P$49,'202'!$P$51,'202'!$P$53,'202'!$P$55:$P$57,'202'!$P$59,'202'!$P$61:$P$63,'202'!$P$65,'202'!$P$67,'202'!$P$69:$P$70,'202'!$P$72,'202'!$P$74</definedName>
    <definedName name="OSRRefP22x_0" localSheetId="43">'203'!$P$20:$P$29,'203'!$P$31:$P$40,'203'!$P$42,'203'!$P$44,'203'!$P$46,'203'!$P$48,'203'!$P$50,'203'!$P$52,'203'!$P$54,'203'!$P$56:$P$58,'203'!$P$60:$P$61,'203'!$P$63,'203'!$P$65:$P$68,'203'!$P$70,'203'!$P$72,'203'!$P$74</definedName>
    <definedName name="OSRRefP22x_0" localSheetId="44">'204'!$P$21:$P$30,'204'!$P$32:$P$41,'204'!$P$43,'204'!$P$45:$P$46,'204'!$P$48,'204'!$P$50,'204'!$P$52,'204'!$P$54:$P$57,'204'!$P$59,'204'!$P$61:$P$62,'204'!$P$64:$P$65,'204'!$P$67,'204'!$P$69:$P$70</definedName>
    <definedName name="OSRRefP22x_0" localSheetId="45">'205'!$P$20:$P$28,'205'!$P$30:$P$39,'205'!$P$41,'205'!$P$43,'205'!$P$45,'205'!$P$47:$P$49,'205'!$P$51,'205'!$P$53:$P$54,'205'!$P$56,'205'!$P$58</definedName>
    <definedName name="OSRRefP22x_0" localSheetId="46">'206'!$P$20:$P$28,'206'!$P$30:$P$39,'206'!$P$41,'206'!$P$43,'206'!$P$45,'206'!$P$47,'206'!$P$49,'206'!$P$51:$P$52,'206'!$P$54,'206'!$P$56,'206'!$P$58</definedName>
    <definedName name="OSRRefP22x_0" localSheetId="48">'300'!$P$171:$P$180,'300'!$P$182:$P$191,'300'!$P$193,'300'!$P$195:$P$196,'300'!$P$198,'300'!$P$200:$P$203,'300'!$P$205:$P$206,'300'!$P$208:$P$209,'300'!$P$211,'300'!$P$213,'300'!$P$215:$P$216,'300'!$P$218,'300'!$P$220,'300'!$P$222:$P$255,'300'!$P$257,'300'!$P$259,'300'!$P$261:$P$264,'300'!$P$266:$P$269,'300'!$P$271:$P$274,'300'!$P$276:$P$277,'300'!$P$279:$P$286,'300'!$P$288:$P$289,'300'!$P$291,'300'!$P$293:$P$295,'300'!$P$297</definedName>
    <definedName name="OSRRefP22x_0" localSheetId="49">'300 &amp; 317'!$P$197:$P$206,'300 &amp; 317'!$P$208:$P$217,'300 &amp; 317'!$P$219,'300 &amp; 317'!$P$221:$P$222,'300 &amp; 317'!$P$224,'300 &amp; 317'!$P$226:$P$229,'300 &amp; 317'!$P$231:$P$232,'300 &amp; 317'!$P$234:$P$235,'300 &amp; 317'!$P$237,'300 &amp; 317'!$P$239,'300 &amp; 317'!$P$241:$P$242,'300 &amp; 317'!$P$244,'300 &amp; 317'!$P$246,'300 &amp; 317'!$P$248:$P$284,'300 &amp; 317'!$P$286,'300 &amp; 317'!$P$288,'300 &amp; 317'!$P$290:$P$293,'300 &amp; 317'!$P$295:$P$298,'300 &amp; 317'!$P$300:$P$303,'300 &amp; 317'!$P$305:$P$306,'300 &amp; 317'!$P$308:$P$315,'300 &amp; 317'!$P$317:$P$318,'300 &amp; 317'!$P$320,'300 &amp; 317'!$P$322:$P$324,'300 &amp; 317'!$P$326</definedName>
    <definedName name="OSRRefP22x_0" localSheetId="50">'301'!$P$20:$P$28,'301'!$P$30:$P$39,'301'!$P$41,'301'!$P$43:$P$44,'301'!$P$46,'301'!$P$48:$P$51,'301'!$P$53:$P$54,'301'!$P$56:$P$57,'301'!$P$59,'301'!$P$61,'301'!$P$63,'301'!$P$65,'301'!$P$67,'301'!$P$69:$P$70,'301'!$P$72,'301'!$P$74,'301'!$P$76:$P$79,'301'!$P$81:$P$83,'301'!$P$85:$P$86,'301'!$P$88:$P$94,'301'!$P$96,'301'!$P$98,'301'!$P$100:$P$102,'301'!$P$104</definedName>
    <definedName name="OSRRefP22x_0" localSheetId="51">'306'!$P$20:$P$28,'306'!$P$30:$P$39,'306'!$P$41,'306'!$P$43,'306'!$P$45,'306'!$P$47,'306'!$P$49,'306'!$P$51:$P$52,'306'!$P$54:$P$57,'306'!$P$59,'306'!$P$61</definedName>
    <definedName name="OSRRefP22x_0" localSheetId="56">'307'!$P$79:$P$87,'307'!$P$89:$P$98,'307'!$P$100,'307'!$P$102,'307'!$P$104:$P$105,'307'!$P$107,'307'!$P$109,'307'!$P$111:$P$131,'307'!$P$133,'307'!$P$135:$P$136,'307'!$P$138:$P$139,'307'!$P$141:$P$143,'307'!$P$145,'307'!$P$147</definedName>
    <definedName name="OSRRefP22x_0" localSheetId="52">'308'!$P$67:$P$76,'308'!$P$78:$P$87,'308'!$P$89,'308'!$P$91:$P$92,'308'!$P$94,'308'!$P$96,'308'!$P$98:$P$99,'308'!$P$101,'308'!$P$103:$P$111,'308'!$P$113:$P$116,'308'!$P$118:$P$119,'308'!$P$121:$P$123,'308'!$P$125:$P$126,'308'!$P$128,'308'!$P$130:$P$131</definedName>
    <definedName name="OSRRefP22x_0" localSheetId="67">'309'!$P$26:$P$34,'309'!$P$36:$P$45,'309'!$P$47,'309'!$P$49,'309'!$P$51,'309'!$P$53:$P$54,'309'!$P$56,'309'!$P$58,'309'!$P$60,'309'!$P$62:$P$63,'309'!$P$65:$P$67,'309'!$P$69:$P$71,'309'!$P$73,'309'!$P$75</definedName>
    <definedName name="OSRRefP22x_0" localSheetId="66">'310'!$P$35:$P$43,'310'!$P$45:$P$54,'310'!$P$56,'310'!$P$58,'310'!$P$60,'310'!$P$62:$P$64,'310'!$P$66,'310'!$P$68,'310'!$P$70,'310'!$P$72,'310'!$P$74,'310'!$P$76,'310'!$P$78,'310'!$P$80,'310'!$P$82,'310'!$P$84:$P$86,'310'!$P$88:$P$89,'310'!$P$91:$P$95,'310'!$P$97,'310'!$P$99:$P$107,'310'!$P$109,'310'!$P$111,'310'!$P$113:$P$114,'310'!$P$116</definedName>
    <definedName name="OSRRefP22x_0" localSheetId="74">'310 &amp; 491'!$P$42:$P$51,'310 &amp; 491'!$P$53:$P$62,'310 &amp; 491'!$P$64,'310 &amp; 491'!$P$66,'310 &amp; 491'!$P$68,'310 &amp; 491'!$P$70:$P$73,'310 &amp; 491'!$P$75,'310 &amp; 491'!$P$77,'310 &amp; 491'!$P$79,'310 &amp; 491'!$P$81,'310 &amp; 491'!$P$83:$P$84,'310 &amp; 491'!$P$86:$P$87,'310 &amp; 491'!$P$89,'310 &amp; 491'!$P$91,'310 &amp; 491'!$P$93,'310 &amp; 491'!$P$95,'310 &amp; 491'!$P$97,'310 &amp; 491'!$P$99:$P$102,'310 &amp; 491'!$P$104:$P$107,'310 &amp; 491'!$P$109:$P$114,'310 &amp; 491'!$P$116:$P$117,'310 &amp; 491'!$P$119:$P$129,'310 &amp; 491'!$P$131:$P$132,'310 &amp; 491'!$P$134,'310 &amp; 491'!$P$136:$P$138,'310 &amp; 491'!$P$140</definedName>
    <definedName name="OSRRefP22x_0" localSheetId="53">'311'!$P$67:$P$76,'311'!$P$78:$P$87,'311'!$P$89,'311'!$P$91:$P$92,'311'!$P$94,'311'!$P$96,'311'!$P$98:$P$99,'311'!$P$101,'311'!$P$103:$P$111,'311'!$P$113:$P$116,'311'!$P$118:$P$119,'311'!$P$121:$P$123,'311'!$P$125:$P$126,'311'!$P$128,'311'!$P$130:$P$131</definedName>
    <definedName name="OSRRefP22x_0" localSheetId="68">'313'!$P$31:$P$39,'313'!$P$41:$P$50,'313'!$P$52,'313'!$P$54,'313'!$P$56,'313'!$P$58,'313'!$P$60,'313'!$P$62,'313'!$P$64,'313'!$P$66,'313'!$P$68:$P$70,'313'!$P$72,'313'!$P$74:$P$79,'313'!$P$81,'313'!$P$83</definedName>
    <definedName name="OSRRefP22x_0" localSheetId="57">'314'!$P$59:$P$68,'314'!$P$70:$P$79,'314'!$P$81,'314'!$P$83:$P$84,'314'!$P$86,'314'!$P$88,'314'!$P$90,'314'!$P$92:$P$101,'314'!$P$103,'314'!$P$105:$P$106,'314'!$P$108,'314'!$P$110</definedName>
    <definedName name="OSRRefP22x_0" localSheetId="59">'315'!$P$58:$P$66,'315'!$P$68:$P$77,'315'!$P$79,'315'!$P$81:$P$82,'315'!$P$84,'315'!$P$86:$P$87,'315'!$P$89,'315'!$P$91:$P$97,'315'!$P$99,'315'!$P$101:$P$102,'315'!$P$104:$P$106,'315'!$P$108:$P$109,'315'!$P$111:$P$115,'315'!$P$117,'315'!$P$119,'315'!$P$121:$P$122</definedName>
    <definedName name="OSRRefP22x_0" localSheetId="62">'316'!$P$36:$P$44,'316'!$P$46:$P$55,'316'!$P$57,'316'!$P$59,'316'!$P$61,'316'!$P$63,'316'!$P$65,'316'!$P$67,'316'!$P$69,'316'!$P$71:$P$72,'316'!$P$74:$P$75,'316'!$P$77:$P$81,'316'!$P$83:$P$84,'316'!$P$86</definedName>
    <definedName name="OSRRefP22x_0" localSheetId="65">'317'!$P$62:$P$71,'317'!$P$73:$P$82,'317'!$P$84,'317'!$P$86,'317'!$P$88,'317'!$P$90,'317'!$P$92,'317'!$P$94,'317'!$P$96:$P$103,'317'!$P$105,'317'!$P$107,'317'!$P$109:$P$110,'317'!$P$112:$P$113,'317'!$P$115,'317'!$P$117</definedName>
    <definedName name="OSRRefP22x_0" localSheetId="63">'320'!$P$32:$P$39,'320'!$P$41:$P$50,'320'!$P$52,'320'!$P$54,'320'!$P$56:$P$57,'320'!$P$59,'320'!$P$61:$P$63,'320'!$P$65:$P$66,'320'!$P$68</definedName>
    <definedName name="OSRRefP22x_0" localSheetId="69">'321'!$P$26:$P$33,'321'!$P$35:$P$44,'321'!$P$46,'321'!$P$48,'321'!$P$50,'321'!$P$52,'321'!$P$54,'321'!$P$56,'321'!$P$58,'321'!$P$60:$P$62,'321'!$P$64:$P$65,'321'!$P$67:$P$69,'321'!$P$71:$P$74,'321'!$P$76,'321'!$P$78</definedName>
    <definedName name="OSRRefP22x_0" localSheetId="70">'322'!$P$26:$P$34,'322'!$P$36:$P$45,'322'!$P$47,'322'!$P$49,'322'!$P$51,'322'!$P$53:$P$54,'322'!$P$56,'322'!$P$58,'322'!$P$60,'322'!$P$62:$P$64,'322'!$P$66:$P$68,'322'!$P$70:$P$76,'322'!$P$78,'322'!$P$80,'322'!$P$82</definedName>
    <definedName name="OSRRefP22x_0" localSheetId="71">'325'!$P$26:$P$34,'325'!$P$36:$P$45,'325'!$P$47,'325'!$P$49,'325'!$P$51,'325'!$P$53:$P$55,'325'!$P$57,'325'!$P$59,'325'!$P$61,'325'!$P$63,'325'!$P$65,'325'!$P$67:$P$69,'325'!$P$71:$P$75,'325'!$P$77,'325'!$P$79:$P$85,'325'!$P$87,'325'!$P$89,'325'!$P$91,'325'!$P$93</definedName>
    <definedName name="OSRRefP22x_0" localSheetId="60">'326'!$P$58:$P$66,'326'!$P$68:$P$77,'326'!$P$79,'326'!$P$81:$P$82,'326'!$P$84,'326'!$P$86,'326'!$P$88,'326'!$P$90,'326'!$P$92,'326'!$P$94,'326'!$P$96:$P$108,'326'!$P$110,'326'!$P$112,'326'!$P$114:$P$115,'326'!$P$117:$P$119,'326'!$P$121:$P$122,'326'!$P$124:$P$129,'326'!$P$131:$P$132,'326'!$P$134,'326'!$P$136,'326'!$P$138</definedName>
    <definedName name="OSRRefP22x_0" localSheetId="72">'327'!$P$24,'327'!$P$26,'327'!$P$28</definedName>
    <definedName name="OSRRefP22x_0" localSheetId="55">'330'!$P$87:$P$96,'330'!$P$98:$P$107,'330'!$P$109,'330'!$P$111,'330'!$P$113:$P$114,'330'!$P$116,'330'!$P$118,'330'!$P$120,'330'!$P$122:$P$143,'330'!$P$145,'330'!$P$147:$P$148,'330'!$P$150:$P$151,'330'!$P$153,'330'!$P$155:$P$157,'330'!$P$159,'330'!$P$161,'330'!$P$163</definedName>
    <definedName name="OSRRefP22x_0" localSheetId="58">'331'!$P$73:$P$81,'331'!$P$83:$P$92,'331'!$P$94,'331'!$P$96:$P$97,'331'!$P$99,'331'!$P$101:$P$102,'331'!$P$104,'331'!$P$106,'331'!$P$108:$P$109,'331'!$P$111,'331'!$P$113,'331'!$P$115:$P$127,'331'!$P$129,'331'!$P$131,'331'!$P$133:$P$134,'331'!$P$136:$P$138,'331'!$P$140:$P$142,'331'!$P$144:$P$145,'331'!$P$147:$P$152,'331'!$P$154:$P$155,'331'!$P$157,'331'!$P$159:$P$160,'331'!$P$162</definedName>
    <definedName name="OSRRefP22x_0" localSheetId="61">'332'!$P$46:$P$54,'332'!$P$56:$P$65,'332'!$P$67,'332'!$P$69,'332'!$P$71,'332'!$P$73,'332'!$P$75,'332'!$P$77:$P$78,'332'!$P$80,'332'!$P$82:$P$84,'332'!$P$86:$P$87,'332'!$P$89:$P$90,'332'!$P$92:$P$96,'332'!$P$98:$P$99,'332'!$P$101</definedName>
    <definedName name="OSRRefP22x_0" localSheetId="76">'405'!$P$26:$P$34,'405'!$P$36:$P$45,'405'!$P$47,'405'!$P$49,'405'!$P$51,'405'!$P$53:$P$55,'405'!$P$57,'405'!$P$59,'405'!$P$61,'405'!$P$63,'405'!$P$65,'405'!$P$67:$P$69,'405'!$P$71,'405'!$P$73:$P$75,'405'!$P$77:$P$78,'405'!$P$80:$P$88,'405'!$P$90,'405'!$P$92,'405'!$P$94,'405'!$P$96</definedName>
    <definedName name="OSRRefP22x_0" localSheetId="77">'406'!$P$27:$P$35,'406'!$P$37:$P$46,'406'!$P$48,'406'!$P$50,'406'!$P$52,'406'!$P$54:$P$55,'406'!$P$57,'406'!$P$59,'406'!$P$61,'406'!$P$63:$P$65,'406'!$P$67:$P$69,'406'!$P$71:$P$76,'406'!$P$78:$P$79,'406'!$P$81,'406'!$P$83:$P$84</definedName>
    <definedName name="OSRRefP22x_0" localSheetId="78">'411'!$P$20:$P$29,'411'!$P$31:$P$40,'411'!$P$42,'411'!$P$44,'411'!$P$46:$P$49,'411'!$P$51,'411'!$P$53,'411'!$P$55,'411'!$P$57,'411'!$P$59,'411'!$P$61,'411'!$P$63,'411'!$P$65:$P$68,'411'!$P$70:$P$74,'411'!$P$76,'411'!$P$78:$P$86,'411'!$P$88,'411'!$P$90,'411'!$P$92:$P$94,'411'!$P$96</definedName>
    <definedName name="OSRRefP22x_0" localSheetId="79">'412'!$P$27:$P$35,'412'!$P$37:$P$46,'412'!$P$48,'412'!$P$50,'412'!$P$52,'412'!$P$54:$P$56,'412'!$P$58,'412'!$P$60,'412'!$P$62,'412'!$P$64:$P$66,'412'!$P$68,'412'!$P$70:$P$72,'412'!$P$74:$P$81,'412'!$P$83,'412'!$P$85,'412'!$P$87</definedName>
    <definedName name="OSRRefP22x_0" localSheetId="81">'413'!$P$27:$P$35,'413'!$P$37:$P$46,'413'!$P$48,'413'!$P$50,'413'!$P$52,'413'!$P$54,'413'!$P$56,'413'!$P$58,'413'!$P$60:$P$62,'413'!$P$64:$P$65,'413'!$P$67:$P$73,'413'!$P$75:$P$76,'413'!$P$78,'413'!$P$80</definedName>
    <definedName name="OSRRefP22x_0" localSheetId="82">'414'!$P$27:$P$35,'414'!$P$37:$P$46,'414'!$P$48,'414'!$P$50,'414'!$P$52,'414'!$P$54:$P$55,'414'!$P$57,'414'!$P$59,'414'!$P$61,'414'!$P$63:$P$64,'414'!$P$66,'414'!$P$68,'414'!$P$70,'414'!$P$72:$P$78,'414'!$P$80,'414'!$P$82</definedName>
    <definedName name="OSRRefP22x_0" localSheetId="83">'415'!$P$26:$P$34,'415'!$P$36:$P$45,'415'!$P$47,'415'!$P$49,'415'!$P$51,'415'!$P$53:$P$55,'415'!$P$57,'415'!$P$59,'415'!$P$61,'415'!$P$63,'415'!$P$65,'415'!$P$67:$P$70,'415'!$P$72:$P$76,'415'!$P$78:$P$79,'415'!$P$81:$P$89,'415'!$P$91,'415'!$P$93,'415'!$P$95:$P$96,'415'!$P$98</definedName>
    <definedName name="OSRRefP22x_0" localSheetId="84">'418'!$P$27:$P$35,'418'!$P$37:$P$46,'418'!$P$48,'418'!$P$50,'418'!$P$52,'418'!$P$54:$P$56,'418'!$P$58,'418'!$P$60,'418'!$P$62,'418'!$P$64,'418'!$P$66:$P$67,'418'!$P$69:$P$71,'418'!$P$73:$P$75,'418'!$P$77:$P$78,'418'!$P$80:$P$87,'418'!$P$89,'418'!$P$91,'418'!$P$93:$P$94</definedName>
    <definedName name="OSRRefP22x_0" localSheetId="80">'420'!$P$24:$P$31,'420'!$P$33:$P$36,'420'!$P$38,'420'!$P$40,'420'!$P$42,'420'!$P$44,'420'!$P$46:$P$47,'420'!$P$49</definedName>
    <definedName name="OSRRefP22x_0" localSheetId="85">'423'!$P$21:$P$29,'423'!$P$31:$P$40,'423'!$P$42,'423'!$P$44,'423'!$P$46,'423'!$P$48,'423'!$P$50</definedName>
    <definedName name="OSRRefP22x_0" localSheetId="86">'424'!$P$27:$P$34,'424'!$P$36:$P$45,'424'!$P$47,'424'!$P$49,'424'!$P$51,'424'!$P$53,'424'!$P$55,'424'!$P$57,'424'!$P$59:$P$60,'424'!$P$62:$P$64,'424'!$P$66,'424'!$P$68:$P$72,'424'!$P$74:$P$75</definedName>
    <definedName name="OSRRefP22x_0" localSheetId="87">'425'!$P$29:$P$38,'425'!$P$40:$P$49,'425'!$P$51,'425'!$P$53,'425'!$P$55,'425'!$P$57:$P$58,'425'!$P$60,'425'!$P$62,'425'!$P$64,'425'!$P$66:$P$68,'425'!$P$70:$P$71,'425'!$P$73:$P$75,'425'!$P$77,'425'!$P$79:$P$85,'425'!$P$87:$P$88,'425'!$P$90,'425'!$P$92</definedName>
    <definedName name="OSRRefP22x_0" localSheetId="90">'430'!$P$20:$P$28,'430'!$P$30:$P$39,'430'!$P$41,'430'!$P$43,'430'!$P$45,'430'!$P$47,'430'!$P$49,'430'!$P$51:$P$54,'430'!$P$56,'430'!$P$58,'430'!$P$60</definedName>
    <definedName name="OSRRefP22x_0" localSheetId="91">'433'!$P$28:$P$37,'433'!$P$39:$P$48,'433'!$P$50,'433'!$P$52,'433'!$P$54,'433'!$P$56,'433'!$P$58,'433'!$P$60,'433'!$P$62,'433'!$P$64,'433'!$P$66:$P$68,'433'!$P$70:$P$73,'433'!$P$75:$P$83,'433'!$P$85,'433'!$P$87,'433'!$P$89:$P$90</definedName>
    <definedName name="OSRRefP22x_0" localSheetId="92">'435'!$P$27:$P$34,'435'!$P$36:$P$45,'435'!$P$47,'435'!$P$49,'435'!$P$51,'435'!$P$53,'435'!$P$55,'435'!$P$57:$P$59,'435'!$P$61</definedName>
    <definedName name="OSRRefP22x_0" localSheetId="93">'444'!$P$27:$P$36,'444'!$P$38:$P$47,'444'!$P$49,'444'!$P$51,'444'!$P$53,'444'!$P$55,'444'!$P$57,'444'!$P$59,'444'!$P$61,'444'!$P$63,'444'!$P$65,'444'!$P$67:$P$69,'444'!$P$71:$P$74,'444'!$P$76:$P$83,'444'!$P$85,'444'!$P$87,'444'!$P$89</definedName>
    <definedName name="OSRRefP22x_0" localSheetId="94">'450'!$P$27:$P$36,'450'!$P$38:$P$47,'450'!$P$49,'450'!$P$51:$P$52,'450'!$P$54,'450'!$P$56,'450'!$P$58,'450'!$P$60,'450'!$P$62,'450'!$P$64,'450'!$P$66,'450'!$P$68,'450'!$P$70:$P$73,'450'!$P$75:$P$77,'450'!$P$79:$P$84,'450'!$P$86,'450'!$P$88,'450'!$P$90:$P$91</definedName>
    <definedName name="OSRRefP22x_0" localSheetId="88">'455'!$P$20:$P$27,'455'!$P$29:$P$38</definedName>
    <definedName name="OSRRefP22x_0" localSheetId="75">'491'!$P$35:$P$44,'491'!$P$46:$P$55,'491'!$P$57,'491'!$P$59,'491'!$P$61,'491'!$P$63:$P$66,'491'!$P$68,'491'!$P$70,'491'!$P$72,'491'!$P$74,'491'!$P$76,'491'!$P$78:$P$79,'491'!$P$81,'491'!$P$83,'491'!$P$85,'491'!$P$87,'491'!$P$89:$P$92,'491'!$P$94:$P$97,'491'!$P$99:$P$103,'491'!$P$105:$P$106,'491'!$P$108:$P$118,'491'!$P$120:$P$121,'491'!$P$123,'491'!$P$125:$P$127,'491'!$P$129</definedName>
    <definedName name="OSRRefP22x_0" localSheetId="89">'492'!$P$30:$P$39,'492'!$P$41:$P$50,'492'!$P$52,'492'!$P$54:$P$55,'492'!$P$57,'492'!$P$59,'492'!$P$61:$P$62,'492'!$P$64,'492'!$P$66,'492'!$P$68,'492'!$P$70,'492'!$P$72,'492'!$P$74,'492'!$P$76:$P$79,'492'!$P$81:$P$84,'492'!$P$86:$P$95,'492'!$P$97,'492'!$P$99,'492'!$P$101:$P$102</definedName>
    <definedName name="OSRRefP22x_0" localSheetId="96">'501'!$P$21:$P$29,'501'!$P$31:$P$40,'501'!$P$42,'501'!$P$44,'501'!$P$46,'501'!$P$48,'501'!$P$50,'501'!$P$52,'501'!$P$54,'501'!$P$56,'501'!$P$58:$P$61,'501'!$P$63,'501'!$P$65:$P$67,'501'!$P$69,'501'!$P$71</definedName>
    <definedName name="OSRRefP22x_0" localSheetId="39">'Div 2'!$P$21:$P$31,'Div 2'!$P$33:$P$42,'Div 2'!$P$44,'Div 2'!$P$46,'Div 2'!$P$48,'Div 2'!$P$50:$P$51,'Div 2'!$P$53:$P$54,'Div 2'!$P$56,'Div 2'!$P$58,'Div 2'!$P$60,'Div 2'!$P$62,'Div 2'!$P$64,'Div 2'!$P$66:$P$68,'Div 2'!$P$70:$P$73,'Div 2'!$P$75:$P$78,'Div 2'!$P$80:$P$81,'Div 2'!$P$83:$P$84,'Div 2'!$P$86:$P$91,'Div 2'!$P$93:$P$94,'Div 2'!$P$96,'Div 2'!$P$98:$P$99</definedName>
    <definedName name="OSRRefP22x_0" localSheetId="47">'Div 3'!$P$176:$P$185,'Div 3'!$P$187:$P$196,'Div 3'!$P$198,'Div 3'!$P$200:$P$201,'Div 3'!$P$203,'Div 3'!$P$205:$P$208,'Div 3'!$P$210:$P$211,'Div 3'!$P$213:$P$214,'Div 3'!$P$216,'Div 3'!$P$218,'Div 3'!$P$220:$P$221,'Div 3'!$P$223,'Div 3'!$P$225,'Div 3'!$P$227,'Div 3'!$P$229:$P$262,'Div 3'!$P$264,'Div 3'!$P$266,'Div 3'!$P$268,'Div 3'!$P$270:$P$273,'Div 3'!$P$275:$P$278,'Div 3'!$P$280:$P$285,'Div 3'!$P$287:$P$288,'Div 3'!$P$290:$P$299,'Div 3'!$P$301:$P$302,'Div 3'!$P$304,'Div 3'!$P$306:$P$308,'Div 3'!$P$310</definedName>
    <definedName name="OSRRefP22x_0" localSheetId="73">'Div 4'!$P$36:$P$45,'Div 4'!$P$47:$P$56,'Div 4'!$P$58,'Div 4'!$P$60:$P$61,'Div 4'!$P$63,'Div 4'!$P$65:$P$68,'Div 4'!$P$70,'Div 4'!$P$72:$P$73,'Div 4'!$P$75,'Div 4'!$P$77,'Div 4'!$P$79,'Div 4'!$P$81:$P$82,'Div 4'!$P$84,'Div 4'!$P$86,'Div 4'!$P$88,'Div 4'!$P$90,'Div 4'!$P$92,'Div 4'!$P$94:$P$97,'Div 4'!$P$99:$P$102,'Div 4'!$P$104:$P$108,'Div 4'!$P$110:$P$111,'Div 4'!$P$113:$P$123,'Div 4'!$P$125:$P$126,'Div 4'!$P$128,'Div 4'!$P$130:$P$132,'Div 4'!$P$134</definedName>
    <definedName name="OSRRefP22x_0" localSheetId="95">'Div 5'!$P$21:$P$29,'Div 5'!$P$31:$P$40,'Div 5'!$P$42,'Div 5'!$P$44,'Div 5'!$P$46,'Div 5'!$P$48,'Div 5'!$P$50,'Div 5'!$P$52,'Div 5'!$P$54,'Div 5'!$P$56,'Div 5'!$P$58:$P$61,'Div 5'!$P$63,'Div 5'!$P$65:$P$67,'Div 5'!$P$69,'Div 5'!$P$71</definedName>
    <definedName name="OSRRefP22x_0" localSheetId="64">'Div 6'!$P$62:$P$71,'Div 6'!$P$73:$P$82,'Div 6'!$P$84,'Div 6'!$P$86,'Div 6'!$P$88,'Div 6'!$P$90,'Div 6'!$P$92,'Div 6'!$P$94,'Div 6'!$P$96:$P$103,'Div 6'!$P$105,'Div 6'!$P$107,'Div 6'!$P$109:$P$110,'Div 6'!$P$112:$P$113,'Div 6'!$P$115,'Div 6'!$P$117</definedName>
    <definedName name="OSRRefP22x_0" localSheetId="2">Summary!$P$210:$P$219,Summary!$P$221:$P$230,Summary!$P$232,Summary!$P$234:$P$235,Summary!$P$237,Summary!$P$239:$P$242,Summary!$P$244:$P$245,Summary!$P$247:$P$249,Summary!$P$251,Summary!$P$253,Summary!$P$255:$P$256,Summary!$P$258:$P$259,Summary!$P$261,Summary!$P$263,Summary!$P$265:$P$301,Summary!$P$303,Summary!$P$305,Summary!$P$307,Summary!$P$309:$P$312,Summary!$P$314:$P$317,Summary!$P$319:$P$324,Summary!$P$326:$P$327,Summary!$P$329:$P$339,Summary!$P$341:$P$342,Summary!$P$344,Summary!$P$346:$P$348,Summary!$P$350</definedName>
    <definedName name="OSRRefP25x_0" localSheetId="48">'300'!$P$300:$P$308</definedName>
    <definedName name="OSRRefP25x_0" localSheetId="49">'300 &amp; 317'!$P$329:$P$340</definedName>
    <definedName name="OSRRefP25x_0" localSheetId="50">'301'!$P$107:$P$110</definedName>
    <definedName name="OSRRefP25x_0" localSheetId="56">'307'!$P$150</definedName>
    <definedName name="OSRRefP25x_0" localSheetId="52">'308'!$P$134:$P$137</definedName>
    <definedName name="OSRRefP25x_0" localSheetId="74">'310 &amp; 491'!$P$143:$P$146</definedName>
    <definedName name="OSRRefP25x_0" localSheetId="53">'311'!$P$134:$P$137</definedName>
    <definedName name="OSRRefP25x_0" localSheetId="59">'315'!$P$125:$P$127</definedName>
    <definedName name="OSRRefP25x_0" localSheetId="62">'316'!$P$89:$P$90</definedName>
    <definedName name="OSRRefP25x_0" localSheetId="65">'317'!$P$120:$P$123</definedName>
    <definedName name="OSRRefP25x_0" localSheetId="63">'320'!$P$71:$P$75</definedName>
    <definedName name="OSRRefP25x_0" localSheetId="55">'330'!$P$166</definedName>
    <definedName name="OSRRefP25x_0" localSheetId="58">'331'!$P$165:$P$167</definedName>
    <definedName name="OSRRefP25x_0" localSheetId="61">'332'!$P$104:$P$110</definedName>
    <definedName name="OSRRefP25x_0" localSheetId="78">'411'!$P$99:$P$100</definedName>
    <definedName name="OSRRefP25x_0" localSheetId="81">'413'!$P$83</definedName>
    <definedName name="OSRRefP25x_0" localSheetId="83">'415'!$P$101</definedName>
    <definedName name="OSRRefP25x_0" localSheetId="85">'423'!$P$53</definedName>
    <definedName name="OSRRefP25x_0" localSheetId="86">'424'!$P$78</definedName>
    <definedName name="OSRRefP25x_0" localSheetId="87">'425'!$P$95</definedName>
    <definedName name="OSRRefP25x_0" localSheetId="88">'455'!$P$41:$P$44</definedName>
    <definedName name="OSRRefP25x_0" localSheetId="75">'491'!$P$132:$P$135</definedName>
    <definedName name="OSRRefP25x_0" localSheetId="96">'501'!$P$74</definedName>
    <definedName name="OSRRefP25x_0" localSheetId="47">'Div 3'!$P$313:$P$321</definedName>
    <definedName name="OSRRefP25x_0" localSheetId="73">'Div 4'!$P$137:$P$140</definedName>
    <definedName name="OSRRefP25x_0" localSheetId="95">'Div 5'!$P$74</definedName>
    <definedName name="OSRRefP25x_0" localSheetId="64">'Div 6'!$P$120:$P$123</definedName>
    <definedName name="OSRRefP25x_0" localSheetId="2">Summary!$P$353:$P$365</definedName>
    <definedName name="OSRRefT13x_0" localSheetId="44">'204'!$T$13</definedName>
    <definedName name="OSRRefT13x_0" localSheetId="48">'300'!$T$13:$T$112</definedName>
    <definedName name="OSRRefT13x_0" localSheetId="49">'300 &amp; 317'!$T$13:$T$130</definedName>
    <definedName name="OSRRefT13x_0" localSheetId="56">'307'!$T$13:$T$50</definedName>
    <definedName name="OSRRefT13x_0" localSheetId="52">'308'!$T$13:$T$42</definedName>
    <definedName name="OSRRefT13x_0" localSheetId="67">'309'!$T$13:$T$15</definedName>
    <definedName name="OSRRefT13x_0" localSheetId="66">'310'!$T$13:$T$24</definedName>
    <definedName name="OSRRefT13x_0" localSheetId="74">'310 &amp; 491'!$T$13:$T$31</definedName>
    <definedName name="OSRRefT13x_0" localSheetId="53">'311'!$T$13:$T$42</definedName>
    <definedName name="OSRRefT13x_0" localSheetId="68">'313'!$T$13:$T$20</definedName>
    <definedName name="OSRRefT13x_0" localSheetId="57">'314'!$T$13:$T$35</definedName>
    <definedName name="OSRRefT13x_0" localSheetId="59">'315'!$T$13:$T$34</definedName>
    <definedName name="OSRRefT13x_0" localSheetId="62">'316'!$T$13:$T$28</definedName>
    <definedName name="OSRRefT13x_0" localSheetId="65">'317'!$T$13:$T$38</definedName>
    <definedName name="OSRRefT13x_0" localSheetId="63">'320'!$T$13:$T$18</definedName>
    <definedName name="OSRRefT13x_0" localSheetId="69">'321'!$T$13:$T$15</definedName>
    <definedName name="OSRRefT13x_0" localSheetId="70">'322'!$T$13:$T$15</definedName>
    <definedName name="OSRRefT13x_0" localSheetId="54">'324'!$T$13:$T$15</definedName>
    <definedName name="OSRRefT13x_0" localSheetId="71">'325'!$T$13:$T$15</definedName>
    <definedName name="OSRRefT13x_0" localSheetId="60">'326'!$T$13:$T$33</definedName>
    <definedName name="OSRRefT13x_0" localSheetId="72">'327'!$T$13:$T$14</definedName>
    <definedName name="OSRRefT13x_0" localSheetId="55">'330'!$T$13:$T$55</definedName>
    <definedName name="OSRRefT13x_0" localSheetId="58">'331'!$T$13:$T$42</definedName>
    <definedName name="OSRRefT13x_0" localSheetId="61">'332'!$T$13:$T$32</definedName>
    <definedName name="OSRRefT13x_0" localSheetId="76">'405'!$T$13:$T$15</definedName>
    <definedName name="OSRRefT13x_0" localSheetId="77">'406'!$T$13:$T$16</definedName>
    <definedName name="OSRRefT13x_0" localSheetId="79">'412'!$T$13:$T$16</definedName>
    <definedName name="OSRRefT13x_0" localSheetId="81">'413'!$T$13:$T$16</definedName>
    <definedName name="OSRRefT13x_0" localSheetId="82">'414'!$T$13:$T$16</definedName>
    <definedName name="OSRRefT13x_0" localSheetId="83">'415'!$T$13:$T$15</definedName>
    <definedName name="OSRRefT13x_0" localSheetId="84">'418'!$T$13:$T$16</definedName>
    <definedName name="OSRRefT13x_0" localSheetId="80">'420'!$T$13:$T$14</definedName>
    <definedName name="OSRRefT13x_0" localSheetId="86">'424'!$T$13:$T$16</definedName>
    <definedName name="OSRRefT13x_0" localSheetId="87">'425'!$T$13:$T$18</definedName>
    <definedName name="OSRRefT13x_0" localSheetId="91">'433'!$T$13:$T$17</definedName>
    <definedName name="OSRRefT13x_0" localSheetId="92">'435'!$T$13:$T$16</definedName>
    <definedName name="OSRRefT13x_0" localSheetId="93">'444'!$T$13:$T$16</definedName>
    <definedName name="OSRRefT13x_0" localSheetId="94">'450'!$T$13:$T$16</definedName>
    <definedName name="OSRRefT13x_0" localSheetId="75">'491'!$T$13:$T$24</definedName>
    <definedName name="OSRRefT13x_0" localSheetId="89">'492'!$T$13:$T$19</definedName>
    <definedName name="OSRRefT13x_0" localSheetId="96">'501'!$T$13</definedName>
    <definedName name="OSRRefT13x_0" localSheetId="39">'Div 2'!$T$13</definedName>
    <definedName name="OSRRefT13x_0" localSheetId="47">'Div 3'!$T$13:$T$115</definedName>
    <definedName name="OSRRefT13x_0" localSheetId="73">'Div 4'!$T$13:$T$25</definedName>
    <definedName name="OSRRefT13x_0" localSheetId="95">'Div 5'!$T$13</definedName>
    <definedName name="OSRRefT13x_0" localSheetId="64">'Div 6'!$T$13:$T$38</definedName>
    <definedName name="OSRRefT13x_0" localSheetId="2">Summary!$T$13:$T$141</definedName>
    <definedName name="OSRRefT16x_0" localSheetId="48">'300'!$T$115:$T$165</definedName>
    <definedName name="OSRRefT16x_0" localSheetId="49">'300 &amp; 317'!$T$133:$T$191</definedName>
    <definedName name="OSRRefT16x_0" localSheetId="56">'307'!$T$53:$T$73</definedName>
    <definedName name="OSRRefT16x_0" localSheetId="52">'308'!$T$45:$T$61</definedName>
    <definedName name="OSRRefT16x_0" localSheetId="67">'309'!$T$18:$T$20</definedName>
    <definedName name="OSRRefT16x_0" localSheetId="66">'310'!$T$27:$T$29</definedName>
    <definedName name="OSRRefT16x_0" localSheetId="74">'310 &amp; 491'!$T$34:$T$36</definedName>
    <definedName name="OSRRefT16x_0" localSheetId="53">'311'!$T$45:$T$61</definedName>
    <definedName name="OSRRefT16x_0" localSheetId="68">'313'!$T$23:$T$25</definedName>
    <definedName name="OSRRefT16x_0" localSheetId="57">'314'!$T$38:$T$53</definedName>
    <definedName name="OSRRefT16x_0" localSheetId="59">'315'!$T$37:$T$52</definedName>
    <definedName name="OSRRefT16x_0" localSheetId="65">'317'!$T$41:$T$56</definedName>
    <definedName name="OSRRefT16x_0" localSheetId="63">'320'!$T$21:$T$26</definedName>
    <definedName name="OSRRefT16x_0" localSheetId="69">'321'!$T$18:$T$20</definedName>
    <definedName name="OSRRefT16x_0" localSheetId="70">'322'!$T$18:$T$20</definedName>
    <definedName name="OSRRefT16x_0" localSheetId="54">'324'!$T$18:$T$20</definedName>
    <definedName name="OSRRefT16x_0" localSheetId="71">'325'!$T$18:$T$20</definedName>
    <definedName name="OSRRefT16x_0" localSheetId="60">'326'!$T$36:$T$52</definedName>
    <definedName name="OSRRefT16x_0" localSheetId="72">'327'!$T$17:$T$18</definedName>
    <definedName name="OSRRefT16x_0" localSheetId="55">'330'!$T$58:$T$81</definedName>
    <definedName name="OSRRefT16x_0" localSheetId="58">'331'!$T$45:$T$67</definedName>
    <definedName name="OSRRefT16x_0" localSheetId="61">'332'!$T$35:$T$40</definedName>
    <definedName name="OSRRefT16x_0" localSheetId="76">'405'!$T$18:$T$20</definedName>
    <definedName name="OSRRefT16x_0" localSheetId="77">'406'!$T$19:$T$21</definedName>
    <definedName name="OSRRefT16x_0" localSheetId="79">'412'!$T$19:$T$21</definedName>
    <definedName name="OSRRefT16x_0" localSheetId="81">'413'!$T$19:$T$21</definedName>
    <definedName name="OSRRefT16x_0" localSheetId="82">'414'!$T$19:$T$21</definedName>
    <definedName name="OSRRefT16x_0" localSheetId="83">'415'!$T$18:$T$20</definedName>
    <definedName name="OSRRefT16x_0" localSheetId="84">'418'!$T$19:$T$21</definedName>
    <definedName name="OSRRefT16x_0" localSheetId="80">'420'!$T$17:$T$18</definedName>
    <definedName name="OSRRefT16x_0" localSheetId="85">'423'!$T$15</definedName>
    <definedName name="OSRRefT16x_0" localSheetId="86">'424'!$T$19:$T$21</definedName>
    <definedName name="OSRRefT16x_0" localSheetId="87">'425'!$T$21:$T$23</definedName>
    <definedName name="OSRRefT16x_0" localSheetId="91">'433'!$T$20:$T$22</definedName>
    <definedName name="OSRRefT16x_0" localSheetId="92">'435'!$T$19:$T$21</definedName>
    <definedName name="OSRRefT16x_0" localSheetId="93">'444'!$T$19:$T$21</definedName>
    <definedName name="OSRRefT16x_0" localSheetId="94">'450'!$T$19:$T$21</definedName>
    <definedName name="OSRRefT16x_0" localSheetId="75">'491'!$T$27:$T$29</definedName>
    <definedName name="OSRRefT16x_0" localSheetId="89">'492'!$T$22:$T$24</definedName>
    <definedName name="OSRRefT16x_0" localSheetId="47">'Div 3'!$T$118:$T$170</definedName>
    <definedName name="OSRRefT16x_0" localSheetId="73">'Div 4'!$T$28:$T$30</definedName>
    <definedName name="OSRRefT16x_0" localSheetId="64">'Div 6'!$T$41:$T$56</definedName>
    <definedName name="OSRRefT16x_0" localSheetId="2">Summary!$T$144:$T$204</definedName>
    <definedName name="OSRRefT22_0x_0" localSheetId="40">'200'!$T$20:$T$21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'204'!$T$21:$T$30</definedName>
    <definedName name="OSRRefT22_0x_0" localSheetId="45">'205'!$T$20:$T$28</definedName>
    <definedName name="OSRRefT22_0x_0" localSheetId="46">'206'!$T$20:$T$28</definedName>
    <definedName name="OSRRefT22_0x_0" localSheetId="48">'300'!$T$171:$T$180</definedName>
    <definedName name="OSRRefT22_0x_0" localSheetId="49">'300 &amp; 317'!$T$197:$T$206</definedName>
    <definedName name="OSRRefT22_0x_0" localSheetId="50">'301'!$T$20:$T$28</definedName>
    <definedName name="OSRRefT22_0x_0" localSheetId="51">'306'!$T$20:$T$28</definedName>
    <definedName name="OSRRefT22_0x_0" localSheetId="56">'307'!$T$79:$T$87</definedName>
    <definedName name="OSRRefT22_0x_0" localSheetId="52">'308'!$T$67:$T$76</definedName>
    <definedName name="OSRRefT22_0x_0" localSheetId="67">'309'!$T$26:$T$34</definedName>
    <definedName name="OSRRefT22_0x_0" localSheetId="66">'310'!$T$35:$T$43</definedName>
    <definedName name="OSRRefT22_0x_0" localSheetId="74">'310 &amp; 491'!$T$42:$T$51</definedName>
    <definedName name="OSRRefT22_0x_0" localSheetId="53">'311'!$T$67:$T$76</definedName>
    <definedName name="OSRRefT22_0x_0" localSheetId="68">'313'!$T$31:$T$39</definedName>
    <definedName name="OSRRefT22_0x_0" localSheetId="57">'314'!$T$59:$T$68</definedName>
    <definedName name="OSRRefT22_0x_0" localSheetId="59">'315'!$T$58:$T$66</definedName>
    <definedName name="OSRRefT22_0x_0" localSheetId="62">'316'!$T$36:$T$44</definedName>
    <definedName name="OSRRefT22_0x_0" localSheetId="65">'317'!$T$62:$T$71</definedName>
    <definedName name="OSRRefT22_0x_0" localSheetId="63">'320'!$T$32:$T$39</definedName>
    <definedName name="OSRRefT22_0x_0" localSheetId="69">'321'!$T$26:$T$33</definedName>
    <definedName name="OSRRefT22_0x_0" localSheetId="70">'322'!$T$26:$T$34</definedName>
    <definedName name="OSRRefT22_0x_0" localSheetId="71">'325'!$T$26:$T$34</definedName>
    <definedName name="OSRRefT22_0x_0" localSheetId="60">'326'!$T$58:$T$66</definedName>
    <definedName name="OSRRefT22_0x_0" localSheetId="72">'327'!$T$24</definedName>
    <definedName name="OSRRefT22_0x_0" localSheetId="55">'330'!$T$87:$T$96</definedName>
    <definedName name="OSRRefT22_0x_0" localSheetId="58">'331'!$T$73:$T$81</definedName>
    <definedName name="OSRRefT22_0x_0" localSheetId="61">'332'!$T$46:$T$54</definedName>
    <definedName name="OSRRefT22_0x_0" localSheetId="76">'405'!$T$26:$T$34</definedName>
    <definedName name="OSRRefT22_0x_0" localSheetId="77">'406'!$T$27:$T$35</definedName>
    <definedName name="OSRRefT22_0x_0" localSheetId="78">'411'!$T$20:$T$29</definedName>
    <definedName name="OSRRefT22_0x_0" localSheetId="79">'412'!$T$27:$T$35</definedName>
    <definedName name="OSRRefT22_0x_0" localSheetId="81">'413'!$T$27:$T$35</definedName>
    <definedName name="OSRRefT22_0x_0" localSheetId="82">'414'!$T$27:$T$35</definedName>
    <definedName name="OSRRefT22_0x_0" localSheetId="83">'415'!$T$26:$T$34</definedName>
    <definedName name="OSRRefT22_0x_0" localSheetId="84">'418'!$T$27:$T$35</definedName>
    <definedName name="OSRRefT22_0x_0" localSheetId="80">'420'!$T$24:$T$31</definedName>
    <definedName name="OSRRefT22_0x_0" localSheetId="85">'423'!$T$21:$T$29</definedName>
    <definedName name="OSRRefT22_0x_0" localSheetId="86">'424'!$T$27:$T$34</definedName>
    <definedName name="OSRRefT22_0x_0" localSheetId="87">'425'!$T$29:$T$38</definedName>
    <definedName name="OSRRefT22_0x_0" localSheetId="90">'430'!$T$20:$T$28</definedName>
    <definedName name="OSRRefT22_0x_0" localSheetId="91">'433'!$T$28:$T$37</definedName>
    <definedName name="OSRRefT22_0x_0" localSheetId="92">'435'!$T$27:$T$34</definedName>
    <definedName name="OSRRefT22_0x_0" localSheetId="93">'444'!$T$27:$T$36</definedName>
    <definedName name="OSRRefT22_0x_0" localSheetId="94">'450'!$T$27:$T$36</definedName>
    <definedName name="OSRRefT22_0x_0" localSheetId="88">'455'!$T$20:$T$27</definedName>
    <definedName name="OSRRefT22_0x_0" localSheetId="75">'491'!$T$35:$T$44</definedName>
    <definedName name="OSRRefT22_0x_0" localSheetId="89">'492'!$T$30:$T$39</definedName>
    <definedName name="OSRRefT22_0x_0" localSheetId="96">'501'!$T$21:$T$29</definedName>
    <definedName name="OSRRefT22_0x_0" localSheetId="39">'Div 2'!$T$21:$T$31</definedName>
    <definedName name="OSRRefT22_0x_0" localSheetId="47">'Div 3'!$T$176:$T$185</definedName>
    <definedName name="OSRRefT22_0x_0" localSheetId="73">'Div 4'!$T$36:$T$45</definedName>
    <definedName name="OSRRefT22_0x_0" localSheetId="95">'Div 5'!$T$21:$T$29</definedName>
    <definedName name="OSRRefT22_0x_0" localSheetId="64">'Div 6'!$T$62:$T$71</definedName>
    <definedName name="OSRRefT22_0x_0" localSheetId="2">Summary!$T$210:$T$219</definedName>
    <definedName name="OSRRefT22_10x_0" localSheetId="41">'201'!$T$58:$T$60</definedName>
    <definedName name="OSRRefT22_10x_0" localSheetId="42">'202'!$T$59</definedName>
    <definedName name="OSRRefT22_10x_0" localSheetId="43">'203'!$T$60:$T$61</definedName>
    <definedName name="OSRRefT22_10x_0" localSheetId="44">'204'!$T$64:$T$65</definedName>
    <definedName name="OSRRefT22_10x_0" localSheetId="46">'206'!$T$58</definedName>
    <definedName name="OSRRefT22_10x_0" localSheetId="48">'300'!$T$215:$T$216</definedName>
    <definedName name="OSRRefT22_10x_0" localSheetId="49">'300 &amp; 317'!$T$241:$T$242</definedName>
    <definedName name="OSRRefT22_10x_0" localSheetId="50">'301'!$T$63</definedName>
    <definedName name="OSRRefT22_10x_0" localSheetId="51">'306'!$T$61</definedName>
    <definedName name="OSRRefT22_10x_0" localSheetId="56">'307'!$T$138:$T$139</definedName>
    <definedName name="OSRRefT22_10x_0" localSheetId="52">'308'!$T$118:$T$119</definedName>
    <definedName name="OSRRefT22_10x_0" localSheetId="67">'309'!$T$65:$T$67</definedName>
    <definedName name="OSRRefT22_10x_0" localSheetId="66">'310'!$T$74</definedName>
    <definedName name="OSRRefT22_10x_0" localSheetId="74">'310 &amp; 491'!$T$83:$T$84</definedName>
    <definedName name="OSRRefT22_10x_0" localSheetId="53">'311'!$T$118:$T$119</definedName>
    <definedName name="OSRRefT22_10x_0" localSheetId="68">'313'!$T$68:$T$70</definedName>
    <definedName name="OSRRefT22_10x_0" localSheetId="57">'314'!$T$108</definedName>
    <definedName name="OSRRefT22_10x_0" localSheetId="59">'315'!$T$104:$T$106</definedName>
    <definedName name="OSRRefT22_10x_0" localSheetId="62">'316'!$T$74:$T$75</definedName>
    <definedName name="OSRRefT22_10x_0" localSheetId="65">'317'!$T$107</definedName>
    <definedName name="OSRRefT22_10x_0" localSheetId="69">'321'!$T$64:$T$65</definedName>
    <definedName name="OSRRefT22_10x_0" localSheetId="70">'322'!$T$66:$T$68</definedName>
    <definedName name="OSRRefT22_10x_0" localSheetId="71">'325'!$T$65</definedName>
    <definedName name="OSRRefT22_10x_0" localSheetId="60">'326'!$T$96:$T$108</definedName>
    <definedName name="OSRRefT22_10x_0" localSheetId="55">'330'!$T$147:$T$148</definedName>
    <definedName name="OSRRefT22_10x_0" localSheetId="58">'331'!$T$113</definedName>
    <definedName name="OSRRefT22_10x_0" localSheetId="61">'332'!$T$86:$T$87</definedName>
    <definedName name="OSRRefT22_10x_0" localSheetId="76">'405'!$T$65</definedName>
    <definedName name="OSRRefT22_10x_0" localSheetId="77">'406'!$T$67:$T$69</definedName>
    <definedName name="OSRRefT22_10x_0" localSheetId="78">'411'!$T$61</definedName>
    <definedName name="OSRRefT22_10x_0" localSheetId="79">'412'!$T$68</definedName>
    <definedName name="OSRRefT22_10x_0" localSheetId="81">'413'!$T$67:$T$73</definedName>
    <definedName name="OSRRefT22_10x_0" localSheetId="82">'414'!$T$66</definedName>
    <definedName name="OSRRefT22_10x_0" localSheetId="83">'415'!$T$65</definedName>
    <definedName name="OSRRefT22_10x_0" localSheetId="84">'418'!$T$66:$T$67</definedName>
    <definedName name="OSRRefT22_10x_0" localSheetId="86">'424'!$T$66</definedName>
    <definedName name="OSRRefT22_10x_0" localSheetId="87">'425'!$T$70:$T$71</definedName>
    <definedName name="OSRRefT22_10x_0" localSheetId="90">'430'!$T$60</definedName>
    <definedName name="OSRRefT22_10x_0" localSheetId="91">'433'!$T$66:$T$68</definedName>
    <definedName name="OSRRefT22_10x_0" localSheetId="93">'444'!$T$65</definedName>
    <definedName name="OSRRefT22_10x_0" localSheetId="94">'450'!$T$66</definedName>
    <definedName name="OSRRefT22_10x_0" localSheetId="75">'491'!$T$76</definedName>
    <definedName name="OSRRefT22_10x_0" localSheetId="89">'492'!$T$70</definedName>
    <definedName name="OSRRefT22_10x_0" localSheetId="96">'501'!$T$58:$T$61</definedName>
    <definedName name="OSRRefT22_10x_0" localSheetId="39">'Div 2'!$T$62</definedName>
    <definedName name="OSRRefT22_10x_0" localSheetId="47">'Div 3'!$T$220:$T$221</definedName>
    <definedName name="OSRRefT22_10x_0" localSheetId="73">'Div 4'!$T$79</definedName>
    <definedName name="OSRRefT22_10x_0" localSheetId="95">'Div 5'!$T$58:$T$61</definedName>
    <definedName name="OSRRefT22_10x_0" localSheetId="64">'Div 6'!$T$107</definedName>
    <definedName name="OSRRefT22_10x_0" localSheetId="2">Summary!$T$255:$T$256</definedName>
    <definedName name="OSRRefT22_11x_0" localSheetId="41">'201'!$T$62:$T$64</definedName>
    <definedName name="OSRRefT22_11x_0" localSheetId="42">'202'!$T$61:$T$63</definedName>
    <definedName name="OSRRefT22_11x_0" localSheetId="43">'203'!$T$63</definedName>
    <definedName name="OSRRefT22_11x_0" localSheetId="44">'204'!$T$67</definedName>
    <definedName name="OSRRefT22_11x_0" localSheetId="48">'300'!$T$218</definedName>
    <definedName name="OSRRefT22_11x_0" localSheetId="49">'300 &amp; 317'!$T$244</definedName>
    <definedName name="OSRRefT22_11x_0" localSheetId="50">'301'!$T$65</definedName>
    <definedName name="OSRRefT22_11x_0" localSheetId="56">'307'!$T$141:$T$143</definedName>
    <definedName name="OSRRefT22_11x_0" localSheetId="52">'308'!$T$121:$T$123</definedName>
    <definedName name="OSRRefT22_11x_0" localSheetId="67">'309'!$T$69:$T$71</definedName>
    <definedName name="OSRRefT22_11x_0" localSheetId="66">'310'!$T$76</definedName>
    <definedName name="OSRRefT22_11x_0" localSheetId="74">'310 &amp; 491'!$T$86:$T$87</definedName>
    <definedName name="OSRRefT22_11x_0" localSheetId="53">'311'!$T$121:$T$123</definedName>
    <definedName name="OSRRefT22_11x_0" localSheetId="68">'313'!$T$72</definedName>
    <definedName name="OSRRefT22_11x_0" localSheetId="57">'314'!$T$110</definedName>
    <definedName name="OSRRefT22_11x_0" localSheetId="59">'315'!$T$108:$T$109</definedName>
    <definedName name="OSRRefT22_11x_0" localSheetId="62">'316'!$T$77:$T$81</definedName>
    <definedName name="OSRRefT22_11x_0" localSheetId="65">'317'!$T$109:$T$110</definedName>
    <definedName name="OSRRefT22_11x_0" localSheetId="69">'321'!$T$67:$T$69</definedName>
    <definedName name="OSRRefT22_11x_0" localSheetId="70">'322'!$T$70:$T$76</definedName>
    <definedName name="OSRRefT22_11x_0" localSheetId="71">'325'!$T$67:$T$69</definedName>
    <definedName name="OSRRefT22_11x_0" localSheetId="60">'326'!$T$110</definedName>
    <definedName name="OSRRefT22_11x_0" localSheetId="55">'330'!$T$150:$T$151</definedName>
    <definedName name="OSRRefT22_11x_0" localSheetId="58">'331'!$T$115:$T$127</definedName>
    <definedName name="OSRRefT22_11x_0" localSheetId="61">'332'!$T$89:$T$90</definedName>
    <definedName name="OSRRefT22_11x_0" localSheetId="76">'405'!$T$67:$T$69</definedName>
    <definedName name="OSRRefT22_11x_0" localSheetId="77">'406'!$T$71:$T$76</definedName>
    <definedName name="OSRRefT22_11x_0" localSheetId="78">'411'!$T$63</definedName>
    <definedName name="OSRRefT22_11x_0" localSheetId="79">'412'!$T$70:$T$72</definedName>
    <definedName name="OSRRefT22_11x_0" localSheetId="81">'413'!$T$75:$T$76</definedName>
    <definedName name="OSRRefT22_11x_0" localSheetId="82">'414'!$T$68</definedName>
    <definedName name="OSRRefT22_11x_0" localSheetId="83">'415'!$T$67:$T$70</definedName>
    <definedName name="OSRRefT22_11x_0" localSheetId="84">'418'!$T$69:$T$71</definedName>
    <definedName name="OSRRefT22_11x_0" localSheetId="86">'424'!$T$68:$T$72</definedName>
    <definedName name="OSRRefT22_11x_0" localSheetId="87">'425'!$T$73:$T$75</definedName>
    <definedName name="OSRRefT22_11x_0" localSheetId="91">'433'!$T$70:$T$73</definedName>
    <definedName name="OSRRefT22_11x_0" localSheetId="93">'444'!$T$67:$T$69</definedName>
    <definedName name="OSRRefT22_11x_0" localSheetId="94">'450'!$T$68</definedName>
    <definedName name="OSRRefT22_11x_0" localSheetId="75">'491'!$T$78:$T$79</definedName>
    <definedName name="OSRRefT22_11x_0" localSheetId="89">'492'!$T$72</definedName>
    <definedName name="OSRRefT22_11x_0" localSheetId="96">'501'!$T$63</definedName>
    <definedName name="OSRRefT22_11x_0" localSheetId="39">'Div 2'!$T$64</definedName>
    <definedName name="OSRRefT22_11x_0" localSheetId="47">'Div 3'!$T$223</definedName>
    <definedName name="OSRRefT22_11x_0" localSheetId="73">'Div 4'!$T$81:$T$82</definedName>
    <definedName name="OSRRefT22_11x_0" localSheetId="95">'Div 5'!$T$63</definedName>
    <definedName name="OSRRefT22_11x_0" localSheetId="64">'Div 6'!$T$109:$T$110</definedName>
    <definedName name="OSRRefT22_11x_0" localSheetId="2">Summary!$T$258:$T$259</definedName>
    <definedName name="OSRRefT22_12x_0" localSheetId="41">'201'!$T$66</definedName>
    <definedName name="OSRRefT22_12x_0" localSheetId="42">'202'!$T$65</definedName>
    <definedName name="OSRRefT22_12x_0" localSheetId="43">'203'!$T$65:$T$68</definedName>
    <definedName name="OSRRefT22_12x_0" localSheetId="44">'204'!$T$69:$T$70</definedName>
    <definedName name="OSRRefT22_12x_0" localSheetId="48">'300'!$T$220</definedName>
    <definedName name="OSRRefT22_12x_0" localSheetId="49">'300 &amp; 317'!$T$246</definedName>
    <definedName name="OSRRefT22_12x_0" localSheetId="50">'301'!$T$67</definedName>
    <definedName name="OSRRefT22_12x_0" localSheetId="56">'307'!$T$145</definedName>
    <definedName name="OSRRefT22_12x_0" localSheetId="52">'308'!$T$125:$T$126</definedName>
    <definedName name="OSRRefT22_12x_0" localSheetId="67">'309'!$T$73</definedName>
    <definedName name="OSRRefT22_12x_0" localSheetId="66">'310'!$T$78</definedName>
    <definedName name="OSRRefT22_12x_0" localSheetId="74">'310 &amp; 491'!$T$89</definedName>
    <definedName name="OSRRefT22_12x_0" localSheetId="53">'311'!$T$125:$T$126</definedName>
    <definedName name="OSRRefT22_12x_0" localSheetId="68">'313'!$T$74:$T$79</definedName>
    <definedName name="OSRRefT22_12x_0" localSheetId="59">'315'!$T$111:$T$115</definedName>
    <definedName name="OSRRefT22_12x_0" localSheetId="62">'316'!$T$83:$T$84</definedName>
    <definedName name="OSRRefT22_12x_0" localSheetId="65">'317'!$T$112:$T$113</definedName>
    <definedName name="OSRRefT22_12x_0" localSheetId="69">'321'!$T$71:$T$74</definedName>
    <definedName name="OSRRefT22_12x_0" localSheetId="70">'322'!$T$78</definedName>
    <definedName name="OSRRefT22_12x_0" localSheetId="71">'325'!$T$71:$T$75</definedName>
    <definedName name="OSRRefT22_12x_0" localSheetId="60">'326'!$T$112</definedName>
    <definedName name="OSRRefT22_12x_0" localSheetId="55">'330'!$T$153</definedName>
    <definedName name="OSRRefT22_12x_0" localSheetId="58">'331'!$T$129</definedName>
    <definedName name="OSRRefT22_12x_0" localSheetId="61">'332'!$T$92:$T$96</definedName>
    <definedName name="OSRRefT22_12x_0" localSheetId="76">'405'!$T$71</definedName>
    <definedName name="OSRRefT22_12x_0" localSheetId="77">'406'!$T$78:$T$79</definedName>
    <definedName name="OSRRefT22_12x_0" localSheetId="78">'411'!$T$65:$T$68</definedName>
    <definedName name="OSRRefT22_12x_0" localSheetId="79">'412'!$T$74:$T$81</definedName>
    <definedName name="OSRRefT22_12x_0" localSheetId="81">'413'!$T$78</definedName>
    <definedName name="OSRRefT22_12x_0" localSheetId="82">'414'!$T$70</definedName>
    <definedName name="OSRRefT22_12x_0" localSheetId="83">'415'!$T$72:$T$76</definedName>
    <definedName name="OSRRefT22_12x_0" localSheetId="84">'418'!$T$73:$T$75</definedName>
    <definedName name="OSRRefT22_12x_0" localSheetId="86">'424'!$T$74:$T$75</definedName>
    <definedName name="OSRRefT22_12x_0" localSheetId="87">'425'!$T$77</definedName>
    <definedName name="OSRRefT22_12x_0" localSheetId="91">'433'!$T$75:$T$83</definedName>
    <definedName name="OSRRefT22_12x_0" localSheetId="93">'444'!$T$71:$T$74</definedName>
    <definedName name="OSRRefT22_12x_0" localSheetId="94">'450'!$T$70:$T$73</definedName>
    <definedName name="OSRRefT22_12x_0" localSheetId="75">'491'!$T$81</definedName>
    <definedName name="OSRRefT22_12x_0" localSheetId="89">'492'!$T$74</definedName>
    <definedName name="OSRRefT22_12x_0" localSheetId="96">'501'!$T$65:$T$67</definedName>
    <definedName name="OSRRefT22_12x_0" localSheetId="39">'Div 2'!$T$66:$T$68</definedName>
    <definedName name="OSRRefT22_12x_0" localSheetId="47">'Div 3'!$T$225</definedName>
    <definedName name="OSRRefT22_12x_0" localSheetId="73">'Div 4'!$T$84</definedName>
    <definedName name="OSRRefT22_12x_0" localSheetId="95">'Div 5'!$T$65:$T$67</definedName>
    <definedName name="OSRRefT22_12x_0" localSheetId="64">'Div 6'!$T$112:$T$113</definedName>
    <definedName name="OSRRefT22_12x_0" localSheetId="2">Summary!$T$261</definedName>
    <definedName name="OSRRefT22_13x_0" localSheetId="41">'201'!$T$68:$T$71</definedName>
    <definedName name="OSRRefT22_13x_0" localSheetId="42">'202'!$T$67</definedName>
    <definedName name="OSRRefT22_13x_0" localSheetId="43">'203'!$T$70</definedName>
    <definedName name="OSRRefT22_13x_0" localSheetId="48">'300'!$T$222:$T$255</definedName>
    <definedName name="OSRRefT22_13x_0" localSheetId="49">'300 &amp; 317'!$T$248:$T$284</definedName>
    <definedName name="OSRRefT22_13x_0" localSheetId="50">'301'!$T$69:$T$70</definedName>
    <definedName name="OSRRefT22_13x_0" localSheetId="56">'307'!$T$147</definedName>
    <definedName name="OSRRefT22_13x_0" localSheetId="52">'308'!$T$128</definedName>
    <definedName name="OSRRefT22_13x_0" localSheetId="67">'309'!$T$75</definedName>
    <definedName name="OSRRefT22_13x_0" localSheetId="66">'310'!$T$80</definedName>
    <definedName name="OSRRefT22_13x_0" localSheetId="74">'310 &amp; 491'!$T$91</definedName>
    <definedName name="OSRRefT22_13x_0" localSheetId="53">'311'!$T$128</definedName>
    <definedName name="OSRRefT22_13x_0" localSheetId="68">'313'!$T$81</definedName>
    <definedName name="OSRRefT22_13x_0" localSheetId="59">'315'!$T$117</definedName>
    <definedName name="OSRRefT22_13x_0" localSheetId="62">'316'!$T$86</definedName>
    <definedName name="OSRRefT22_13x_0" localSheetId="65">'317'!$T$115</definedName>
    <definedName name="OSRRefT22_13x_0" localSheetId="69">'321'!$T$76</definedName>
    <definedName name="OSRRefT22_13x_0" localSheetId="70">'322'!$T$80</definedName>
    <definedName name="OSRRefT22_13x_0" localSheetId="71">'325'!$T$77</definedName>
    <definedName name="OSRRefT22_13x_0" localSheetId="60">'326'!$T$114:$T$115</definedName>
    <definedName name="OSRRefT22_13x_0" localSheetId="55">'330'!$T$155:$T$157</definedName>
    <definedName name="OSRRefT22_13x_0" localSheetId="58">'331'!$T$131</definedName>
    <definedName name="OSRRefT22_13x_0" localSheetId="61">'332'!$T$98:$T$99</definedName>
    <definedName name="OSRRefT22_13x_0" localSheetId="76">'405'!$T$73:$T$75</definedName>
    <definedName name="OSRRefT22_13x_0" localSheetId="77">'406'!$T$81</definedName>
    <definedName name="OSRRefT22_13x_0" localSheetId="78">'411'!$T$70:$T$74</definedName>
    <definedName name="OSRRefT22_13x_0" localSheetId="79">'412'!$T$83</definedName>
    <definedName name="OSRRefT22_13x_0" localSheetId="81">'413'!$T$80</definedName>
    <definedName name="OSRRefT22_13x_0" localSheetId="82">'414'!$T$72:$T$78</definedName>
    <definedName name="OSRRefT22_13x_0" localSheetId="83">'415'!$T$78:$T$79</definedName>
    <definedName name="OSRRefT22_13x_0" localSheetId="84">'418'!$T$77:$T$78</definedName>
    <definedName name="OSRRefT22_13x_0" localSheetId="87">'425'!$T$79:$T$85</definedName>
    <definedName name="OSRRefT22_13x_0" localSheetId="91">'433'!$T$85</definedName>
    <definedName name="OSRRefT22_13x_0" localSheetId="93">'444'!$T$76:$T$83</definedName>
    <definedName name="OSRRefT22_13x_0" localSheetId="94">'450'!$T$75:$T$77</definedName>
    <definedName name="OSRRefT22_13x_0" localSheetId="75">'491'!$T$83</definedName>
    <definedName name="OSRRefT22_13x_0" localSheetId="89">'492'!$T$76:$T$79</definedName>
    <definedName name="OSRRefT22_13x_0" localSheetId="96">'501'!$T$69</definedName>
    <definedName name="OSRRefT22_13x_0" localSheetId="39">'Div 2'!$T$70:$T$73</definedName>
    <definedName name="OSRRefT22_13x_0" localSheetId="47">'Div 3'!$T$227</definedName>
    <definedName name="OSRRefT22_13x_0" localSheetId="73">'Div 4'!$T$86</definedName>
    <definedName name="OSRRefT22_13x_0" localSheetId="95">'Div 5'!$T$69</definedName>
    <definedName name="OSRRefT22_13x_0" localSheetId="64">'Div 6'!$T$115</definedName>
    <definedName name="OSRRefT22_13x_0" localSheetId="2">Summary!$T$263</definedName>
    <definedName name="OSRRefT22_14x_0" localSheetId="41">'201'!$T$73</definedName>
    <definedName name="OSRRefT22_14x_0" localSheetId="42">'202'!$T$69:$T$70</definedName>
    <definedName name="OSRRefT22_14x_0" localSheetId="43">'203'!$T$72</definedName>
    <definedName name="OSRRefT22_14x_0" localSheetId="48">'300'!$T$257</definedName>
    <definedName name="OSRRefT22_14x_0" localSheetId="49">'300 &amp; 317'!$T$286</definedName>
    <definedName name="OSRRefT22_14x_0" localSheetId="50">'301'!$T$72</definedName>
    <definedName name="OSRRefT22_14x_0" localSheetId="52">'308'!$T$130:$T$131</definedName>
    <definedName name="OSRRefT22_14x_0" localSheetId="66">'310'!$T$82</definedName>
    <definedName name="OSRRefT22_14x_0" localSheetId="74">'310 &amp; 491'!$T$93</definedName>
    <definedName name="OSRRefT22_14x_0" localSheetId="53">'311'!$T$130:$T$131</definedName>
    <definedName name="OSRRefT22_14x_0" localSheetId="68">'313'!$T$83</definedName>
    <definedName name="OSRRefT22_14x_0" localSheetId="59">'315'!$T$119</definedName>
    <definedName name="OSRRefT22_14x_0" localSheetId="65">'317'!$T$117</definedName>
    <definedName name="OSRRefT22_14x_0" localSheetId="69">'321'!$T$78</definedName>
    <definedName name="OSRRefT22_14x_0" localSheetId="70">'322'!$T$82</definedName>
    <definedName name="OSRRefT22_14x_0" localSheetId="71">'325'!$T$79:$T$85</definedName>
    <definedName name="OSRRefT22_14x_0" localSheetId="60">'326'!$T$117:$T$119</definedName>
    <definedName name="OSRRefT22_14x_0" localSheetId="55">'330'!$T$159</definedName>
    <definedName name="OSRRefT22_14x_0" localSheetId="58">'331'!$T$133:$T$134</definedName>
    <definedName name="OSRRefT22_14x_0" localSheetId="61">'332'!$T$101</definedName>
    <definedName name="OSRRefT22_14x_0" localSheetId="76">'405'!$T$77:$T$78</definedName>
    <definedName name="OSRRefT22_14x_0" localSheetId="77">'406'!$T$83:$T$84</definedName>
    <definedName name="OSRRefT22_14x_0" localSheetId="78">'411'!$T$76</definedName>
    <definedName name="OSRRefT22_14x_0" localSheetId="79">'412'!$T$85</definedName>
    <definedName name="OSRRefT22_14x_0" localSheetId="82">'414'!$T$80</definedName>
    <definedName name="OSRRefT22_14x_0" localSheetId="83">'415'!$T$81:$T$89</definedName>
    <definedName name="OSRRefT22_14x_0" localSheetId="84">'418'!$T$80:$T$87</definedName>
    <definedName name="OSRRefT22_14x_0" localSheetId="87">'425'!$T$87:$T$88</definedName>
    <definedName name="OSRRefT22_14x_0" localSheetId="91">'433'!$T$87</definedName>
    <definedName name="OSRRefT22_14x_0" localSheetId="93">'444'!$T$85</definedName>
    <definedName name="OSRRefT22_14x_0" localSheetId="94">'450'!$T$79:$T$84</definedName>
    <definedName name="OSRRefT22_14x_0" localSheetId="75">'491'!$T$85</definedName>
    <definedName name="OSRRefT22_14x_0" localSheetId="89">'492'!$T$81:$T$84</definedName>
    <definedName name="OSRRefT22_14x_0" localSheetId="96">'501'!$T$71</definedName>
    <definedName name="OSRRefT22_14x_0" localSheetId="39">'Div 2'!$T$75:$T$78</definedName>
    <definedName name="OSRRefT22_14x_0" localSheetId="47">'Div 3'!$T$229:$T$262</definedName>
    <definedName name="OSRRefT22_14x_0" localSheetId="73">'Div 4'!$T$88</definedName>
    <definedName name="OSRRefT22_14x_0" localSheetId="95">'Div 5'!$T$71</definedName>
    <definedName name="OSRRefT22_14x_0" localSheetId="64">'Div 6'!$T$117</definedName>
    <definedName name="OSRRefT22_14x_0" localSheetId="2">Summary!$T$265:$T$301</definedName>
    <definedName name="OSRRefT22_15x_0" localSheetId="41">'201'!$T$75</definedName>
    <definedName name="OSRRefT22_15x_0" localSheetId="42">'202'!$T$72</definedName>
    <definedName name="OSRRefT22_15x_0" localSheetId="43">'203'!$T$74</definedName>
    <definedName name="OSRRefT22_15x_0" localSheetId="48">'300'!$T$259</definedName>
    <definedName name="OSRRefT22_15x_0" localSheetId="49">'300 &amp; 317'!$T$288</definedName>
    <definedName name="OSRRefT22_15x_0" localSheetId="50">'301'!$T$74</definedName>
    <definedName name="OSRRefT22_15x_0" localSheetId="66">'310'!$T$84:$T$86</definedName>
    <definedName name="OSRRefT22_15x_0" localSheetId="74">'310 &amp; 491'!$T$95</definedName>
    <definedName name="OSRRefT22_15x_0" localSheetId="59">'315'!$T$121:$T$122</definedName>
    <definedName name="OSRRefT22_15x_0" localSheetId="71">'325'!$T$87</definedName>
    <definedName name="OSRRefT22_15x_0" localSheetId="60">'326'!$T$121:$T$122</definedName>
    <definedName name="OSRRefT22_15x_0" localSheetId="55">'330'!$T$161</definedName>
    <definedName name="OSRRefT22_15x_0" localSheetId="58">'331'!$T$136:$T$138</definedName>
    <definedName name="OSRRefT22_15x_0" localSheetId="76">'405'!$T$80:$T$88</definedName>
    <definedName name="OSRRefT22_15x_0" localSheetId="78">'411'!$T$78:$T$86</definedName>
    <definedName name="OSRRefT22_15x_0" localSheetId="79">'412'!$T$87</definedName>
    <definedName name="OSRRefT22_15x_0" localSheetId="82">'414'!$T$82</definedName>
    <definedName name="OSRRefT22_15x_0" localSheetId="83">'415'!$T$91</definedName>
    <definedName name="OSRRefT22_15x_0" localSheetId="84">'418'!$T$89</definedName>
    <definedName name="OSRRefT22_15x_0" localSheetId="87">'425'!$T$90</definedName>
    <definedName name="OSRRefT22_15x_0" localSheetId="91">'433'!$T$89:$T$90</definedName>
    <definedName name="OSRRefT22_15x_0" localSheetId="93">'444'!$T$87</definedName>
    <definedName name="OSRRefT22_15x_0" localSheetId="94">'450'!$T$86</definedName>
    <definedName name="OSRRefT22_15x_0" localSheetId="75">'491'!$T$87</definedName>
    <definedName name="OSRRefT22_15x_0" localSheetId="89">'492'!$T$86:$T$95</definedName>
    <definedName name="OSRRefT22_15x_0" localSheetId="39">'Div 2'!$T$80:$T$81</definedName>
    <definedName name="OSRRefT22_15x_0" localSheetId="47">'Div 3'!$T$264</definedName>
    <definedName name="OSRRefT22_15x_0" localSheetId="73">'Div 4'!$T$90</definedName>
    <definedName name="OSRRefT22_15x_0" localSheetId="2">Summary!$T$303</definedName>
    <definedName name="OSRRefT22_16x_0" localSheetId="41">'201'!$T$77:$T$78</definedName>
    <definedName name="OSRRefT22_16x_0" localSheetId="42">'202'!$T$74</definedName>
    <definedName name="OSRRefT22_16x_0" localSheetId="48">'300'!$T$261:$T$264</definedName>
    <definedName name="OSRRefT22_16x_0" localSheetId="49">'300 &amp; 317'!$T$290:$T$293</definedName>
    <definedName name="OSRRefT22_16x_0" localSheetId="50">'301'!$T$76:$T$79</definedName>
    <definedName name="OSRRefT22_16x_0" localSheetId="66">'310'!$T$88:$T$89</definedName>
    <definedName name="OSRRefT22_16x_0" localSheetId="74">'310 &amp; 491'!$T$97</definedName>
    <definedName name="OSRRefT22_16x_0" localSheetId="71">'325'!$T$89</definedName>
    <definedName name="OSRRefT22_16x_0" localSheetId="60">'326'!$T$124:$T$129</definedName>
    <definedName name="OSRRefT22_16x_0" localSheetId="55">'330'!$T$163</definedName>
    <definedName name="OSRRefT22_16x_0" localSheetId="58">'331'!$T$140:$T$142</definedName>
    <definedName name="OSRRefT22_16x_0" localSheetId="76">'405'!$T$90</definedName>
    <definedName name="OSRRefT22_16x_0" localSheetId="78">'411'!$T$88</definedName>
    <definedName name="OSRRefT22_16x_0" localSheetId="83">'415'!$T$93</definedName>
    <definedName name="OSRRefT22_16x_0" localSheetId="84">'418'!$T$91</definedName>
    <definedName name="OSRRefT22_16x_0" localSheetId="87">'425'!$T$92</definedName>
    <definedName name="OSRRefT22_16x_0" localSheetId="93">'444'!$T$89</definedName>
    <definedName name="OSRRefT22_16x_0" localSheetId="94">'450'!$T$88</definedName>
    <definedName name="OSRRefT22_16x_0" localSheetId="75">'491'!$T$89:$T$92</definedName>
    <definedName name="OSRRefT22_16x_0" localSheetId="89">'492'!$T$97</definedName>
    <definedName name="OSRRefT22_16x_0" localSheetId="39">'Div 2'!$T$83:$T$84</definedName>
    <definedName name="OSRRefT22_16x_0" localSheetId="47">'Div 3'!$T$266</definedName>
    <definedName name="OSRRefT22_16x_0" localSheetId="73">'Div 4'!$T$92</definedName>
    <definedName name="OSRRefT22_16x_0" localSheetId="2">Summary!$T$305</definedName>
    <definedName name="OSRRefT22_17x_0" localSheetId="48">'300'!$T$266:$T$269</definedName>
    <definedName name="OSRRefT22_17x_0" localSheetId="49">'300 &amp; 317'!$T$295:$T$298</definedName>
    <definedName name="OSRRefT22_17x_0" localSheetId="50">'301'!$T$81:$T$83</definedName>
    <definedName name="OSRRefT22_17x_0" localSheetId="66">'310'!$T$91:$T$95</definedName>
    <definedName name="OSRRefT22_17x_0" localSheetId="74">'310 &amp; 491'!$T$99:$T$102</definedName>
    <definedName name="OSRRefT22_17x_0" localSheetId="71">'325'!$T$91</definedName>
    <definedName name="OSRRefT22_17x_0" localSheetId="60">'326'!$T$131:$T$132</definedName>
    <definedName name="OSRRefT22_17x_0" localSheetId="58">'331'!$T$144:$T$145</definedName>
    <definedName name="OSRRefT22_17x_0" localSheetId="76">'405'!$T$92</definedName>
    <definedName name="OSRRefT22_17x_0" localSheetId="78">'411'!$T$90</definedName>
    <definedName name="OSRRefT22_17x_0" localSheetId="83">'415'!$T$95:$T$96</definedName>
    <definedName name="OSRRefT22_17x_0" localSheetId="84">'418'!$T$93:$T$94</definedName>
    <definedName name="OSRRefT22_17x_0" localSheetId="94">'450'!$T$90:$T$91</definedName>
    <definedName name="OSRRefT22_17x_0" localSheetId="75">'491'!$T$94:$T$97</definedName>
    <definedName name="OSRRefT22_17x_0" localSheetId="89">'492'!$T$99</definedName>
    <definedName name="OSRRefT22_17x_0" localSheetId="39">'Div 2'!$T$86:$T$91</definedName>
    <definedName name="OSRRefT22_17x_0" localSheetId="47">'Div 3'!$T$268</definedName>
    <definedName name="OSRRefT22_17x_0" localSheetId="73">'Div 4'!$T$94:$T$97</definedName>
    <definedName name="OSRRefT22_17x_0" localSheetId="2">Summary!$T$307</definedName>
    <definedName name="OSRRefT22_18x_0" localSheetId="48">'300'!$T$271:$T$274</definedName>
    <definedName name="OSRRefT22_18x_0" localSheetId="49">'300 &amp; 317'!$T$300:$T$303</definedName>
    <definedName name="OSRRefT22_18x_0" localSheetId="50">'301'!$T$85:$T$86</definedName>
    <definedName name="OSRRefT22_18x_0" localSheetId="66">'310'!$T$97</definedName>
    <definedName name="OSRRefT22_18x_0" localSheetId="74">'310 &amp; 491'!$T$104:$T$107</definedName>
    <definedName name="OSRRefT22_18x_0" localSheetId="71">'325'!$T$93</definedName>
    <definedName name="OSRRefT22_18x_0" localSheetId="60">'326'!$T$134</definedName>
    <definedName name="OSRRefT22_18x_0" localSheetId="58">'331'!$T$147:$T$152</definedName>
    <definedName name="OSRRefT22_18x_0" localSheetId="76">'405'!$T$94</definedName>
    <definedName name="OSRRefT22_18x_0" localSheetId="78">'411'!$T$92:$T$94</definedName>
    <definedName name="OSRRefT22_18x_0" localSheetId="83">'415'!$T$98</definedName>
    <definedName name="OSRRefT22_18x_0" localSheetId="75">'491'!$T$99:$T$103</definedName>
    <definedName name="OSRRefT22_18x_0" localSheetId="89">'492'!$T$101:$T$102</definedName>
    <definedName name="OSRRefT22_18x_0" localSheetId="39">'Div 2'!$T$93:$T$94</definedName>
    <definedName name="OSRRefT22_18x_0" localSheetId="47">'Div 3'!$T$270:$T$273</definedName>
    <definedName name="OSRRefT22_18x_0" localSheetId="73">'Div 4'!$T$99:$T$102</definedName>
    <definedName name="OSRRefT22_18x_0" localSheetId="2">Summary!$T$309:$T$312</definedName>
    <definedName name="OSRRefT22_19x_0" localSheetId="48">'300'!$T$276:$T$277</definedName>
    <definedName name="OSRRefT22_19x_0" localSheetId="49">'300 &amp; 317'!$T$305:$T$306</definedName>
    <definedName name="OSRRefT22_19x_0" localSheetId="50">'301'!$T$88:$T$94</definedName>
    <definedName name="OSRRefT22_19x_0" localSheetId="66">'310'!$T$99:$T$107</definedName>
    <definedName name="OSRRefT22_19x_0" localSheetId="74">'310 &amp; 491'!$T$109:$T$114</definedName>
    <definedName name="OSRRefT22_19x_0" localSheetId="60">'326'!$T$136</definedName>
    <definedName name="OSRRefT22_19x_0" localSheetId="58">'331'!$T$154:$T$155</definedName>
    <definedName name="OSRRefT22_19x_0" localSheetId="76">'405'!$T$96</definedName>
    <definedName name="OSRRefT22_19x_0" localSheetId="78">'411'!$T$96</definedName>
    <definedName name="OSRRefT22_19x_0" localSheetId="75">'491'!$T$105:$T$106</definedName>
    <definedName name="OSRRefT22_19x_0" localSheetId="39">'Div 2'!$T$96</definedName>
    <definedName name="OSRRefT22_19x_0" localSheetId="47">'Div 3'!$T$275:$T$278</definedName>
    <definedName name="OSRRefT22_19x_0" localSheetId="73">'Div 4'!$T$104:$T$108</definedName>
    <definedName name="OSRRefT22_19x_0" localSheetId="2">Summary!$T$314:$T$317</definedName>
    <definedName name="OSRRefT22_1x_0" localSheetId="40">'200'!$T$23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'204'!$T$32:$T$41</definedName>
    <definedName name="OSRRefT22_1x_0" localSheetId="45">'205'!$T$30:$T$39</definedName>
    <definedName name="OSRRefT22_1x_0" localSheetId="46">'206'!$T$30:$T$39</definedName>
    <definedName name="OSRRefT22_1x_0" localSheetId="48">'300'!$T$182:$T$191</definedName>
    <definedName name="OSRRefT22_1x_0" localSheetId="49">'300 &amp; 317'!$T$208:$T$217</definedName>
    <definedName name="OSRRefT22_1x_0" localSheetId="50">'301'!$T$30:$T$39</definedName>
    <definedName name="OSRRefT22_1x_0" localSheetId="51">'306'!$T$30:$T$39</definedName>
    <definedName name="OSRRefT22_1x_0" localSheetId="56">'307'!$T$89:$T$98</definedName>
    <definedName name="OSRRefT22_1x_0" localSheetId="52">'308'!$T$78:$T$87</definedName>
    <definedName name="OSRRefT22_1x_0" localSheetId="67">'309'!$T$36:$T$45</definedName>
    <definedName name="OSRRefT22_1x_0" localSheetId="66">'310'!$T$45:$T$54</definedName>
    <definedName name="OSRRefT22_1x_0" localSheetId="74">'310 &amp; 491'!$T$53:$T$62</definedName>
    <definedName name="OSRRefT22_1x_0" localSheetId="53">'311'!$T$78:$T$87</definedName>
    <definedName name="OSRRefT22_1x_0" localSheetId="68">'313'!$T$41:$T$50</definedName>
    <definedName name="OSRRefT22_1x_0" localSheetId="57">'314'!$T$70:$T$79</definedName>
    <definedName name="OSRRefT22_1x_0" localSheetId="59">'315'!$T$68:$T$77</definedName>
    <definedName name="OSRRefT22_1x_0" localSheetId="62">'316'!$T$46:$T$55</definedName>
    <definedName name="OSRRefT22_1x_0" localSheetId="65">'317'!$T$73:$T$82</definedName>
    <definedName name="OSRRefT22_1x_0" localSheetId="63">'320'!$T$41:$T$50</definedName>
    <definedName name="OSRRefT22_1x_0" localSheetId="69">'321'!$T$35:$T$44</definedName>
    <definedName name="OSRRefT22_1x_0" localSheetId="70">'322'!$T$36:$T$45</definedName>
    <definedName name="OSRRefT22_1x_0" localSheetId="71">'325'!$T$36:$T$45</definedName>
    <definedName name="OSRRefT22_1x_0" localSheetId="60">'326'!$T$68:$T$77</definedName>
    <definedName name="OSRRefT22_1x_0" localSheetId="72">'327'!$T$26</definedName>
    <definedName name="OSRRefT22_1x_0" localSheetId="55">'330'!$T$98:$T$107</definedName>
    <definedName name="OSRRefT22_1x_0" localSheetId="58">'331'!$T$83:$T$92</definedName>
    <definedName name="OSRRefT22_1x_0" localSheetId="61">'332'!$T$56:$T$65</definedName>
    <definedName name="OSRRefT22_1x_0" localSheetId="76">'405'!$T$36:$T$45</definedName>
    <definedName name="OSRRefT22_1x_0" localSheetId="77">'406'!$T$37:$T$46</definedName>
    <definedName name="OSRRefT22_1x_0" localSheetId="78">'411'!$T$31:$T$40</definedName>
    <definedName name="OSRRefT22_1x_0" localSheetId="79">'412'!$T$37:$T$46</definedName>
    <definedName name="OSRRefT22_1x_0" localSheetId="81">'413'!$T$37:$T$46</definedName>
    <definedName name="OSRRefT22_1x_0" localSheetId="82">'414'!$T$37:$T$46</definedName>
    <definedName name="OSRRefT22_1x_0" localSheetId="83">'415'!$T$36:$T$45</definedName>
    <definedName name="OSRRefT22_1x_0" localSheetId="84">'418'!$T$37:$T$46</definedName>
    <definedName name="OSRRefT22_1x_0" localSheetId="80">'420'!$T$33:$T$36</definedName>
    <definedName name="OSRRefT22_1x_0" localSheetId="85">'423'!$T$31:$T$40</definedName>
    <definedName name="OSRRefT22_1x_0" localSheetId="86">'424'!$T$36:$T$45</definedName>
    <definedName name="OSRRefT22_1x_0" localSheetId="87">'425'!$T$40:$T$49</definedName>
    <definedName name="OSRRefT22_1x_0" localSheetId="90">'430'!$T$30:$T$39</definedName>
    <definedName name="OSRRefT22_1x_0" localSheetId="91">'433'!$T$39:$T$48</definedName>
    <definedName name="OSRRefT22_1x_0" localSheetId="92">'435'!$T$36:$T$45</definedName>
    <definedName name="OSRRefT22_1x_0" localSheetId="93">'444'!$T$38:$T$47</definedName>
    <definedName name="OSRRefT22_1x_0" localSheetId="94">'450'!$T$38:$T$47</definedName>
    <definedName name="OSRRefT22_1x_0" localSheetId="88">'455'!$T$29:$T$38</definedName>
    <definedName name="OSRRefT22_1x_0" localSheetId="75">'491'!$T$46:$T$55</definedName>
    <definedName name="OSRRefT22_1x_0" localSheetId="89">'492'!$T$41:$T$50</definedName>
    <definedName name="OSRRefT22_1x_0" localSheetId="96">'501'!$T$31:$T$40</definedName>
    <definedName name="OSRRefT22_1x_0" localSheetId="39">'Div 2'!$T$33:$T$42</definedName>
    <definedName name="OSRRefT22_1x_0" localSheetId="47">'Div 3'!$T$187:$T$196</definedName>
    <definedName name="OSRRefT22_1x_0" localSheetId="73">'Div 4'!$T$47:$T$56</definedName>
    <definedName name="OSRRefT22_1x_0" localSheetId="95">'Div 5'!$T$31:$T$40</definedName>
    <definedName name="OSRRefT22_1x_0" localSheetId="64">'Div 6'!$T$73:$T$82</definedName>
    <definedName name="OSRRefT22_1x_0" localSheetId="2">Summary!$T$221:$T$230</definedName>
    <definedName name="OSRRefT22_20x_0" localSheetId="48">'300'!$T$279:$T$286</definedName>
    <definedName name="OSRRefT22_20x_0" localSheetId="49">'300 &amp; 317'!$T$308:$T$315</definedName>
    <definedName name="OSRRefT22_20x_0" localSheetId="50">'301'!$T$96</definedName>
    <definedName name="OSRRefT22_20x_0" localSheetId="66">'310'!$T$109</definedName>
    <definedName name="OSRRefT22_20x_0" localSheetId="74">'310 &amp; 491'!$T$116:$T$117</definedName>
    <definedName name="OSRRefT22_20x_0" localSheetId="60">'326'!$T$138</definedName>
    <definedName name="OSRRefT22_20x_0" localSheetId="58">'331'!$T$157</definedName>
    <definedName name="OSRRefT22_20x_0" localSheetId="75">'491'!$T$108:$T$118</definedName>
    <definedName name="OSRRefT22_20x_0" localSheetId="39">'Div 2'!$T$98:$T$99</definedName>
    <definedName name="OSRRefT22_20x_0" localSheetId="47">'Div 3'!$T$280:$T$285</definedName>
    <definedName name="OSRRefT22_20x_0" localSheetId="73">'Div 4'!$T$110:$T$111</definedName>
    <definedName name="OSRRefT22_20x_0" localSheetId="2">Summary!$T$319:$T$324</definedName>
    <definedName name="OSRRefT22_21x_0" localSheetId="48">'300'!$T$288:$T$289</definedName>
    <definedName name="OSRRefT22_21x_0" localSheetId="49">'300 &amp; 317'!$T$317:$T$318</definedName>
    <definedName name="OSRRefT22_21x_0" localSheetId="50">'301'!$T$98</definedName>
    <definedName name="OSRRefT22_21x_0" localSheetId="66">'310'!$T$111</definedName>
    <definedName name="OSRRefT22_21x_0" localSheetId="74">'310 &amp; 491'!$T$119:$T$129</definedName>
    <definedName name="OSRRefT22_21x_0" localSheetId="58">'331'!$T$159:$T$160</definedName>
    <definedName name="OSRRefT22_21x_0" localSheetId="75">'491'!$T$120:$T$121</definedName>
    <definedName name="OSRRefT22_21x_0" localSheetId="47">'Div 3'!$T$287:$T$288</definedName>
    <definedName name="OSRRefT22_21x_0" localSheetId="73">'Div 4'!$T$113:$T$123</definedName>
    <definedName name="OSRRefT22_21x_0" localSheetId="2">Summary!$T$326:$T$327</definedName>
    <definedName name="OSRRefT22_22x_0" localSheetId="48">'300'!$T$291</definedName>
    <definedName name="OSRRefT22_22x_0" localSheetId="49">'300 &amp; 317'!$T$320</definedName>
    <definedName name="OSRRefT22_22x_0" localSheetId="50">'301'!$T$100:$T$102</definedName>
    <definedName name="OSRRefT22_22x_0" localSheetId="66">'310'!$T$113:$T$114</definedName>
    <definedName name="OSRRefT22_22x_0" localSheetId="74">'310 &amp; 491'!$T$131:$T$132</definedName>
    <definedName name="OSRRefT22_22x_0" localSheetId="58">'331'!$T$162</definedName>
    <definedName name="OSRRefT22_22x_0" localSheetId="75">'491'!$T$123</definedName>
    <definedName name="OSRRefT22_22x_0" localSheetId="47">'Div 3'!$T$290:$T$299</definedName>
    <definedName name="OSRRefT22_22x_0" localSheetId="73">'Div 4'!$T$125:$T$126</definedName>
    <definedName name="OSRRefT22_22x_0" localSheetId="2">Summary!$T$329:$T$339</definedName>
    <definedName name="OSRRefT22_23x_0" localSheetId="48">'300'!$T$293:$T$295</definedName>
    <definedName name="OSRRefT22_23x_0" localSheetId="49">'300 &amp; 317'!$T$322:$T$324</definedName>
    <definedName name="OSRRefT22_23x_0" localSheetId="50">'301'!$T$104</definedName>
    <definedName name="OSRRefT22_23x_0" localSheetId="66">'310'!$T$116</definedName>
    <definedName name="OSRRefT22_23x_0" localSheetId="74">'310 &amp; 491'!$T$134</definedName>
    <definedName name="OSRRefT22_23x_0" localSheetId="75">'491'!$T$125:$T$127</definedName>
    <definedName name="OSRRefT22_23x_0" localSheetId="47">'Div 3'!$T$301:$T$302</definedName>
    <definedName name="OSRRefT22_23x_0" localSheetId="73">'Div 4'!$T$128</definedName>
    <definedName name="OSRRefT22_23x_0" localSheetId="2">Summary!$T$341:$T$342</definedName>
    <definedName name="OSRRefT22_24x_0" localSheetId="48">'300'!$T$297</definedName>
    <definedName name="OSRRefT22_24x_0" localSheetId="49">'300 &amp; 317'!$T$326</definedName>
    <definedName name="OSRRefT22_24x_0" localSheetId="74">'310 &amp; 491'!$T$136:$T$138</definedName>
    <definedName name="OSRRefT22_24x_0" localSheetId="75">'491'!$T$129</definedName>
    <definedName name="OSRRefT22_24x_0" localSheetId="47">'Div 3'!$T$304</definedName>
    <definedName name="OSRRefT22_24x_0" localSheetId="73">'Div 4'!$T$130:$T$132</definedName>
    <definedName name="OSRRefT22_24x_0" localSheetId="2">Summary!$T$344</definedName>
    <definedName name="OSRRefT22_25x_0" localSheetId="74">'310 &amp; 491'!$T$140</definedName>
    <definedName name="OSRRefT22_25x_0" localSheetId="47">'Div 3'!$T$306:$T$308</definedName>
    <definedName name="OSRRefT22_25x_0" localSheetId="73">'Div 4'!$T$134</definedName>
    <definedName name="OSRRefT22_25x_0" localSheetId="2">Summary!$T$346:$T$348</definedName>
    <definedName name="OSRRefT22_26x_0" localSheetId="47">'Div 3'!$T$310</definedName>
    <definedName name="OSRRefT22_26x_0" localSheetId="2">Summary!$T$350</definedName>
    <definedName name="OSRRefT22_2x_0" localSheetId="40">'200'!$T$25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'204'!$T$43</definedName>
    <definedName name="OSRRefT22_2x_0" localSheetId="45">'205'!$T$41</definedName>
    <definedName name="OSRRefT22_2x_0" localSheetId="46">'206'!$T$41</definedName>
    <definedName name="OSRRefT22_2x_0" localSheetId="48">'300'!$T$193</definedName>
    <definedName name="OSRRefT22_2x_0" localSheetId="49">'300 &amp; 317'!$T$219</definedName>
    <definedName name="OSRRefT22_2x_0" localSheetId="50">'301'!$T$41</definedName>
    <definedName name="OSRRefT22_2x_0" localSheetId="51">'306'!$T$41</definedName>
    <definedName name="OSRRefT22_2x_0" localSheetId="56">'307'!$T$100</definedName>
    <definedName name="OSRRefT22_2x_0" localSheetId="52">'308'!$T$89</definedName>
    <definedName name="OSRRefT22_2x_0" localSheetId="67">'309'!$T$47</definedName>
    <definedName name="OSRRefT22_2x_0" localSheetId="66">'310'!$T$56</definedName>
    <definedName name="OSRRefT22_2x_0" localSheetId="74">'310 &amp; 491'!$T$64</definedName>
    <definedName name="OSRRefT22_2x_0" localSheetId="53">'311'!$T$89</definedName>
    <definedName name="OSRRefT22_2x_0" localSheetId="68">'313'!$T$52</definedName>
    <definedName name="OSRRefT22_2x_0" localSheetId="57">'314'!$T$81</definedName>
    <definedName name="OSRRefT22_2x_0" localSheetId="59">'315'!$T$79</definedName>
    <definedName name="OSRRefT22_2x_0" localSheetId="62">'316'!$T$57</definedName>
    <definedName name="OSRRefT22_2x_0" localSheetId="65">'317'!$T$84</definedName>
    <definedName name="OSRRefT22_2x_0" localSheetId="63">'320'!$T$52</definedName>
    <definedName name="OSRRefT22_2x_0" localSheetId="69">'321'!$T$46</definedName>
    <definedName name="OSRRefT22_2x_0" localSheetId="70">'322'!$T$47</definedName>
    <definedName name="OSRRefT22_2x_0" localSheetId="71">'325'!$T$47</definedName>
    <definedName name="OSRRefT22_2x_0" localSheetId="60">'326'!$T$79</definedName>
    <definedName name="OSRRefT22_2x_0" localSheetId="72">'327'!$T$28</definedName>
    <definedName name="OSRRefT22_2x_0" localSheetId="55">'330'!$T$109</definedName>
    <definedName name="OSRRefT22_2x_0" localSheetId="58">'331'!$T$94</definedName>
    <definedName name="OSRRefT22_2x_0" localSheetId="61">'332'!$T$67</definedName>
    <definedName name="OSRRefT22_2x_0" localSheetId="76">'405'!$T$47</definedName>
    <definedName name="OSRRefT22_2x_0" localSheetId="77">'406'!$T$48</definedName>
    <definedName name="OSRRefT22_2x_0" localSheetId="78">'411'!$T$42</definedName>
    <definedName name="OSRRefT22_2x_0" localSheetId="79">'412'!$T$48</definedName>
    <definedName name="OSRRefT22_2x_0" localSheetId="81">'413'!$T$48</definedName>
    <definedName name="OSRRefT22_2x_0" localSheetId="82">'414'!$T$48</definedName>
    <definedName name="OSRRefT22_2x_0" localSheetId="83">'415'!$T$47</definedName>
    <definedName name="OSRRefT22_2x_0" localSheetId="84">'418'!$T$48</definedName>
    <definedName name="OSRRefT22_2x_0" localSheetId="80">'420'!$T$38</definedName>
    <definedName name="OSRRefT22_2x_0" localSheetId="85">'423'!$T$42</definedName>
    <definedName name="OSRRefT22_2x_0" localSheetId="86">'424'!$T$47</definedName>
    <definedName name="OSRRefT22_2x_0" localSheetId="87">'425'!$T$51</definedName>
    <definedName name="OSRRefT22_2x_0" localSheetId="90">'430'!$T$41</definedName>
    <definedName name="OSRRefT22_2x_0" localSheetId="91">'433'!$T$50</definedName>
    <definedName name="OSRRefT22_2x_0" localSheetId="92">'435'!$T$47</definedName>
    <definedName name="OSRRefT22_2x_0" localSheetId="93">'444'!$T$49</definedName>
    <definedName name="OSRRefT22_2x_0" localSheetId="94">'450'!$T$49</definedName>
    <definedName name="OSRRefT22_2x_0" localSheetId="75">'491'!$T$57</definedName>
    <definedName name="OSRRefT22_2x_0" localSheetId="89">'492'!$T$52</definedName>
    <definedName name="OSRRefT22_2x_0" localSheetId="96">'501'!$T$42</definedName>
    <definedName name="OSRRefT22_2x_0" localSheetId="39">'Div 2'!$T$44</definedName>
    <definedName name="OSRRefT22_2x_0" localSheetId="47">'Div 3'!$T$198</definedName>
    <definedName name="OSRRefT22_2x_0" localSheetId="73">'Div 4'!$T$58</definedName>
    <definedName name="OSRRefT22_2x_0" localSheetId="95">'Div 5'!$T$42</definedName>
    <definedName name="OSRRefT22_2x_0" localSheetId="64">'Div 6'!$T$84</definedName>
    <definedName name="OSRRefT22_2x_0" localSheetId="2">Summary!$T$232</definedName>
    <definedName name="OSRRefT22_3x_0" localSheetId="40">'200'!$T$27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'204'!$T$45:$T$46</definedName>
    <definedName name="OSRRefT22_3x_0" localSheetId="45">'205'!$T$43</definedName>
    <definedName name="OSRRefT22_3x_0" localSheetId="46">'206'!$T$43</definedName>
    <definedName name="OSRRefT22_3x_0" localSheetId="48">'300'!$T$195:$T$196</definedName>
    <definedName name="OSRRefT22_3x_0" localSheetId="49">'300 &amp; 317'!$T$221:$T$222</definedName>
    <definedName name="OSRRefT22_3x_0" localSheetId="50">'301'!$T$43:$T$44</definedName>
    <definedName name="OSRRefT22_3x_0" localSheetId="51">'306'!$T$43</definedName>
    <definedName name="OSRRefT22_3x_0" localSheetId="56">'307'!$T$102</definedName>
    <definedName name="OSRRefT22_3x_0" localSheetId="52">'308'!$T$91:$T$92</definedName>
    <definedName name="OSRRefT22_3x_0" localSheetId="67">'309'!$T$49</definedName>
    <definedName name="OSRRefT22_3x_0" localSheetId="66">'310'!$T$58</definedName>
    <definedName name="OSRRefT22_3x_0" localSheetId="74">'310 &amp; 491'!$T$66</definedName>
    <definedName name="OSRRefT22_3x_0" localSheetId="53">'311'!$T$91:$T$92</definedName>
    <definedName name="OSRRefT22_3x_0" localSheetId="68">'313'!$T$54</definedName>
    <definedName name="OSRRefT22_3x_0" localSheetId="57">'314'!$T$83:$T$84</definedName>
    <definedName name="OSRRefT22_3x_0" localSheetId="59">'315'!$T$81:$T$82</definedName>
    <definedName name="OSRRefT22_3x_0" localSheetId="62">'316'!$T$59</definedName>
    <definedName name="OSRRefT22_3x_0" localSheetId="65">'317'!$T$86</definedName>
    <definedName name="OSRRefT22_3x_0" localSheetId="63">'320'!$T$54</definedName>
    <definedName name="OSRRefT22_3x_0" localSheetId="69">'321'!$T$48</definedName>
    <definedName name="OSRRefT22_3x_0" localSheetId="70">'322'!$T$49</definedName>
    <definedName name="OSRRefT22_3x_0" localSheetId="71">'325'!$T$49</definedName>
    <definedName name="OSRRefT22_3x_0" localSheetId="60">'326'!$T$81:$T$82</definedName>
    <definedName name="OSRRefT22_3x_0" localSheetId="55">'330'!$T$111</definedName>
    <definedName name="OSRRefT22_3x_0" localSheetId="58">'331'!$T$96:$T$97</definedName>
    <definedName name="OSRRefT22_3x_0" localSheetId="61">'332'!$T$69</definedName>
    <definedName name="OSRRefT22_3x_0" localSheetId="76">'405'!$T$49</definedName>
    <definedName name="OSRRefT22_3x_0" localSheetId="77">'406'!$T$50</definedName>
    <definedName name="OSRRefT22_3x_0" localSheetId="78">'411'!$T$44</definedName>
    <definedName name="OSRRefT22_3x_0" localSheetId="79">'412'!$T$50</definedName>
    <definedName name="OSRRefT22_3x_0" localSheetId="81">'413'!$T$50</definedName>
    <definedName name="OSRRefT22_3x_0" localSheetId="82">'414'!$T$50</definedName>
    <definedName name="OSRRefT22_3x_0" localSheetId="83">'415'!$T$49</definedName>
    <definedName name="OSRRefT22_3x_0" localSheetId="84">'418'!$T$50</definedName>
    <definedName name="OSRRefT22_3x_0" localSheetId="80">'420'!$T$40</definedName>
    <definedName name="OSRRefT22_3x_0" localSheetId="85">'423'!$T$44</definedName>
    <definedName name="OSRRefT22_3x_0" localSheetId="86">'424'!$T$49</definedName>
    <definedName name="OSRRefT22_3x_0" localSheetId="87">'425'!$T$53</definedName>
    <definedName name="OSRRefT22_3x_0" localSheetId="90">'430'!$T$43</definedName>
    <definedName name="OSRRefT22_3x_0" localSheetId="91">'433'!$T$52</definedName>
    <definedName name="OSRRefT22_3x_0" localSheetId="92">'435'!$T$49</definedName>
    <definedName name="OSRRefT22_3x_0" localSheetId="93">'444'!$T$51</definedName>
    <definedName name="OSRRefT22_3x_0" localSheetId="94">'450'!$T$51:$T$52</definedName>
    <definedName name="OSRRefT22_3x_0" localSheetId="75">'491'!$T$59</definedName>
    <definedName name="OSRRefT22_3x_0" localSheetId="89">'492'!$T$54:$T$55</definedName>
    <definedName name="OSRRefT22_3x_0" localSheetId="96">'501'!$T$44</definedName>
    <definedName name="OSRRefT22_3x_0" localSheetId="39">'Div 2'!$T$46</definedName>
    <definedName name="OSRRefT22_3x_0" localSheetId="47">'Div 3'!$T$200:$T$201</definedName>
    <definedName name="OSRRefT22_3x_0" localSheetId="73">'Div 4'!$T$60:$T$61</definedName>
    <definedName name="OSRRefT22_3x_0" localSheetId="95">'Div 5'!$T$44</definedName>
    <definedName name="OSRRefT22_3x_0" localSheetId="64">'Div 6'!$T$86</definedName>
    <definedName name="OSRRefT22_3x_0" localSheetId="2">Summary!$T$234:$T$235</definedName>
    <definedName name="OSRRefT22_4x_0" localSheetId="40">'200'!$T$29:$T$30</definedName>
    <definedName name="OSRRefT22_4x_0" localSheetId="41">'201'!$T$45:$T$46</definedName>
    <definedName name="OSRRefT22_4x_0" localSheetId="42">'202'!$T$45</definedName>
    <definedName name="OSRRefT22_4x_0" localSheetId="43">'203'!$T$46</definedName>
    <definedName name="OSRRefT22_4x_0" localSheetId="44">'204'!$T$48</definedName>
    <definedName name="OSRRefT22_4x_0" localSheetId="45">'205'!$T$45</definedName>
    <definedName name="OSRRefT22_4x_0" localSheetId="46">'206'!$T$45</definedName>
    <definedName name="OSRRefT22_4x_0" localSheetId="48">'300'!$T$198</definedName>
    <definedName name="OSRRefT22_4x_0" localSheetId="49">'300 &amp; 317'!$T$224</definedName>
    <definedName name="OSRRefT22_4x_0" localSheetId="50">'301'!$T$46</definedName>
    <definedName name="OSRRefT22_4x_0" localSheetId="51">'306'!$T$45</definedName>
    <definedName name="OSRRefT22_4x_0" localSheetId="56">'307'!$T$104:$T$105</definedName>
    <definedName name="OSRRefT22_4x_0" localSheetId="52">'308'!$T$94</definedName>
    <definedName name="OSRRefT22_4x_0" localSheetId="67">'309'!$T$51</definedName>
    <definedName name="OSRRefT22_4x_0" localSheetId="66">'310'!$T$60</definedName>
    <definedName name="OSRRefT22_4x_0" localSheetId="74">'310 &amp; 491'!$T$68</definedName>
    <definedName name="OSRRefT22_4x_0" localSheetId="53">'311'!$T$94</definedName>
    <definedName name="OSRRefT22_4x_0" localSheetId="68">'313'!$T$56</definedName>
    <definedName name="OSRRefT22_4x_0" localSheetId="57">'314'!$T$86</definedName>
    <definedName name="OSRRefT22_4x_0" localSheetId="59">'315'!$T$84</definedName>
    <definedName name="OSRRefT22_4x_0" localSheetId="62">'316'!$T$61</definedName>
    <definedName name="OSRRefT22_4x_0" localSheetId="65">'317'!$T$88</definedName>
    <definedName name="OSRRefT22_4x_0" localSheetId="63">'320'!$T$56:$T$57</definedName>
    <definedName name="OSRRefT22_4x_0" localSheetId="69">'321'!$T$50</definedName>
    <definedName name="OSRRefT22_4x_0" localSheetId="70">'322'!$T$51</definedName>
    <definedName name="OSRRefT22_4x_0" localSheetId="71">'325'!$T$51</definedName>
    <definedName name="OSRRefT22_4x_0" localSheetId="60">'326'!$T$84</definedName>
    <definedName name="OSRRefT22_4x_0" localSheetId="55">'330'!$T$113:$T$114</definedName>
    <definedName name="OSRRefT22_4x_0" localSheetId="58">'331'!$T$99</definedName>
    <definedName name="OSRRefT22_4x_0" localSheetId="61">'332'!$T$71</definedName>
    <definedName name="OSRRefT22_4x_0" localSheetId="76">'405'!$T$51</definedName>
    <definedName name="OSRRefT22_4x_0" localSheetId="77">'406'!$T$52</definedName>
    <definedName name="OSRRefT22_4x_0" localSheetId="78">'411'!$T$46:$T$49</definedName>
    <definedName name="OSRRefT22_4x_0" localSheetId="79">'412'!$T$52</definedName>
    <definedName name="OSRRefT22_4x_0" localSheetId="81">'413'!$T$52</definedName>
    <definedName name="OSRRefT22_4x_0" localSheetId="82">'414'!$T$52</definedName>
    <definedName name="OSRRefT22_4x_0" localSheetId="83">'415'!$T$51</definedName>
    <definedName name="OSRRefT22_4x_0" localSheetId="84">'418'!$T$52</definedName>
    <definedName name="OSRRefT22_4x_0" localSheetId="80">'420'!$T$42</definedName>
    <definedName name="OSRRefT22_4x_0" localSheetId="85">'423'!$T$46</definedName>
    <definedName name="OSRRefT22_4x_0" localSheetId="86">'424'!$T$51</definedName>
    <definedName name="OSRRefT22_4x_0" localSheetId="87">'425'!$T$55</definedName>
    <definedName name="OSRRefT22_4x_0" localSheetId="90">'430'!$T$45</definedName>
    <definedName name="OSRRefT22_4x_0" localSheetId="91">'433'!$T$54</definedName>
    <definedName name="OSRRefT22_4x_0" localSheetId="92">'435'!$T$51</definedName>
    <definedName name="OSRRefT22_4x_0" localSheetId="93">'444'!$T$53</definedName>
    <definedName name="OSRRefT22_4x_0" localSheetId="94">'450'!$T$54</definedName>
    <definedName name="OSRRefT22_4x_0" localSheetId="75">'491'!$T$61</definedName>
    <definedName name="OSRRefT22_4x_0" localSheetId="89">'492'!$T$57</definedName>
    <definedName name="OSRRefT22_4x_0" localSheetId="96">'501'!$T$46</definedName>
    <definedName name="OSRRefT22_4x_0" localSheetId="39">'Div 2'!$T$48</definedName>
    <definedName name="OSRRefT22_4x_0" localSheetId="47">'Div 3'!$T$203</definedName>
    <definedName name="OSRRefT22_4x_0" localSheetId="73">'Div 4'!$T$63</definedName>
    <definedName name="OSRRefT22_4x_0" localSheetId="95">'Div 5'!$T$46</definedName>
    <definedName name="OSRRefT22_4x_0" localSheetId="64">'Div 6'!$T$88</definedName>
    <definedName name="OSRRefT22_4x_0" localSheetId="2">Summary!$T$237</definedName>
    <definedName name="OSRRefT22_5x_0" localSheetId="41">'201'!$T$48</definedName>
    <definedName name="OSRRefT22_5x_0" localSheetId="42">'202'!$T$47</definedName>
    <definedName name="OSRRefT22_5x_0" localSheetId="43">'203'!$T$48</definedName>
    <definedName name="OSRRefT22_5x_0" localSheetId="44">'204'!$T$50</definedName>
    <definedName name="OSRRefT22_5x_0" localSheetId="45">'205'!$T$47:$T$49</definedName>
    <definedName name="OSRRefT22_5x_0" localSheetId="46">'206'!$T$47</definedName>
    <definedName name="OSRRefT22_5x_0" localSheetId="48">'300'!$T$200:$T$203</definedName>
    <definedName name="OSRRefT22_5x_0" localSheetId="49">'300 &amp; 317'!$T$226:$T$229</definedName>
    <definedName name="OSRRefT22_5x_0" localSheetId="50">'301'!$T$48:$T$51</definedName>
    <definedName name="OSRRefT22_5x_0" localSheetId="51">'306'!$T$47</definedName>
    <definedName name="OSRRefT22_5x_0" localSheetId="56">'307'!$T$107</definedName>
    <definedName name="OSRRefT22_5x_0" localSheetId="52">'308'!$T$96</definedName>
    <definedName name="OSRRefT22_5x_0" localSheetId="67">'309'!$T$53:$T$54</definedName>
    <definedName name="OSRRefT22_5x_0" localSheetId="66">'310'!$T$62:$T$64</definedName>
    <definedName name="OSRRefT22_5x_0" localSheetId="74">'310 &amp; 491'!$T$70:$T$73</definedName>
    <definedName name="OSRRefT22_5x_0" localSheetId="53">'311'!$T$96</definedName>
    <definedName name="OSRRefT22_5x_0" localSheetId="68">'313'!$T$58</definedName>
    <definedName name="OSRRefT22_5x_0" localSheetId="57">'314'!$T$88</definedName>
    <definedName name="OSRRefT22_5x_0" localSheetId="59">'315'!$T$86:$T$87</definedName>
    <definedName name="OSRRefT22_5x_0" localSheetId="62">'316'!$T$63</definedName>
    <definedName name="OSRRefT22_5x_0" localSheetId="65">'317'!$T$90</definedName>
    <definedName name="OSRRefT22_5x_0" localSheetId="63">'320'!$T$59</definedName>
    <definedName name="OSRRefT22_5x_0" localSheetId="69">'321'!$T$52</definedName>
    <definedName name="OSRRefT22_5x_0" localSheetId="70">'322'!$T$53:$T$54</definedName>
    <definedName name="OSRRefT22_5x_0" localSheetId="71">'325'!$T$53:$T$55</definedName>
    <definedName name="OSRRefT22_5x_0" localSheetId="60">'326'!$T$86</definedName>
    <definedName name="OSRRefT22_5x_0" localSheetId="55">'330'!$T$116</definedName>
    <definedName name="OSRRefT22_5x_0" localSheetId="58">'331'!$T$101:$T$102</definedName>
    <definedName name="OSRRefT22_5x_0" localSheetId="61">'332'!$T$73</definedName>
    <definedName name="OSRRefT22_5x_0" localSheetId="76">'405'!$T$53:$T$55</definedName>
    <definedName name="OSRRefT22_5x_0" localSheetId="77">'406'!$T$54:$T$55</definedName>
    <definedName name="OSRRefT22_5x_0" localSheetId="78">'411'!$T$51</definedName>
    <definedName name="OSRRefT22_5x_0" localSheetId="79">'412'!$T$54:$T$56</definedName>
    <definedName name="OSRRefT22_5x_0" localSheetId="81">'413'!$T$54</definedName>
    <definedName name="OSRRefT22_5x_0" localSheetId="82">'414'!$T$54:$T$55</definedName>
    <definedName name="OSRRefT22_5x_0" localSheetId="83">'415'!$T$53:$T$55</definedName>
    <definedName name="OSRRefT22_5x_0" localSheetId="84">'418'!$T$54:$T$56</definedName>
    <definedName name="OSRRefT22_5x_0" localSheetId="80">'420'!$T$44</definedName>
    <definedName name="OSRRefT22_5x_0" localSheetId="85">'423'!$T$48</definedName>
    <definedName name="OSRRefT22_5x_0" localSheetId="86">'424'!$T$53</definedName>
    <definedName name="OSRRefT22_5x_0" localSheetId="87">'425'!$T$57:$T$58</definedName>
    <definedName name="OSRRefT22_5x_0" localSheetId="90">'430'!$T$47</definedName>
    <definedName name="OSRRefT22_5x_0" localSheetId="91">'433'!$T$56</definedName>
    <definedName name="OSRRefT22_5x_0" localSheetId="92">'435'!$T$53</definedName>
    <definedName name="OSRRefT22_5x_0" localSheetId="93">'444'!$T$55</definedName>
    <definedName name="OSRRefT22_5x_0" localSheetId="94">'450'!$T$56</definedName>
    <definedName name="OSRRefT22_5x_0" localSheetId="75">'491'!$T$63:$T$66</definedName>
    <definedName name="OSRRefT22_5x_0" localSheetId="89">'492'!$T$59</definedName>
    <definedName name="OSRRefT22_5x_0" localSheetId="96">'501'!$T$48</definedName>
    <definedName name="OSRRefT22_5x_0" localSheetId="39">'Div 2'!$T$50:$T$51</definedName>
    <definedName name="OSRRefT22_5x_0" localSheetId="47">'Div 3'!$T$205:$T$208</definedName>
    <definedName name="OSRRefT22_5x_0" localSheetId="73">'Div 4'!$T$65:$T$68</definedName>
    <definedName name="OSRRefT22_5x_0" localSheetId="95">'Div 5'!$T$48</definedName>
    <definedName name="OSRRefT22_5x_0" localSheetId="64">'Div 6'!$T$90</definedName>
    <definedName name="OSRRefT22_5x_0" localSheetId="2">Summary!$T$239:$T$242</definedName>
    <definedName name="OSRRefT22_6x_0" localSheetId="41">'201'!$T$50</definedName>
    <definedName name="OSRRefT22_6x_0" localSheetId="42">'202'!$T$49</definedName>
    <definedName name="OSRRefT22_6x_0" localSheetId="43">'203'!$T$50</definedName>
    <definedName name="OSRRefT22_6x_0" localSheetId="44">'204'!$T$52</definedName>
    <definedName name="OSRRefT22_6x_0" localSheetId="45">'205'!$T$51</definedName>
    <definedName name="OSRRefT22_6x_0" localSheetId="46">'206'!$T$49</definedName>
    <definedName name="OSRRefT22_6x_0" localSheetId="48">'300'!$T$205:$T$206</definedName>
    <definedName name="OSRRefT22_6x_0" localSheetId="49">'300 &amp; 317'!$T$231:$T$232</definedName>
    <definedName name="OSRRefT22_6x_0" localSheetId="50">'301'!$T$53:$T$54</definedName>
    <definedName name="OSRRefT22_6x_0" localSheetId="51">'306'!$T$49</definedName>
    <definedName name="OSRRefT22_6x_0" localSheetId="56">'307'!$T$109</definedName>
    <definedName name="OSRRefT22_6x_0" localSheetId="52">'308'!$T$98:$T$99</definedName>
    <definedName name="OSRRefT22_6x_0" localSheetId="67">'309'!$T$56</definedName>
    <definedName name="OSRRefT22_6x_0" localSheetId="66">'310'!$T$66</definedName>
    <definedName name="OSRRefT22_6x_0" localSheetId="74">'310 &amp; 491'!$T$75</definedName>
    <definedName name="OSRRefT22_6x_0" localSheetId="53">'311'!$T$98:$T$99</definedName>
    <definedName name="OSRRefT22_6x_0" localSheetId="68">'313'!$T$60</definedName>
    <definedName name="OSRRefT22_6x_0" localSheetId="57">'314'!$T$90</definedName>
    <definedName name="OSRRefT22_6x_0" localSheetId="59">'315'!$T$89</definedName>
    <definedName name="OSRRefT22_6x_0" localSheetId="62">'316'!$T$65</definedName>
    <definedName name="OSRRefT22_6x_0" localSheetId="65">'317'!$T$92</definedName>
    <definedName name="OSRRefT22_6x_0" localSheetId="63">'320'!$T$61:$T$63</definedName>
    <definedName name="OSRRefT22_6x_0" localSheetId="69">'321'!$T$54</definedName>
    <definedName name="OSRRefT22_6x_0" localSheetId="70">'322'!$T$56</definedName>
    <definedName name="OSRRefT22_6x_0" localSheetId="71">'325'!$T$57</definedName>
    <definedName name="OSRRefT22_6x_0" localSheetId="60">'326'!$T$88</definedName>
    <definedName name="OSRRefT22_6x_0" localSheetId="55">'330'!$T$118</definedName>
    <definedName name="OSRRefT22_6x_0" localSheetId="58">'331'!$T$104</definedName>
    <definedName name="OSRRefT22_6x_0" localSheetId="61">'332'!$T$75</definedName>
    <definedName name="OSRRefT22_6x_0" localSheetId="76">'405'!$T$57</definedName>
    <definedName name="OSRRefT22_6x_0" localSheetId="77">'406'!$T$57</definedName>
    <definedName name="OSRRefT22_6x_0" localSheetId="78">'411'!$T$53</definedName>
    <definedName name="OSRRefT22_6x_0" localSheetId="79">'412'!$T$58</definedName>
    <definedName name="OSRRefT22_6x_0" localSheetId="81">'413'!$T$56</definedName>
    <definedName name="OSRRefT22_6x_0" localSheetId="82">'414'!$T$57</definedName>
    <definedName name="OSRRefT22_6x_0" localSheetId="83">'415'!$T$57</definedName>
    <definedName name="OSRRefT22_6x_0" localSheetId="84">'418'!$T$58</definedName>
    <definedName name="OSRRefT22_6x_0" localSheetId="80">'420'!$T$46:$T$47</definedName>
    <definedName name="OSRRefT22_6x_0" localSheetId="85">'423'!$T$50</definedName>
    <definedName name="OSRRefT22_6x_0" localSheetId="86">'424'!$T$55</definedName>
    <definedName name="OSRRefT22_6x_0" localSheetId="87">'425'!$T$60</definedName>
    <definedName name="OSRRefT22_6x_0" localSheetId="90">'430'!$T$49</definedName>
    <definedName name="OSRRefT22_6x_0" localSheetId="91">'433'!$T$58</definedName>
    <definedName name="OSRRefT22_6x_0" localSheetId="92">'435'!$T$55</definedName>
    <definedName name="OSRRefT22_6x_0" localSheetId="93">'444'!$T$57</definedName>
    <definedName name="OSRRefT22_6x_0" localSheetId="94">'450'!$T$58</definedName>
    <definedName name="OSRRefT22_6x_0" localSheetId="75">'491'!$T$68</definedName>
    <definedName name="OSRRefT22_6x_0" localSheetId="89">'492'!$T$61:$T$62</definedName>
    <definedName name="OSRRefT22_6x_0" localSheetId="96">'501'!$T$50</definedName>
    <definedName name="OSRRefT22_6x_0" localSheetId="39">'Div 2'!$T$53:$T$54</definedName>
    <definedName name="OSRRefT22_6x_0" localSheetId="47">'Div 3'!$T$210:$T$211</definedName>
    <definedName name="OSRRefT22_6x_0" localSheetId="73">'Div 4'!$T$70</definedName>
    <definedName name="OSRRefT22_6x_0" localSheetId="95">'Div 5'!$T$50</definedName>
    <definedName name="OSRRefT22_6x_0" localSheetId="64">'Div 6'!$T$92</definedName>
    <definedName name="OSRRefT22_6x_0" localSheetId="2">Summary!$T$244:$T$245</definedName>
    <definedName name="OSRRefT22_7x_0" localSheetId="41">'201'!$T$52</definedName>
    <definedName name="OSRRefT22_7x_0" localSheetId="42">'202'!$T$51</definedName>
    <definedName name="OSRRefT22_7x_0" localSheetId="43">'203'!$T$52</definedName>
    <definedName name="OSRRefT22_7x_0" localSheetId="44">'204'!$T$54:$T$57</definedName>
    <definedName name="OSRRefT22_7x_0" localSheetId="45">'205'!$T$53:$T$54</definedName>
    <definedName name="OSRRefT22_7x_0" localSheetId="46">'206'!$T$51:$T$52</definedName>
    <definedName name="OSRRefT22_7x_0" localSheetId="48">'300'!$T$208:$T$209</definedName>
    <definedName name="OSRRefT22_7x_0" localSheetId="49">'300 &amp; 317'!$T$234:$T$235</definedName>
    <definedName name="OSRRefT22_7x_0" localSheetId="50">'301'!$T$56:$T$57</definedName>
    <definedName name="OSRRefT22_7x_0" localSheetId="51">'306'!$T$51:$T$52</definedName>
    <definedName name="OSRRefT22_7x_0" localSheetId="56">'307'!$T$111:$T$131</definedName>
    <definedName name="OSRRefT22_7x_0" localSheetId="52">'308'!$T$101</definedName>
    <definedName name="OSRRefT22_7x_0" localSheetId="67">'309'!$T$58</definedName>
    <definedName name="OSRRefT22_7x_0" localSheetId="66">'310'!$T$68</definedName>
    <definedName name="OSRRefT22_7x_0" localSheetId="74">'310 &amp; 491'!$T$77</definedName>
    <definedName name="OSRRefT22_7x_0" localSheetId="53">'311'!$T$101</definedName>
    <definedName name="OSRRefT22_7x_0" localSheetId="68">'313'!$T$62</definedName>
    <definedName name="OSRRefT22_7x_0" localSheetId="57">'314'!$T$92:$T$101</definedName>
    <definedName name="OSRRefT22_7x_0" localSheetId="59">'315'!$T$91:$T$97</definedName>
    <definedName name="OSRRefT22_7x_0" localSheetId="62">'316'!$T$67</definedName>
    <definedName name="OSRRefT22_7x_0" localSheetId="65">'317'!$T$94</definedName>
    <definedName name="OSRRefT22_7x_0" localSheetId="63">'320'!$T$65:$T$66</definedName>
    <definedName name="OSRRefT22_7x_0" localSheetId="69">'321'!$T$56</definedName>
    <definedName name="OSRRefT22_7x_0" localSheetId="70">'322'!$T$58</definedName>
    <definedName name="OSRRefT22_7x_0" localSheetId="71">'325'!$T$59</definedName>
    <definedName name="OSRRefT22_7x_0" localSheetId="60">'326'!$T$90</definedName>
    <definedName name="OSRRefT22_7x_0" localSheetId="55">'330'!$T$120</definedName>
    <definedName name="OSRRefT22_7x_0" localSheetId="58">'331'!$T$106</definedName>
    <definedName name="OSRRefT22_7x_0" localSheetId="61">'332'!$T$77:$T$78</definedName>
    <definedName name="OSRRefT22_7x_0" localSheetId="76">'405'!$T$59</definedName>
    <definedName name="OSRRefT22_7x_0" localSheetId="77">'406'!$T$59</definedName>
    <definedName name="OSRRefT22_7x_0" localSheetId="78">'411'!$T$55</definedName>
    <definedName name="OSRRefT22_7x_0" localSheetId="79">'412'!$T$60</definedName>
    <definedName name="OSRRefT22_7x_0" localSheetId="81">'413'!$T$58</definedName>
    <definedName name="OSRRefT22_7x_0" localSheetId="82">'414'!$T$59</definedName>
    <definedName name="OSRRefT22_7x_0" localSheetId="83">'415'!$T$59</definedName>
    <definedName name="OSRRefT22_7x_0" localSheetId="84">'418'!$T$60</definedName>
    <definedName name="OSRRefT22_7x_0" localSheetId="80">'420'!$T$49</definedName>
    <definedName name="OSRRefT22_7x_0" localSheetId="86">'424'!$T$57</definedName>
    <definedName name="OSRRefT22_7x_0" localSheetId="87">'425'!$T$62</definedName>
    <definedName name="OSRRefT22_7x_0" localSheetId="90">'430'!$T$51:$T$54</definedName>
    <definedName name="OSRRefT22_7x_0" localSheetId="91">'433'!$T$60</definedName>
    <definedName name="OSRRefT22_7x_0" localSheetId="92">'435'!$T$57:$T$59</definedName>
    <definedName name="OSRRefT22_7x_0" localSheetId="93">'444'!$T$59</definedName>
    <definedName name="OSRRefT22_7x_0" localSheetId="94">'450'!$T$60</definedName>
    <definedName name="OSRRefT22_7x_0" localSheetId="75">'491'!$T$70</definedName>
    <definedName name="OSRRefT22_7x_0" localSheetId="89">'492'!$T$64</definedName>
    <definedName name="OSRRefT22_7x_0" localSheetId="96">'501'!$T$52</definedName>
    <definedName name="OSRRefT22_7x_0" localSheetId="39">'Div 2'!$T$56</definedName>
    <definedName name="OSRRefT22_7x_0" localSheetId="47">'Div 3'!$T$213:$T$214</definedName>
    <definedName name="OSRRefT22_7x_0" localSheetId="73">'Div 4'!$T$72:$T$73</definedName>
    <definedName name="OSRRefT22_7x_0" localSheetId="95">'Div 5'!$T$52</definedName>
    <definedName name="OSRRefT22_7x_0" localSheetId="64">'Div 6'!$T$94</definedName>
    <definedName name="OSRRefT22_7x_0" localSheetId="2">Summary!$T$247:$T$249</definedName>
    <definedName name="OSRRefT22_8x_0" localSheetId="41">'201'!$T$54</definedName>
    <definedName name="OSRRefT22_8x_0" localSheetId="42">'202'!$T$53</definedName>
    <definedName name="OSRRefT22_8x_0" localSheetId="43">'203'!$T$54</definedName>
    <definedName name="OSRRefT22_8x_0" localSheetId="44">'204'!$T$59</definedName>
    <definedName name="OSRRefT22_8x_0" localSheetId="45">'205'!$T$56</definedName>
    <definedName name="OSRRefT22_8x_0" localSheetId="46">'206'!$T$54</definedName>
    <definedName name="OSRRefT22_8x_0" localSheetId="48">'300'!$T$211</definedName>
    <definedName name="OSRRefT22_8x_0" localSheetId="49">'300 &amp; 317'!$T$237</definedName>
    <definedName name="OSRRefT22_8x_0" localSheetId="50">'301'!$T$59</definedName>
    <definedName name="OSRRefT22_8x_0" localSheetId="51">'306'!$T$54:$T$57</definedName>
    <definedName name="OSRRefT22_8x_0" localSheetId="56">'307'!$T$133</definedName>
    <definedName name="OSRRefT22_8x_0" localSheetId="52">'308'!$T$103:$T$111</definedName>
    <definedName name="OSRRefT22_8x_0" localSheetId="67">'309'!$T$60</definedName>
    <definedName name="OSRRefT22_8x_0" localSheetId="66">'310'!$T$70</definedName>
    <definedName name="OSRRefT22_8x_0" localSheetId="74">'310 &amp; 491'!$T$79</definedName>
    <definedName name="OSRRefT22_8x_0" localSheetId="53">'311'!$T$103:$T$111</definedName>
    <definedName name="OSRRefT22_8x_0" localSheetId="68">'313'!$T$64</definedName>
    <definedName name="OSRRefT22_8x_0" localSheetId="57">'314'!$T$103</definedName>
    <definedName name="OSRRefT22_8x_0" localSheetId="59">'315'!$T$99</definedName>
    <definedName name="OSRRefT22_8x_0" localSheetId="62">'316'!$T$69</definedName>
    <definedName name="OSRRefT22_8x_0" localSheetId="65">'317'!$T$96:$T$103</definedName>
    <definedName name="OSRRefT22_8x_0" localSheetId="63">'320'!$T$68</definedName>
    <definedName name="OSRRefT22_8x_0" localSheetId="69">'321'!$T$58</definedName>
    <definedName name="OSRRefT22_8x_0" localSheetId="70">'322'!$T$60</definedName>
    <definedName name="OSRRefT22_8x_0" localSheetId="71">'325'!$T$61</definedName>
    <definedName name="OSRRefT22_8x_0" localSheetId="60">'326'!$T$92</definedName>
    <definedName name="OSRRefT22_8x_0" localSheetId="55">'330'!$T$122:$T$143</definedName>
    <definedName name="OSRRefT22_8x_0" localSheetId="58">'331'!$T$108:$T$109</definedName>
    <definedName name="OSRRefT22_8x_0" localSheetId="61">'332'!$T$80</definedName>
    <definedName name="OSRRefT22_8x_0" localSheetId="76">'405'!$T$61</definedName>
    <definedName name="OSRRefT22_8x_0" localSheetId="77">'406'!$T$61</definedName>
    <definedName name="OSRRefT22_8x_0" localSheetId="78">'411'!$T$57</definedName>
    <definedName name="OSRRefT22_8x_0" localSheetId="79">'412'!$T$62</definedName>
    <definedName name="OSRRefT22_8x_0" localSheetId="81">'413'!$T$60:$T$62</definedName>
    <definedName name="OSRRefT22_8x_0" localSheetId="82">'414'!$T$61</definedName>
    <definedName name="OSRRefT22_8x_0" localSheetId="83">'415'!$T$61</definedName>
    <definedName name="OSRRefT22_8x_0" localSheetId="84">'418'!$T$62</definedName>
    <definedName name="OSRRefT22_8x_0" localSheetId="86">'424'!$T$59:$T$60</definedName>
    <definedName name="OSRRefT22_8x_0" localSheetId="87">'425'!$T$64</definedName>
    <definedName name="OSRRefT22_8x_0" localSheetId="90">'430'!$T$56</definedName>
    <definedName name="OSRRefT22_8x_0" localSheetId="91">'433'!$T$62</definedName>
    <definedName name="OSRRefT22_8x_0" localSheetId="92">'435'!$T$61</definedName>
    <definedName name="OSRRefT22_8x_0" localSheetId="93">'444'!$T$61</definedName>
    <definedName name="OSRRefT22_8x_0" localSheetId="94">'450'!$T$62</definedName>
    <definedName name="OSRRefT22_8x_0" localSheetId="75">'491'!$T$72</definedName>
    <definedName name="OSRRefT22_8x_0" localSheetId="89">'492'!$T$66</definedName>
    <definedName name="OSRRefT22_8x_0" localSheetId="96">'501'!$T$54</definedName>
    <definedName name="OSRRefT22_8x_0" localSheetId="39">'Div 2'!$T$58</definedName>
    <definedName name="OSRRefT22_8x_0" localSheetId="47">'Div 3'!$T$216</definedName>
    <definedName name="OSRRefT22_8x_0" localSheetId="73">'Div 4'!$T$75</definedName>
    <definedName name="OSRRefT22_8x_0" localSheetId="95">'Div 5'!$T$54</definedName>
    <definedName name="OSRRefT22_8x_0" localSheetId="64">'Div 6'!$T$96:$T$103</definedName>
    <definedName name="OSRRefT22_8x_0" localSheetId="2">Summary!$T$251</definedName>
    <definedName name="OSRRefT22_9x_0" localSheetId="41">'201'!$T$56</definedName>
    <definedName name="OSRRefT22_9x_0" localSheetId="42">'202'!$T$55:$T$57</definedName>
    <definedName name="OSRRefT22_9x_0" localSheetId="43">'203'!$T$56:$T$58</definedName>
    <definedName name="OSRRefT22_9x_0" localSheetId="44">'204'!$T$61:$T$62</definedName>
    <definedName name="OSRRefT22_9x_0" localSheetId="45">'205'!$T$58</definedName>
    <definedName name="OSRRefT22_9x_0" localSheetId="46">'206'!$T$56</definedName>
    <definedName name="OSRRefT22_9x_0" localSheetId="48">'300'!$T$213</definedName>
    <definedName name="OSRRefT22_9x_0" localSheetId="49">'300 &amp; 317'!$T$239</definedName>
    <definedName name="OSRRefT22_9x_0" localSheetId="50">'301'!$T$61</definedName>
    <definedName name="OSRRefT22_9x_0" localSheetId="51">'306'!$T$59</definedName>
    <definedName name="OSRRefT22_9x_0" localSheetId="56">'307'!$T$135:$T$136</definedName>
    <definedName name="OSRRefT22_9x_0" localSheetId="52">'308'!$T$113:$T$116</definedName>
    <definedName name="OSRRefT22_9x_0" localSheetId="67">'309'!$T$62:$T$63</definedName>
    <definedName name="OSRRefT22_9x_0" localSheetId="66">'310'!$T$72</definedName>
    <definedName name="OSRRefT22_9x_0" localSheetId="74">'310 &amp; 491'!$T$81</definedName>
    <definedName name="OSRRefT22_9x_0" localSheetId="53">'311'!$T$113:$T$116</definedName>
    <definedName name="OSRRefT22_9x_0" localSheetId="68">'313'!$T$66</definedName>
    <definedName name="OSRRefT22_9x_0" localSheetId="57">'314'!$T$105:$T$106</definedName>
    <definedName name="OSRRefT22_9x_0" localSheetId="59">'315'!$T$101:$T$102</definedName>
    <definedName name="OSRRefT22_9x_0" localSheetId="62">'316'!$T$71:$T$72</definedName>
    <definedName name="OSRRefT22_9x_0" localSheetId="65">'317'!$T$105</definedName>
    <definedName name="OSRRefT22_9x_0" localSheetId="69">'321'!$T$60:$T$62</definedName>
    <definedName name="OSRRefT22_9x_0" localSheetId="70">'322'!$T$62:$T$64</definedName>
    <definedName name="OSRRefT22_9x_0" localSheetId="71">'325'!$T$63</definedName>
    <definedName name="OSRRefT22_9x_0" localSheetId="60">'326'!$T$94</definedName>
    <definedName name="OSRRefT22_9x_0" localSheetId="55">'330'!$T$145</definedName>
    <definedName name="OSRRefT22_9x_0" localSheetId="58">'331'!$T$111</definedName>
    <definedName name="OSRRefT22_9x_0" localSheetId="61">'332'!$T$82:$T$84</definedName>
    <definedName name="OSRRefT22_9x_0" localSheetId="76">'405'!$T$63</definedName>
    <definedName name="OSRRefT22_9x_0" localSheetId="77">'406'!$T$63:$T$65</definedName>
    <definedName name="OSRRefT22_9x_0" localSheetId="78">'411'!$T$59</definedName>
    <definedName name="OSRRefT22_9x_0" localSheetId="79">'412'!$T$64:$T$66</definedName>
    <definedName name="OSRRefT22_9x_0" localSheetId="81">'413'!$T$64:$T$65</definedName>
    <definedName name="OSRRefT22_9x_0" localSheetId="82">'414'!$T$63:$T$64</definedName>
    <definedName name="OSRRefT22_9x_0" localSheetId="83">'415'!$T$63</definedName>
    <definedName name="OSRRefT22_9x_0" localSheetId="84">'418'!$T$64</definedName>
    <definedName name="OSRRefT22_9x_0" localSheetId="86">'424'!$T$62:$T$64</definedName>
    <definedName name="OSRRefT22_9x_0" localSheetId="87">'425'!$T$66:$T$68</definedName>
    <definedName name="OSRRefT22_9x_0" localSheetId="90">'430'!$T$58</definedName>
    <definedName name="OSRRefT22_9x_0" localSheetId="91">'433'!$T$64</definedName>
    <definedName name="OSRRefT22_9x_0" localSheetId="93">'444'!$T$63</definedName>
    <definedName name="OSRRefT22_9x_0" localSheetId="94">'450'!$T$64</definedName>
    <definedName name="OSRRefT22_9x_0" localSheetId="75">'491'!$T$74</definedName>
    <definedName name="OSRRefT22_9x_0" localSheetId="89">'492'!$T$68</definedName>
    <definedName name="OSRRefT22_9x_0" localSheetId="96">'501'!$T$56</definedName>
    <definedName name="OSRRefT22_9x_0" localSheetId="39">'Div 2'!$T$60</definedName>
    <definedName name="OSRRefT22_9x_0" localSheetId="47">'Div 3'!$T$218</definedName>
    <definedName name="OSRRefT22_9x_0" localSheetId="73">'Div 4'!$T$77</definedName>
    <definedName name="OSRRefT22_9x_0" localSheetId="95">'Div 5'!$T$56</definedName>
    <definedName name="OSRRefT22_9x_0" localSheetId="64">'Div 6'!$T$105</definedName>
    <definedName name="OSRRefT22_9x_0" localSheetId="2">Summary!$T$253</definedName>
    <definedName name="OSRRefT22x_0" localSheetId="40">'200'!$T$20:$T$21,'200'!$T$23,'200'!$T$25,'200'!$T$27,'200'!$T$29:$T$30</definedName>
    <definedName name="OSRRefT22x_0" localSheetId="41">'201'!$T$20:$T$28,'201'!$T$30:$T$39,'201'!$T$41,'201'!$T$43,'201'!$T$45:$T$46,'201'!$T$48,'201'!$T$50,'201'!$T$52,'201'!$T$54,'201'!$T$56,'201'!$T$58:$T$60,'201'!$T$62:$T$64,'201'!$T$66,'201'!$T$68:$T$71,'201'!$T$73,'201'!$T$75,'201'!$T$77:$T$78</definedName>
    <definedName name="OSRRefT22x_0" localSheetId="42">'202'!$T$20:$T$28,'202'!$T$30:$T$39,'202'!$T$41,'202'!$T$43,'202'!$T$45,'202'!$T$47,'202'!$T$49,'202'!$T$51,'202'!$T$53,'202'!$T$55:$T$57,'202'!$T$59,'202'!$T$61:$T$63,'202'!$T$65,'202'!$T$67,'202'!$T$69:$T$70,'202'!$T$72,'202'!$T$74</definedName>
    <definedName name="OSRRefT22x_0" localSheetId="43">'203'!$T$20:$T$29,'203'!$T$31:$T$40,'203'!$T$42,'203'!$T$44,'203'!$T$46,'203'!$T$48,'203'!$T$50,'203'!$T$52,'203'!$T$54,'203'!$T$56:$T$58,'203'!$T$60:$T$61,'203'!$T$63,'203'!$T$65:$T$68,'203'!$T$70,'203'!$T$72,'203'!$T$74</definedName>
    <definedName name="OSRRefT22x_0" localSheetId="44">'204'!$T$21:$T$30,'204'!$T$32:$T$41,'204'!$T$43,'204'!$T$45:$T$46,'204'!$T$48,'204'!$T$50,'204'!$T$52,'204'!$T$54:$T$57,'204'!$T$59,'204'!$T$61:$T$62,'204'!$T$64:$T$65,'204'!$T$67,'204'!$T$69:$T$70</definedName>
    <definedName name="OSRRefT22x_0" localSheetId="45">'205'!$T$20:$T$28,'205'!$T$30:$T$39,'205'!$T$41,'205'!$T$43,'205'!$T$45,'205'!$T$47:$T$49,'205'!$T$51,'205'!$T$53:$T$54,'205'!$T$56,'205'!$T$58</definedName>
    <definedName name="OSRRefT22x_0" localSheetId="46">'206'!$T$20:$T$28,'206'!$T$30:$T$39,'206'!$T$41,'206'!$T$43,'206'!$T$45,'206'!$T$47,'206'!$T$49,'206'!$T$51:$T$52,'206'!$T$54,'206'!$T$56,'206'!$T$58</definedName>
    <definedName name="OSRRefT22x_0" localSheetId="48">'300'!$T$171:$T$180,'300'!$T$182:$T$191,'300'!$T$193,'300'!$T$195:$T$196,'300'!$T$198,'300'!$T$200:$T$203,'300'!$T$205:$T$206,'300'!$T$208:$T$209,'300'!$T$211,'300'!$T$213,'300'!$T$215:$T$216,'300'!$T$218,'300'!$T$220,'300'!$T$222:$T$255,'300'!$T$257,'300'!$T$259,'300'!$T$261:$T$264,'300'!$T$266:$T$269,'300'!$T$271:$T$274,'300'!$T$276:$T$277,'300'!$T$279:$T$286,'300'!$T$288:$T$289,'300'!$T$291,'300'!$T$293:$T$295,'300'!$T$297</definedName>
    <definedName name="OSRRefT22x_0" localSheetId="49">'300 &amp; 317'!$T$197:$T$206,'300 &amp; 317'!$T$208:$T$217,'300 &amp; 317'!$T$219,'300 &amp; 317'!$T$221:$T$222,'300 &amp; 317'!$T$224,'300 &amp; 317'!$T$226:$T$229,'300 &amp; 317'!$T$231:$T$232,'300 &amp; 317'!$T$234:$T$235,'300 &amp; 317'!$T$237,'300 &amp; 317'!$T$239,'300 &amp; 317'!$T$241:$T$242,'300 &amp; 317'!$T$244,'300 &amp; 317'!$T$246,'300 &amp; 317'!$T$248:$T$284,'300 &amp; 317'!$T$286,'300 &amp; 317'!$T$288,'300 &amp; 317'!$T$290:$T$293,'300 &amp; 317'!$T$295:$T$298,'300 &amp; 317'!$T$300:$T$303,'300 &amp; 317'!$T$305:$T$306,'300 &amp; 317'!$T$308:$T$315,'300 &amp; 317'!$T$317:$T$318,'300 &amp; 317'!$T$320,'300 &amp; 317'!$T$322:$T$324,'300 &amp; 317'!$T$326</definedName>
    <definedName name="OSRRefT22x_0" localSheetId="50">'301'!$T$20:$T$28,'301'!$T$30:$T$39,'301'!$T$41,'301'!$T$43:$T$44,'301'!$T$46,'301'!$T$48:$T$51,'301'!$T$53:$T$54,'301'!$T$56:$T$57,'301'!$T$59,'301'!$T$61,'301'!$T$63,'301'!$T$65,'301'!$T$67,'301'!$T$69:$T$70,'301'!$T$72,'301'!$T$74,'301'!$T$76:$T$79,'301'!$T$81:$T$83,'301'!$T$85:$T$86,'301'!$T$88:$T$94,'301'!$T$96,'301'!$T$98,'301'!$T$100:$T$102,'301'!$T$104</definedName>
    <definedName name="OSRRefT22x_0" localSheetId="51">'306'!$T$20:$T$28,'306'!$T$30:$T$39,'306'!$T$41,'306'!$T$43,'306'!$T$45,'306'!$T$47,'306'!$T$49,'306'!$T$51:$T$52,'306'!$T$54:$T$57,'306'!$T$59,'306'!$T$61</definedName>
    <definedName name="OSRRefT22x_0" localSheetId="56">'307'!$T$79:$T$87,'307'!$T$89:$T$98,'307'!$T$100,'307'!$T$102,'307'!$T$104:$T$105,'307'!$T$107,'307'!$T$109,'307'!$T$111:$T$131,'307'!$T$133,'307'!$T$135:$T$136,'307'!$T$138:$T$139,'307'!$T$141:$T$143,'307'!$T$145,'307'!$T$147</definedName>
    <definedName name="OSRRefT22x_0" localSheetId="52">'308'!$T$67:$T$76,'308'!$T$78:$T$87,'308'!$T$89,'308'!$T$91:$T$92,'308'!$T$94,'308'!$T$96,'308'!$T$98:$T$99,'308'!$T$101,'308'!$T$103:$T$111,'308'!$T$113:$T$116,'308'!$T$118:$T$119,'308'!$T$121:$T$123,'308'!$T$125:$T$126,'308'!$T$128,'308'!$T$130:$T$131</definedName>
    <definedName name="OSRRefT22x_0" localSheetId="67">'309'!$T$26:$T$34,'309'!$T$36:$T$45,'309'!$T$47,'309'!$T$49,'309'!$T$51,'309'!$T$53:$T$54,'309'!$T$56,'309'!$T$58,'309'!$T$60,'309'!$T$62:$T$63,'309'!$T$65:$T$67,'309'!$T$69:$T$71,'309'!$T$73,'309'!$T$75</definedName>
    <definedName name="OSRRefT22x_0" localSheetId="66">'310'!$T$35:$T$43,'310'!$T$45:$T$54,'310'!$T$56,'310'!$T$58,'310'!$T$60,'310'!$T$62:$T$64,'310'!$T$66,'310'!$T$68,'310'!$T$70,'310'!$T$72,'310'!$T$74,'310'!$T$76,'310'!$T$78,'310'!$T$80,'310'!$T$82,'310'!$T$84:$T$86,'310'!$T$88:$T$89,'310'!$T$91:$T$95,'310'!$T$97,'310'!$T$99:$T$107,'310'!$T$109,'310'!$T$111,'310'!$T$113:$T$114,'310'!$T$116</definedName>
    <definedName name="OSRRefT22x_0" localSheetId="74">'310 &amp; 491'!$T$42:$T$51,'310 &amp; 491'!$T$53:$T$62,'310 &amp; 491'!$T$64,'310 &amp; 491'!$T$66,'310 &amp; 491'!$T$68,'310 &amp; 491'!$T$70:$T$73,'310 &amp; 491'!$T$75,'310 &amp; 491'!$T$77,'310 &amp; 491'!$T$79,'310 &amp; 491'!$T$81,'310 &amp; 491'!$T$83:$T$84,'310 &amp; 491'!$T$86:$T$87,'310 &amp; 491'!$T$89,'310 &amp; 491'!$T$91,'310 &amp; 491'!$T$93,'310 &amp; 491'!$T$95,'310 &amp; 491'!$T$97,'310 &amp; 491'!$T$99:$T$102,'310 &amp; 491'!$T$104:$T$107,'310 &amp; 491'!$T$109:$T$114,'310 &amp; 491'!$T$116:$T$117,'310 &amp; 491'!$T$119:$T$129,'310 &amp; 491'!$T$131:$T$132,'310 &amp; 491'!$T$134,'310 &amp; 491'!$T$136:$T$138,'310 &amp; 491'!$T$140</definedName>
    <definedName name="OSRRefT22x_0" localSheetId="53">'311'!$T$67:$T$76,'311'!$T$78:$T$87,'311'!$T$89,'311'!$T$91:$T$92,'311'!$T$94,'311'!$T$96,'311'!$T$98:$T$99,'311'!$T$101,'311'!$T$103:$T$111,'311'!$T$113:$T$116,'311'!$T$118:$T$119,'311'!$T$121:$T$123,'311'!$T$125:$T$126,'311'!$T$128,'311'!$T$130:$T$131</definedName>
    <definedName name="OSRRefT22x_0" localSheetId="68">'313'!$T$31:$T$39,'313'!$T$41:$T$50,'313'!$T$52,'313'!$T$54,'313'!$T$56,'313'!$T$58,'313'!$T$60,'313'!$T$62,'313'!$T$64,'313'!$T$66,'313'!$T$68:$T$70,'313'!$T$72,'313'!$T$74:$T$79,'313'!$T$81,'313'!$T$83</definedName>
    <definedName name="OSRRefT22x_0" localSheetId="57">'314'!$T$59:$T$68,'314'!$T$70:$T$79,'314'!$T$81,'314'!$T$83:$T$84,'314'!$T$86,'314'!$T$88,'314'!$T$90,'314'!$T$92:$T$101,'314'!$T$103,'314'!$T$105:$T$106,'314'!$T$108,'314'!$T$110</definedName>
    <definedName name="OSRRefT22x_0" localSheetId="59">'315'!$T$58:$T$66,'315'!$T$68:$T$77,'315'!$T$79,'315'!$T$81:$T$82,'315'!$T$84,'315'!$T$86:$T$87,'315'!$T$89,'315'!$T$91:$T$97,'315'!$T$99,'315'!$T$101:$T$102,'315'!$T$104:$T$106,'315'!$T$108:$T$109,'315'!$T$111:$T$115,'315'!$T$117,'315'!$T$119,'315'!$T$121:$T$122</definedName>
    <definedName name="OSRRefT22x_0" localSheetId="62">'316'!$T$36:$T$44,'316'!$T$46:$T$55,'316'!$T$57,'316'!$T$59,'316'!$T$61,'316'!$T$63,'316'!$T$65,'316'!$T$67,'316'!$T$69,'316'!$T$71:$T$72,'316'!$T$74:$T$75,'316'!$T$77:$T$81,'316'!$T$83:$T$84,'316'!$T$86</definedName>
    <definedName name="OSRRefT22x_0" localSheetId="65">'317'!$T$62:$T$71,'317'!$T$73:$T$82,'317'!$T$84,'317'!$T$86,'317'!$T$88,'317'!$T$90,'317'!$T$92,'317'!$T$94,'317'!$T$96:$T$103,'317'!$T$105,'317'!$T$107,'317'!$T$109:$T$110,'317'!$T$112:$T$113,'317'!$T$115,'317'!$T$117</definedName>
    <definedName name="OSRRefT22x_0" localSheetId="63">'320'!$T$32:$T$39,'320'!$T$41:$T$50,'320'!$T$52,'320'!$T$54,'320'!$T$56:$T$57,'320'!$T$59,'320'!$T$61:$T$63,'320'!$T$65:$T$66,'320'!$T$68</definedName>
    <definedName name="OSRRefT22x_0" localSheetId="69">'321'!$T$26:$T$33,'321'!$T$35:$T$44,'321'!$T$46,'321'!$T$48,'321'!$T$50,'321'!$T$52,'321'!$T$54,'321'!$T$56,'321'!$T$58,'321'!$T$60:$T$62,'321'!$T$64:$T$65,'321'!$T$67:$T$69,'321'!$T$71:$T$74,'321'!$T$76,'321'!$T$78</definedName>
    <definedName name="OSRRefT22x_0" localSheetId="70">'322'!$T$26:$T$34,'322'!$T$36:$T$45,'322'!$T$47,'322'!$T$49,'322'!$T$51,'322'!$T$53:$T$54,'322'!$T$56,'322'!$T$58,'322'!$T$60,'322'!$T$62:$T$64,'322'!$T$66:$T$68,'322'!$T$70:$T$76,'322'!$T$78,'322'!$T$80,'322'!$T$82</definedName>
    <definedName name="OSRRefT22x_0" localSheetId="71">'325'!$T$26:$T$34,'325'!$T$36:$T$45,'325'!$T$47,'325'!$T$49,'325'!$T$51,'325'!$T$53:$T$55,'325'!$T$57,'325'!$T$59,'325'!$T$61,'325'!$T$63,'325'!$T$65,'325'!$T$67:$T$69,'325'!$T$71:$T$75,'325'!$T$77,'325'!$T$79:$T$85,'325'!$T$87,'325'!$T$89,'325'!$T$91,'325'!$T$93</definedName>
    <definedName name="OSRRefT22x_0" localSheetId="60">'326'!$T$58:$T$66,'326'!$T$68:$T$77,'326'!$T$79,'326'!$T$81:$T$82,'326'!$T$84,'326'!$T$86,'326'!$T$88,'326'!$T$90,'326'!$T$92,'326'!$T$94,'326'!$T$96:$T$108,'326'!$T$110,'326'!$T$112,'326'!$T$114:$T$115,'326'!$T$117:$T$119,'326'!$T$121:$T$122,'326'!$T$124:$T$129,'326'!$T$131:$T$132,'326'!$T$134,'326'!$T$136,'326'!$T$138</definedName>
    <definedName name="OSRRefT22x_0" localSheetId="72">'327'!$T$24,'327'!$T$26,'327'!$T$28</definedName>
    <definedName name="OSRRefT22x_0" localSheetId="55">'330'!$T$87:$T$96,'330'!$T$98:$T$107,'330'!$T$109,'330'!$T$111,'330'!$T$113:$T$114,'330'!$T$116,'330'!$T$118,'330'!$T$120,'330'!$T$122:$T$143,'330'!$T$145,'330'!$T$147:$T$148,'330'!$T$150:$T$151,'330'!$T$153,'330'!$T$155:$T$157,'330'!$T$159,'330'!$T$161,'330'!$T$163</definedName>
    <definedName name="OSRRefT22x_0" localSheetId="58">'331'!$T$73:$T$81,'331'!$T$83:$T$92,'331'!$T$94,'331'!$T$96:$T$97,'331'!$T$99,'331'!$T$101:$T$102,'331'!$T$104,'331'!$T$106,'331'!$T$108:$T$109,'331'!$T$111,'331'!$T$113,'331'!$T$115:$T$127,'331'!$T$129,'331'!$T$131,'331'!$T$133:$T$134,'331'!$T$136:$T$138,'331'!$T$140:$T$142,'331'!$T$144:$T$145,'331'!$T$147:$T$152,'331'!$T$154:$T$155,'331'!$T$157,'331'!$T$159:$T$160,'331'!$T$162</definedName>
    <definedName name="OSRRefT22x_0" localSheetId="61">'332'!$T$46:$T$54,'332'!$T$56:$T$65,'332'!$T$67,'332'!$T$69,'332'!$T$71,'332'!$T$73,'332'!$T$75,'332'!$T$77:$T$78,'332'!$T$80,'332'!$T$82:$T$84,'332'!$T$86:$T$87,'332'!$T$89:$T$90,'332'!$T$92:$T$96,'332'!$T$98:$T$99,'332'!$T$101</definedName>
    <definedName name="OSRRefT22x_0" localSheetId="76">'405'!$T$26:$T$34,'405'!$T$36:$T$45,'405'!$T$47,'405'!$T$49,'405'!$T$51,'405'!$T$53:$T$55,'405'!$T$57,'405'!$T$59,'405'!$T$61,'405'!$T$63,'405'!$T$65,'405'!$T$67:$T$69,'405'!$T$71,'405'!$T$73:$T$75,'405'!$T$77:$T$78,'405'!$T$80:$T$88,'405'!$T$90,'405'!$T$92,'405'!$T$94,'405'!$T$96</definedName>
    <definedName name="OSRRefT22x_0" localSheetId="77">'406'!$T$27:$T$35,'406'!$T$37:$T$46,'406'!$T$48,'406'!$T$50,'406'!$T$52,'406'!$T$54:$T$55,'406'!$T$57,'406'!$T$59,'406'!$T$61,'406'!$T$63:$T$65,'406'!$T$67:$T$69,'406'!$T$71:$T$76,'406'!$T$78:$T$79,'406'!$T$81,'406'!$T$83:$T$84</definedName>
    <definedName name="OSRRefT22x_0" localSheetId="78">'411'!$T$20:$T$29,'411'!$T$31:$T$40,'411'!$T$42,'411'!$T$44,'411'!$T$46:$T$49,'411'!$T$51,'411'!$T$53,'411'!$T$55,'411'!$T$57,'411'!$T$59,'411'!$T$61,'411'!$T$63,'411'!$T$65:$T$68,'411'!$T$70:$T$74,'411'!$T$76,'411'!$T$78:$T$86,'411'!$T$88,'411'!$T$90,'411'!$T$92:$T$94,'411'!$T$96</definedName>
    <definedName name="OSRRefT22x_0" localSheetId="79">'412'!$T$27:$T$35,'412'!$T$37:$T$46,'412'!$T$48,'412'!$T$50,'412'!$T$52,'412'!$T$54:$T$56,'412'!$T$58,'412'!$T$60,'412'!$T$62,'412'!$T$64:$T$66,'412'!$T$68,'412'!$T$70:$T$72,'412'!$T$74:$T$81,'412'!$T$83,'412'!$T$85,'412'!$T$87</definedName>
    <definedName name="OSRRefT22x_0" localSheetId="81">'413'!$T$27:$T$35,'413'!$T$37:$T$46,'413'!$T$48,'413'!$T$50,'413'!$T$52,'413'!$T$54,'413'!$T$56,'413'!$T$58,'413'!$T$60:$T$62,'413'!$T$64:$T$65,'413'!$T$67:$T$73,'413'!$T$75:$T$76,'413'!$T$78,'413'!$T$80</definedName>
    <definedName name="OSRRefT22x_0" localSheetId="82">'414'!$T$27:$T$35,'414'!$T$37:$T$46,'414'!$T$48,'414'!$T$50,'414'!$T$52,'414'!$T$54:$T$55,'414'!$T$57,'414'!$T$59,'414'!$T$61,'414'!$T$63:$T$64,'414'!$T$66,'414'!$T$68,'414'!$T$70,'414'!$T$72:$T$78,'414'!$T$80,'414'!$T$82</definedName>
    <definedName name="OSRRefT22x_0" localSheetId="83">'415'!$T$26:$T$34,'415'!$T$36:$T$45,'415'!$T$47,'415'!$T$49,'415'!$T$51,'415'!$T$53:$T$55,'415'!$T$57,'415'!$T$59,'415'!$T$61,'415'!$T$63,'415'!$T$65,'415'!$T$67:$T$70,'415'!$T$72:$T$76,'415'!$T$78:$T$79,'415'!$T$81:$T$89,'415'!$T$91,'415'!$T$93,'415'!$T$95:$T$96,'415'!$T$98</definedName>
    <definedName name="OSRRefT22x_0" localSheetId="84">'418'!$T$27:$T$35,'418'!$T$37:$T$46,'418'!$T$48,'418'!$T$50,'418'!$T$52,'418'!$T$54:$T$56,'418'!$T$58,'418'!$T$60,'418'!$T$62,'418'!$T$64,'418'!$T$66:$T$67,'418'!$T$69:$T$71,'418'!$T$73:$T$75,'418'!$T$77:$T$78,'418'!$T$80:$T$87,'418'!$T$89,'418'!$T$91,'418'!$T$93:$T$94</definedName>
    <definedName name="OSRRefT22x_0" localSheetId="80">'420'!$T$24:$T$31,'420'!$T$33:$T$36,'420'!$T$38,'420'!$T$40,'420'!$T$42,'420'!$T$44,'420'!$T$46:$T$47,'420'!$T$49</definedName>
    <definedName name="OSRRefT22x_0" localSheetId="85">'423'!$T$21:$T$29,'423'!$T$31:$T$40,'423'!$T$42,'423'!$T$44,'423'!$T$46,'423'!$T$48,'423'!$T$50</definedName>
    <definedName name="OSRRefT22x_0" localSheetId="86">'424'!$T$27:$T$34,'424'!$T$36:$T$45,'424'!$T$47,'424'!$T$49,'424'!$T$51,'424'!$T$53,'424'!$T$55,'424'!$T$57,'424'!$T$59:$T$60,'424'!$T$62:$T$64,'424'!$T$66,'424'!$T$68:$T$72,'424'!$T$74:$T$75</definedName>
    <definedName name="OSRRefT22x_0" localSheetId="87">'425'!$T$29:$T$38,'425'!$T$40:$T$49,'425'!$T$51,'425'!$T$53,'425'!$T$55,'425'!$T$57:$T$58,'425'!$T$60,'425'!$T$62,'425'!$T$64,'425'!$T$66:$T$68,'425'!$T$70:$T$71,'425'!$T$73:$T$75,'425'!$T$77,'425'!$T$79:$T$85,'425'!$T$87:$T$88,'425'!$T$90,'425'!$T$92</definedName>
    <definedName name="OSRRefT22x_0" localSheetId="90">'430'!$T$20:$T$28,'430'!$T$30:$T$39,'430'!$T$41,'430'!$T$43,'430'!$T$45,'430'!$T$47,'430'!$T$49,'430'!$T$51:$T$54,'430'!$T$56,'430'!$T$58,'430'!$T$60</definedName>
    <definedName name="OSRRefT22x_0" localSheetId="91">'433'!$T$28:$T$37,'433'!$T$39:$T$48,'433'!$T$50,'433'!$T$52,'433'!$T$54,'433'!$T$56,'433'!$T$58,'433'!$T$60,'433'!$T$62,'433'!$T$64,'433'!$T$66:$T$68,'433'!$T$70:$T$73,'433'!$T$75:$T$83,'433'!$T$85,'433'!$T$87,'433'!$T$89:$T$90</definedName>
    <definedName name="OSRRefT22x_0" localSheetId="92">'435'!$T$27:$T$34,'435'!$T$36:$T$45,'435'!$T$47,'435'!$T$49,'435'!$T$51,'435'!$T$53,'435'!$T$55,'435'!$T$57:$T$59,'435'!$T$61</definedName>
    <definedName name="OSRRefT22x_0" localSheetId="93">'444'!$T$27:$T$36,'444'!$T$38:$T$47,'444'!$T$49,'444'!$T$51,'444'!$T$53,'444'!$T$55,'444'!$T$57,'444'!$T$59,'444'!$T$61,'444'!$T$63,'444'!$T$65,'444'!$T$67:$T$69,'444'!$T$71:$T$74,'444'!$T$76:$T$83,'444'!$T$85,'444'!$T$87,'444'!$T$89</definedName>
    <definedName name="OSRRefT22x_0" localSheetId="94">'450'!$T$27:$T$36,'450'!$T$38:$T$47,'450'!$T$49,'450'!$T$51:$T$52,'450'!$T$54,'450'!$T$56,'450'!$T$58,'450'!$T$60,'450'!$T$62,'450'!$T$64,'450'!$T$66,'450'!$T$68,'450'!$T$70:$T$73,'450'!$T$75:$T$77,'450'!$T$79:$T$84,'450'!$T$86,'450'!$T$88,'450'!$T$90:$T$91</definedName>
    <definedName name="OSRRefT22x_0" localSheetId="88">'455'!$T$20:$T$27,'455'!$T$29:$T$38</definedName>
    <definedName name="OSRRefT22x_0" localSheetId="75">'491'!$T$35:$T$44,'491'!$T$46:$T$55,'491'!$T$57,'491'!$T$59,'491'!$T$61,'491'!$T$63:$T$66,'491'!$T$68,'491'!$T$70,'491'!$T$72,'491'!$T$74,'491'!$T$76,'491'!$T$78:$T$79,'491'!$T$81,'491'!$T$83,'491'!$T$85,'491'!$T$87,'491'!$T$89:$T$92,'491'!$T$94:$T$97,'491'!$T$99:$T$103,'491'!$T$105:$T$106,'491'!$T$108:$T$118,'491'!$T$120:$T$121,'491'!$T$123,'491'!$T$125:$T$127,'491'!$T$129</definedName>
    <definedName name="OSRRefT22x_0" localSheetId="89">'492'!$T$30:$T$39,'492'!$T$41:$T$50,'492'!$T$52,'492'!$T$54:$T$55,'492'!$T$57,'492'!$T$59,'492'!$T$61:$T$62,'492'!$T$64,'492'!$T$66,'492'!$T$68,'492'!$T$70,'492'!$T$72,'492'!$T$74,'492'!$T$76:$T$79,'492'!$T$81:$T$84,'492'!$T$86:$T$95,'492'!$T$97,'492'!$T$99,'492'!$T$101:$T$102</definedName>
    <definedName name="OSRRefT22x_0" localSheetId="96">'501'!$T$21:$T$29,'501'!$T$31:$T$40,'501'!$T$42,'501'!$T$44,'501'!$T$46,'501'!$T$48,'501'!$T$50,'501'!$T$52,'501'!$T$54,'501'!$T$56,'501'!$T$58:$T$61,'501'!$T$63,'501'!$T$65:$T$67,'501'!$T$69,'501'!$T$71</definedName>
    <definedName name="OSRRefT22x_0" localSheetId="39">'Div 2'!$T$21:$T$31,'Div 2'!$T$33:$T$42,'Div 2'!$T$44,'Div 2'!$T$46,'Div 2'!$T$48,'Div 2'!$T$50:$T$51,'Div 2'!$T$53:$T$54,'Div 2'!$T$56,'Div 2'!$T$58,'Div 2'!$T$60,'Div 2'!$T$62,'Div 2'!$T$64,'Div 2'!$T$66:$T$68,'Div 2'!$T$70:$T$73,'Div 2'!$T$75:$T$78,'Div 2'!$T$80:$T$81,'Div 2'!$T$83:$T$84,'Div 2'!$T$86:$T$91,'Div 2'!$T$93:$T$94,'Div 2'!$T$96,'Div 2'!$T$98:$T$99</definedName>
    <definedName name="OSRRefT22x_0" localSheetId="47">'Div 3'!$T$176:$T$185,'Div 3'!$T$187:$T$196,'Div 3'!$T$198,'Div 3'!$T$200:$T$201,'Div 3'!$T$203,'Div 3'!$T$205:$T$208,'Div 3'!$T$210:$T$211,'Div 3'!$T$213:$T$214,'Div 3'!$T$216,'Div 3'!$T$218,'Div 3'!$T$220:$T$221,'Div 3'!$T$223,'Div 3'!$T$225,'Div 3'!$T$227,'Div 3'!$T$229:$T$262,'Div 3'!$T$264,'Div 3'!$T$266,'Div 3'!$T$268,'Div 3'!$T$270:$T$273,'Div 3'!$T$275:$T$278,'Div 3'!$T$280:$T$285,'Div 3'!$T$287:$T$288,'Div 3'!$T$290:$T$299,'Div 3'!$T$301:$T$302,'Div 3'!$T$304,'Div 3'!$T$306:$T$308,'Div 3'!$T$310</definedName>
    <definedName name="OSRRefT22x_0" localSheetId="73">'Div 4'!$T$36:$T$45,'Div 4'!$T$47:$T$56,'Div 4'!$T$58,'Div 4'!$T$60:$T$61,'Div 4'!$T$63,'Div 4'!$T$65:$T$68,'Div 4'!$T$70,'Div 4'!$T$72:$T$73,'Div 4'!$T$75,'Div 4'!$T$77,'Div 4'!$T$79,'Div 4'!$T$81:$T$82,'Div 4'!$T$84,'Div 4'!$T$86,'Div 4'!$T$88,'Div 4'!$T$90,'Div 4'!$T$92,'Div 4'!$T$94:$T$97,'Div 4'!$T$99:$T$102,'Div 4'!$T$104:$T$108,'Div 4'!$T$110:$T$111,'Div 4'!$T$113:$T$123,'Div 4'!$T$125:$T$126,'Div 4'!$T$128,'Div 4'!$T$130:$T$132,'Div 4'!$T$134</definedName>
    <definedName name="OSRRefT22x_0" localSheetId="95">'Div 5'!$T$21:$T$29,'Div 5'!$T$31:$T$40,'Div 5'!$T$42,'Div 5'!$T$44,'Div 5'!$T$46,'Div 5'!$T$48,'Div 5'!$T$50,'Div 5'!$T$52,'Div 5'!$T$54,'Div 5'!$T$56,'Div 5'!$T$58:$T$61,'Div 5'!$T$63,'Div 5'!$T$65:$T$67,'Div 5'!$T$69,'Div 5'!$T$71</definedName>
    <definedName name="OSRRefT22x_0" localSheetId="64">'Div 6'!$T$62:$T$71,'Div 6'!$T$73:$T$82,'Div 6'!$T$84,'Div 6'!$T$86,'Div 6'!$T$88,'Div 6'!$T$90,'Div 6'!$T$92,'Div 6'!$T$94,'Div 6'!$T$96:$T$103,'Div 6'!$T$105,'Div 6'!$T$107,'Div 6'!$T$109:$T$110,'Div 6'!$T$112:$T$113,'Div 6'!$T$115,'Div 6'!$T$117</definedName>
    <definedName name="OSRRefT22x_0" localSheetId="2">Summary!$T$210:$T$219,Summary!$T$221:$T$230,Summary!$T$232,Summary!$T$234:$T$235,Summary!$T$237,Summary!$T$239:$T$242,Summary!$T$244:$T$245,Summary!$T$247:$T$249,Summary!$T$251,Summary!$T$253,Summary!$T$255:$T$256,Summary!$T$258:$T$259,Summary!$T$261,Summary!$T$263,Summary!$T$265:$T$301,Summary!$T$303,Summary!$T$305,Summary!$T$307,Summary!$T$309:$T$312,Summary!$T$314:$T$317,Summary!$T$319:$T$324,Summary!$T$326:$T$327,Summary!$T$329:$T$339,Summary!$T$341:$T$342,Summary!$T$344,Summary!$T$346:$T$348,Summary!$T$350</definedName>
    <definedName name="OSRRefT25x_0" localSheetId="48">'300'!$T$300:$T$308</definedName>
    <definedName name="OSRRefT25x_0" localSheetId="49">'300 &amp; 317'!$T$329:$T$340</definedName>
    <definedName name="OSRRefT25x_0" localSheetId="50">'301'!$T$107:$T$110</definedName>
    <definedName name="OSRRefT25x_0" localSheetId="56">'307'!$T$150</definedName>
    <definedName name="OSRRefT25x_0" localSheetId="52">'308'!$T$134:$T$137</definedName>
    <definedName name="OSRRefT25x_0" localSheetId="74">'310 &amp; 491'!$T$143:$T$146</definedName>
    <definedName name="OSRRefT25x_0" localSheetId="53">'311'!$T$134:$T$137</definedName>
    <definedName name="OSRRefT25x_0" localSheetId="59">'315'!$T$125:$T$127</definedName>
    <definedName name="OSRRefT25x_0" localSheetId="62">'316'!$T$89:$T$90</definedName>
    <definedName name="OSRRefT25x_0" localSheetId="65">'317'!$T$120:$T$123</definedName>
    <definedName name="OSRRefT25x_0" localSheetId="63">'320'!$T$71:$T$75</definedName>
    <definedName name="OSRRefT25x_0" localSheetId="55">'330'!$T$166</definedName>
    <definedName name="OSRRefT25x_0" localSheetId="58">'331'!$T$165:$T$167</definedName>
    <definedName name="OSRRefT25x_0" localSheetId="61">'332'!$T$104:$T$110</definedName>
    <definedName name="OSRRefT25x_0" localSheetId="78">'411'!$T$99:$T$100</definedName>
    <definedName name="OSRRefT25x_0" localSheetId="81">'413'!$T$83</definedName>
    <definedName name="OSRRefT25x_0" localSheetId="83">'415'!$T$101</definedName>
    <definedName name="OSRRefT25x_0" localSheetId="85">'423'!$T$53</definedName>
    <definedName name="OSRRefT25x_0" localSheetId="86">'424'!$T$78</definedName>
    <definedName name="OSRRefT25x_0" localSheetId="87">'425'!$T$95</definedName>
    <definedName name="OSRRefT25x_0" localSheetId="88">'455'!$T$41:$T$44</definedName>
    <definedName name="OSRRefT25x_0" localSheetId="75">'491'!$T$132:$T$135</definedName>
    <definedName name="OSRRefT25x_0" localSheetId="96">'501'!$T$74</definedName>
    <definedName name="OSRRefT25x_0" localSheetId="47">'Div 3'!$T$313:$T$321</definedName>
    <definedName name="OSRRefT25x_0" localSheetId="73">'Div 4'!$T$137:$T$140</definedName>
    <definedName name="OSRRefT25x_0" localSheetId="95">'Div 5'!$T$74</definedName>
    <definedName name="OSRRefT25x_0" localSheetId="64">'Div 6'!$T$120:$T$123</definedName>
    <definedName name="OSRRefT25x_0" localSheetId="2">Summary!$T$353:$T$365</definedName>
    <definedName name="_xlnm.Print_Area" localSheetId="38">'100'!$A$1:$Z$34</definedName>
    <definedName name="_xlnm.Print_Area" localSheetId="40">'200'!$A$1:$Z$44</definedName>
    <definedName name="_xlnm.Print_Area" localSheetId="41">'201'!$A$1:$Z$92</definedName>
    <definedName name="_xlnm.Print_Area" localSheetId="42">'202'!$A$1:$Z$88</definedName>
    <definedName name="_xlnm.Print_Area" localSheetId="43">'203'!$A$1:$Z$88</definedName>
    <definedName name="_xlnm.Print_Area" localSheetId="44">'204'!$A$1:$Z$84</definedName>
    <definedName name="_xlnm.Print_Area" localSheetId="45">'205'!$A$1:$Z$72</definedName>
    <definedName name="_xlnm.Print_Area" localSheetId="46">'206'!$A$1:$Z$72</definedName>
    <definedName name="_xlnm.Print_Area" localSheetId="48">'300'!$A$1:$Z$320</definedName>
    <definedName name="_xlnm.Print_Area" localSheetId="49">'300 &amp; 317'!$A$1:$Z$352</definedName>
    <definedName name="_xlnm.Print_Area" localSheetId="50">'301'!$A$1:$Z$122</definedName>
    <definedName name="_xlnm.Print_Area" localSheetId="51">'306'!$A$1:$Z$75</definedName>
    <definedName name="_xlnm.Print_Area" localSheetId="56">'307'!$A$1:$Z$162</definedName>
    <definedName name="_xlnm.Print_Area" localSheetId="52">'308'!$A$1:$Z$149</definedName>
    <definedName name="_xlnm.Print_Area" localSheetId="67">'309'!$A$1:$Z$89</definedName>
    <definedName name="_xlnm.Print_Area" localSheetId="66">'310'!$A$1:$Z$130</definedName>
    <definedName name="_xlnm.Print_Area" localSheetId="74">'310 &amp; 491'!$A$1:$Z$158</definedName>
    <definedName name="_xlnm.Print_Area" localSheetId="53">'311'!$A$1:$Z$149</definedName>
    <definedName name="_xlnm.Print_Area" localSheetId="68">'313'!$A$1:$Z$97</definedName>
    <definedName name="_xlnm.Print_Area" localSheetId="57">'314'!$A$1:$Z$124</definedName>
    <definedName name="_xlnm.Print_Area" localSheetId="59">'315'!$A$1:$Z$139</definedName>
    <definedName name="_xlnm.Print_Area" localSheetId="62">'316'!$A$1:$Z$102</definedName>
    <definedName name="_xlnm.Print_Area" localSheetId="65">'317'!$A$1:$Z$135</definedName>
    <definedName name="_xlnm.Print_Area" localSheetId="63">'320'!$A$1:$Z$87</definedName>
    <definedName name="_xlnm.Print_Area" localSheetId="69">'321'!$A$1:$Z$92</definedName>
    <definedName name="_xlnm.Print_Area" localSheetId="70">'322'!$A$1:$Z$96</definedName>
    <definedName name="_xlnm.Print_Area" localSheetId="54">'324'!$A$1:$Z$38</definedName>
    <definedName name="_xlnm.Print_Area" localSheetId="71">'325'!$A$1:$Z$107</definedName>
    <definedName name="_xlnm.Print_Area" localSheetId="60">'326'!$A$1:$Z$152</definedName>
    <definedName name="_xlnm.Print_Area" localSheetId="72">'327'!$A$1:$Z$42</definedName>
    <definedName name="_xlnm.Print_Area" localSheetId="55">'330'!$A$1:$Z$178</definedName>
    <definedName name="_xlnm.Print_Area" localSheetId="58">'331'!$A$1:$Z$179</definedName>
    <definedName name="_xlnm.Print_Area" localSheetId="61">'332'!$A$1:$Z$122</definedName>
    <definedName name="_xlnm.Print_Area" localSheetId="76">'405'!$A$1:$Z$110</definedName>
    <definedName name="_xlnm.Print_Area" localSheetId="77">'406'!$A$1:$Z$98</definedName>
    <definedName name="_xlnm.Print_Area" localSheetId="78">'411'!$A$1:$Z$112</definedName>
    <definedName name="_xlnm.Print_Area" localSheetId="79">'412'!$A$1:$Z$101</definedName>
    <definedName name="_xlnm.Print_Area" localSheetId="81">'413'!$A$1:$Z$95</definedName>
    <definedName name="_xlnm.Print_Area" localSheetId="82">'414'!$A$1:$Z$96</definedName>
    <definedName name="_xlnm.Print_Area" localSheetId="83">'415'!$A$1:$Z$113</definedName>
    <definedName name="_xlnm.Print_Area" localSheetId="84">'418'!$A$1:$Z$108</definedName>
    <definedName name="_xlnm.Print_Area" localSheetId="80">'420'!$A$1:$Z$63</definedName>
    <definedName name="_xlnm.Print_Area" localSheetId="85">'423'!$A$1:$Z$65</definedName>
    <definedName name="_xlnm.Print_Area" localSheetId="86">'424'!$A$1:$Z$90</definedName>
    <definedName name="_xlnm.Print_Area" localSheetId="87">'425'!$A$1:$Z$107</definedName>
    <definedName name="_xlnm.Print_Area" localSheetId="90">'430'!$A$1:$Z$74</definedName>
    <definedName name="_xlnm.Print_Area" localSheetId="91">'433'!$A$1:$Z$104</definedName>
    <definedName name="_xlnm.Print_Area" localSheetId="92">'435'!$A$1:$Z$75</definedName>
    <definedName name="_xlnm.Print_Area" localSheetId="93">'444'!$A$1:$Z$103</definedName>
    <definedName name="_xlnm.Print_Area" localSheetId="94">'450'!$A$1:$Z$105</definedName>
    <definedName name="_xlnm.Print_Area" localSheetId="88">'455'!$A$1:$Z$56</definedName>
    <definedName name="_xlnm.Print_Area" localSheetId="75">'491'!$A$1:$Z$147</definedName>
    <definedName name="_xlnm.Print_Area" localSheetId="89">'492'!$A$1:$Z$116</definedName>
    <definedName name="_xlnm.Print_Area" localSheetId="96">'501'!$A$1:$Z$86</definedName>
    <definedName name="_xlnm.Print_Area" localSheetId="97">Dept!$A$1:$Z$39</definedName>
    <definedName name="_xlnm.Print_Area" localSheetId="5">'Div 1'!$A$1:$Z$34</definedName>
    <definedName name="_xlnm.Print_Area" localSheetId="39">'Div 2'!$A$1:$Z$113</definedName>
    <definedName name="_xlnm.Print_Area" localSheetId="47">'Div 3'!$A$1:$Z$333</definedName>
    <definedName name="_xlnm.Print_Area" localSheetId="73">'Div 4'!$A$1:$Z$152</definedName>
    <definedName name="_xlnm.Print_Area" localSheetId="95">'Div 5'!$A$1:$Z$86</definedName>
    <definedName name="_xlnm.Print_Area" localSheetId="64">'Div 6'!$A$1:$Z$135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Summary!$A$1:$Z$379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6">'307'!$A:$C,'307'!$1:$10</definedName>
    <definedName name="_xlnm.Print_Titles" localSheetId="52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3">'311'!$A:$C,'311'!$1:$10</definedName>
    <definedName name="_xlnm.Print_Titles" localSheetId="68">'313'!$A:$C,'313'!$1:$10</definedName>
    <definedName name="_xlnm.Print_Titles" localSheetId="57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4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5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0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4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8" i="109" l="1"/>
  <c r="X78" i="109"/>
  <c r="N78" i="109"/>
  <c r="L78" i="109"/>
  <c r="P74" i="109"/>
  <c r="X74" i="109" s="1"/>
  <c r="Z74" i="109" s="1"/>
  <c r="F74" i="109"/>
  <c r="D74" i="109"/>
  <c r="L74" i="109" s="1"/>
  <c r="N74" i="109" s="1"/>
  <c r="B74" i="109"/>
  <c r="T73" i="109"/>
  <c r="Z73" i="109" s="1"/>
  <c r="P73" i="109"/>
  <c r="X73" i="109" s="1"/>
  <c r="H73" i="109"/>
  <c r="D73" i="109"/>
  <c r="L73" i="109" s="1"/>
  <c r="X71" i="109"/>
  <c r="Z71" i="109" s="1"/>
  <c r="N71" i="109"/>
  <c r="L71" i="109"/>
  <c r="B71" i="109"/>
  <c r="T70" i="109"/>
  <c r="X70" i="109" s="1"/>
  <c r="Z70" i="109" s="1"/>
  <c r="P70" i="109"/>
  <c r="H70" i="109"/>
  <c r="N70" i="109" s="1"/>
  <c r="D70" i="109"/>
  <c r="L70" i="109" s="1"/>
  <c r="B70" i="109"/>
  <c r="X69" i="109"/>
  <c r="Z69" i="109" s="1"/>
  <c r="N69" i="109"/>
  <c r="L69" i="109"/>
  <c r="B69" i="109"/>
  <c r="X68" i="109"/>
  <c r="T68" i="109"/>
  <c r="Z68" i="109" s="1"/>
  <c r="P68" i="109"/>
  <c r="H68" i="109"/>
  <c r="D68" i="109"/>
  <c r="L68" i="109" s="1"/>
  <c r="N68" i="109" s="1"/>
  <c r="B68" i="109"/>
  <c r="Z67" i="109"/>
  <c r="X67" i="109"/>
  <c r="N67" i="109"/>
  <c r="L67" i="109"/>
  <c r="B67" i="109"/>
  <c r="Z66" i="109"/>
  <c r="X66" i="109"/>
  <c r="R66" i="109"/>
  <c r="N66" i="109"/>
  <c r="L66" i="109"/>
  <c r="B66" i="109"/>
  <c r="Z65" i="109"/>
  <c r="X65" i="109"/>
  <c r="L65" i="109"/>
  <c r="N65" i="109" s="1"/>
  <c r="B65" i="109"/>
  <c r="X64" i="109"/>
  <c r="T64" i="109"/>
  <c r="Z64" i="109" s="1"/>
  <c r="P64" i="109"/>
  <c r="J64" i="109"/>
  <c r="H64" i="109"/>
  <c r="D64" i="109"/>
  <c r="B64" i="109"/>
  <c r="X63" i="109"/>
  <c r="Z63" i="109" s="1"/>
  <c r="N63" i="109"/>
  <c r="L63" i="109"/>
  <c r="B63" i="109"/>
  <c r="Z62" i="109"/>
  <c r="X62" i="109"/>
  <c r="T62" i="109"/>
  <c r="P62" i="109"/>
  <c r="H62" i="109"/>
  <c r="N62" i="109" s="1"/>
  <c r="D62" i="109"/>
  <c r="L62" i="109" s="1"/>
  <c r="B62" i="109"/>
  <c r="Z61" i="109"/>
  <c r="X61" i="109"/>
  <c r="N61" i="109"/>
  <c r="L61" i="109"/>
  <c r="B61" i="109"/>
  <c r="Z60" i="109"/>
  <c r="X60" i="109"/>
  <c r="N60" i="109"/>
  <c r="L60" i="109"/>
  <c r="B60" i="109"/>
  <c r="X59" i="109"/>
  <c r="Z59" i="109" s="1"/>
  <c r="N59" i="109"/>
  <c r="L59" i="109"/>
  <c r="B59" i="109"/>
  <c r="Z58" i="109"/>
  <c r="X58" i="109"/>
  <c r="N58" i="109"/>
  <c r="L58" i="109"/>
  <c r="B58" i="109"/>
  <c r="T57" i="109"/>
  <c r="P57" i="109"/>
  <c r="X57" i="109" s="1"/>
  <c r="H57" i="109"/>
  <c r="F57" i="109"/>
  <c r="D57" i="109"/>
  <c r="L57" i="109" s="1"/>
  <c r="B57" i="109"/>
  <c r="X56" i="109"/>
  <c r="Z56" i="109" s="1"/>
  <c r="N56" i="109"/>
  <c r="L56" i="109"/>
  <c r="B56" i="109"/>
  <c r="X55" i="109"/>
  <c r="Z55" i="109" s="1"/>
  <c r="T55" i="109"/>
  <c r="P55" i="109"/>
  <c r="L55" i="109"/>
  <c r="H55" i="109"/>
  <c r="D55" i="109"/>
  <c r="B55" i="109"/>
  <c r="Z54" i="109"/>
  <c r="X54" i="109"/>
  <c r="N54" i="109"/>
  <c r="L54" i="109"/>
  <c r="B54" i="109"/>
  <c r="T53" i="109"/>
  <c r="P53" i="109"/>
  <c r="L53" i="109"/>
  <c r="H53" i="109"/>
  <c r="D53" i="109"/>
  <c r="B53" i="109"/>
  <c r="X52" i="109"/>
  <c r="Z52" i="109" s="1"/>
  <c r="L52" i="109"/>
  <c r="N52" i="109" s="1"/>
  <c r="B52" i="109"/>
  <c r="X51" i="109"/>
  <c r="T51" i="109"/>
  <c r="P51" i="109"/>
  <c r="H51" i="109"/>
  <c r="D51" i="109"/>
  <c r="L51" i="109" s="1"/>
  <c r="B51" i="109"/>
  <c r="Z50" i="109"/>
  <c r="X50" i="109"/>
  <c r="R50" i="109"/>
  <c r="N50" i="109"/>
  <c r="L50" i="109"/>
  <c r="B50" i="109"/>
  <c r="X49" i="109"/>
  <c r="T49" i="109"/>
  <c r="P49" i="109"/>
  <c r="H49" i="109"/>
  <c r="D49" i="109"/>
  <c r="L49" i="109" s="1"/>
  <c r="N49" i="109" s="1"/>
  <c r="B49" i="109"/>
  <c r="Z48" i="109"/>
  <c r="X48" i="109"/>
  <c r="N48" i="109"/>
  <c r="L48" i="109"/>
  <c r="B48" i="109"/>
  <c r="T47" i="109"/>
  <c r="P47" i="109"/>
  <c r="X47" i="109" s="1"/>
  <c r="L47" i="109"/>
  <c r="H47" i="109"/>
  <c r="D47" i="109"/>
  <c r="B47" i="109"/>
  <c r="Z46" i="109"/>
  <c r="X46" i="109"/>
  <c r="N46" i="109"/>
  <c r="L46" i="109"/>
  <c r="B46" i="109"/>
  <c r="T45" i="109"/>
  <c r="P45" i="109"/>
  <c r="X45" i="109" s="1"/>
  <c r="L45" i="109"/>
  <c r="H45" i="109"/>
  <c r="D45" i="109"/>
  <c r="B45" i="109"/>
  <c r="Z44" i="109"/>
  <c r="X44" i="109"/>
  <c r="R44" i="109"/>
  <c r="N44" i="109"/>
  <c r="L44" i="109"/>
  <c r="J44" i="109"/>
  <c r="B44" i="109"/>
  <c r="T43" i="109"/>
  <c r="P43" i="109"/>
  <c r="X43" i="109" s="1"/>
  <c r="Z43" i="109" s="1"/>
  <c r="H43" i="109"/>
  <c r="D43" i="109"/>
  <c r="L43" i="109" s="1"/>
  <c r="B43" i="109"/>
  <c r="Z42" i="109"/>
  <c r="X42" i="109"/>
  <c r="N42" i="109"/>
  <c r="L42" i="109"/>
  <c r="B42" i="109"/>
  <c r="T41" i="109"/>
  <c r="P41" i="109"/>
  <c r="J41" i="109"/>
  <c r="H41" i="109"/>
  <c r="D41" i="109"/>
  <c r="L41" i="109" s="1"/>
  <c r="B41" i="109"/>
  <c r="Z40" i="109"/>
  <c r="X40" i="109"/>
  <c r="N40" i="109"/>
  <c r="L40" i="109"/>
  <c r="B40" i="109"/>
  <c r="Z39" i="109"/>
  <c r="X39" i="109"/>
  <c r="R39" i="109"/>
  <c r="N39" i="109"/>
  <c r="L39" i="109"/>
  <c r="B39" i="109"/>
  <c r="Z38" i="109"/>
  <c r="X38" i="109"/>
  <c r="N38" i="109"/>
  <c r="L38" i="109"/>
  <c r="F38" i="109"/>
  <c r="B38" i="109"/>
  <c r="X37" i="109"/>
  <c r="Z37" i="109" s="1"/>
  <c r="R37" i="109"/>
  <c r="N37" i="109"/>
  <c r="L37" i="109"/>
  <c r="B37" i="109"/>
  <c r="Z36" i="109"/>
  <c r="X36" i="109"/>
  <c r="N36" i="109"/>
  <c r="L36" i="109"/>
  <c r="F36" i="109"/>
  <c r="B36" i="109"/>
  <c r="Z35" i="109"/>
  <c r="X35" i="109"/>
  <c r="N35" i="109"/>
  <c r="L35" i="109"/>
  <c r="B35" i="109"/>
  <c r="X34" i="109"/>
  <c r="Z34" i="109" s="1"/>
  <c r="N34" i="109"/>
  <c r="L34" i="109"/>
  <c r="B34" i="109"/>
  <c r="Z33" i="109"/>
  <c r="X33" i="109"/>
  <c r="N33" i="109"/>
  <c r="L33" i="109"/>
  <c r="B33" i="109"/>
  <c r="X32" i="109"/>
  <c r="Z32" i="109" s="1"/>
  <c r="L32" i="109"/>
  <c r="N32" i="109" s="1"/>
  <c r="B32" i="109"/>
  <c r="Z31" i="109"/>
  <c r="X31" i="109"/>
  <c r="N31" i="109"/>
  <c r="L31" i="109"/>
  <c r="B31" i="109"/>
  <c r="Z30" i="109"/>
  <c r="X30" i="109"/>
  <c r="T30" i="109"/>
  <c r="P30" i="109"/>
  <c r="L30" i="109"/>
  <c r="N30" i="109" s="1"/>
  <c r="H30" i="109"/>
  <c r="D30" i="109"/>
  <c r="B30" i="109"/>
  <c r="Z29" i="109"/>
  <c r="X29" i="109"/>
  <c r="R29" i="109"/>
  <c r="L29" i="109"/>
  <c r="N29" i="109" s="1"/>
  <c r="B29" i="109"/>
  <c r="X28" i="109"/>
  <c r="Z28" i="109" s="1"/>
  <c r="R28" i="109"/>
  <c r="N28" i="109"/>
  <c r="L28" i="109"/>
  <c r="J28" i="109"/>
  <c r="B28" i="109"/>
  <c r="Z27" i="109"/>
  <c r="X27" i="109"/>
  <c r="L27" i="109"/>
  <c r="N27" i="109" s="1"/>
  <c r="B27" i="109"/>
  <c r="Z26" i="109"/>
  <c r="X26" i="109"/>
  <c r="R26" i="109"/>
  <c r="N26" i="109"/>
  <c r="L26" i="109"/>
  <c r="B26" i="109"/>
  <c r="X25" i="109"/>
  <c r="Z25" i="109" s="1"/>
  <c r="L25" i="109"/>
  <c r="N25" i="109" s="1"/>
  <c r="B25" i="109"/>
  <c r="X24" i="109"/>
  <c r="Z24" i="109" s="1"/>
  <c r="R24" i="109"/>
  <c r="N24" i="109"/>
  <c r="L24" i="109"/>
  <c r="B24" i="109"/>
  <c r="Z23" i="109"/>
  <c r="X23" i="109"/>
  <c r="L23" i="109"/>
  <c r="N23" i="109" s="1"/>
  <c r="B23" i="109"/>
  <c r="Z22" i="109"/>
  <c r="X22" i="109"/>
  <c r="R22" i="109"/>
  <c r="N22" i="109"/>
  <c r="L22" i="109"/>
  <c r="B22" i="109"/>
  <c r="X21" i="109"/>
  <c r="Z21" i="109" s="1"/>
  <c r="L21" i="109"/>
  <c r="N21" i="109" s="1"/>
  <c r="B21" i="109"/>
  <c r="T20" i="109"/>
  <c r="P20" i="109"/>
  <c r="H20" i="109"/>
  <c r="L20" i="109" s="1"/>
  <c r="N20" i="109" s="1"/>
  <c r="D20" i="109"/>
  <c r="B20" i="109"/>
  <c r="X19" i="109"/>
  <c r="T19" i="109"/>
  <c r="P19" i="109"/>
  <c r="H19" i="109"/>
  <c r="D19" i="109"/>
  <c r="P17" i="109"/>
  <c r="T15" i="109"/>
  <c r="Z15" i="109" s="1"/>
  <c r="P15" i="109"/>
  <c r="X15" i="109" s="1"/>
  <c r="N15" i="109"/>
  <c r="J15" i="109"/>
  <c r="H15" i="109"/>
  <c r="D15" i="109"/>
  <c r="L15" i="109" s="1"/>
  <c r="X13" i="109"/>
  <c r="Z13" i="109" s="1"/>
  <c r="P13" i="109"/>
  <c r="P12" i="109" s="1"/>
  <c r="R25" i="109" s="1"/>
  <c r="N13" i="109"/>
  <c r="D13" i="109"/>
  <c r="L13" i="109" s="1"/>
  <c r="B13" i="109"/>
  <c r="T12" i="109"/>
  <c r="V34" i="109" s="1"/>
  <c r="H12" i="109"/>
  <c r="J47" i="109" s="1"/>
  <c r="D12" i="109"/>
  <c r="D6" i="109"/>
  <c r="D4" i="109"/>
  <c r="J53" i="108"/>
  <c r="F53" i="108"/>
  <c r="Z48" i="108"/>
  <c r="X48" i="108"/>
  <c r="V48" i="108"/>
  <c r="N48" i="108"/>
  <c r="L48" i="108"/>
  <c r="V46" i="108"/>
  <c r="J46" i="108"/>
  <c r="F46" i="108"/>
  <c r="Z44" i="108"/>
  <c r="X44" i="108"/>
  <c r="P44" i="108"/>
  <c r="N44" i="108"/>
  <c r="F44" i="108"/>
  <c r="D44" i="108"/>
  <c r="L44" i="108" s="1"/>
  <c r="B44" i="108"/>
  <c r="Z43" i="108"/>
  <c r="X43" i="108"/>
  <c r="P43" i="108"/>
  <c r="N43" i="108"/>
  <c r="D43" i="108"/>
  <c r="L43" i="108" s="1"/>
  <c r="B43" i="108"/>
  <c r="Z42" i="108"/>
  <c r="V42" i="108"/>
  <c r="P42" i="108"/>
  <c r="X42" i="108" s="1"/>
  <c r="D42" i="108"/>
  <c r="L42" i="108" s="1"/>
  <c r="N42" i="108" s="1"/>
  <c r="B42" i="108"/>
  <c r="X41" i="108"/>
  <c r="Z41" i="108" s="1"/>
  <c r="P41" i="108"/>
  <c r="P40" i="108" s="1"/>
  <c r="X40" i="108" s="1"/>
  <c r="Z40" i="108" s="1"/>
  <c r="N41" i="108"/>
  <c r="D41" i="108"/>
  <c r="L41" i="108" s="1"/>
  <c r="B41" i="108"/>
  <c r="T40" i="108"/>
  <c r="R40" i="108"/>
  <c r="H40" i="108"/>
  <c r="Z38" i="108"/>
  <c r="X38" i="108"/>
  <c r="V38" i="108"/>
  <c r="N38" i="108"/>
  <c r="L38" i="108"/>
  <c r="F38" i="108"/>
  <c r="B38" i="108"/>
  <c r="Z37" i="108"/>
  <c r="X37" i="108"/>
  <c r="N37" i="108"/>
  <c r="L37" i="108"/>
  <c r="B37" i="108"/>
  <c r="Z36" i="108"/>
  <c r="X36" i="108"/>
  <c r="V36" i="108"/>
  <c r="N36" i="108"/>
  <c r="L36" i="108"/>
  <c r="B36" i="108"/>
  <c r="Z35" i="108"/>
  <c r="X35" i="108"/>
  <c r="V35" i="108"/>
  <c r="N35" i="108"/>
  <c r="L35" i="108"/>
  <c r="B35" i="108"/>
  <c r="Z34" i="108"/>
  <c r="X34" i="108"/>
  <c r="V34" i="108"/>
  <c r="N34" i="108"/>
  <c r="L34" i="108"/>
  <c r="F34" i="108"/>
  <c r="B34" i="108"/>
  <c r="Z33" i="108"/>
  <c r="X33" i="108"/>
  <c r="N33" i="108"/>
  <c r="L33" i="108"/>
  <c r="F33" i="108"/>
  <c r="B33" i="108"/>
  <c r="Z32" i="108"/>
  <c r="X32" i="108"/>
  <c r="V32" i="108"/>
  <c r="N32" i="108"/>
  <c r="L32" i="108"/>
  <c r="B32" i="108"/>
  <c r="Z31" i="108"/>
  <c r="X31" i="108"/>
  <c r="V31" i="108"/>
  <c r="N31" i="108"/>
  <c r="L31" i="108"/>
  <c r="B31" i="108"/>
  <c r="Z30" i="108"/>
  <c r="X30" i="108"/>
  <c r="V30" i="108"/>
  <c r="N30" i="108"/>
  <c r="L30" i="108"/>
  <c r="F30" i="108"/>
  <c r="B30" i="108"/>
  <c r="Z29" i="108"/>
  <c r="X29" i="108"/>
  <c r="L29" i="108"/>
  <c r="N29" i="108" s="1"/>
  <c r="F29" i="108"/>
  <c r="B29" i="108"/>
  <c r="X28" i="108"/>
  <c r="V28" i="108"/>
  <c r="T28" i="108"/>
  <c r="P28" i="108"/>
  <c r="H28" i="108"/>
  <c r="F28" i="108"/>
  <c r="D28" i="108"/>
  <c r="L28" i="108" s="1"/>
  <c r="N28" i="108" s="1"/>
  <c r="B28" i="108"/>
  <c r="Z27" i="108"/>
  <c r="X27" i="108"/>
  <c r="V27" i="108"/>
  <c r="N27" i="108"/>
  <c r="L27" i="108"/>
  <c r="F27" i="108"/>
  <c r="B27" i="108"/>
  <c r="X26" i="108"/>
  <c r="Z26" i="108" s="1"/>
  <c r="V26" i="108"/>
  <c r="R26" i="108"/>
  <c r="N26" i="108"/>
  <c r="L26" i="108"/>
  <c r="B26" i="108"/>
  <c r="Z25" i="108"/>
  <c r="X25" i="108"/>
  <c r="N25" i="108"/>
  <c r="L25" i="108"/>
  <c r="J25" i="108"/>
  <c r="F25" i="108"/>
  <c r="B25" i="108"/>
  <c r="X24" i="108"/>
  <c r="Z24" i="108" s="1"/>
  <c r="N24" i="108"/>
  <c r="L24" i="108"/>
  <c r="F24" i="108"/>
  <c r="B24" i="108"/>
  <c r="Z23" i="108"/>
  <c r="X23" i="108"/>
  <c r="V23" i="108"/>
  <c r="N23" i="108"/>
  <c r="L23" i="108"/>
  <c r="F23" i="108"/>
  <c r="B23" i="108"/>
  <c r="Z22" i="108"/>
  <c r="X22" i="108"/>
  <c r="V22" i="108"/>
  <c r="R22" i="108"/>
  <c r="N22" i="108"/>
  <c r="L22" i="108"/>
  <c r="B22" i="108"/>
  <c r="Z21" i="108"/>
  <c r="X21" i="108"/>
  <c r="N21" i="108"/>
  <c r="L21" i="108"/>
  <c r="J21" i="108"/>
  <c r="F21" i="108"/>
  <c r="B21" i="108"/>
  <c r="X20" i="108"/>
  <c r="Z20" i="108" s="1"/>
  <c r="V20" i="108"/>
  <c r="N20" i="108"/>
  <c r="L20" i="108"/>
  <c r="F20" i="108"/>
  <c r="B20" i="108"/>
  <c r="Z19" i="108"/>
  <c r="X19" i="108"/>
  <c r="V19" i="108"/>
  <c r="T19" i="108"/>
  <c r="P19" i="108"/>
  <c r="H19" i="108"/>
  <c r="F19" i="108"/>
  <c r="D19" i="108"/>
  <c r="L19" i="108" s="1"/>
  <c r="B19" i="108"/>
  <c r="Z18" i="108"/>
  <c r="X18" i="108"/>
  <c r="T18" i="108"/>
  <c r="P18" i="108"/>
  <c r="H18" i="108"/>
  <c r="F18" i="108"/>
  <c r="D18" i="108"/>
  <c r="F16" i="108"/>
  <c r="Z14" i="108"/>
  <c r="X14" i="108"/>
  <c r="T14" i="108"/>
  <c r="T16" i="108" s="1"/>
  <c r="P14" i="108"/>
  <c r="H14" i="108"/>
  <c r="F14" i="108"/>
  <c r="D14" i="108"/>
  <c r="D16" i="108" s="1"/>
  <c r="Z12" i="108"/>
  <c r="X12" i="108"/>
  <c r="T12" i="108"/>
  <c r="V41" i="108" s="1"/>
  <c r="P12" i="108"/>
  <c r="R44" i="108" s="1"/>
  <c r="H12" i="108"/>
  <c r="J41" i="108" s="1"/>
  <c r="D12" i="108"/>
  <c r="F48" i="108" s="1"/>
  <c r="D6" i="108"/>
  <c r="D4" i="108"/>
  <c r="X97" i="107"/>
  <c r="Z97" i="107" s="1"/>
  <c r="L97" i="107"/>
  <c r="N97" i="107" s="1"/>
  <c r="T93" i="107"/>
  <c r="Z93" i="107" s="1"/>
  <c r="P93" i="107"/>
  <c r="X93" i="107" s="1"/>
  <c r="N93" i="107"/>
  <c r="L93" i="107"/>
  <c r="H93" i="107"/>
  <c r="D93" i="107"/>
  <c r="Z91" i="107"/>
  <c r="X91" i="107"/>
  <c r="L91" i="107"/>
  <c r="N91" i="107" s="1"/>
  <c r="B91" i="107"/>
  <c r="Z90" i="107"/>
  <c r="X90" i="107"/>
  <c r="N90" i="107"/>
  <c r="L90" i="107"/>
  <c r="B90" i="107"/>
  <c r="Z89" i="107"/>
  <c r="X89" i="107"/>
  <c r="T89" i="107"/>
  <c r="P89" i="107"/>
  <c r="H89" i="107"/>
  <c r="D89" i="107"/>
  <c r="L89" i="107" s="1"/>
  <c r="B89" i="107"/>
  <c r="Z88" i="107"/>
  <c r="X88" i="107"/>
  <c r="L88" i="107"/>
  <c r="N88" i="107" s="1"/>
  <c r="B88" i="107"/>
  <c r="X87" i="107"/>
  <c r="T87" i="107"/>
  <c r="Z87" i="107" s="1"/>
  <c r="P87" i="107"/>
  <c r="H87" i="107"/>
  <c r="N87" i="107" s="1"/>
  <c r="D87" i="107"/>
  <c r="L87" i="107" s="1"/>
  <c r="B87" i="107"/>
  <c r="Z86" i="107"/>
  <c r="X86" i="107"/>
  <c r="N86" i="107"/>
  <c r="L86" i="107"/>
  <c r="B86" i="107"/>
  <c r="T85" i="107"/>
  <c r="P85" i="107"/>
  <c r="L85" i="107"/>
  <c r="H85" i="107"/>
  <c r="N85" i="107" s="1"/>
  <c r="D85" i="107"/>
  <c r="B85" i="107"/>
  <c r="Z84" i="107"/>
  <c r="X84" i="107"/>
  <c r="N84" i="107"/>
  <c r="L84" i="107"/>
  <c r="B84" i="107"/>
  <c r="Z83" i="107"/>
  <c r="X83" i="107"/>
  <c r="N83" i="107"/>
  <c r="L83" i="107"/>
  <c r="B83" i="107"/>
  <c r="Z82" i="107"/>
  <c r="X82" i="107"/>
  <c r="L82" i="107"/>
  <c r="N82" i="107" s="1"/>
  <c r="B82" i="107"/>
  <c r="Z81" i="107"/>
  <c r="X81" i="107"/>
  <c r="L81" i="107"/>
  <c r="N81" i="107" s="1"/>
  <c r="B81" i="107"/>
  <c r="Z80" i="107"/>
  <c r="X80" i="107"/>
  <c r="N80" i="107"/>
  <c r="L80" i="107"/>
  <c r="B80" i="107"/>
  <c r="Z79" i="107"/>
  <c r="X79" i="107"/>
  <c r="L79" i="107"/>
  <c r="N79" i="107" s="1"/>
  <c r="B79" i="107"/>
  <c r="T78" i="107"/>
  <c r="P78" i="107"/>
  <c r="X78" i="107" s="1"/>
  <c r="H78" i="107"/>
  <c r="L78" i="107" s="1"/>
  <c r="N78" i="107" s="1"/>
  <c r="D78" i="107"/>
  <c r="B78" i="107"/>
  <c r="X77" i="107"/>
  <c r="Z77" i="107" s="1"/>
  <c r="L77" i="107"/>
  <c r="N77" i="107" s="1"/>
  <c r="B77" i="107"/>
  <c r="Z76" i="107"/>
  <c r="X76" i="107"/>
  <c r="L76" i="107"/>
  <c r="N76" i="107" s="1"/>
  <c r="B76" i="107"/>
  <c r="X75" i="107"/>
  <c r="Z75" i="107" s="1"/>
  <c r="L75" i="107"/>
  <c r="N75" i="107" s="1"/>
  <c r="B75" i="107"/>
  <c r="T74" i="107"/>
  <c r="P74" i="107"/>
  <c r="X74" i="107" s="1"/>
  <c r="H74" i="107"/>
  <c r="D74" i="107"/>
  <c r="L74" i="107" s="1"/>
  <c r="N74" i="107" s="1"/>
  <c r="B74" i="107"/>
  <c r="Z73" i="107"/>
  <c r="X73" i="107"/>
  <c r="N73" i="107"/>
  <c r="L73" i="107"/>
  <c r="B73" i="107"/>
  <c r="Z72" i="107"/>
  <c r="X72" i="107"/>
  <c r="N72" i="107"/>
  <c r="L72" i="107"/>
  <c r="J72" i="107"/>
  <c r="B72" i="107"/>
  <c r="X71" i="107"/>
  <c r="Z71" i="107" s="1"/>
  <c r="N71" i="107"/>
  <c r="L71" i="107"/>
  <c r="B71" i="107"/>
  <c r="Z70" i="107"/>
  <c r="X70" i="107"/>
  <c r="N70" i="107"/>
  <c r="L70" i="107"/>
  <c r="B70" i="107"/>
  <c r="X69" i="107"/>
  <c r="T69" i="107"/>
  <c r="P69" i="107"/>
  <c r="L69" i="107"/>
  <c r="H69" i="107"/>
  <c r="N69" i="107" s="1"/>
  <c r="D69" i="107"/>
  <c r="B69" i="107"/>
  <c r="Z68" i="107"/>
  <c r="X68" i="107"/>
  <c r="N68" i="107"/>
  <c r="L68" i="107"/>
  <c r="B68" i="107"/>
  <c r="T67" i="107"/>
  <c r="P67" i="107"/>
  <c r="X67" i="107" s="1"/>
  <c r="N67" i="107"/>
  <c r="L67" i="107"/>
  <c r="H67" i="107"/>
  <c r="D67" i="107"/>
  <c r="B67" i="107"/>
  <c r="X66" i="107"/>
  <c r="Z66" i="107" s="1"/>
  <c r="N66" i="107"/>
  <c r="L66" i="107"/>
  <c r="B66" i="107"/>
  <c r="T65" i="107"/>
  <c r="P65" i="107"/>
  <c r="X65" i="107" s="1"/>
  <c r="L65" i="107"/>
  <c r="N65" i="107" s="1"/>
  <c r="H65" i="107"/>
  <c r="D65" i="107"/>
  <c r="B65" i="107"/>
  <c r="X64" i="107"/>
  <c r="Z64" i="107" s="1"/>
  <c r="N64" i="107"/>
  <c r="L64" i="107"/>
  <c r="B64" i="107"/>
  <c r="X63" i="107"/>
  <c r="T63" i="107"/>
  <c r="Z63" i="107" s="1"/>
  <c r="P63" i="107"/>
  <c r="H63" i="107"/>
  <c r="D63" i="107"/>
  <c r="B63" i="107"/>
  <c r="Z62" i="107"/>
  <c r="X62" i="107"/>
  <c r="N62" i="107"/>
  <c r="L62" i="107"/>
  <c r="B62" i="107"/>
  <c r="Z61" i="107"/>
  <c r="X61" i="107"/>
  <c r="T61" i="107"/>
  <c r="P61" i="107"/>
  <c r="H61" i="107"/>
  <c r="N61" i="107" s="1"/>
  <c r="D61" i="107"/>
  <c r="B61" i="107"/>
  <c r="Z60" i="107"/>
  <c r="X60" i="107"/>
  <c r="N60" i="107"/>
  <c r="L60" i="107"/>
  <c r="B60" i="107"/>
  <c r="X59" i="107"/>
  <c r="Z59" i="107" s="1"/>
  <c r="T59" i="107"/>
  <c r="P59" i="107"/>
  <c r="H59" i="107"/>
  <c r="N59" i="107" s="1"/>
  <c r="D59" i="107"/>
  <c r="L59" i="107" s="1"/>
  <c r="B59" i="107"/>
  <c r="Z58" i="107"/>
  <c r="X58" i="107"/>
  <c r="N58" i="107"/>
  <c r="L58" i="107"/>
  <c r="B58" i="107"/>
  <c r="X57" i="107"/>
  <c r="T57" i="107"/>
  <c r="P57" i="107"/>
  <c r="L57" i="107"/>
  <c r="H57" i="107"/>
  <c r="N57" i="107" s="1"/>
  <c r="D57" i="107"/>
  <c r="B57" i="107"/>
  <c r="Z56" i="107"/>
  <c r="X56" i="107"/>
  <c r="N56" i="107"/>
  <c r="L56" i="107"/>
  <c r="B56" i="107"/>
  <c r="T55" i="107"/>
  <c r="Z55" i="107" s="1"/>
  <c r="P55" i="107"/>
  <c r="X55" i="107" s="1"/>
  <c r="N55" i="107"/>
  <c r="L55" i="107"/>
  <c r="H55" i="107"/>
  <c r="D55" i="107"/>
  <c r="B55" i="107"/>
  <c r="X54" i="107"/>
  <c r="Z54" i="107" s="1"/>
  <c r="N54" i="107"/>
  <c r="L54" i="107"/>
  <c r="B54" i="107"/>
  <c r="T53" i="107"/>
  <c r="P53" i="107"/>
  <c r="X53" i="107" s="1"/>
  <c r="L53" i="107"/>
  <c r="N53" i="107" s="1"/>
  <c r="H53" i="107"/>
  <c r="D53" i="107"/>
  <c r="B53" i="107"/>
  <c r="X52" i="107"/>
  <c r="Z52" i="107" s="1"/>
  <c r="N52" i="107"/>
  <c r="L52" i="107"/>
  <c r="B52" i="107"/>
  <c r="X51" i="107"/>
  <c r="Z51" i="107" s="1"/>
  <c r="N51" i="107"/>
  <c r="L51" i="107"/>
  <c r="B51" i="107"/>
  <c r="Z50" i="107"/>
  <c r="X50" i="107"/>
  <c r="T50" i="107"/>
  <c r="P50" i="107"/>
  <c r="H50" i="107"/>
  <c r="D50" i="107"/>
  <c r="L50" i="107" s="1"/>
  <c r="N50" i="107" s="1"/>
  <c r="B50" i="107"/>
  <c r="X49" i="107"/>
  <c r="Z49" i="107" s="1"/>
  <c r="L49" i="107"/>
  <c r="N49" i="107" s="1"/>
  <c r="B49" i="107"/>
  <c r="Z48" i="107"/>
  <c r="X48" i="107"/>
  <c r="T48" i="107"/>
  <c r="P48" i="107"/>
  <c r="H48" i="107"/>
  <c r="D48" i="107"/>
  <c r="L48" i="107" s="1"/>
  <c r="B48" i="107"/>
  <c r="Z47" i="107"/>
  <c r="X47" i="107"/>
  <c r="N47" i="107"/>
  <c r="L47" i="107"/>
  <c r="B47" i="107"/>
  <c r="Z46" i="107"/>
  <c r="X46" i="107"/>
  <c r="N46" i="107"/>
  <c r="L46" i="107"/>
  <c r="B46" i="107"/>
  <c r="X45" i="107"/>
  <c r="Z45" i="107" s="1"/>
  <c r="N45" i="107"/>
  <c r="L45" i="107"/>
  <c r="B45" i="107"/>
  <c r="Z44" i="107"/>
  <c r="X44" i="107"/>
  <c r="N44" i="107"/>
  <c r="L44" i="107"/>
  <c r="B44" i="107"/>
  <c r="Z43" i="107"/>
  <c r="X43" i="107"/>
  <c r="N43" i="107"/>
  <c r="L43" i="107"/>
  <c r="B43" i="107"/>
  <c r="X42" i="107"/>
  <c r="Z42" i="107" s="1"/>
  <c r="N42" i="107"/>
  <c r="L42" i="107"/>
  <c r="B42" i="107"/>
  <c r="X41" i="107"/>
  <c r="Z41" i="107" s="1"/>
  <c r="L41" i="107"/>
  <c r="N41" i="107" s="1"/>
  <c r="B41" i="107"/>
  <c r="Z40" i="107"/>
  <c r="X40" i="107"/>
  <c r="N40" i="107"/>
  <c r="L40" i="107"/>
  <c r="B40" i="107"/>
  <c r="X39" i="107"/>
  <c r="Z39" i="107" s="1"/>
  <c r="L39" i="107"/>
  <c r="N39" i="107" s="1"/>
  <c r="B39" i="107"/>
  <c r="Z38" i="107"/>
  <c r="X38" i="107"/>
  <c r="V38" i="107"/>
  <c r="N38" i="107"/>
  <c r="L38" i="107"/>
  <c r="B38" i="107"/>
  <c r="T37" i="107"/>
  <c r="P37" i="107"/>
  <c r="X37" i="107" s="1"/>
  <c r="N37" i="107"/>
  <c r="L37" i="107"/>
  <c r="H37" i="107"/>
  <c r="D37" i="107"/>
  <c r="B37" i="107"/>
  <c r="Z36" i="107"/>
  <c r="X36" i="107"/>
  <c r="N36" i="107"/>
  <c r="L36" i="107"/>
  <c r="B36" i="107"/>
  <c r="X35" i="107"/>
  <c r="Z35" i="107" s="1"/>
  <c r="N35" i="107"/>
  <c r="L35" i="107"/>
  <c r="B35" i="107"/>
  <c r="Z34" i="107"/>
  <c r="X34" i="107"/>
  <c r="N34" i="107"/>
  <c r="L34" i="107"/>
  <c r="B34" i="107"/>
  <c r="Z33" i="107"/>
  <c r="X33" i="107"/>
  <c r="V33" i="107"/>
  <c r="R33" i="107"/>
  <c r="N33" i="107"/>
  <c r="L33" i="107"/>
  <c r="B33" i="107"/>
  <c r="Z32" i="107"/>
  <c r="X32" i="107"/>
  <c r="N32" i="107"/>
  <c r="L32" i="107"/>
  <c r="B32" i="107"/>
  <c r="X31" i="107"/>
  <c r="Z31" i="107" s="1"/>
  <c r="N31" i="107"/>
  <c r="L31" i="107"/>
  <c r="B31" i="107"/>
  <c r="X30" i="107"/>
  <c r="Z30" i="107" s="1"/>
  <c r="N30" i="107"/>
  <c r="L30" i="107"/>
  <c r="B30" i="107"/>
  <c r="X29" i="107"/>
  <c r="Z29" i="107" s="1"/>
  <c r="V29" i="107"/>
  <c r="N29" i="107"/>
  <c r="L29" i="107"/>
  <c r="B29" i="107"/>
  <c r="X28" i="107"/>
  <c r="Z28" i="107" s="1"/>
  <c r="L28" i="107"/>
  <c r="N28" i="107" s="1"/>
  <c r="B28" i="107"/>
  <c r="X27" i="107"/>
  <c r="Z27" i="107" s="1"/>
  <c r="N27" i="107"/>
  <c r="L27" i="107"/>
  <c r="B27" i="107"/>
  <c r="Z26" i="107"/>
  <c r="X26" i="107"/>
  <c r="T26" i="107"/>
  <c r="P26" i="107"/>
  <c r="L26" i="107"/>
  <c r="H26" i="107"/>
  <c r="N26" i="107" s="1"/>
  <c r="D26" i="107"/>
  <c r="B26" i="107"/>
  <c r="X25" i="107"/>
  <c r="Z25" i="107" s="1"/>
  <c r="T25" i="107"/>
  <c r="P25" i="107"/>
  <c r="H25" i="107"/>
  <c r="N25" i="107" s="1"/>
  <c r="D25" i="107"/>
  <c r="L25" i="107" s="1"/>
  <c r="Z21" i="107"/>
  <c r="X21" i="107"/>
  <c r="R21" i="107"/>
  <c r="N21" i="107"/>
  <c r="L21" i="107"/>
  <c r="B21" i="107"/>
  <c r="Z20" i="107"/>
  <c r="X20" i="107"/>
  <c r="V20" i="107"/>
  <c r="N20" i="107"/>
  <c r="L20" i="107"/>
  <c r="B20" i="107"/>
  <c r="Z19" i="107"/>
  <c r="X19" i="107"/>
  <c r="V19" i="107"/>
  <c r="N19" i="107"/>
  <c r="L19" i="107"/>
  <c r="B19" i="107"/>
  <c r="T18" i="107"/>
  <c r="T23" i="107" s="1"/>
  <c r="P18" i="107"/>
  <c r="X18" i="107" s="1"/>
  <c r="N18" i="107"/>
  <c r="L18" i="107"/>
  <c r="H18" i="107"/>
  <c r="D18" i="107"/>
  <c r="Z16" i="107"/>
  <c r="P16" i="107"/>
  <c r="X16" i="107" s="1"/>
  <c r="N16" i="107"/>
  <c r="D16" i="107"/>
  <c r="L16" i="107" s="1"/>
  <c r="B16" i="107"/>
  <c r="Z15" i="107"/>
  <c r="X15" i="107"/>
  <c r="P15" i="107"/>
  <c r="N15" i="107"/>
  <c r="D15" i="107"/>
  <c r="L15" i="107" s="1"/>
  <c r="B15" i="107"/>
  <c r="Z14" i="107"/>
  <c r="X14" i="107"/>
  <c r="P14" i="107"/>
  <c r="N14" i="107"/>
  <c r="D14" i="107"/>
  <c r="L14" i="107" s="1"/>
  <c r="B14" i="107"/>
  <c r="Z13" i="107"/>
  <c r="X13" i="107"/>
  <c r="P13" i="107"/>
  <c r="N13" i="107"/>
  <c r="D13" i="107"/>
  <c r="B13" i="107"/>
  <c r="T12" i="107"/>
  <c r="V68" i="107" s="1"/>
  <c r="P12" i="107"/>
  <c r="R79" i="107" s="1"/>
  <c r="H12" i="107"/>
  <c r="D6" i="107"/>
  <c r="D4" i="107"/>
  <c r="Z95" i="105"/>
  <c r="X95" i="105"/>
  <c r="L95" i="105"/>
  <c r="N95" i="105" s="1"/>
  <c r="J95" i="105"/>
  <c r="Z91" i="105"/>
  <c r="X91" i="105"/>
  <c r="T91" i="105"/>
  <c r="P91" i="105"/>
  <c r="H91" i="105"/>
  <c r="N91" i="105" s="1"/>
  <c r="D91" i="105"/>
  <c r="L91" i="105" s="1"/>
  <c r="Z89" i="105"/>
  <c r="X89" i="105"/>
  <c r="N89" i="105"/>
  <c r="L89" i="105"/>
  <c r="B89" i="105"/>
  <c r="Z88" i="105"/>
  <c r="X88" i="105"/>
  <c r="V88" i="105"/>
  <c r="T88" i="105"/>
  <c r="P88" i="105"/>
  <c r="N88" i="105"/>
  <c r="H88" i="105"/>
  <c r="D88" i="105"/>
  <c r="L88" i="105" s="1"/>
  <c r="B88" i="105"/>
  <c r="X87" i="105"/>
  <c r="Z87" i="105" s="1"/>
  <c r="L87" i="105"/>
  <c r="N87" i="105" s="1"/>
  <c r="B87" i="105"/>
  <c r="T86" i="105"/>
  <c r="P86" i="105"/>
  <c r="H86" i="105"/>
  <c r="D86" i="105"/>
  <c r="L86" i="105" s="1"/>
  <c r="N86" i="105" s="1"/>
  <c r="B86" i="105"/>
  <c r="X85" i="105"/>
  <c r="Z85" i="105" s="1"/>
  <c r="V85" i="105"/>
  <c r="L85" i="105"/>
  <c r="N85" i="105" s="1"/>
  <c r="B85" i="105"/>
  <c r="T84" i="105"/>
  <c r="P84" i="105"/>
  <c r="X84" i="105" s="1"/>
  <c r="N84" i="105"/>
  <c r="L84" i="105"/>
  <c r="H84" i="105"/>
  <c r="D84" i="105"/>
  <c r="B84" i="105"/>
  <c r="Z83" i="105"/>
  <c r="X83" i="105"/>
  <c r="L83" i="105"/>
  <c r="N83" i="105" s="1"/>
  <c r="B83" i="105"/>
  <c r="Z82" i="105"/>
  <c r="X82" i="105"/>
  <c r="N82" i="105"/>
  <c r="L82" i="105"/>
  <c r="B82" i="105"/>
  <c r="Z81" i="105"/>
  <c r="X81" i="105"/>
  <c r="N81" i="105"/>
  <c r="L81" i="105"/>
  <c r="B81" i="105"/>
  <c r="X80" i="105"/>
  <c r="Z80" i="105" s="1"/>
  <c r="V80" i="105"/>
  <c r="N80" i="105"/>
  <c r="L80" i="105"/>
  <c r="B80" i="105"/>
  <c r="Z79" i="105"/>
  <c r="X79" i="105"/>
  <c r="L79" i="105"/>
  <c r="N79" i="105" s="1"/>
  <c r="B79" i="105"/>
  <c r="X78" i="105"/>
  <c r="Z78" i="105" s="1"/>
  <c r="L78" i="105"/>
  <c r="N78" i="105" s="1"/>
  <c r="B78" i="105"/>
  <c r="X77" i="105"/>
  <c r="Z77" i="105" s="1"/>
  <c r="N77" i="105"/>
  <c r="L77" i="105"/>
  <c r="B77" i="105"/>
  <c r="Z76" i="105"/>
  <c r="X76" i="105"/>
  <c r="V76" i="105"/>
  <c r="N76" i="105"/>
  <c r="L76" i="105"/>
  <c r="B76" i="105"/>
  <c r="T75" i="105"/>
  <c r="P75" i="105"/>
  <c r="X75" i="105" s="1"/>
  <c r="L75" i="105"/>
  <c r="N75" i="105" s="1"/>
  <c r="H75" i="105"/>
  <c r="D75" i="105"/>
  <c r="B75" i="105"/>
  <c r="X74" i="105"/>
  <c r="Z74" i="105" s="1"/>
  <c r="N74" i="105"/>
  <c r="L74" i="105"/>
  <c r="B74" i="105"/>
  <c r="X73" i="105"/>
  <c r="Z73" i="105" s="1"/>
  <c r="L73" i="105"/>
  <c r="N73" i="105" s="1"/>
  <c r="J73" i="105"/>
  <c r="B73" i="105"/>
  <c r="Z72" i="105"/>
  <c r="X72" i="105"/>
  <c r="N72" i="105"/>
  <c r="L72" i="105"/>
  <c r="B72" i="105"/>
  <c r="X71" i="105"/>
  <c r="Z71" i="105" s="1"/>
  <c r="L71" i="105"/>
  <c r="N71" i="105" s="1"/>
  <c r="B71" i="105"/>
  <c r="T70" i="105"/>
  <c r="P70" i="105"/>
  <c r="H70" i="105"/>
  <c r="D70" i="105"/>
  <c r="L70" i="105" s="1"/>
  <c r="N70" i="105" s="1"/>
  <c r="B70" i="105"/>
  <c r="X69" i="105"/>
  <c r="Z69" i="105" s="1"/>
  <c r="V69" i="105"/>
  <c r="L69" i="105"/>
  <c r="N69" i="105" s="1"/>
  <c r="B69" i="105"/>
  <c r="Z68" i="105"/>
  <c r="X68" i="105"/>
  <c r="L68" i="105"/>
  <c r="N68" i="105" s="1"/>
  <c r="J68" i="105"/>
  <c r="B68" i="105"/>
  <c r="X67" i="105"/>
  <c r="Z67" i="105" s="1"/>
  <c r="N67" i="105"/>
  <c r="L67" i="105"/>
  <c r="B67" i="105"/>
  <c r="Z66" i="105"/>
  <c r="X66" i="105"/>
  <c r="T66" i="105"/>
  <c r="P66" i="105"/>
  <c r="H66" i="105"/>
  <c r="N66" i="105" s="1"/>
  <c r="D66" i="105"/>
  <c r="L66" i="105" s="1"/>
  <c r="B66" i="105"/>
  <c r="X65" i="105"/>
  <c r="Z65" i="105" s="1"/>
  <c r="N65" i="105"/>
  <c r="L65" i="105"/>
  <c r="B65" i="105"/>
  <c r="X64" i="105"/>
  <c r="Z64" i="105" s="1"/>
  <c r="V64" i="105"/>
  <c r="T64" i="105"/>
  <c r="P64" i="105"/>
  <c r="H64" i="105"/>
  <c r="D64" i="105"/>
  <c r="L64" i="105" s="1"/>
  <c r="N64" i="105" s="1"/>
  <c r="B64" i="105"/>
  <c r="Z63" i="105"/>
  <c r="X63" i="105"/>
  <c r="L63" i="105"/>
  <c r="N63" i="105" s="1"/>
  <c r="B63" i="105"/>
  <c r="T62" i="105"/>
  <c r="P62" i="105"/>
  <c r="H62" i="105"/>
  <c r="D62" i="105"/>
  <c r="L62" i="105" s="1"/>
  <c r="N62" i="105" s="1"/>
  <c r="B62" i="105"/>
  <c r="X61" i="105"/>
  <c r="Z61" i="105" s="1"/>
  <c r="V61" i="105"/>
  <c r="L61" i="105"/>
  <c r="N61" i="105" s="1"/>
  <c r="B61" i="105"/>
  <c r="T60" i="105"/>
  <c r="P60" i="105"/>
  <c r="X60" i="105" s="1"/>
  <c r="N60" i="105"/>
  <c r="L60" i="105"/>
  <c r="H60" i="105"/>
  <c r="D60" i="105"/>
  <c r="B60" i="105"/>
  <c r="Z59" i="105"/>
  <c r="X59" i="105"/>
  <c r="N59" i="105"/>
  <c r="L59" i="105"/>
  <c r="B59" i="105"/>
  <c r="T58" i="105"/>
  <c r="P58" i="105"/>
  <c r="X58" i="105" s="1"/>
  <c r="L58" i="105"/>
  <c r="N58" i="105" s="1"/>
  <c r="J58" i="105"/>
  <c r="H58" i="105"/>
  <c r="D58" i="105"/>
  <c r="B58" i="105"/>
  <c r="Z57" i="105"/>
  <c r="X57" i="105"/>
  <c r="L57" i="105"/>
  <c r="N57" i="105" s="1"/>
  <c r="J57" i="105"/>
  <c r="B57" i="105"/>
  <c r="T56" i="105"/>
  <c r="Z56" i="105" s="1"/>
  <c r="P56" i="105"/>
  <c r="X56" i="105" s="1"/>
  <c r="H56" i="105"/>
  <c r="D56" i="105"/>
  <c r="B56" i="105"/>
  <c r="X55" i="105"/>
  <c r="Z55" i="105" s="1"/>
  <c r="N55" i="105"/>
  <c r="L55" i="105"/>
  <c r="B55" i="105"/>
  <c r="Z54" i="105"/>
  <c r="X54" i="105"/>
  <c r="T54" i="105"/>
  <c r="P54" i="105"/>
  <c r="H54" i="105"/>
  <c r="N54" i="105" s="1"/>
  <c r="D54" i="105"/>
  <c r="L54" i="105" s="1"/>
  <c r="B54" i="105"/>
  <c r="Z53" i="105"/>
  <c r="X53" i="105"/>
  <c r="N53" i="105"/>
  <c r="L53" i="105"/>
  <c r="B53" i="105"/>
  <c r="X52" i="105"/>
  <c r="Z52" i="105" s="1"/>
  <c r="V52" i="105"/>
  <c r="T52" i="105"/>
  <c r="P52" i="105"/>
  <c r="H52" i="105"/>
  <c r="D52" i="105"/>
  <c r="L52" i="105" s="1"/>
  <c r="B52" i="105"/>
  <c r="X51" i="105"/>
  <c r="Z51" i="105" s="1"/>
  <c r="L51" i="105"/>
  <c r="N51" i="105" s="1"/>
  <c r="B51" i="105"/>
  <c r="T50" i="105"/>
  <c r="P50" i="105"/>
  <c r="X50" i="105" s="1"/>
  <c r="H50" i="105"/>
  <c r="D50" i="105"/>
  <c r="L50" i="105" s="1"/>
  <c r="N50" i="105" s="1"/>
  <c r="B50" i="105"/>
  <c r="X49" i="105"/>
  <c r="Z49" i="105" s="1"/>
  <c r="V49" i="105"/>
  <c r="N49" i="105"/>
  <c r="L49" i="105"/>
  <c r="B49" i="105"/>
  <c r="T48" i="105"/>
  <c r="P48" i="105"/>
  <c r="X48" i="105" s="1"/>
  <c r="N48" i="105"/>
  <c r="L48" i="105"/>
  <c r="H48" i="105"/>
  <c r="D48" i="105"/>
  <c r="B48" i="105"/>
  <c r="Z47" i="105"/>
  <c r="X47" i="105"/>
  <c r="N47" i="105"/>
  <c r="L47" i="105"/>
  <c r="B47" i="105"/>
  <c r="Z46" i="105"/>
  <c r="X46" i="105"/>
  <c r="N46" i="105"/>
  <c r="L46" i="105"/>
  <c r="B46" i="105"/>
  <c r="Z45" i="105"/>
  <c r="X45" i="105"/>
  <c r="N45" i="105"/>
  <c r="L45" i="105"/>
  <c r="B45" i="105"/>
  <c r="X44" i="105"/>
  <c r="Z44" i="105" s="1"/>
  <c r="V44" i="105"/>
  <c r="N44" i="105"/>
  <c r="L44" i="105"/>
  <c r="B44" i="105"/>
  <c r="Z43" i="105"/>
  <c r="X43" i="105"/>
  <c r="N43" i="105"/>
  <c r="L43" i="105"/>
  <c r="B43" i="105"/>
  <c r="X42" i="105"/>
  <c r="Z42" i="105" s="1"/>
  <c r="L42" i="105"/>
  <c r="N42" i="105" s="1"/>
  <c r="B42" i="105"/>
  <c r="Z41" i="105"/>
  <c r="X41" i="105"/>
  <c r="N41" i="105"/>
  <c r="L41" i="105"/>
  <c r="B41" i="105"/>
  <c r="Z40" i="105"/>
  <c r="X40" i="105"/>
  <c r="V40" i="105"/>
  <c r="N40" i="105"/>
  <c r="L40" i="105"/>
  <c r="B40" i="105"/>
  <c r="Z39" i="105"/>
  <c r="X39" i="105"/>
  <c r="L39" i="105"/>
  <c r="N39" i="105" s="1"/>
  <c r="B39" i="105"/>
  <c r="Z38" i="105"/>
  <c r="X38" i="105"/>
  <c r="N38" i="105"/>
  <c r="L38" i="105"/>
  <c r="B38" i="105"/>
  <c r="Z37" i="105"/>
  <c r="X37" i="105"/>
  <c r="T37" i="105"/>
  <c r="P37" i="105"/>
  <c r="H37" i="105"/>
  <c r="N37" i="105" s="1"/>
  <c r="F37" i="105"/>
  <c r="D37" i="105"/>
  <c r="L37" i="105" s="1"/>
  <c r="B37" i="105"/>
  <c r="Z36" i="105"/>
  <c r="X36" i="105"/>
  <c r="N36" i="105"/>
  <c r="L36" i="105"/>
  <c r="B36" i="105"/>
  <c r="X35" i="105"/>
  <c r="Z35" i="105" s="1"/>
  <c r="N35" i="105"/>
  <c r="L35" i="105"/>
  <c r="B35" i="105"/>
  <c r="X34" i="105"/>
  <c r="Z34" i="105" s="1"/>
  <c r="N34" i="105"/>
  <c r="L34" i="105"/>
  <c r="B34" i="105"/>
  <c r="Z33" i="105"/>
  <c r="X33" i="105"/>
  <c r="N33" i="105"/>
  <c r="L33" i="105"/>
  <c r="J33" i="105"/>
  <c r="B33" i="105"/>
  <c r="Z32" i="105"/>
  <c r="X32" i="105"/>
  <c r="N32" i="105"/>
  <c r="L32" i="105"/>
  <c r="B32" i="105"/>
  <c r="Z31" i="105"/>
  <c r="X31" i="105"/>
  <c r="L31" i="105"/>
  <c r="N31" i="105" s="1"/>
  <c r="B31" i="105"/>
  <c r="X30" i="105"/>
  <c r="Z30" i="105" s="1"/>
  <c r="N30" i="105"/>
  <c r="L30" i="105"/>
  <c r="B30" i="105"/>
  <c r="Z29" i="105"/>
  <c r="X29" i="105"/>
  <c r="L29" i="105"/>
  <c r="N29" i="105" s="1"/>
  <c r="J29" i="105"/>
  <c r="B29" i="105"/>
  <c r="Z28" i="105"/>
  <c r="X28" i="105"/>
  <c r="N28" i="105"/>
  <c r="L28" i="105"/>
  <c r="B28" i="105"/>
  <c r="Z27" i="105"/>
  <c r="X27" i="105"/>
  <c r="L27" i="105"/>
  <c r="N27" i="105" s="1"/>
  <c r="B27" i="105"/>
  <c r="T26" i="105"/>
  <c r="P26" i="105"/>
  <c r="H26" i="105"/>
  <c r="D26" i="105"/>
  <c r="L26" i="105" s="1"/>
  <c r="B26" i="105"/>
  <c r="V25" i="105"/>
  <c r="T25" i="105"/>
  <c r="P25" i="105"/>
  <c r="H25" i="105"/>
  <c r="N25" i="105" s="1"/>
  <c r="D25" i="105"/>
  <c r="L25" i="105" s="1"/>
  <c r="V23" i="105"/>
  <c r="T23" i="105"/>
  <c r="Z21" i="105"/>
  <c r="X21" i="105"/>
  <c r="V21" i="105"/>
  <c r="N21" i="105"/>
  <c r="L21" i="105"/>
  <c r="B21" i="105"/>
  <c r="Z20" i="105"/>
  <c r="X20" i="105"/>
  <c r="N20" i="105"/>
  <c r="L20" i="105"/>
  <c r="J20" i="105"/>
  <c r="B20" i="105"/>
  <c r="X19" i="105"/>
  <c r="Z19" i="105" s="1"/>
  <c r="L19" i="105"/>
  <c r="N19" i="105" s="1"/>
  <c r="B19" i="105"/>
  <c r="Z18" i="105"/>
  <c r="X18" i="105"/>
  <c r="T18" i="105"/>
  <c r="P18" i="105"/>
  <c r="H18" i="105"/>
  <c r="D18" i="105"/>
  <c r="L18" i="105" s="1"/>
  <c r="N18" i="105" s="1"/>
  <c r="Z16" i="105"/>
  <c r="P16" i="105"/>
  <c r="X16" i="105" s="1"/>
  <c r="N16" i="105"/>
  <c r="D16" i="105"/>
  <c r="L16" i="105" s="1"/>
  <c r="B16" i="105"/>
  <c r="Z15" i="105"/>
  <c r="P15" i="105"/>
  <c r="X15" i="105" s="1"/>
  <c r="N15" i="105"/>
  <c r="L15" i="105"/>
  <c r="D15" i="105"/>
  <c r="D12" i="105" s="1"/>
  <c r="B15" i="105"/>
  <c r="P14" i="105"/>
  <c r="X14" i="105" s="1"/>
  <c r="Z14" i="105" s="1"/>
  <c r="L14" i="105"/>
  <c r="N14" i="105" s="1"/>
  <c r="D14" i="105"/>
  <c r="B14" i="105"/>
  <c r="Z13" i="105"/>
  <c r="P13" i="105"/>
  <c r="N13" i="105"/>
  <c r="L13" i="105"/>
  <c r="D13" i="105"/>
  <c r="B13" i="105"/>
  <c r="T12" i="105"/>
  <c r="V66" i="105" s="1"/>
  <c r="H12" i="105"/>
  <c r="J84" i="105" s="1"/>
  <c r="D6" i="105"/>
  <c r="D4" i="105"/>
  <c r="Z67" i="104"/>
  <c r="X67" i="104"/>
  <c r="N67" i="104"/>
  <c r="L67" i="104"/>
  <c r="X63" i="104"/>
  <c r="T63" i="104"/>
  <c r="Z63" i="104" s="1"/>
  <c r="P63" i="104"/>
  <c r="H63" i="104"/>
  <c r="N63" i="104" s="1"/>
  <c r="D63" i="104"/>
  <c r="L63" i="104" s="1"/>
  <c r="Z61" i="104"/>
  <c r="X61" i="104"/>
  <c r="N61" i="104"/>
  <c r="L61" i="104"/>
  <c r="B61" i="104"/>
  <c r="T60" i="104"/>
  <c r="Z60" i="104" s="1"/>
  <c r="P60" i="104"/>
  <c r="X60" i="104" s="1"/>
  <c r="N60" i="104"/>
  <c r="H60" i="104"/>
  <c r="D60" i="104"/>
  <c r="L60" i="104" s="1"/>
  <c r="B60" i="104"/>
  <c r="Z59" i="104"/>
  <c r="X59" i="104"/>
  <c r="N59" i="104"/>
  <c r="L59" i="104"/>
  <c r="B59" i="104"/>
  <c r="X58" i="104"/>
  <c r="Z58" i="104" s="1"/>
  <c r="N58" i="104"/>
  <c r="L58" i="104"/>
  <c r="B58" i="104"/>
  <c r="Z57" i="104"/>
  <c r="X57" i="104"/>
  <c r="N57" i="104"/>
  <c r="L57" i="104"/>
  <c r="B57" i="104"/>
  <c r="Z56" i="104"/>
  <c r="X56" i="104"/>
  <c r="T56" i="104"/>
  <c r="P56" i="104"/>
  <c r="N56" i="104"/>
  <c r="L56" i="104"/>
  <c r="H56" i="104"/>
  <c r="D56" i="104"/>
  <c r="B56" i="104"/>
  <c r="Z55" i="104"/>
  <c r="X55" i="104"/>
  <c r="N55" i="104"/>
  <c r="L55" i="104"/>
  <c r="B55" i="104"/>
  <c r="T54" i="104"/>
  <c r="P54" i="104"/>
  <c r="X54" i="104" s="1"/>
  <c r="H54" i="104"/>
  <c r="N54" i="104" s="1"/>
  <c r="D54" i="104"/>
  <c r="L54" i="104" s="1"/>
  <c r="B54" i="104"/>
  <c r="X53" i="104"/>
  <c r="Z53" i="104" s="1"/>
  <c r="N53" i="104"/>
  <c r="L53" i="104"/>
  <c r="B53" i="104"/>
  <c r="T52" i="104"/>
  <c r="P52" i="104"/>
  <c r="X52" i="104" s="1"/>
  <c r="N52" i="104"/>
  <c r="H52" i="104"/>
  <c r="D52" i="104"/>
  <c r="L52" i="104" s="1"/>
  <c r="B52" i="104"/>
  <c r="Z51" i="104"/>
  <c r="X51" i="104"/>
  <c r="N51" i="104"/>
  <c r="L51" i="104"/>
  <c r="B51" i="104"/>
  <c r="X50" i="104"/>
  <c r="T50" i="104"/>
  <c r="Z50" i="104" s="1"/>
  <c r="P50" i="104"/>
  <c r="N50" i="104"/>
  <c r="L50" i="104"/>
  <c r="H50" i="104"/>
  <c r="D50" i="104"/>
  <c r="B50" i="104"/>
  <c r="Z49" i="104"/>
  <c r="X49" i="104"/>
  <c r="N49" i="104"/>
  <c r="L49" i="104"/>
  <c r="J49" i="104"/>
  <c r="B49" i="104"/>
  <c r="T48" i="104"/>
  <c r="P48" i="104"/>
  <c r="H48" i="104"/>
  <c r="N48" i="104" s="1"/>
  <c r="D48" i="104"/>
  <c r="B48" i="104"/>
  <c r="X47" i="104"/>
  <c r="Z47" i="104" s="1"/>
  <c r="L47" i="104"/>
  <c r="N47" i="104" s="1"/>
  <c r="B47" i="104"/>
  <c r="T46" i="104"/>
  <c r="P46" i="104"/>
  <c r="X46" i="104" s="1"/>
  <c r="Z46" i="104" s="1"/>
  <c r="H46" i="104"/>
  <c r="N46" i="104" s="1"/>
  <c r="D46" i="104"/>
  <c r="L46" i="104" s="1"/>
  <c r="B46" i="104"/>
  <c r="Z45" i="104"/>
  <c r="X45" i="104"/>
  <c r="N45" i="104"/>
  <c r="L45" i="104"/>
  <c r="B45" i="104"/>
  <c r="Z44" i="104"/>
  <c r="X44" i="104"/>
  <c r="N44" i="104"/>
  <c r="L44" i="104"/>
  <c r="B44" i="104"/>
  <c r="X43" i="104"/>
  <c r="Z43" i="104" s="1"/>
  <c r="V43" i="104"/>
  <c r="N43" i="104"/>
  <c r="L43" i="104"/>
  <c r="B43" i="104"/>
  <c r="Z42" i="104"/>
  <c r="X42" i="104"/>
  <c r="N42" i="104"/>
  <c r="L42" i="104"/>
  <c r="B42" i="104"/>
  <c r="Z41" i="104"/>
  <c r="X41" i="104"/>
  <c r="N41" i="104"/>
  <c r="L41" i="104"/>
  <c r="B41" i="104"/>
  <c r="Z40" i="104"/>
  <c r="X40" i="104"/>
  <c r="N40" i="104"/>
  <c r="L40" i="104"/>
  <c r="B40" i="104"/>
  <c r="Z39" i="104"/>
  <c r="X39" i="104"/>
  <c r="N39" i="104"/>
  <c r="L39" i="104"/>
  <c r="B39" i="104"/>
  <c r="Z38" i="104"/>
  <c r="X38" i="104"/>
  <c r="N38" i="104"/>
  <c r="L38" i="104"/>
  <c r="B38" i="104"/>
  <c r="Z37" i="104"/>
  <c r="X37" i="104"/>
  <c r="N37" i="104"/>
  <c r="L37" i="104"/>
  <c r="B37" i="104"/>
  <c r="Z36" i="104"/>
  <c r="X36" i="104"/>
  <c r="V36" i="104"/>
  <c r="N36" i="104"/>
  <c r="L36" i="104"/>
  <c r="B36" i="104"/>
  <c r="T35" i="104"/>
  <c r="P35" i="104"/>
  <c r="X35" i="104" s="1"/>
  <c r="N35" i="104"/>
  <c r="H35" i="104"/>
  <c r="D35" i="104"/>
  <c r="L35" i="104" s="1"/>
  <c r="B35" i="104"/>
  <c r="X34" i="104"/>
  <c r="Z34" i="104" s="1"/>
  <c r="N34" i="104"/>
  <c r="L34" i="104"/>
  <c r="B34" i="104"/>
  <c r="Z33" i="104"/>
  <c r="X33" i="104"/>
  <c r="N33" i="104"/>
  <c r="L33" i="104"/>
  <c r="J33" i="104"/>
  <c r="B33" i="104"/>
  <c r="Z32" i="104"/>
  <c r="X32" i="104"/>
  <c r="N32" i="104"/>
  <c r="L32" i="104"/>
  <c r="B32" i="104"/>
  <c r="Z31" i="104"/>
  <c r="X31" i="104"/>
  <c r="N31" i="104"/>
  <c r="L31" i="104"/>
  <c r="B31" i="104"/>
  <c r="X30" i="104"/>
  <c r="Z30" i="104" s="1"/>
  <c r="N30" i="104"/>
  <c r="L30" i="104"/>
  <c r="B30" i="104"/>
  <c r="Z29" i="104"/>
  <c r="X29" i="104"/>
  <c r="N29" i="104"/>
  <c r="L29" i="104"/>
  <c r="B29" i="104"/>
  <c r="X28" i="104"/>
  <c r="Z28" i="104" s="1"/>
  <c r="V28" i="104"/>
  <c r="R28" i="104"/>
  <c r="N28" i="104"/>
  <c r="L28" i="104"/>
  <c r="B28" i="104"/>
  <c r="Z27" i="104"/>
  <c r="X27" i="104"/>
  <c r="N27" i="104"/>
  <c r="L27" i="104"/>
  <c r="J27" i="104"/>
  <c r="B27" i="104"/>
  <c r="T26" i="104"/>
  <c r="P26" i="104"/>
  <c r="X26" i="104" s="1"/>
  <c r="H26" i="104"/>
  <c r="N26" i="104" s="1"/>
  <c r="D26" i="104"/>
  <c r="L26" i="104" s="1"/>
  <c r="B26" i="104"/>
  <c r="Z25" i="104"/>
  <c r="X25" i="104"/>
  <c r="T25" i="104"/>
  <c r="P25" i="104"/>
  <c r="H25" i="104"/>
  <c r="D25" i="104"/>
  <c r="L25" i="104" s="1"/>
  <c r="H23" i="104"/>
  <c r="H65" i="104" s="1"/>
  <c r="Z21" i="104"/>
  <c r="X21" i="104"/>
  <c r="N21" i="104"/>
  <c r="L21" i="104"/>
  <c r="B21" i="104"/>
  <c r="Z20" i="104"/>
  <c r="X20" i="104"/>
  <c r="V20" i="104"/>
  <c r="N20" i="104"/>
  <c r="L20" i="104"/>
  <c r="B20" i="104"/>
  <c r="Z19" i="104"/>
  <c r="X19" i="104"/>
  <c r="N19" i="104"/>
  <c r="L19" i="104"/>
  <c r="J19" i="104"/>
  <c r="B19" i="104"/>
  <c r="X18" i="104"/>
  <c r="T18" i="104"/>
  <c r="Z18" i="104" s="1"/>
  <c r="P18" i="104"/>
  <c r="N18" i="104"/>
  <c r="L18" i="104"/>
  <c r="J18" i="104"/>
  <c r="H18" i="104"/>
  <c r="D18" i="104"/>
  <c r="Z16" i="104"/>
  <c r="X16" i="104"/>
  <c r="P16" i="104"/>
  <c r="N16" i="104"/>
  <c r="D16" i="104"/>
  <c r="L16" i="104" s="1"/>
  <c r="B16" i="104"/>
  <c r="Z15" i="104"/>
  <c r="X15" i="104"/>
  <c r="P15" i="104"/>
  <c r="N15" i="104"/>
  <c r="L15" i="104"/>
  <c r="D15" i="104"/>
  <c r="B15" i="104"/>
  <c r="Z14" i="104"/>
  <c r="X14" i="104"/>
  <c r="P14" i="104"/>
  <c r="N14" i="104"/>
  <c r="D14" i="104"/>
  <c r="L14" i="104" s="1"/>
  <c r="B14" i="104"/>
  <c r="Z13" i="104"/>
  <c r="X13" i="104"/>
  <c r="P13" i="104"/>
  <c r="N13" i="104"/>
  <c r="L13" i="104"/>
  <c r="D13" i="104"/>
  <c r="D12" i="104" s="1"/>
  <c r="B13" i="104"/>
  <c r="T12" i="104"/>
  <c r="V61" i="104" s="1"/>
  <c r="P12" i="104"/>
  <c r="N12" i="104"/>
  <c r="H12" i="104"/>
  <c r="J50" i="104" s="1"/>
  <c r="D6" i="104"/>
  <c r="D4" i="104"/>
  <c r="X96" i="103"/>
  <c r="Z96" i="103" s="1"/>
  <c r="L96" i="103"/>
  <c r="N96" i="103" s="1"/>
  <c r="J96" i="103"/>
  <c r="T92" i="103"/>
  <c r="Z92" i="103" s="1"/>
  <c r="P92" i="103"/>
  <c r="X92" i="103" s="1"/>
  <c r="H92" i="103"/>
  <c r="N92" i="103" s="1"/>
  <c r="D92" i="103"/>
  <c r="L92" i="103" s="1"/>
  <c r="Z90" i="103"/>
  <c r="X90" i="103"/>
  <c r="L90" i="103"/>
  <c r="N90" i="103" s="1"/>
  <c r="B90" i="103"/>
  <c r="Z89" i="103"/>
  <c r="X89" i="103"/>
  <c r="N89" i="103"/>
  <c r="L89" i="103"/>
  <c r="B89" i="103"/>
  <c r="T88" i="103"/>
  <c r="P88" i="103"/>
  <c r="X88" i="103" s="1"/>
  <c r="H88" i="103"/>
  <c r="N88" i="103" s="1"/>
  <c r="D88" i="103"/>
  <c r="L88" i="103" s="1"/>
  <c r="B88" i="103"/>
  <c r="X87" i="103"/>
  <c r="Z87" i="103" s="1"/>
  <c r="N87" i="103"/>
  <c r="L87" i="103"/>
  <c r="B87" i="103"/>
  <c r="T86" i="103"/>
  <c r="P86" i="103"/>
  <c r="X86" i="103" s="1"/>
  <c r="N86" i="103"/>
  <c r="H86" i="103"/>
  <c r="D86" i="103"/>
  <c r="L86" i="103" s="1"/>
  <c r="B86" i="103"/>
  <c r="Z85" i="103"/>
  <c r="X85" i="103"/>
  <c r="N85" i="103"/>
  <c r="L85" i="103"/>
  <c r="B85" i="103"/>
  <c r="X84" i="103"/>
  <c r="T84" i="103"/>
  <c r="Z84" i="103" s="1"/>
  <c r="P84" i="103"/>
  <c r="L84" i="103"/>
  <c r="N84" i="103" s="1"/>
  <c r="J84" i="103"/>
  <c r="H84" i="103"/>
  <c r="D84" i="103"/>
  <c r="B84" i="103"/>
  <c r="Z83" i="103"/>
  <c r="X83" i="103"/>
  <c r="N83" i="103"/>
  <c r="L83" i="103"/>
  <c r="J83" i="103"/>
  <c r="B83" i="103"/>
  <c r="Z82" i="103"/>
  <c r="X82" i="103"/>
  <c r="N82" i="103"/>
  <c r="L82" i="103"/>
  <c r="B82" i="103"/>
  <c r="X81" i="103"/>
  <c r="Z81" i="103" s="1"/>
  <c r="L81" i="103"/>
  <c r="N81" i="103" s="1"/>
  <c r="B81" i="103"/>
  <c r="X80" i="103"/>
  <c r="Z80" i="103" s="1"/>
  <c r="N80" i="103"/>
  <c r="L80" i="103"/>
  <c r="B80" i="103"/>
  <c r="Z79" i="103"/>
  <c r="X79" i="103"/>
  <c r="L79" i="103"/>
  <c r="N79" i="103" s="1"/>
  <c r="J79" i="103"/>
  <c r="B79" i="103"/>
  <c r="Z78" i="103"/>
  <c r="X78" i="103"/>
  <c r="L78" i="103"/>
  <c r="N78" i="103" s="1"/>
  <c r="B78" i="103"/>
  <c r="Z77" i="103"/>
  <c r="X77" i="103"/>
  <c r="L77" i="103"/>
  <c r="N77" i="103" s="1"/>
  <c r="B77" i="103"/>
  <c r="X76" i="103"/>
  <c r="Z76" i="103" s="1"/>
  <c r="N76" i="103"/>
  <c r="L76" i="103"/>
  <c r="B76" i="103"/>
  <c r="Z75" i="103"/>
  <c r="X75" i="103"/>
  <c r="N75" i="103"/>
  <c r="L75" i="103"/>
  <c r="J75" i="103"/>
  <c r="B75" i="103"/>
  <c r="T74" i="103"/>
  <c r="Z74" i="103" s="1"/>
  <c r="P74" i="103"/>
  <c r="X74" i="103" s="1"/>
  <c r="H74" i="103"/>
  <c r="D74" i="103"/>
  <c r="B74" i="103"/>
  <c r="X73" i="103"/>
  <c r="Z73" i="103" s="1"/>
  <c r="N73" i="103"/>
  <c r="L73" i="103"/>
  <c r="B73" i="103"/>
  <c r="Z72" i="103"/>
  <c r="X72" i="103"/>
  <c r="L72" i="103"/>
  <c r="N72" i="103" s="1"/>
  <c r="B72" i="103"/>
  <c r="X71" i="103"/>
  <c r="Z71" i="103" s="1"/>
  <c r="N71" i="103"/>
  <c r="L71" i="103"/>
  <c r="B71" i="103"/>
  <c r="X70" i="103"/>
  <c r="Z70" i="103" s="1"/>
  <c r="L70" i="103"/>
  <c r="N70" i="103" s="1"/>
  <c r="J70" i="103"/>
  <c r="B70" i="103"/>
  <c r="T69" i="103"/>
  <c r="P69" i="103"/>
  <c r="J69" i="103"/>
  <c r="H69" i="103"/>
  <c r="D69" i="103"/>
  <c r="B69" i="103"/>
  <c r="X68" i="103"/>
  <c r="Z68" i="103" s="1"/>
  <c r="L68" i="103"/>
  <c r="N68" i="103" s="1"/>
  <c r="B68" i="103"/>
  <c r="Z67" i="103"/>
  <c r="X67" i="103"/>
  <c r="N67" i="103"/>
  <c r="L67" i="103"/>
  <c r="B67" i="103"/>
  <c r="X66" i="103"/>
  <c r="Z66" i="103" s="1"/>
  <c r="N66" i="103"/>
  <c r="L66" i="103"/>
  <c r="B66" i="103"/>
  <c r="T65" i="103"/>
  <c r="Z65" i="103" s="1"/>
  <c r="P65" i="103"/>
  <c r="X65" i="103" s="1"/>
  <c r="H65" i="103"/>
  <c r="D65" i="103"/>
  <c r="L65" i="103" s="1"/>
  <c r="N65" i="103" s="1"/>
  <c r="B65" i="103"/>
  <c r="X64" i="103"/>
  <c r="Z64" i="103" s="1"/>
  <c r="N64" i="103"/>
  <c r="L64" i="103"/>
  <c r="B64" i="103"/>
  <c r="T63" i="103"/>
  <c r="P63" i="103"/>
  <c r="X63" i="103" s="1"/>
  <c r="Z63" i="103" s="1"/>
  <c r="N63" i="103"/>
  <c r="L63" i="103"/>
  <c r="H63" i="103"/>
  <c r="D63" i="103"/>
  <c r="B63" i="103"/>
  <c r="X62" i="103"/>
  <c r="Z62" i="103" s="1"/>
  <c r="L62" i="103"/>
  <c r="N62" i="103" s="1"/>
  <c r="J62" i="103"/>
  <c r="B62" i="103"/>
  <c r="T61" i="103"/>
  <c r="P61" i="103"/>
  <c r="H61" i="103"/>
  <c r="D61" i="103"/>
  <c r="B61" i="103"/>
  <c r="X60" i="103"/>
  <c r="Z60" i="103" s="1"/>
  <c r="L60" i="103"/>
  <c r="N60" i="103" s="1"/>
  <c r="B60" i="103"/>
  <c r="Z59" i="103"/>
  <c r="X59" i="103"/>
  <c r="T59" i="103"/>
  <c r="P59" i="103"/>
  <c r="H59" i="103"/>
  <c r="N59" i="103" s="1"/>
  <c r="D59" i="103"/>
  <c r="L59" i="103" s="1"/>
  <c r="B59" i="103"/>
  <c r="Z58" i="103"/>
  <c r="X58" i="103"/>
  <c r="L58" i="103"/>
  <c r="N58" i="103" s="1"/>
  <c r="B58" i="103"/>
  <c r="X57" i="103"/>
  <c r="Z57" i="103" s="1"/>
  <c r="T57" i="103"/>
  <c r="P57" i="103"/>
  <c r="H57" i="103"/>
  <c r="D57" i="103"/>
  <c r="L57" i="103" s="1"/>
  <c r="N57" i="103" s="1"/>
  <c r="B57" i="103"/>
  <c r="Z56" i="103"/>
  <c r="X56" i="103"/>
  <c r="N56" i="103"/>
  <c r="L56" i="103"/>
  <c r="B56" i="103"/>
  <c r="T55" i="103"/>
  <c r="P55" i="103"/>
  <c r="J55" i="103"/>
  <c r="H55" i="103"/>
  <c r="N55" i="103" s="1"/>
  <c r="D55" i="103"/>
  <c r="B55" i="103"/>
  <c r="X54" i="103"/>
  <c r="Z54" i="103" s="1"/>
  <c r="N54" i="103"/>
  <c r="L54" i="103"/>
  <c r="B54" i="103"/>
  <c r="T53" i="103"/>
  <c r="P53" i="103"/>
  <c r="X53" i="103" s="1"/>
  <c r="N53" i="103"/>
  <c r="L53" i="103"/>
  <c r="H53" i="103"/>
  <c r="D53" i="103"/>
  <c r="B53" i="103"/>
  <c r="X52" i="103"/>
  <c r="Z52" i="103" s="1"/>
  <c r="N52" i="103"/>
  <c r="L52" i="103"/>
  <c r="B52" i="103"/>
  <c r="T51" i="103"/>
  <c r="P51" i="103"/>
  <c r="X51" i="103" s="1"/>
  <c r="Z51" i="103" s="1"/>
  <c r="L51" i="103"/>
  <c r="N51" i="103" s="1"/>
  <c r="H51" i="103"/>
  <c r="D51" i="103"/>
  <c r="B51" i="103"/>
  <c r="Z50" i="103"/>
  <c r="X50" i="103"/>
  <c r="L50" i="103"/>
  <c r="N50" i="103" s="1"/>
  <c r="J50" i="103"/>
  <c r="B50" i="103"/>
  <c r="T49" i="103"/>
  <c r="P49" i="103"/>
  <c r="H49" i="103"/>
  <c r="D49" i="103"/>
  <c r="B49" i="103"/>
  <c r="Z48" i="103"/>
  <c r="X48" i="103"/>
  <c r="N48" i="103"/>
  <c r="L48" i="103"/>
  <c r="B48" i="103"/>
  <c r="Z47" i="103"/>
  <c r="X47" i="103"/>
  <c r="N47" i="103"/>
  <c r="L47" i="103"/>
  <c r="B47" i="103"/>
  <c r="X46" i="103"/>
  <c r="Z46" i="103" s="1"/>
  <c r="V46" i="103"/>
  <c r="N46" i="103"/>
  <c r="L46" i="103"/>
  <c r="B46" i="103"/>
  <c r="Z45" i="103"/>
  <c r="X45" i="103"/>
  <c r="N45" i="103"/>
  <c r="L45" i="103"/>
  <c r="B45" i="103"/>
  <c r="Z44" i="103"/>
  <c r="X44" i="103"/>
  <c r="N44" i="103"/>
  <c r="L44" i="103"/>
  <c r="B44" i="103"/>
  <c r="Z43" i="103"/>
  <c r="X43" i="103"/>
  <c r="N43" i="103"/>
  <c r="L43" i="103"/>
  <c r="B43" i="103"/>
  <c r="X42" i="103"/>
  <c r="Z42" i="103" s="1"/>
  <c r="N42" i="103"/>
  <c r="L42" i="103"/>
  <c r="F42" i="103"/>
  <c r="B42" i="103"/>
  <c r="Z41" i="103"/>
  <c r="X41" i="103"/>
  <c r="N41" i="103"/>
  <c r="L41" i="103"/>
  <c r="B41" i="103"/>
  <c r="X40" i="103"/>
  <c r="Z40" i="103" s="1"/>
  <c r="L40" i="103"/>
  <c r="N40" i="103" s="1"/>
  <c r="B40" i="103"/>
  <c r="Z39" i="103"/>
  <c r="X39" i="103"/>
  <c r="N39" i="103"/>
  <c r="L39" i="103"/>
  <c r="B39" i="103"/>
  <c r="X38" i="103"/>
  <c r="Z38" i="103" s="1"/>
  <c r="T38" i="103"/>
  <c r="P38" i="103"/>
  <c r="L38" i="103"/>
  <c r="N38" i="103" s="1"/>
  <c r="H38" i="103"/>
  <c r="D38" i="103"/>
  <c r="B38" i="103"/>
  <c r="Z37" i="103"/>
  <c r="X37" i="103"/>
  <c r="N37" i="103"/>
  <c r="L37" i="103"/>
  <c r="J37" i="103"/>
  <c r="B37" i="103"/>
  <c r="X36" i="103"/>
  <c r="Z36" i="103" s="1"/>
  <c r="N36" i="103"/>
  <c r="L36" i="103"/>
  <c r="B36" i="103"/>
  <c r="Z35" i="103"/>
  <c r="X35" i="103"/>
  <c r="L35" i="103"/>
  <c r="N35" i="103" s="1"/>
  <c r="J35" i="103"/>
  <c r="B35" i="103"/>
  <c r="Z34" i="103"/>
  <c r="X34" i="103"/>
  <c r="N34" i="103"/>
  <c r="L34" i="103"/>
  <c r="B34" i="103"/>
  <c r="Z33" i="103"/>
  <c r="X33" i="103"/>
  <c r="N33" i="103"/>
  <c r="L33" i="103"/>
  <c r="J33" i="103"/>
  <c r="B33" i="103"/>
  <c r="X32" i="103"/>
  <c r="Z32" i="103" s="1"/>
  <c r="N32" i="103"/>
  <c r="L32" i="103"/>
  <c r="B32" i="103"/>
  <c r="Z31" i="103"/>
  <c r="X31" i="103"/>
  <c r="L31" i="103"/>
  <c r="N31" i="103" s="1"/>
  <c r="J31" i="103"/>
  <c r="B31" i="103"/>
  <c r="Z30" i="103"/>
  <c r="X30" i="103"/>
  <c r="N30" i="103"/>
  <c r="L30" i="103"/>
  <c r="B30" i="103"/>
  <c r="X29" i="103"/>
  <c r="Z29" i="103" s="1"/>
  <c r="L29" i="103"/>
  <c r="N29" i="103" s="1"/>
  <c r="J29" i="103"/>
  <c r="B29" i="103"/>
  <c r="X28" i="103"/>
  <c r="Z28" i="103" s="1"/>
  <c r="N28" i="103"/>
  <c r="L28" i="103"/>
  <c r="B28" i="103"/>
  <c r="T27" i="103"/>
  <c r="P27" i="103"/>
  <c r="X27" i="103" s="1"/>
  <c r="Z27" i="103" s="1"/>
  <c r="L27" i="103"/>
  <c r="N27" i="103" s="1"/>
  <c r="H27" i="103"/>
  <c r="D27" i="103"/>
  <c r="B27" i="103"/>
  <c r="T26" i="103"/>
  <c r="P26" i="103"/>
  <c r="X26" i="103" s="1"/>
  <c r="H26" i="103"/>
  <c r="D26" i="103"/>
  <c r="L26" i="103" s="1"/>
  <c r="N26" i="103" s="1"/>
  <c r="Z22" i="103"/>
  <c r="X22" i="103"/>
  <c r="N22" i="103"/>
  <c r="L22" i="103"/>
  <c r="J22" i="103"/>
  <c r="B22" i="103"/>
  <c r="Z21" i="103"/>
  <c r="X21" i="103"/>
  <c r="N21" i="103"/>
  <c r="L21" i="103"/>
  <c r="J21" i="103"/>
  <c r="B21" i="103"/>
  <c r="Z20" i="103"/>
  <c r="X20" i="103"/>
  <c r="L20" i="103"/>
  <c r="N20" i="103" s="1"/>
  <c r="B20" i="103"/>
  <c r="T19" i="103"/>
  <c r="P19" i="103"/>
  <c r="L19" i="103"/>
  <c r="J19" i="103"/>
  <c r="H19" i="103"/>
  <c r="N19" i="103" s="1"/>
  <c r="D19" i="103"/>
  <c r="Z17" i="103"/>
  <c r="X17" i="103"/>
  <c r="P17" i="103"/>
  <c r="P12" i="103" s="1"/>
  <c r="N17" i="103"/>
  <c r="L17" i="103"/>
  <c r="D17" i="103"/>
  <c r="B17" i="103"/>
  <c r="Z16" i="103"/>
  <c r="X16" i="103"/>
  <c r="P16" i="103"/>
  <c r="N16" i="103"/>
  <c r="D16" i="103"/>
  <c r="L16" i="103" s="1"/>
  <c r="B16" i="103"/>
  <c r="Z15" i="103"/>
  <c r="X15" i="103"/>
  <c r="P15" i="103"/>
  <c r="N15" i="103"/>
  <c r="D15" i="103"/>
  <c r="L15" i="103" s="1"/>
  <c r="B15" i="103"/>
  <c r="Z14" i="103"/>
  <c r="X14" i="103"/>
  <c r="P14" i="103"/>
  <c r="L14" i="103"/>
  <c r="N14" i="103" s="1"/>
  <c r="D14" i="103"/>
  <c r="B14" i="103"/>
  <c r="Z13" i="103"/>
  <c r="X13" i="103"/>
  <c r="P13" i="103"/>
  <c r="N13" i="103"/>
  <c r="L13" i="103"/>
  <c r="D13" i="103"/>
  <c r="D12" i="103" s="1"/>
  <c r="F44" i="103" s="1"/>
  <c r="B13" i="103"/>
  <c r="T12" i="103"/>
  <c r="V54" i="103" s="1"/>
  <c r="H12" i="103"/>
  <c r="D6" i="103"/>
  <c r="D4" i="103"/>
  <c r="R68" i="102"/>
  <c r="Z66" i="102"/>
  <c r="X66" i="102"/>
  <c r="N66" i="102"/>
  <c r="L66" i="102"/>
  <c r="J64" i="102"/>
  <c r="T62" i="102"/>
  <c r="Z62" i="102" s="1"/>
  <c r="P62" i="102"/>
  <c r="X62" i="102" s="1"/>
  <c r="L62" i="102"/>
  <c r="H62" i="102"/>
  <c r="N62" i="102" s="1"/>
  <c r="D62" i="102"/>
  <c r="Z60" i="102"/>
  <c r="X60" i="102"/>
  <c r="R60" i="102"/>
  <c r="L60" i="102"/>
  <c r="N60" i="102" s="1"/>
  <c r="B60" i="102"/>
  <c r="X59" i="102"/>
  <c r="Z59" i="102" s="1"/>
  <c r="T59" i="102"/>
  <c r="P59" i="102"/>
  <c r="H59" i="102"/>
  <c r="F59" i="102"/>
  <c r="D59" i="102"/>
  <c r="L59" i="102" s="1"/>
  <c r="N59" i="102" s="1"/>
  <c r="B59" i="102"/>
  <c r="Z58" i="102"/>
  <c r="X58" i="102"/>
  <c r="L58" i="102"/>
  <c r="N58" i="102" s="1"/>
  <c r="B58" i="102"/>
  <c r="T57" i="102"/>
  <c r="P57" i="102"/>
  <c r="L57" i="102"/>
  <c r="H57" i="102"/>
  <c r="D57" i="102"/>
  <c r="B57" i="102"/>
  <c r="Z56" i="102"/>
  <c r="X56" i="102"/>
  <c r="N56" i="102"/>
  <c r="L56" i="102"/>
  <c r="J56" i="102"/>
  <c r="F56" i="102"/>
  <c r="B56" i="102"/>
  <c r="T55" i="102"/>
  <c r="P55" i="102"/>
  <c r="X55" i="102" s="1"/>
  <c r="N55" i="102"/>
  <c r="H55" i="102"/>
  <c r="D55" i="102"/>
  <c r="L55" i="102" s="1"/>
  <c r="B55" i="102"/>
  <c r="X54" i="102"/>
  <c r="Z54" i="102" s="1"/>
  <c r="L54" i="102"/>
  <c r="N54" i="102" s="1"/>
  <c r="B54" i="102"/>
  <c r="X53" i="102"/>
  <c r="Z53" i="102" s="1"/>
  <c r="L53" i="102"/>
  <c r="N53" i="102" s="1"/>
  <c r="J53" i="102"/>
  <c r="B53" i="102"/>
  <c r="Z52" i="102"/>
  <c r="X52" i="102"/>
  <c r="N52" i="102"/>
  <c r="L52" i="102"/>
  <c r="B52" i="102"/>
  <c r="X51" i="102"/>
  <c r="Z51" i="102" s="1"/>
  <c r="N51" i="102"/>
  <c r="L51" i="102"/>
  <c r="B51" i="102"/>
  <c r="T50" i="102"/>
  <c r="R50" i="102"/>
  <c r="P50" i="102"/>
  <c r="X50" i="102" s="1"/>
  <c r="H50" i="102"/>
  <c r="D50" i="102"/>
  <c r="L50" i="102" s="1"/>
  <c r="N50" i="102" s="1"/>
  <c r="B50" i="102"/>
  <c r="Z49" i="102"/>
  <c r="X49" i="102"/>
  <c r="N49" i="102"/>
  <c r="L49" i="102"/>
  <c r="B49" i="102"/>
  <c r="T48" i="102"/>
  <c r="Z48" i="102" s="1"/>
  <c r="P48" i="102"/>
  <c r="X48" i="102" s="1"/>
  <c r="N48" i="102"/>
  <c r="L48" i="102"/>
  <c r="H48" i="102"/>
  <c r="F48" i="102"/>
  <c r="D48" i="102"/>
  <c r="B48" i="102"/>
  <c r="Z47" i="102"/>
  <c r="X47" i="102"/>
  <c r="L47" i="102"/>
  <c r="N47" i="102" s="1"/>
  <c r="B47" i="102"/>
  <c r="Z46" i="102"/>
  <c r="T46" i="102"/>
  <c r="P46" i="102"/>
  <c r="X46" i="102" s="1"/>
  <c r="H46" i="102"/>
  <c r="D46" i="102"/>
  <c r="L46" i="102" s="1"/>
  <c r="N46" i="102" s="1"/>
  <c r="B46" i="102"/>
  <c r="Z45" i="102"/>
  <c r="X45" i="102"/>
  <c r="L45" i="102"/>
  <c r="N45" i="102" s="1"/>
  <c r="J45" i="102"/>
  <c r="B45" i="102"/>
  <c r="T44" i="102"/>
  <c r="R44" i="102"/>
  <c r="P44" i="102"/>
  <c r="L44" i="102"/>
  <c r="H44" i="102"/>
  <c r="D44" i="102"/>
  <c r="B44" i="102"/>
  <c r="X43" i="102"/>
  <c r="Z43" i="102" s="1"/>
  <c r="R43" i="102"/>
  <c r="N43" i="102"/>
  <c r="L43" i="102"/>
  <c r="B43" i="102"/>
  <c r="T42" i="102"/>
  <c r="P42" i="102"/>
  <c r="X42" i="102" s="1"/>
  <c r="Z42" i="102" s="1"/>
  <c r="N42" i="102"/>
  <c r="L42" i="102"/>
  <c r="H42" i="102"/>
  <c r="D42" i="102"/>
  <c r="B42" i="102"/>
  <c r="Z41" i="102"/>
  <c r="X41" i="102"/>
  <c r="N41" i="102"/>
  <c r="L41" i="102"/>
  <c r="J41" i="102"/>
  <c r="B41" i="102"/>
  <c r="X40" i="102"/>
  <c r="T40" i="102"/>
  <c r="Z40" i="102" s="1"/>
  <c r="P40" i="102"/>
  <c r="H40" i="102"/>
  <c r="N40" i="102" s="1"/>
  <c r="F40" i="102"/>
  <c r="D40" i="102"/>
  <c r="L40" i="102" s="1"/>
  <c r="B40" i="102"/>
  <c r="Z39" i="102"/>
  <c r="X39" i="102"/>
  <c r="N39" i="102"/>
  <c r="L39" i="102"/>
  <c r="B39" i="102"/>
  <c r="Z38" i="102"/>
  <c r="X38" i="102"/>
  <c r="N38" i="102"/>
  <c r="L38" i="102"/>
  <c r="J38" i="102"/>
  <c r="B38" i="102"/>
  <c r="Z37" i="102"/>
  <c r="X37" i="102"/>
  <c r="R37" i="102"/>
  <c r="N37" i="102"/>
  <c r="L37" i="102"/>
  <c r="B37" i="102"/>
  <c r="Z36" i="102"/>
  <c r="X36" i="102"/>
  <c r="N36" i="102"/>
  <c r="L36" i="102"/>
  <c r="J36" i="102"/>
  <c r="F36" i="102"/>
  <c r="B36" i="102"/>
  <c r="Z35" i="102"/>
  <c r="X35" i="102"/>
  <c r="N35" i="102"/>
  <c r="L35" i="102"/>
  <c r="B35" i="102"/>
  <c r="Z34" i="102"/>
  <c r="X34" i="102"/>
  <c r="N34" i="102"/>
  <c r="L34" i="102"/>
  <c r="J34" i="102"/>
  <c r="B34" i="102"/>
  <c r="Z33" i="102"/>
  <c r="X33" i="102"/>
  <c r="R33" i="102"/>
  <c r="N33" i="102"/>
  <c r="L33" i="102"/>
  <c r="B33" i="102"/>
  <c r="Z32" i="102"/>
  <c r="X32" i="102"/>
  <c r="N32" i="102"/>
  <c r="L32" i="102"/>
  <c r="J32" i="102"/>
  <c r="F32" i="102"/>
  <c r="B32" i="102"/>
  <c r="Z31" i="102"/>
  <c r="X31" i="102"/>
  <c r="N31" i="102"/>
  <c r="L31" i="102"/>
  <c r="B31" i="102"/>
  <c r="Z30" i="102"/>
  <c r="X30" i="102"/>
  <c r="N30" i="102"/>
  <c r="L30" i="102"/>
  <c r="J30" i="102"/>
  <c r="B30" i="102"/>
  <c r="T29" i="102"/>
  <c r="R29" i="102"/>
  <c r="P29" i="102"/>
  <c r="H29" i="102"/>
  <c r="D29" i="102"/>
  <c r="L29" i="102" s="1"/>
  <c r="B29" i="102"/>
  <c r="Z28" i="102"/>
  <c r="X28" i="102"/>
  <c r="V28" i="102"/>
  <c r="R28" i="102"/>
  <c r="N28" i="102"/>
  <c r="L28" i="102"/>
  <c r="B28" i="102"/>
  <c r="Z27" i="102"/>
  <c r="X27" i="102"/>
  <c r="L27" i="102"/>
  <c r="N27" i="102" s="1"/>
  <c r="J27" i="102"/>
  <c r="B27" i="102"/>
  <c r="X26" i="102"/>
  <c r="Z26" i="102" s="1"/>
  <c r="L26" i="102"/>
  <c r="N26" i="102" s="1"/>
  <c r="J26" i="102"/>
  <c r="B26" i="102"/>
  <c r="Z25" i="102"/>
  <c r="X25" i="102"/>
  <c r="N25" i="102"/>
  <c r="L25" i="102"/>
  <c r="J25" i="102"/>
  <c r="B25" i="102"/>
  <c r="X24" i="102"/>
  <c r="Z24" i="102" s="1"/>
  <c r="V24" i="102"/>
  <c r="R24" i="102"/>
  <c r="L24" i="102"/>
  <c r="N24" i="102" s="1"/>
  <c r="B24" i="102"/>
  <c r="Z23" i="102"/>
  <c r="X23" i="102"/>
  <c r="L23" i="102"/>
  <c r="N23" i="102" s="1"/>
  <c r="J23" i="102"/>
  <c r="B23" i="102"/>
  <c r="X22" i="102"/>
  <c r="Z22" i="102" s="1"/>
  <c r="V22" i="102"/>
  <c r="L22" i="102"/>
  <c r="N22" i="102" s="1"/>
  <c r="J22" i="102"/>
  <c r="B22" i="102"/>
  <c r="Z21" i="102"/>
  <c r="X21" i="102"/>
  <c r="L21" i="102"/>
  <c r="N21" i="102" s="1"/>
  <c r="J21" i="102"/>
  <c r="B21" i="102"/>
  <c r="X20" i="102"/>
  <c r="Z20" i="102" s="1"/>
  <c r="V20" i="102"/>
  <c r="R20" i="102"/>
  <c r="L20" i="102"/>
  <c r="N20" i="102" s="1"/>
  <c r="B20" i="102"/>
  <c r="T19" i="102"/>
  <c r="P19" i="102"/>
  <c r="X19" i="102" s="1"/>
  <c r="N19" i="102"/>
  <c r="J19" i="102"/>
  <c r="H19" i="102"/>
  <c r="D19" i="102"/>
  <c r="L19" i="102" s="1"/>
  <c r="B19" i="102"/>
  <c r="T18" i="102"/>
  <c r="Z18" i="102" s="1"/>
  <c r="R18" i="102"/>
  <c r="P18" i="102"/>
  <c r="X18" i="102" s="1"/>
  <c r="H18" i="102"/>
  <c r="F18" i="102"/>
  <c r="D18" i="102"/>
  <c r="L18" i="102" s="1"/>
  <c r="R16" i="102"/>
  <c r="P16" i="102"/>
  <c r="F16" i="102"/>
  <c r="T14" i="102"/>
  <c r="Z14" i="102" s="1"/>
  <c r="R14" i="102"/>
  <c r="P14" i="102"/>
  <c r="X14" i="102" s="1"/>
  <c r="H14" i="102"/>
  <c r="H16" i="102" s="1"/>
  <c r="F14" i="102"/>
  <c r="D14" i="102"/>
  <c r="L14" i="102" s="1"/>
  <c r="T12" i="102"/>
  <c r="V44" i="102" s="1"/>
  <c r="P12" i="102"/>
  <c r="N12" i="102"/>
  <c r="L12" i="102"/>
  <c r="H12" i="102"/>
  <c r="D12" i="102"/>
  <c r="F43" i="102" s="1"/>
  <c r="D6" i="102"/>
  <c r="D4" i="102"/>
  <c r="Z99" i="101"/>
  <c r="X99" i="101"/>
  <c r="L99" i="101"/>
  <c r="N99" i="101" s="1"/>
  <c r="J99" i="101"/>
  <c r="P95" i="101"/>
  <c r="X95" i="101" s="1"/>
  <c r="Z95" i="101" s="1"/>
  <c r="D95" i="101"/>
  <c r="L95" i="101" s="1"/>
  <c r="N95" i="101" s="1"/>
  <c r="B95" i="101"/>
  <c r="T94" i="101"/>
  <c r="P94" i="101"/>
  <c r="X94" i="101" s="1"/>
  <c r="Z94" i="101" s="1"/>
  <c r="H94" i="101"/>
  <c r="D94" i="101"/>
  <c r="L94" i="101" s="1"/>
  <c r="N94" i="101" s="1"/>
  <c r="Z92" i="101"/>
  <c r="X92" i="101"/>
  <c r="L92" i="101"/>
  <c r="N92" i="101" s="1"/>
  <c r="B92" i="101"/>
  <c r="T91" i="101"/>
  <c r="P91" i="101"/>
  <c r="H91" i="101"/>
  <c r="D91" i="101"/>
  <c r="B91" i="101"/>
  <c r="X90" i="101"/>
  <c r="Z90" i="101" s="1"/>
  <c r="N90" i="101"/>
  <c r="L90" i="101"/>
  <c r="B90" i="101"/>
  <c r="T89" i="101"/>
  <c r="Z89" i="101" s="1"/>
  <c r="P89" i="101"/>
  <c r="X89" i="101" s="1"/>
  <c r="H89" i="101"/>
  <c r="N89" i="101" s="1"/>
  <c r="D89" i="101"/>
  <c r="L89" i="101" s="1"/>
  <c r="B89" i="101"/>
  <c r="X88" i="101"/>
  <c r="Z88" i="101" s="1"/>
  <c r="N88" i="101"/>
  <c r="L88" i="101"/>
  <c r="B88" i="101"/>
  <c r="Z87" i="101"/>
  <c r="X87" i="101"/>
  <c r="L87" i="101"/>
  <c r="N87" i="101" s="1"/>
  <c r="B87" i="101"/>
  <c r="T86" i="101"/>
  <c r="Z86" i="101" s="1"/>
  <c r="P86" i="101"/>
  <c r="X86" i="101" s="1"/>
  <c r="H86" i="101"/>
  <c r="D86" i="101"/>
  <c r="B86" i="101"/>
  <c r="X85" i="101"/>
  <c r="Z85" i="101" s="1"/>
  <c r="N85" i="101"/>
  <c r="L85" i="101"/>
  <c r="B85" i="101"/>
  <c r="Z84" i="101"/>
  <c r="X84" i="101"/>
  <c r="N84" i="101"/>
  <c r="L84" i="101"/>
  <c r="B84" i="101"/>
  <c r="X83" i="101"/>
  <c r="Z83" i="101" s="1"/>
  <c r="V83" i="101"/>
  <c r="L83" i="101"/>
  <c r="N83" i="101" s="1"/>
  <c r="B83" i="101"/>
  <c r="Z82" i="101"/>
  <c r="X82" i="101"/>
  <c r="N82" i="101"/>
  <c r="L82" i="101"/>
  <c r="B82" i="101"/>
  <c r="X81" i="101"/>
  <c r="Z81" i="101" s="1"/>
  <c r="L81" i="101"/>
  <c r="N81" i="101" s="1"/>
  <c r="B81" i="101"/>
  <c r="Z80" i="101"/>
  <c r="X80" i="101"/>
  <c r="N80" i="101"/>
  <c r="L80" i="101"/>
  <c r="B80" i="101"/>
  <c r="Z79" i="101"/>
  <c r="X79" i="101"/>
  <c r="N79" i="101"/>
  <c r="L79" i="101"/>
  <c r="B79" i="101"/>
  <c r="T78" i="101"/>
  <c r="P78" i="101"/>
  <c r="X78" i="101" s="1"/>
  <c r="Z78" i="101" s="1"/>
  <c r="N78" i="101"/>
  <c r="H78" i="101"/>
  <c r="D78" i="101"/>
  <c r="L78" i="101" s="1"/>
  <c r="B78" i="101"/>
  <c r="X77" i="101"/>
  <c r="Z77" i="101" s="1"/>
  <c r="N77" i="101"/>
  <c r="L77" i="101"/>
  <c r="B77" i="101"/>
  <c r="X76" i="101"/>
  <c r="Z76" i="101" s="1"/>
  <c r="T76" i="101"/>
  <c r="P76" i="101"/>
  <c r="N76" i="101"/>
  <c r="L76" i="101"/>
  <c r="H76" i="101"/>
  <c r="D76" i="101"/>
  <c r="B76" i="101"/>
  <c r="Z75" i="101"/>
  <c r="X75" i="101"/>
  <c r="L75" i="101"/>
  <c r="N75" i="101" s="1"/>
  <c r="B75" i="101"/>
  <c r="Z74" i="101"/>
  <c r="X74" i="101"/>
  <c r="N74" i="101"/>
  <c r="L74" i="101"/>
  <c r="B74" i="101"/>
  <c r="X73" i="101"/>
  <c r="Z73" i="101" s="1"/>
  <c r="L73" i="101"/>
  <c r="N73" i="101" s="1"/>
  <c r="B73" i="101"/>
  <c r="T72" i="101"/>
  <c r="P72" i="101"/>
  <c r="H72" i="101"/>
  <c r="D72" i="101"/>
  <c r="L72" i="101" s="1"/>
  <c r="B72" i="101"/>
  <c r="Z71" i="101"/>
  <c r="X71" i="101"/>
  <c r="N71" i="101"/>
  <c r="L71" i="101"/>
  <c r="B71" i="101"/>
  <c r="Z70" i="101"/>
  <c r="X70" i="101"/>
  <c r="L70" i="101"/>
  <c r="N70" i="101" s="1"/>
  <c r="B70" i="101"/>
  <c r="T69" i="101"/>
  <c r="P69" i="101"/>
  <c r="H69" i="101"/>
  <c r="D69" i="101"/>
  <c r="B69" i="101"/>
  <c r="X68" i="101"/>
  <c r="Z68" i="101" s="1"/>
  <c r="L68" i="101"/>
  <c r="N68" i="101" s="1"/>
  <c r="B68" i="101"/>
  <c r="X67" i="101"/>
  <c r="Z67" i="101" s="1"/>
  <c r="N67" i="101"/>
  <c r="L67" i="101"/>
  <c r="B67" i="101"/>
  <c r="X66" i="101"/>
  <c r="Z66" i="101" s="1"/>
  <c r="N66" i="101"/>
  <c r="L66" i="101"/>
  <c r="B66" i="101"/>
  <c r="T65" i="101"/>
  <c r="Z65" i="101" s="1"/>
  <c r="P65" i="101"/>
  <c r="X65" i="101" s="1"/>
  <c r="H65" i="101"/>
  <c r="N65" i="101" s="1"/>
  <c r="D65" i="101"/>
  <c r="L65" i="101" s="1"/>
  <c r="B65" i="101"/>
  <c r="X64" i="101"/>
  <c r="Z64" i="101" s="1"/>
  <c r="N64" i="101"/>
  <c r="L64" i="101"/>
  <c r="B64" i="101"/>
  <c r="Z63" i="101"/>
  <c r="X63" i="101"/>
  <c r="T63" i="101"/>
  <c r="P63" i="101"/>
  <c r="N63" i="101"/>
  <c r="L63" i="101"/>
  <c r="H63" i="101"/>
  <c r="D63" i="101"/>
  <c r="B63" i="101"/>
  <c r="Z62" i="101"/>
  <c r="X62" i="101"/>
  <c r="N62" i="101"/>
  <c r="L62" i="101"/>
  <c r="J62" i="101"/>
  <c r="B62" i="101"/>
  <c r="T61" i="101"/>
  <c r="P61" i="101"/>
  <c r="H61" i="101"/>
  <c r="D61" i="101"/>
  <c r="B61" i="101"/>
  <c r="X60" i="101"/>
  <c r="Z60" i="101" s="1"/>
  <c r="N60" i="101"/>
  <c r="L60" i="101"/>
  <c r="B60" i="101"/>
  <c r="T59" i="101"/>
  <c r="Z59" i="101" s="1"/>
  <c r="P59" i="101"/>
  <c r="X59" i="101" s="1"/>
  <c r="H59" i="101"/>
  <c r="N59" i="101" s="1"/>
  <c r="D59" i="101"/>
  <c r="L59" i="101" s="1"/>
  <c r="B59" i="101"/>
  <c r="Z58" i="101"/>
  <c r="X58" i="101"/>
  <c r="N58" i="101"/>
  <c r="L58" i="101"/>
  <c r="B58" i="101"/>
  <c r="X57" i="101"/>
  <c r="Z57" i="101" s="1"/>
  <c r="L57" i="101"/>
  <c r="N57" i="101" s="1"/>
  <c r="B57" i="101"/>
  <c r="T56" i="101"/>
  <c r="P56" i="101"/>
  <c r="H56" i="101"/>
  <c r="D56" i="101"/>
  <c r="L56" i="101" s="1"/>
  <c r="B56" i="101"/>
  <c r="X55" i="101"/>
  <c r="Z55" i="101" s="1"/>
  <c r="L55" i="101"/>
  <c r="N55" i="101" s="1"/>
  <c r="B55" i="101"/>
  <c r="T54" i="101"/>
  <c r="P54" i="101"/>
  <c r="X54" i="101" s="1"/>
  <c r="Z54" i="101" s="1"/>
  <c r="N54" i="101"/>
  <c r="H54" i="101"/>
  <c r="D54" i="101"/>
  <c r="L54" i="101" s="1"/>
  <c r="B54" i="101"/>
  <c r="X53" i="101"/>
  <c r="Z53" i="101" s="1"/>
  <c r="L53" i="101"/>
  <c r="N53" i="101" s="1"/>
  <c r="B53" i="101"/>
  <c r="X52" i="101"/>
  <c r="Z52" i="101" s="1"/>
  <c r="T52" i="101"/>
  <c r="P52" i="101"/>
  <c r="L52" i="101"/>
  <c r="N52" i="101" s="1"/>
  <c r="H52" i="101"/>
  <c r="D52" i="101"/>
  <c r="B52" i="101"/>
  <c r="Z51" i="101"/>
  <c r="X51" i="101"/>
  <c r="N51" i="101"/>
  <c r="L51" i="101"/>
  <c r="J51" i="101"/>
  <c r="B51" i="101"/>
  <c r="T50" i="101"/>
  <c r="P50" i="101"/>
  <c r="X50" i="101" s="1"/>
  <c r="H50" i="101"/>
  <c r="D50" i="101"/>
  <c r="B50" i="101"/>
  <c r="Z49" i="101"/>
  <c r="X49" i="101"/>
  <c r="N49" i="101"/>
  <c r="L49" i="101"/>
  <c r="B49" i="101"/>
  <c r="Z48" i="101"/>
  <c r="X48" i="101"/>
  <c r="N48" i="101"/>
  <c r="L48" i="101"/>
  <c r="B48" i="101"/>
  <c r="X47" i="101"/>
  <c r="Z47" i="101" s="1"/>
  <c r="L47" i="101"/>
  <c r="N47" i="101" s="1"/>
  <c r="B47" i="101"/>
  <c r="Z46" i="101"/>
  <c r="X46" i="101"/>
  <c r="L46" i="101"/>
  <c r="N46" i="101" s="1"/>
  <c r="B46" i="101"/>
  <c r="Z45" i="101"/>
  <c r="X45" i="101"/>
  <c r="N45" i="101"/>
  <c r="L45" i="101"/>
  <c r="B45" i="101"/>
  <c r="Z44" i="101"/>
  <c r="X44" i="101"/>
  <c r="N44" i="101"/>
  <c r="L44" i="101"/>
  <c r="B44" i="101"/>
  <c r="X43" i="101"/>
  <c r="Z43" i="101" s="1"/>
  <c r="L43" i="101"/>
  <c r="N43" i="101" s="1"/>
  <c r="B43" i="101"/>
  <c r="Z42" i="101"/>
  <c r="X42" i="101"/>
  <c r="N42" i="101"/>
  <c r="L42" i="101"/>
  <c r="J42" i="101"/>
  <c r="B42" i="101"/>
  <c r="X41" i="101"/>
  <c r="Z41" i="101" s="1"/>
  <c r="L41" i="101"/>
  <c r="N41" i="101" s="1"/>
  <c r="B41" i="101"/>
  <c r="Z40" i="101"/>
  <c r="X40" i="101"/>
  <c r="N40" i="101"/>
  <c r="L40" i="101"/>
  <c r="B40" i="101"/>
  <c r="T39" i="101"/>
  <c r="P39" i="101"/>
  <c r="H39" i="101"/>
  <c r="D39" i="101"/>
  <c r="B39" i="101"/>
  <c r="X38" i="101"/>
  <c r="Z38" i="101" s="1"/>
  <c r="N38" i="101"/>
  <c r="L38" i="101"/>
  <c r="B38" i="101"/>
  <c r="X37" i="101"/>
  <c r="Z37" i="101" s="1"/>
  <c r="N37" i="101"/>
  <c r="L37" i="101"/>
  <c r="B37" i="101"/>
  <c r="X36" i="101"/>
  <c r="Z36" i="101" s="1"/>
  <c r="N36" i="101"/>
  <c r="L36" i="101"/>
  <c r="B36" i="101"/>
  <c r="Z35" i="101"/>
  <c r="X35" i="101"/>
  <c r="N35" i="101"/>
  <c r="L35" i="101"/>
  <c r="B35" i="101"/>
  <c r="Z34" i="101"/>
  <c r="X34" i="101"/>
  <c r="N34" i="101"/>
  <c r="L34" i="101"/>
  <c r="B34" i="101"/>
  <c r="X33" i="101"/>
  <c r="Z33" i="101" s="1"/>
  <c r="L33" i="101"/>
  <c r="N33" i="101" s="1"/>
  <c r="B33" i="101"/>
  <c r="X32" i="101"/>
  <c r="Z32" i="101" s="1"/>
  <c r="N32" i="101"/>
  <c r="L32" i="101"/>
  <c r="B32" i="101"/>
  <c r="X31" i="101"/>
  <c r="Z31" i="101" s="1"/>
  <c r="N31" i="101"/>
  <c r="L31" i="101"/>
  <c r="B31" i="101"/>
  <c r="X30" i="101"/>
  <c r="Z30" i="101" s="1"/>
  <c r="V30" i="101"/>
  <c r="N30" i="101"/>
  <c r="L30" i="101"/>
  <c r="B30" i="101"/>
  <c r="X29" i="101"/>
  <c r="Z29" i="101" s="1"/>
  <c r="N29" i="101"/>
  <c r="L29" i="101"/>
  <c r="B29" i="101"/>
  <c r="X28" i="101"/>
  <c r="Z28" i="101" s="1"/>
  <c r="T28" i="101"/>
  <c r="P28" i="101"/>
  <c r="L28" i="101"/>
  <c r="N28" i="101" s="1"/>
  <c r="H28" i="101"/>
  <c r="D28" i="101"/>
  <c r="B28" i="101"/>
  <c r="Z27" i="101"/>
  <c r="X27" i="101"/>
  <c r="T27" i="101"/>
  <c r="P27" i="101"/>
  <c r="L27" i="101"/>
  <c r="N27" i="101" s="1"/>
  <c r="H27" i="101"/>
  <c r="D27" i="101"/>
  <c r="Z23" i="101"/>
  <c r="X23" i="101"/>
  <c r="N23" i="101"/>
  <c r="L23" i="101"/>
  <c r="B23" i="101"/>
  <c r="Z22" i="101"/>
  <c r="X22" i="101"/>
  <c r="N22" i="101"/>
  <c r="L22" i="101"/>
  <c r="J22" i="101"/>
  <c r="B22" i="101"/>
  <c r="Z21" i="101"/>
  <c r="X21" i="101"/>
  <c r="L21" i="101"/>
  <c r="N21" i="101" s="1"/>
  <c r="J21" i="101"/>
  <c r="B21" i="101"/>
  <c r="T20" i="101"/>
  <c r="X20" i="101" s="1"/>
  <c r="P20" i="101"/>
  <c r="H20" i="101"/>
  <c r="D20" i="101"/>
  <c r="L20" i="101" s="1"/>
  <c r="N20" i="101" s="1"/>
  <c r="Z18" i="101"/>
  <c r="P18" i="101"/>
  <c r="X18" i="101" s="1"/>
  <c r="N18" i="101"/>
  <c r="L18" i="101"/>
  <c r="D18" i="101"/>
  <c r="B18" i="101"/>
  <c r="Z17" i="101"/>
  <c r="X17" i="101"/>
  <c r="P17" i="101"/>
  <c r="N17" i="101"/>
  <c r="D17" i="101"/>
  <c r="L17" i="101" s="1"/>
  <c r="B17" i="101"/>
  <c r="X16" i="101"/>
  <c r="Z16" i="101" s="1"/>
  <c r="P16" i="101"/>
  <c r="L16" i="101"/>
  <c r="N16" i="101" s="1"/>
  <c r="D16" i="101"/>
  <c r="B16" i="101"/>
  <c r="Z15" i="101"/>
  <c r="X15" i="101"/>
  <c r="P15" i="101"/>
  <c r="N15" i="101"/>
  <c r="D15" i="101"/>
  <c r="L15" i="101" s="1"/>
  <c r="B15" i="101"/>
  <c r="Z14" i="101"/>
  <c r="P14" i="101"/>
  <c r="X14" i="101" s="1"/>
  <c r="N14" i="101"/>
  <c r="D14" i="101"/>
  <c r="L14" i="101" s="1"/>
  <c r="B14" i="101"/>
  <c r="X13" i="101"/>
  <c r="Z13" i="101" s="1"/>
  <c r="P13" i="101"/>
  <c r="D13" i="101"/>
  <c r="B13" i="101"/>
  <c r="T12" i="101"/>
  <c r="V47" i="101" s="1"/>
  <c r="H12" i="101"/>
  <c r="J28" i="101" s="1"/>
  <c r="D6" i="101"/>
  <c r="D4" i="101"/>
  <c r="Z82" i="100"/>
  <c r="X82" i="100"/>
  <c r="L82" i="100"/>
  <c r="N82" i="100" s="1"/>
  <c r="P78" i="100"/>
  <c r="X78" i="100" s="1"/>
  <c r="Z78" i="100" s="1"/>
  <c r="L78" i="100"/>
  <c r="N78" i="100" s="1"/>
  <c r="D78" i="100"/>
  <c r="D77" i="100" s="1"/>
  <c r="L77" i="100" s="1"/>
  <c r="B78" i="100"/>
  <c r="T77" i="100"/>
  <c r="H77" i="100"/>
  <c r="Z75" i="100"/>
  <c r="X75" i="100"/>
  <c r="N75" i="100"/>
  <c r="L75" i="100"/>
  <c r="B75" i="100"/>
  <c r="Z74" i="100"/>
  <c r="X74" i="100"/>
  <c r="L74" i="100"/>
  <c r="N74" i="100" s="1"/>
  <c r="J74" i="100"/>
  <c r="B74" i="100"/>
  <c r="T73" i="100"/>
  <c r="P73" i="100"/>
  <c r="H73" i="100"/>
  <c r="D73" i="100"/>
  <c r="L73" i="100" s="1"/>
  <c r="B73" i="100"/>
  <c r="Z72" i="100"/>
  <c r="X72" i="100"/>
  <c r="N72" i="100"/>
  <c r="L72" i="100"/>
  <c r="B72" i="100"/>
  <c r="X71" i="100"/>
  <c r="Z71" i="100" s="1"/>
  <c r="N71" i="100"/>
  <c r="L71" i="100"/>
  <c r="B71" i="100"/>
  <c r="X70" i="100"/>
  <c r="Z70" i="100" s="1"/>
  <c r="N70" i="100"/>
  <c r="L70" i="100"/>
  <c r="J70" i="100"/>
  <c r="B70" i="100"/>
  <c r="Z69" i="100"/>
  <c r="X69" i="100"/>
  <c r="N69" i="100"/>
  <c r="L69" i="100"/>
  <c r="B69" i="100"/>
  <c r="Z68" i="100"/>
  <c r="X68" i="100"/>
  <c r="V68" i="100"/>
  <c r="N68" i="100"/>
  <c r="L68" i="100"/>
  <c r="B68" i="100"/>
  <c r="T67" i="100"/>
  <c r="P67" i="100"/>
  <c r="X67" i="100" s="1"/>
  <c r="Z67" i="100" s="1"/>
  <c r="N67" i="100"/>
  <c r="L67" i="100"/>
  <c r="H67" i="100"/>
  <c r="D67" i="100"/>
  <c r="B67" i="100"/>
  <c r="Z66" i="100"/>
  <c r="X66" i="100"/>
  <c r="N66" i="100"/>
  <c r="L66" i="100"/>
  <c r="B66" i="100"/>
  <c r="Z65" i="100"/>
  <c r="T65" i="100"/>
  <c r="P65" i="100"/>
  <c r="X65" i="100" s="1"/>
  <c r="H65" i="100"/>
  <c r="N65" i="100" s="1"/>
  <c r="D65" i="100"/>
  <c r="L65" i="100" s="1"/>
  <c r="B65" i="100"/>
  <c r="Z64" i="100"/>
  <c r="X64" i="100"/>
  <c r="N64" i="100"/>
  <c r="L64" i="100"/>
  <c r="B64" i="100"/>
  <c r="X63" i="100"/>
  <c r="Z63" i="100" s="1"/>
  <c r="N63" i="100"/>
  <c r="L63" i="100"/>
  <c r="B63" i="100"/>
  <c r="X62" i="100"/>
  <c r="Z62" i="100" s="1"/>
  <c r="N62" i="100"/>
  <c r="L62" i="100"/>
  <c r="B62" i="100"/>
  <c r="Z61" i="100"/>
  <c r="T61" i="100"/>
  <c r="P61" i="100"/>
  <c r="X61" i="100" s="1"/>
  <c r="H61" i="100"/>
  <c r="N61" i="100" s="1"/>
  <c r="D61" i="100"/>
  <c r="L61" i="100" s="1"/>
  <c r="B61" i="100"/>
  <c r="Z60" i="100"/>
  <c r="X60" i="100"/>
  <c r="N60" i="100"/>
  <c r="L60" i="100"/>
  <c r="B60" i="100"/>
  <c r="Z59" i="100"/>
  <c r="X59" i="100"/>
  <c r="V59" i="100"/>
  <c r="N59" i="100"/>
  <c r="L59" i="100"/>
  <c r="B59" i="100"/>
  <c r="T58" i="100"/>
  <c r="Z58" i="100" s="1"/>
  <c r="P58" i="100"/>
  <c r="X58" i="100" s="1"/>
  <c r="N58" i="100"/>
  <c r="L58" i="100"/>
  <c r="H58" i="100"/>
  <c r="D58" i="100"/>
  <c r="B58" i="100"/>
  <c r="Z57" i="100"/>
  <c r="X57" i="100"/>
  <c r="N57" i="100"/>
  <c r="L57" i="100"/>
  <c r="B57" i="100"/>
  <c r="Z56" i="100"/>
  <c r="T56" i="100"/>
  <c r="P56" i="100"/>
  <c r="X56" i="100" s="1"/>
  <c r="N56" i="100"/>
  <c r="L56" i="100"/>
  <c r="H56" i="100"/>
  <c r="D56" i="100"/>
  <c r="B56" i="100"/>
  <c r="X55" i="100"/>
  <c r="Z55" i="100" s="1"/>
  <c r="N55" i="100"/>
  <c r="L55" i="100"/>
  <c r="J55" i="100"/>
  <c r="B55" i="100"/>
  <c r="X54" i="100"/>
  <c r="T54" i="100"/>
  <c r="Z54" i="100" s="1"/>
  <c r="P54" i="100"/>
  <c r="J54" i="100"/>
  <c r="H54" i="100"/>
  <c r="D54" i="100"/>
  <c r="B54" i="100"/>
  <c r="Z53" i="100"/>
  <c r="X53" i="100"/>
  <c r="N53" i="100"/>
  <c r="L53" i="100"/>
  <c r="B53" i="100"/>
  <c r="Z52" i="100"/>
  <c r="X52" i="100"/>
  <c r="T52" i="100"/>
  <c r="P52" i="100"/>
  <c r="H52" i="100"/>
  <c r="N52" i="100" s="1"/>
  <c r="D52" i="100"/>
  <c r="L52" i="100" s="1"/>
  <c r="B52" i="100"/>
  <c r="Z51" i="100"/>
  <c r="X51" i="100"/>
  <c r="N51" i="100"/>
  <c r="L51" i="100"/>
  <c r="B51" i="100"/>
  <c r="X50" i="100"/>
  <c r="Z50" i="100" s="1"/>
  <c r="T50" i="100"/>
  <c r="P50" i="100"/>
  <c r="N50" i="100"/>
  <c r="H50" i="100"/>
  <c r="D50" i="100"/>
  <c r="L50" i="100" s="1"/>
  <c r="B50" i="100"/>
  <c r="Z49" i="100"/>
  <c r="X49" i="100"/>
  <c r="L49" i="100"/>
  <c r="N49" i="100" s="1"/>
  <c r="B49" i="100"/>
  <c r="T48" i="100"/>
  <c r="P48" i="100"/>
  <c r="L48" i="100"/>
  <c r="H48" i="100"/>
  <c r="N48" i="100" s="1"/>
  <c r="D48" i="100"/>
  <c r="B48" i="100"/>
  <c r="X47" i="100"/>
  <c r="Z47" i="100" s="1"/>
  <c r="V47" i="100"/>
  <c r="N47" i="100"/>
  <c r="L47" i="100"/>
  <c r="B47" i="100"/>
  <c r="T46" i="100"/>
  <c r="P46" i="100"/>
  <c r="X46" i="100" s="1"/>
  <c r="N46" i="100"/>
  <c r="L46" i="100"/>
  <c r="H46" i="100"/>
  <c r="D46" i="100"/>
  <c r="B46" i="100"/>
  <c r="Z45" i="100"/>
  <c r="X45" i="100"/>
  <c r="N45" i="100"/>
  <c r="L45" i="100"/>
  <c r="B45" i="100"/>
  <c r="Z44" i="100"/>
  <c r="X44" i="100"/>
  <c r="N44" i="100"/>
  <c r="L44" i="100"/>
  <c r="J44" i="100"/>
  <c r="B44" i="100"/>
  <c r="Z43" i="100"/>
  <c r="X43" i="100"/>
  <c r="L43" i="100"/>
  <c r="N43" i="100" s="1"/>
  <c r="B43" i="100"/>
  <c r="Z42" i="100"/>
  <c r="X42" i="100"/>
  <c r="N42" i="100"/>
  <c r="L42" i="100"/>
  <c r="B42" i="100"/>
  <c r="Z41" i="100"/>
  <c r="X41" i="100"/>
  <c r="N41" i="100"/>
  <c r="L41" i="100"/>
  <c r="B41" i="100"/>
  <c r="Z40" i="100"/>
  <c r="X40" i="100"/>
  <c r="L40" i="100"/>
  <c r="N40" i="100" s="1"/>
  <c r="J40" i="100"/>
  <c r="B40" i="100"/>
  <c r="Z39" i="100"/>
  <c r="X39" i="100"/>
  <c r="N39" i="100"/>
  <c r="L39" i="100"/>
  <c r="B39" i="100"/>
  <c r="Z38" i="100"/>
  <c r="X38" i="100"/>
  <c r="N38" i="100"/>
  <c r="L38" i="100"/>
  <c r="B38" i="100"/>
  <c r="Z37" i="100"/>
  <c r="X37" i="100"/>
  <c r="N37" i="100"/>
  <c r="L37" i="100"/>
  <c r="B37" i="100"/>
  <c r="Z36" i="100"/>
  <c r="X36" i="100"/>
  <c r="N36" i="100"/>
  <c r="L36" i="100"/>
  <c r="J36" i="100"/>
  <c r="B36" i="100"/>
  <c r="T35" i="100"/>
  <c r="P35" i="100"/>
  <c r="X35" i="100" s="1"/>
  <c r="H35" i="100"/>
  <c r="D35" i="100"/>
  <c r="B35" i="100"/>
  <c r="X34" i="100"/>
  <c r="Z34" i="100" s="1"/>
  <c r="N34" i="100"/>
  <c r="L34" i="100"/>
  <c r="B34" i="100"/>
  <c r="Z33" i="100"/>
  <c r="X33" i="100"/>
  <c r="N33" i="100"/>
  <c r="L33" i="100"/>
  <c r="B33" i="100"/>
  <c r="Z32" i="100"/>
  <c r="X32" i="100"/>
  <c r="V32" i="100"/>
  <c r="N32" i="100"/>
  <c r="L32" i="100"/>
  <c r="B32" i="100"/>
  <c r="Z31" i="100"/>
  <c r="X31" i="100"/>
  <c r="N31" i="100"/>
  <c r="L31" i="100"/>
  <c r="J31" i="100"/>
  <c r="B31" i="100"/>
  <c r="X30" i="100"/>
  <c r="Z30" i="100" s="1"/>
  <c r="N30" i="100"/>
  <c r="L30" i="100"/>
  <c r="B30" i="100"/>
  <c r="Z29" i="100"/>
  <c r="X29" i="100"/>
  <c r="N29" i="100"/>
  <c r="L29" i="100"/>
  <c r="B29" i="100"/>
  <c r="Z28" i="100"/>
  <c r="X28" i="100"/>
  <c r="V28" i="100"/>
  <c r="N28" i="100"/>
  <c r="L28" i="100"/>
  <c r="B28" i="100"/>
  <c r="Z27" i="100"/>
  <c r="X27" i="100"/>
  <c r="N27" i="100"/>
  <c r="L27" i="100"/>
  <c r="J27" i="100"/>
  <c r="B27" i="100"/>
  <c r="X26" i="100"/>
  <c r="T26" i="100"/>
  <c r="Z26" i="100" s="1"/>
  <c r="P26" i="100"/>
  <c r="J26" i="100"/>
  <c r="H26" i="100"/>
  <c r="D26" i="100"/>
  <c r="B26" i="100"/>
  <c r="X25" i="100"/>
  <c r="T25" i="100"/>
  <c r="Z25" i="100" s="1"/>
  <c r="P25" i="100"/>
  <c r="L25" i="100"/>
  <c r="J25" i="100"/>
  <c r="H25" i="100"/>
  <c r="N25" i="100" s="1"/>
  <c r="D25" i="100"/>
  <c r="J23" i="100"/>
  <c r="H23" i="100"/>
  <c r="H80" i="100" s="1"/>
  <c r="Z21" i="100"/>
  <c r="X21" i="100"/>
  <c r="N21" i="100"/>
  <c r="L21" i="100"/>
  <c r="B21" i="100"/>
  <c r="Z20" i="100"/>
  <c r="X20" i="100"/>
  <c r="N20" i="100"/>
  <c r="L20" i="100"/>
  <c r="B20" i="100"/>
  <c r="X19" i="100"/>
  <c r="Z19" i="100" s="1"/>
  <c r="V19" i="100"/>
  <c r="N19" i="100"/>
  <c r="L19" i="100"/>
  <c r="B19" i="100"/>
  <c r="T18" i="100"/>
  <c r="P18" i="100"/>
  <c r="X18" i="100" s="1"/>
  <c r="Z18" i="100" s="1"/>
  <c r="N18" i="100"/>
  <c r="L18" i="100"/>
  <c r="H18" i="100"/>
  <c r="D18" i="100"/>
  <c r="Z16" i="100"/>
  <c r="P16" i="100"/>
  <c r="X16" i="100" s="1"/>
  <c r="N16" i="100"/>
  <c r="L16" i="100"/>
  <c r="D16" i="100"/>
  <c r="B16" i="100"/>
  <c r="P15" i="100"/>
  <c r="X15" i="100" s="1"/>
  <c r="Z15" i="100" s="1"/>
  <c r="N15" i="100"/>
  <c r="D15" i="100"/>
  <c r="L15" i="100" s="1"/>
  <c r="B15" i="100"/>
  <c r="Z14" i="100"/>
  <c r="P14" i="100"/>
  <c r="N14" i="100"/>
  <c r="L14" i="100"/>
  <c r="D14" i="100"/>
  <c r="B14" i="100"/>
  <c r="X13" i="100"/>
  <c r="Z13" i="100" s="1"/>
  <c r="P13" i="100"/>
  <c r="N13" i="100"/>
  <c r="D13" i="100"/>
  <c r="B13" i="100"/>
  <c r="T12" i="100"/>
  <c r="H12" i="100"/>
  <c r="J87" i="100" s="1"/>
  <c r="D6" i="100"/>
  <c r="D4" i="100"/>
  <c r="V62" i="99"/>
  <c r="F62" i="99"/>
  <c r="V59" i="99"/>
  <c r="F59" i="99"/>
  <c r="Z57" i="99"/>
  <c r="X57" i="99"/>
  <c r="V57" i="99"/>
  <c r="N57" i="99"/>
  <c r="L57" i="99"/>
  <c r="P53" i="99"/>
  <c r="X53" i="99" s="1"/>
  <c r="Z53" i="99" s="1"/>
  <c r="L53" i="99"/>
  <c r="N53" i="99" s="1"/>
  <c r="J53" i="99"/>
  <c r="F53" i="99"/>
  <c r="D53" i="99"/>
  <c r="D52" i="99" s="1"/>
  <c r="B53" i="99"/>
  <c r="T52" i="99"/>
  <c r="P52" i="99"/>
  <c r="L52" i="99"/>
  <c r="J52" i="99"/>
  <c r="H52" i="99"/>
  <c r="N52" i="99" s="1"/>
  <c r="F52" i="99"/>
  <c r="Z50" i="99"/>
  <c r="X50" i="99"/>
  <c r="N50" i="99"/>
  <c r="L50" i="99"/>
  <c r="F50" i="99"/>
  <c r="B50" i="99"/>
  <c r="Z49" i="99"/>
  <c r="X49" i="99"/>
  <c r="T49" i="99"/>
  <c r="P49" i="99"/>
  <c r="N49" i="99"/>
  <c r="H49" i="99"/>
  <c r="F49" i="99"/>
  <c r="D49" i="99"/>
  <c r="L49" i="99" s="1"/>
  <c r="B49" i="99"/>
  <c r="Z48" i="99"/>
  <c r="X48" i="99"/>
  <c r="L48" i="99"/>
  <c r="N48" i="99" s="1"/>
  <c r="B48" i="99"/>
  <c r="X47" i="99"/>
  <c r="Z47" i="99" s="1"/>
  <c r="T47" i="99"/>
  <c r="P47" i="99"/>
  <c r="H47" i="99"/>
  <c r="D47" i="99"/>
  <c r="L47" i="99" s="1"/>
  <c r="N47" i="99" s="1"/>
  <c r="B47" i="99"/>
  <c r="Z46" i="99"/>
  <c r="X46" i="99"/>
  <c r="N46" i="99"/>
  <c r="L46" i="99"/>
  <c r="F46" i="99"/>
  <c r="B46" i="99"/>
  <c r="V45" i="99"/>
  <c r="T45" i="99"/>
  <c r="P45" i="99"/>
  <c r="N45" i="99"/>
  <c r="L45" i="99"/>
  <c r="H45" i="99"/>
  <c r="F45" i="99"/>
  <c r="D45" i="99"/>
  <c r="B45" i="99"/>
  <c r="X44" i="99"/>
  <c r="Z44" i="99" s="1"/>
  <c r="V44" i="99"/>
  <c r="N44" i="99"/>
  <c r="L44" i="99"/>
  <c r="F44" i="99"/>
  <c r="B44" i="99"/>
  <c r="T43" i="99"/>
  <c r="P43" i="99"/>
  <c r="X43" i="99" s="1"/>
  <c r="Z43" i="99" s="1"/>
  <c r="N43" i="99"/>
  <c r="L43" i="99"/>
  <c r="H43" i="99"/>
  <c r="F43" i="99"/>
  <c r="D43" i="99"/>
  <c r="B43" i="99"/>
  <c r="X42" i="99"/>
  <c r="Z42" i="99" s="1"/>
  <c r="N42" i="99"/>
  <c r="L42" i="99"/>
  <c r="B42" i="99"/>
  <c r="T41" i="99"/>
  <c r="P41" i="99"/>
  <c r="X41" i="99" s="1"/>
  <c r="Z41" i="99" s="1"/>
  <c r="N41" i="99"/>
  <c r="L41" i="99"/>
  <c r="H41" i="99"/>
  <c r="D41" i="99"/>
  <c r="B41" i="99"/>
  <c r="Z40" i="99"/>
  <c r="X40" i="99"/>
  <c r="N40" i="99"/>
  <c r="L40" i="99"/>
  <c r="J40" i="99"/>
  <c r="F40" i="99"/>
  <c r="B40" i="99"/>
  <c r="Z39" i="99"/>
  <c r="X39" i="99"/>
  <c r="N39" i="99"/>
  <c r="L39" i="99"/>
  <c r="F39" i="99"/>
  <c r="B39" i="99"/>
  <c r="Z38" i="99"/>
  <c r="X38" i="99"/>
  <c r="N38" i="99"/>
  <c r="L38" i="99"/>
  <c r="F38" i="99"/>
  <c r="B38" i="99"/>
  <c r="Z37" i="99"/>
  <c r="X37" i="99"/>
  <c r="V37" i="99"/>
  <c r="N37" i="99"/>
  <c r="L37" i="99"/>
  <c r="F37" i="99"/>
  <c r="B37" i="99"/>
  <c r="Z36" i="99"/>
  <c r="X36" i="99"/>
  <c r="N36" i="99"/>
  <c r="L36" i="99"/>
  <c r="J36" i="99"/>
  <c r="F36" i="99"/>
  <c r="B36" i="99"/>
  <c r="Z35" i="99"/>
  <c r="X35" i="99"/>
  <c r="N35" i="99"/>
  <c r="L35" i="99"/>
  <c r="F35" i="99"/>
  <c r="B35" i="99"/>
  <c r="Z34" i="99"/>
  <c r="X34" i="99"/>
  <c r="N34" i="99"/>
  <c r="L34" i="99"/>
  <c r="F34" i="99"/>
  <c r="B34" i="99"/>
  <c r="Z33" i="99"/>
  <c r="X33" i="99"/>
  <c r="V33" i="99"/>
  <c r="N33" i="99"/>
  <c r="L33" i="99"/>
  <c r="F33" i="99"/>
  <c r="B33" i="99"/>
  <c r="Z32" i="99"/>
  <c r="X32" i="99"/>
  <c r="N32" i="99"/>
  <c r="L32" i="99"/>
  <c r="J32" i="99"/>
  <c r="F32" i="99"/>
  <c r="B32" i="99"/>
  <c r="X31" i="99"/>
  <c r="Z31" i="99" s="1"/>
  <c r="N31" i="99"/>
  <c r="L31" i="99"/>
  <c r="F31" i="99"/>
  <c r="B31" i="99"/>
  <c r="Z30" i="99"/>
  <c r="T30" i="99"/>
  <c r="P30" i="99"/>
  <c r="X30" i="99" s="1"/>
  <c r="H30" i="99"/>
  <c r="F30" i="99"/>
  <c r="D30" i="99"/>
  <c r="L30" i="99" s="1"/>
  <c r="B30" i="99"/>
  <c r="Z29" i="99"/>
  <c r="X29" i="99"/>
  <c r="N29" i="99"/>
  <c r="L29" i="99"/>
  <c r="F29" i="99"/>
  <c r="B29" i="99"/>
  <c r="Z28" i="99"/>
  <c r="X28" i="99"/>
  <c r="V28" i="99"/>
  <c r="N28" i="99"/>
  <c r="L28" i="99"/>
  <c r="F28" i="99"/>
  <c r="B28" i="99"/>
  <c r="Z27" i="99"/>
  <c r="X27" i="99"/>
  <c r="L27" i="99"/>
  <c r="N27" i="99" s="1"/>
  <c r="F27" i="99"/>
  <c r="B27" i="99"/>
  <c r="Z26" i="99"/>
  <c r="X26" i="99"/>
  <c r="N26" i="99"/>
  <c r="L26" i="99"/>
  <c r="F26" i="99"/>
  <c r="B26" i="99"/>
  <c r="Z25" i="99"/>
  <c r="X25" i="99"/>
  <c r="N25" i="99"/>
  <c r="L25" i="99"/>
  <c r="F25" i="99"/>
  <c r="B25" i="99"/>
  <c r="X24" i="99"/>
  <c r="Z24" i="99" s="1"/>
  <c r="V24" i="99"/>
  <c r="N24" i="99"/>
  <c r="L24" i="99"/>
  <c r="F24" i="99"/>
  <c r="B24" i="99"/>
  <c r="Z23" i="99"/>
  <c r="X23" i="99"/>
  <c r="L23" i="99"/>
  <c r="N23" i="99" s="1"/>
  <c r="F23" i="99"/>
  <c r="B23" i="99"/>
  <c r="X22" i="99"/>
  <c r="Z22" i="99" s="1"/>
  <c r="N22" i="99"/>
  <c r="L22" i="99"/>
  <c r="F22" i="99"/>
  <c r="B22" i="99"/>
  <c r="Z21" i="99"/>
  <c r="X21" i="99"/>
  <c r="N21" i="99"/>
  <c r="L21" i="99"/>
  <c r="F21" i="99"/>
  <c r="B21" i="99"/>
  <c r="X20" i="99"/>
  <c r="V20" i="99"/>
  <c r="T20" i="99"/>
  <c r="P20" i="99"/>
  <c r="L20" i="99"/>
  <c r="H20" i="99"/>
  <c r="N20" i="99" s="1"/>
  <c r="F20" i="99"/>
  <c r="D20" i="99"/>
  <c r="B20" i="99"/>
  <c r="X19" i="99"/>
  <c r="Z19" i="99" s="1"/>
  <c r="T19" i="99"/>
  <c r="P19" i="99"/>
  <c r="H19" i="99"/>
  <c r="F19" i="99"/>
  <c r="D19" i="99"/>
  <c r="L19" i="99" s="1"/>
  <c r="N19" i="99" s="1"/>
  <c r="F17" i="99"/>
  <c r="Z15" i="99"/>
  <c r="X15" i="99"/>
  <c r="N15" i="99"/>
  <c r="L15" i="99"/>
  <c r="B15" i="99"/>
  <c r="T14" i="99"/>
  <c r="P14" i="99"/>
  <c r="H14" i="99"/>
  <c r="N14" i="99" s="1"/>
  <c r="D14" i="99"/>
  <c r="L14" i="99" s="1"/>
  <c r="T12" i="99"/>
  <c r="V46" i="99" s="1"/>
  <c r="P12" i="99"/>
  <c r="N12" i="99"/>
  <c r="H12" i="99"/>
  <c r="J42" i="99" s="1"/>
  <c r="D12" i="99"/>
  <c r="F55" i="99" s="1"/>
  <c r="D6" i="99"/>
  <c r="D4" i="99"/>
  <c r="J60" i="98"/>
  <c r="J57" i="98"/>
  <c r="Z55" i="98"/>
  <c r="X55" i="98"/>
  <c r="N55" i="98"/>
  <c r="L55" i="98"/>
  <c r="J55" i="98"/>
  <c r="J53" i="98"/>
  <c r="T51" i="98"/>
  <c r="Z51" i="98" s="1"/>
  <c r="P51" i="98"/>
  <c r="X51" i="98" s="1"/>
  <c r="J51" i="98"/>
  <c r="H51" i="98"/>
  <c r="N51" i="98" s="1"/>
  <c r="D51" i="98"/>
  <c r="Z49" i="98"/>
  <c r="X49" i="98"/>
  <c r="N49" i="98"/>
  <c r="L49" i="98"/>
  <c r="B49" i="98"/>
  <c r="Z48" i="98"/>
  <c r="X48" i="98"/>
  <c r="T48" i="98"/>
  <c r="P48" i="98"/>
  <c r="N48" i="98"/>
  <c r="J48" i="98"/>
  <c r="H48" i="98"/>
  <c r="D48" i="98"/>
  <c r="L48" i="98" s="1"/>
  <c r="B48" i="98"/>
  <c r="Z47" i="98"/>
  <c r="X47" i="98"/>
  <c r="N47" i="98"/>
  <c r="L47" i="98"/>
  <c r="B47" i="98"/>
  <c r="Z46" i="98"/>
  <c r="X46" i="98"/>
  <c r="N46" i="98"/>
  <c r="L46" i="98"/>
  <c r="B46" i="98"/>
  <c r="T45" i="98"/>
  <c r="Z45" i="98" s="1"/>
  <c r="P45" i="98"/>
  <c r="X45" i="98" s="1"/>
  <c r="N45" i="98"/>
  <c r="J45" i="98"/>
  <c r="H45" i="98"/>
  <c r="D45" i="98"/>
  <c r="L45" i="98" s="1"/>
  <c r="B45" i="98"/>
  <c r="Z44" i="98"/>
  <c r="X44" i="98"/>
  <c r="N44" i="98"/>
  <c r="L44" i="98"/>
  <c r="J44" i="98"/>
  <c r="B44" i="98"/>
  <c r="X43" i="98"/>
  <c r="T43" i="98"/>
  <c r="Z43" i="98" s="1"/>
  <c r="P43" i="98"/>
  <c r="N43" i="98"/>
  <c r="L43" i="98"/>
  <c r="J43" i="98"/>
  <c r="H43" i="98"/>
  <c r="D43" i="98"/>
  <c r="B43" i="98"/>
  <c r="Z42" i="98"/>
  <c r="X42" i="98"/>
  <c r="N42" i="98"/>
  <c r="L42" i="98"/>
  <c r="J42" i="98"/>
  <c r="B42" i="98"/>
  <c r="T41" i="98"/>
  <c r="Z41" i="98" s="1"/>
  <c r="P41" i="98"/>
  <c r="J41" i="98"/>
  <c r="H41" i="98"/>
  <c r="N41" i="98" s="1"/>
  <c r="D41" i="98"/>
  <c r="L41" i="98" s="1"/>
  <c r="B41" i="98"/>
  <c r="Z40" i="98"/>
  <c r="X40" i="98"/>
  <c r="V40" i="98"/>
  <c r="N40" i="98"/>
  <c r="L40" i="98"/>
  <c r="B40" i="98"/>
  <c r="Z39" i="98"/>
  <c r="X39" i="98"/>
  <c r="V39" i="98"/>
  <c r="T39" i="98"/>
  <c r="P39" i="98"/>
  <c r="J39" i="98"/>
  <c r="H39" i="98"/>
  <c r="N39" i="98" s="1"/>
  <c r="D39" i="98"/>
  <c r="L39" i="98" s="1"/>
  <c r="B39" i="98"/>
  <c r="Z38" i="98"/>
  <c r="X38" i="98"/>
  <c r="N38" i="98"/>
  <c r="L38" i="98"/>
  <c r="J38" i="98"/>
  <c r="B38" i="98"/>
  <c r="T37" i="98"/>
  <c r="Z37" i="98" s="1"/>
  <c r="P37" i="98"/>
  <c r="L37" i="98"/>
  <c r="H37" i="98"/>
  <c r="N37" i="98" s="1"/>
  <c r="D37" i="98"/>
  <c r="B37" i="98"/>
  <c r="Z36" i="98"/>
  <c r="X36" i="98"/>
  <c r="N36" i="98"/>
  <c r="L36" i="98"/>
  <c r="J36" i="98"/>
  <c r="B36" i="98"/>
  <c r="Z35" i="98"/>
  <c r="X35" i="98"/>
  <c r="N35" i="98"/>
  <c r="L35" i="98"/>
  <c r="J35" i="98"/>
  <c r="B35" i="98"/>
  <c r="Z34" i="98"/>
  <c r="X34" i="98"/>
  <c r="V34" i="98"/>
  <c r="N34" i="98"/>
  <c r="L34" i="98"/>
  <c r="J34" i="98"/>
  <c r="B34" i="98"/>
  <c r="Z33" i="98"/>
  <c r="X33" i="98"/>
  <c r="N33" i="98"/>
  <c r="L33" i="98"/>
  <c r="J33" i="98"/>
  <c r="B33" i="98"/>
  <c r="Z32" i="98"/>
  <c r="X32" i="98"/>
  <c r="V32" i="98"/>
  <c r="T32" i="98"/>
  <c r="P32" i="98"/>
  <c r="N32" i="98"/>
  <c r="J32" i="98"/>
  <c r="H32" i="98"/>
  <c r="D32" i="98"/>
  <c r="L32" i="98" s="1"/>
  <c r="B32" i="98"/>
  <c r="Z31" i="98"/>
  <c r="X31" i="98"/>
  <c r="V31" i="98"/>
  <c r="N31" i="98"/>
  <c r="L31" i="98"/>
  <c r="B31" i="98"/>
  <c r="Z30" i="98"/>
  <c r="X30" i="98"/>
  <c r="N30" i="98"/>
  <c r="L30" i="98"/>
  <c r="B30" i="98"/>
  <c r="Z29" i="98"/>
  <c r="X29" i="98"/>
  <c r="N29" i="98"/>
  <c r="L29" i="98"/>
  <c r="J29" i="98"/>
  <c r="B29" i="98"/>
  <c r="Z28" i="98"/>
  <c r="X28" i="98"/>
  <c r="V28" i="98"/>
  <c r="N28" i="98"/>
  <c r="L28" i="98"/>
  <c r="J28" i="98"/>
  <c r="B28" i="98"/>
  <c r="Z27" i="98"/>
  <c r="X27" i="98"/>
  <c r="V27" i="98"/>
  <c r="N27" i="98"/>
  <c r="L27" i="98"/>
  <c r="B27" i="98"/>
  <c r="Z26" i="98"/>
  <c r="X26" i="98"/>
  <c r="V26" i="98"/>
  <c r="N26" i="98"/>
  <c r="L26" i="98"/>
  <c r="B26" i="98"/>
  <c r="Z25" i="98"/>
  <c r="X25" i="98"/>
  <c r="N25" i="98"/>
  <c r="L25" i="98"/>
  <c r="J25" i="98"/>
  <c r="B25" i="98"/>
  <c r="Z24" i="98"/>
  <c r="X24" i="98"/>
  <c r="N24" i="98"/>
  <c r="L24" i="98"/>
  <c r="J24" i="98"/>
  <c r="B24" i="98"/>
  <c r="Z23" i="98"/>
  <c r="V23" i="98"/>
  <c r="T23" i="98"/>
  <c r="P23" i="98"/>
  <c r="X23" i="98" s="1"/>
  <c r="J23" i="98"/>
  <c r="H23" i="98"/>
  <c r="N23" i="98" s="1"/>
  <c r="D23" i="98"/>
  <c r="L23" i="98" s="1"/>
  <c r="B23" i="98"/>
  <c r="T22" i="98"/>
  <c r="Z22" i="98" s="1"/>
  <c r="P22" i="98"/>
  <c r="N22" i="98"/>
  <c r="J22" i="98"/>
  <c r="H22" i="98"/>
  <c r="D22" i="98"/>
  <c r="L22" i="98" s="1"/>
  <c r="J20" i="98"/>
  <c r="H20" i="98"/>
  <c r="Z18" i="98"/>
  <c r="X18" i="98"/>
  <c r="N18" i="98"/>
  <c r="L18" i="98"/>
  <c r="J18" i="98"/>
  <c r="B18" i="98"/>
  <c r="Z17" i="98"/>
  <c r="X17" i="98"/>
  <c r="V17" i="98"/>
  <c r="N17" i="98"/>
  <c r="L17" i="98"/>
  <c r="J17" i="98"/>
  <c r="B17" i="98"/>
  <c r="T16" i="98"/>
  <c r="Z16" i="98" s="1"/>
  <c r="P16" i="98"/>
  <c r="X16" i="98" s="1"/>
  <c r="N16" i="98"/>
  <c r="L16" i="98"/>
  <c r="H16" i="98"/>
  <c r="D16" i="98"/>
  <c r="Z14" i="98"/>
  <c r="X14" i="98"/>
  <c r="P14" i="98"/>
  <c r="N14" i="98"/>
  <c r="D14" i="98"/>
  <c r="L14" i="98" s="1"/>
  <c r="B14" i="98"/>
  <c r="Z13" i="98"/>
  <c r="P13" i="98"/>
  <c r="X13" i="98" s="1"/>
  <c r="N13" i="98"/>
  <c r="D13" i="98"/>
  <c r="L13" i="98" s="1"/>
  <c r="B13" i="98"/>
  <c r="T12" i="98"/>
  <c r="V37" i="98" s="1"/>
  <c r="N12" i="98"/>
  <c r="H12" i="98"/>
  <c r="J46" i="98" s="1"/>
  <c r="D12" i="98"/>
  <c r="D6" i="98"/>
  <c r="D4" i="98"/>
  <c r="X100" i="97"/>
  <c r="Z100" i="97" s="1"/>
  <c r="N100" i="97"/>
  <c r="L100" i="97"/>
  <c r="X96" i="97"/>
  <c r="T96" i="97"/>
  <c r="Z96" i="97" s="1"/>
  <c r="P96" i="97"/>
  <c r="J96" i="97"/>
  <c r="H96" i="97"/>
  <c r="D96" i="97"/>
  <c r="X94" i="97"/>
  <c r="Z94" i="97" s="1"/>
  <c r="N94" i="97"/>
  <c r="L94" i="97"/>
  <c r="B94" i="97"/>
  <c r="X93" i="97"/>
  <c r="Z93" i="97" s="1"/>
  <c r="N93" i="97"/>
  <c r="L93" i="97"/>
  <c r="B93" i="97"/>
  <c r="T92" i="97"/>
  <c r="Z92" i="97" s="1"/>
  <c r="P92" i="97"/>
  <c r="X92" i="97" s="1"/>
  <c r="L92" i="97"/>
  <c r="H92" i="97"/>
  <c r="N92" i="97" s="1"/>
  <c r="D92" i="97"/>
  <c r="B92" i="97"/>
  <c r="X91" i="97"/>
  <c r="Z91" i="97" s="1"/>
  <c r="N91" i="97"/>
  <c r="L91" i="97"/>
  <c r="B91" i="97"/>
  <c r="X90" i="97"/>
  <c r="Z90" i="97" s="1"/>
  <c r="T90" i="97"/>
  <c r="P90" i="97"/>
  <c r="H90" i="97"/>
  <c r="D90" i="97"/>
  <c r="B90" i="97"/>
  <c r="X89" i="97"/>
  <c r="Z89" i="97" s="1"/>
  <c r="L89" i="97"/>
  <c r="N89" i="97" s="1"/>
  <c r="B89" i="97"/>
  <c r="X88" i="97"/>
  <c r="Z88" i="97" s="1"/>
  <c r="T88" i="97"/>
  <c r="P88" i="97"/>
  <c r="H88" i="97"/>
  <c r="D88" i="97"/>
  <c r="L88" i="97" s="1"/>
  <c r="B88" i="97"/>
  <c r="X87" i="97"/>
  <c r="Z87" i="97" s="1"/>
  <c r="N87" i="97"/>
  <c r="L87" i="97"/>
  <c r="B87" i="97"/>
  <c r="X86" i="97"/>
  <c r="Z86" i="97" s="1"/>
  <c r="N86" i="97"/>
  <c r="L86" i="97"/>
  <c r="B86" i="97"/>
  <c r="Z85" i="97"/>
  <c r="X85" i="97"/>
  <c r="N85" i="97"/>
  <c r="L85" i="97"/>
  <c r="B85" i="97"/>
  <c r="Z84" i="97"/>
  <c r="X84" i="97"/>
  <c r="N84" i="97"/>
  <c r="L84" i="97"/>
  <c r="B84" i="97"/>
  <c r="X83" i="97"/>
  <c r="Z83" i="97" s="1"/>
  <c r="N83" i="97"/>
  <c r="L83" i="97"/>
  <c r="B83" i="97"/>
  <c r="X82" i="97"/>
  <c r="Z82" i="97" s="1"/>
  <c r="L82" i="97"/>
  <c r="N82" i="97" s="1"/>
  <c r="J82" i="97"/>
  <c r="B82" i="97"/>
  <c r="X81" i="97"/>
  <c r="Z81" i="97" s="1"/>
  <c r="N81" i="97"/>
  <c r="L81" i="97"/>
  <c r="B81" i="97"/>
  <c r="Z80" i="97"/>
  <c r="X80" i="97"/>
  <c r="N80" i="97"/>
  <c r="L80" i="97"/>
  <c r="B80" i="97"/>
  <c r="T79" i="97"/>
  <c r="P79" i="97"/>
  <c r="X79" i="97" s="1"/>
  <c r="L79" i="97"/>
  <c r="N79" i="97" s="1"/>
  <c r="H79" i="97"/>
  <c r="D79" i="97"/>
  <c r="B79" i="97"/>
  <c r="X78" i="97"/>
  <c r="Z78" i="97" s="1"/>
  <c r="L78" i="97"/>
  <c r="N78" i="97" s="1"/>
  <c r="B78" i="97"/>
  <c r="Z77" i="97"/>
  <c r="X77" i="97"/>
  <c r="N77" i="97"/>
  <c r="L77" i="97"/>
  <c r="B77" i="97"/>
  <c r="T76" i="97"/>
  <c r="P76" i="97"/>
  <c r="X76" i="97" s="1"/>
  <c r="Z76" i="97" s="1"/>
  <c r="H76" i="97"/>
  <c r="D76" i="97"/>
  <c r="L76" i="97" s="1"/>
  <c r="B76" i="97"/>
  <c r="X75" i="97"/>
  <c r="Z75" i="97" s="1"/>
  <c r="N75" i="97"/>
  <c r="L75" i="97"/>
  <c r="B75" i="97"/>
  <c r="X74" i="97"/>
  <c r="Z74" i="97" s="1"/>
  <c r="N74" i="97"/>
  <c r="L74" i="97"/>
  <c r="B74" i="97"/>
  <c r="X73" i="97"/>
  <c r="Z73" i="97" s="1"/>
  <c r="N73" i="97"/>
  <c r="L73" i="97"/>
  <c r="B73" i="97"/>
  <c r="T72" i="97"/>
  <c r="P72" i="97"/>
  <c r="X72" i="97" s="1"/>
  <c r="Z72" i="97" s="1"/>
  <c r="N72" i="97"/>
  <c r="L72" i="97"/>
  <c r="H72" i="97"/>
  <c r="D72" i="97"/>
  <c r="B72" i="97"/>
  <c r="Z71" i="97"/>
  <c r="X71" i="97"/>
  <c r="L71" i="97"/>
  <c r="N71" i="97" s="1"/>
  <c r="B71" i="97"/>
  <c r="Z70" i="97"/>
  <c r="X70" i="97"/>
  <c r="L70" i="97"/>
  <c r="N70" i="97" s="1"/>
  <c r="B70" i="97"/>
  <c r="Z69" i="97"/>
  <c r="X69" i="97"/>
  <c r="N69" i="97"/>
  <c r="L69" i="97"/>
  <c r="B69" i="97"/>
  <c r="T68" i="97"/>
  <c r="P68" i="97"/>
  <c r="N68" i="97"/>
  <c r="L68" i="97"/>
  <c r="H68" i="97"/>
  <c r="D68" i="97"/>
  <c r="B68" i="97"/>
  <c r="Z67" i="97"/>
  <c r="X67" i="97"/>
  <c r="N67" i="97"/>
  <c r="L67" i="97"/>
  <c r="B67" i="97"/>
  <c r="X66" i="97"/>
  <c r="Z66" i="97" s="1"/>
  <c r="N66" i="97"/>
  <c r="L66" i="97"/>
  <c r="B66" i="97"/>
  <c r="X65" i="97"/>
  <c r="Z65" i="97" s="1"/>
  <c r="T65" i="97"/>
  <c r="P65" i="97"/>
  <c r="L65" i="97"/>
  <c r="H65" i="97"/>
  <c r="N65" i="97" s="1"/>
  <c r="D65" i="97"/>
  <c r="B65" i="97"/>
  <c r="Z64" i="97"/>
  <c r="X64" i="97"/>
  <c r="L64" i="97"/>
  <c r="N64" i="97" s="1"/>
  <c r="B64" i="97"/>
  <c r="T63" i="97"/>
  <c r="P63" i="97"/>
  <c r="H63" i="97"/>
  <c r="D63" i="97"/>
  <c r="B63" i="97"/>
  <c r="Z62" i="97"/>
  <c r="X62" i="97"/>
  <c r="L62" i="97"/>
  <c r="N62" i="97" s="1"/>
  <c r="B62" i="97"/>
  <c r="X61" i="97"/>
  <c r="Z61" i="97" s="1"/>
  <c r="T61" i="97"/>
  <c r="P61" i="97"/>
  <c r="H61" i="97"/>
  <c r="N61" i="97" s="1"/>
  <c r="D61" i="97"/>
  <c r="L61" i="97" s="1"/>
  <c r="B61" i="97"/>
  <c r="Z60" i="97"/>
  <c r="X60" i="97"/>
  <c r="N60" i="97"/>
  <c r="L60" i="97"/>
  <c r="B60" i="97"/>
  <c r="X59" i="97"/>
  <c r="T59" i="97"/>
  <c r="P59" i="97"/>
  <c r="N59" i="97"/>
  <c r="L59" i="97"/>
  <c r="H59" i="97"/>
  <c r="D59" i="97"/>
  <c r="B59" i="97"/>
  <c r="Z58" i="97"/>
  <c r="X58" i="97"/>
  <c r="V58" i="97"/>
  <c r="N58" i="97"/>
  <c r="L58" i="97"/>
  <c r="B58" i="97"/>
  <c r="T57" i="97"/>
  <c r="Z57" i="97" s="1"/>
  <c r="P57" i="97"/>
  <c r="H57" i="97"/>
  <c r="N57" i="97" s="1"/>
  <c r="D57" i="97"/>
  <c r="B57" i="97"/>
  <c r="X56" i="97"/>
  <c r="Z56" i="97" s="1"/>
  <c r="V56" i="97"/>
  <c r="N56" i="97"/>
  <c r="L56" i="97"/>
  <c r="B56" i="97"/>
  <c r="X55" i="97"/>
  <c r="Z55" i="97" s="1"/>
  <c r="L55" i="97"/>
  <c r="N55" i="97" s="1"/>
  <c r="B55" i="97"/>
  <c r="Z54" i="97"/>
  <c r="X54" i="97"/>
  <c r="L54" i="97"/>
  <c r="N54" i="97" s="1"/>
  <c r="B54" i="97"/>
  <c r="X53" i="97"/>
  <c r="Z53" i="97" s="1"/>
  <c r="T53" i="97"/>
  <c r="P53" i="97"/>
  <c r="H53" i="97"/>
  <c r="N53" i="97" s="1"/>
  <c r="D53" i="97"/>
  <c r="L53" i="97" s="1"/>
  <c r="B53" i="97"/>
  <c r="Z52" i="97"/>
  <c r="X52" i="97"/>
  <c r="N52" i="97"/>
  <c r="L52" i="97"/>
  <c r="B52" i="97"/>
  <c r="X51" i="97"/>
  <c r="T51" i="97"/>
  <c r="P51" i="97"/>
  <c r="L51" i="97"/>
  <c r="N51" i="97" s="1"/>
  <c r="H51" i="97"/>
  <c r="D51" i="97"/>
  <c r="B51" i="97"/>
  <c r="X50" i="97"/>
  <c r="Z50" i="97" s="1"/>
  <c r="V50" i="97"/>
  <c r="N50" i="97"/>
  <c r="L50" i="97"/>
  <c r="B50" i="97"/>
  <c r="T49" i="97"/>
  <c r="P49" i="97"/>
  <c r="X49" i="97" s="1"/>
  <c r="H49" i="97"/>
  <c r="D49" i="97"/>
  <c r="B49" i="97"/>
  <c r="X48" i="97"/>
  <c r="Z48" i="97" s="1"/>
  <c r="N48" i="97"/>
  <c r="L48" i="97"/>
  <c r="B48" i="97"/>
  <c r="T47" i="97"/>
  <c r="P47" i="97"/>
  <c r="X47" i="97" s="1"/>
  <c r="N47" i="97"/>
  <c r="L47" i="97"/>
  <c r="H47" i="97"/>
  <c r="D47" i="97"/>
  <c r="B47" i="97"/>
  <c r="Z46" i="97"/>
  <c r="X46" i="97"/>
  <c r="N46" i="97"/>
  <c r="L46" i="97"/>
  <c r="B46" i="97"/>
  <c r="Z45" i="97"/>
  <c r="X45" i="97"/>
  <c r="N45" i="97"/>
  <c r="L45" i="97"/>
  <c r="B45" i="97"/>
  <c r="Z44" i="97"/>
  <c r="X44" i="97"/>
  <c r="N44" i="97"/>
  <c r="L44" i="97"/>
  <c r="B44" i="97"/>
  <c r="X43" i="97"/>
  <c r="Z43" i="97" s="1"/>
  <c r="L43" i="97"/>
  <c r="N43" i="97" s="1"/>
  <c r="B43" i="97"/>
  <c r="Z42" i="97"/>
  <c r="X42" i="97"/>
  <c r="N42" i="97"/>
  <c r="L42" i="97"/>
  <c r="B42" i="97"/>
  <c r="X41" i="97"/>
  <c r="Z41" i="97" s="1"/>
  <c r="L41" i="97"/>
  <c r="N41" i="97" s="1"/>
  <c r="B41" i="97"/>
  <c r="Z40" i="97"/>
  <c r="X40" i="97"/>
  <c r="N40" i="97"/>
  <c r="L40" i="97"/>
  <c r="B40" i="97"/>
  <c r="Z39" i="97"/>
  <c r="X39" i="97"/>
  <c r="N39" i="97"/>
  <c r="L39" i="97"/>
  <c r="B39" i="97"/>
  <c r="X38" i="97"/>
  <c r="Z38" i="97" s="1"/>
  <c r="L38" i="97"/>
  <c r="N38" i="97" s="1"/>
  <c r="B38" i="97"/>
  <c r="Z37" i="97"/>
  <c r="X37" i="97"/>
  <c r="N37" i="97"/>
  <c r="L37" i="97"/>
  <c r="B37" i="97"/>
  <c r="T36" i="97"/>
  <c r="P36" i="97"/>
  <c r="X36" i="97" s="1"/>
  <c r="Z36" i="97" s="1"/>
  <c r="H36" i="97"/>
  <c r="D36" i="97"/>
  <c r="L36" i="97" s="1"/>
  <c r="B36" i="97"/>
  <c r="X35" i="97"/>
  <c r="Z35" i="97" s="1"/>
  <c r="N35" i="97"/>
  <c r="L35" i="97"/>
  <c r="B35" i="97"/>
  <c r="Z34" i="97"/>
  <c r="X34" i="97"/>
  <c r="N34" i="97"/>
  <c r="L34" i="97"/>
  <c r="B34" i="97"/>
  <c r="X33" i="97"/>
  <c r="Z33" i="97" s="1"/>
  <c r="L33" i="97"/>
  <c r="N33" i="97" s="1"/>
  <c r="B33" i="97"/>
  <c r="Z32" i="97"/>
  <c r="X32" i="97"/>
  <c r="N32" i="97"/>
  <c r="L32" i="97"/>
  <c r="B32" i="97"/>
  <c r="X31" i="97"/>
  <c r="Z31" i="97" s="1"/>
  <c r="L31" i="97"/>
  <c r="N31" i="97" s="1"/>
  <c r="B31" i="97"/>
  <c r="X30" i="97"/>
  <c r="Z30" i="97" s="1"/>
  <c r="N30" i="97"/>
  <c r="L30" i="97"/>
  <c r="B30" i="97"/>
  <c r="X29" i="97"/>
  <c r="Z29" i="97" s="1"/>
  <c r="V29" i="97"/>
  <c r="L29" i="97"/>
  <c r="N29" i="97" s="1"/>
  <c r="B29" i="97"/>
  <c r="Z28" i="97"/>
  <c r="X28" i="97"/>
  <c r="L28" i="97"/>
  <c r="N28" i="97" s="1"/>
  <c r="B28" i="97"/>
  <c r="X27" i="97"/>
  <c r="Z27" i="97" s="1"/>
  <c r="L27" i="97"/>
  <c r="N27" i="97" s="1"/>
  <c r="B27" i="97"/>
  <c r="Z26" i="97"/>
  <c r="X26" i="97"/>
  <c r="T26" i="97"/>
  <c r="P26" i="97"/>
  <c r="H26" i="97"/>
  <c r="D26" i="97"/>
  <c r="L26" i="97" s="1"/>
  <c r="N26" i="97" s="1"/>
  <c r="B26" i="97"/>
  <c r="T25" i="97"/>
  <c r="P25" i="97"/>
  <c r="X25" i="97" s="1"/>
  <c r="Z25" i="97" s="1"/>
  <c r="H25" i="97"/>
  <c r="D25" i="97"/>
  <c r="L25" i="97" s="1"/>
  <c r="T23" i="97"/>
  <c r="Z21" i="97"/>
  <c r="X21" i="97"/>
  <c r="N21" i="97"/>
  <c r="L21" i="97"/>
  <c r="B21" i="97"/>
  <c r="Z20" i="97"/>
  <c r="X20" i="97"/>
  <c r="V20" i="97"/>
  <c r="N20" i="97"/>
  <c r="L20" i="97"/>
  <c r="B20" i="97"/>
  <c r="X19" i="97"/>
  <c r="Z19" i="97" s="1"/>
  <c r="L19" i="97"/>
  <c r="N19" i="97" s="1"/>
  <c r="B19" i="97"/>
  <c r="Z18" i="97"/>
  <c r="X18" i="97"/>
  <c r="V18" i="97"/>
  <c r="T18" i="97"/>
  <c r="P18" i="97"/>
  <c r="L18" i="97"/>
  <c r="H18" i="97"/>
  <c r="D18" i="97"/>
  <c r="Z16" i="97"/>
  <c r="P16" i="97"/>
  <c r="X16" i="97" s="1"/>
  <c r="N16" i="97"/>
  <c r="D16" i="97"/>
  <c r="L16" i="97" s="1"/>
  <c r="B16" i="97"/>
  <c r="P15" i="97"/>
  <c r="X15" i="97" s="1"/>
  <c r="Z15" i="97" s="1"/>
  <c r="N15" i="97"/>
  <c r="D15" i="97"/>
  <c r="L15" i="97" s="1"/>
  <c r="B15" i="97"/>
  <c r="Z14" i="97"/>
  <c r="P14" i="97"/>
  <c r="X14" i="97" s="1"/>
  <c r="N14" i="97"/>
  <c r="D14" i="97"/>
  <c r="L14" i="97" s="1"/>
  <c r="B14" i="97"/>
  <c r="Z13" i="97"/>
  <c r="X13" i="97"/>
  <c r="P13" i="97"/>
  <c r="D13" i="97"/>
  <c r="B13" i="97"/>
  <c r="T12" i="97"/>
  <c r="V34" i="97" s="1"/>
  <c r="H12" i="97"/>
  <c r="D6" i="97"/>
  <c r="D4" i="97"/>
  <c r="X105" i="95"/>
  <c r="Z105" i="95" s="1"/>
  <c r="V105" i="95"/>
  <c r="L105" i="95"/>
  <c r="N105" i="95" s="1"/>
  <c r="Z101" i="95"/>
  <c r="P101" i="95"/>
  <c r="X101" i="95" s="1"/>
  <c r="N101" i="95"/>
  <c r="D101" i="95"/>
  <c r="B101" i="95"/>
  <c r="T100" i="95"/>
  <c r="Z100" i="95" s="1"/>
  <c r="P100" i="95"/>
  <c r="N100" i="95"/>
  <c r="H100" i="95"/>
  <c r="Z98" i="95"/>
  <c r="X98" i="95"/>
  <c r="R98" i="95"/>
  <c r="N98" i="95"/>
  <c r="L98" i="95"/>
  <c r="B98" i="95"/>
  <c r="X97" i="95"/>
  <c r="Z97" i="95" s="1"/>
  <c r="T97" i="95"/>
  <c r="P97" i="95"/>
  <c r="L97" i="95"/>
  <c r="N97" i="95" s="1"/>
  <c r="H97" i="95"/>
  <c r="D97" i="95"/>
  <c r="B97" i="95"/>
  <c r="Z96" i="95"/>
  <c r="X96" i="95"/>
  <c r="N96" i="95"/>
  <c r="L96" i="95"/>
  <c r="B96" i="95"/>
  <c r="Z95" i="95"/>
  <c r="X95" i="95"/>
  <c r="N95" i="95"/>
  <c r="L95" i="95"/>
  <c r="B95" i="95"/>
  <c r="T94" i="95"/>
  <c r="P94" i="95"/>
  <c r="N94" i="95"/>
  <c r="L94" i="95"/>
  <c r="H94" i="95"/>
  <c r="D94" i="95"/>
  <c r="B94" i="95"/>
  <c r="Z93" i="95"/>
  <c r="X93" i="95"/>
  <c r="N93" i="95"/>
  <c r="L93" i="95"/>
  <c r="J93" i="95"/>
  <c r="B93" i="95"/>
  <c r="T92" i="95"/>
  <c r="Z92" i="95" s="1"/>
  <c r="P92" i="95"/>
  <c r="X92" i="95" s="1"/>
  <c r="H92" i="95"/>
  <c r="N92" i="95" s="1"/>
  <c r="D92" i="95"/>
  <c r="B92" i="95"/>
  <c r="Z91" i="95"/>
  <c r="X91" i="95"/>
  <c r="N91" i="95"/>
  <c r="L91" i="95"/>
  <c r="B91" i="95"/>
  <c r="T90" i="95"/>
  <c r="P90" i="95"/>
  <c r="X90" i="95" s="1"/>
  <c r="L90" i="95"/>
  <c r="N90" i="95" s="1"/>
  <c r="H90" i="95"/>
  <c r="D90" i="95"/>
  <c r="B90" i="95"/>
  <c r="Z89" i="95"/>
  <c r="X89" i="95"/>
  <c r="N89" i="95"/>
  <c r="L89" i="95"/>
  <c r="J89" i="95"/>
  <c r="B89" i="95"/>
  <c r="Z88" i="95"/>
  <c r="X88" i="95"/>
  <c r="N88" i="95"/>
  <c r="L88" i="95"/>
  <c r="B88" i="95"/>
  <c r="Z87" i="95"/>
  <c r="X87" i="95"/>
  <c r="R87" i="95"/>
  <c r="N87" i="95"/>
  <c r="L87" i="95"/>
  <c r="B87" i="95"/>
  <c r="X86" i="95"/>
  <c r="Z86" i="95" s="1"/>
  <c r="V86" i="95"/>
  <c r="L86" i="95"/>
  <c r="N86" i="95" s="1"/>
  <c r="B86" i="95"/>
  <c r="Z85" i="95"/>
  <c r="X85" i="95"/>
  <c r="L85" i="95"/>
  <c r="N85" i="95" s="1"/>
  <c r="B85" i="95"/>
  <c r="Z84" i="95"/>
  <c r="X84" i="95"/>
  <c r="L84" i="95"/>
  <c r="N84" i="95" s="1"/>
  <c r="J84" i="95"/>
  <c r="B84" i="95"/>
  <c r="Z83" i="95"/>
  <c r="X83" i="95"/>
  <c r="N83" i="95"/>
  <c r="L83" i="95"/>
  <c r="B83" i="95"/>
  <c r="X82" i="95"/>
  <c r="Z82" i="95" s="1"/>
  <c r="V82" i="95"/>
  <c r="R82" i="95"/>
  <c r="L82" i="95"/>
  <c r="N82" i="95" s="1"/>
  <c r="B82" i="95"/>
  <c r="Z81" i="95"/>
  <c r="X81" i="95"/>
  <c r="N81" i="95"/>
  <c r="L81" i="95"/>
  <c r="J81" i="95"/>
  <c r="B81" i="95"/>
  <c r="T80" i="95"/>
  <c r="X80" i="95" s="1"/>
  <c r="Z80" i="95" s="1"/>
  <c r="P80" i="95"/>
  <c r="H80" i="95"/>
  <c r="N80" i="95" s="1"/>
  <c r="D80" i="95"/>
  <c r="L80" i="95" s="1"/>
  <c r="B80" i="95"/>
  <c r="Z79" i="95"/>
  <c r="X79" i="95"/>
  <c r="L79" i="95"/>
  <c r="N79" i="95" s="1"/>
  <c r="B79" i="95"/>
  <c r="Z78" i="95"/>
  <c r="X78" i="95"/>
  <c r="N78" i="95"/>
  <c r="L78" i="95"/>
  <c r="B78" i="95"/>
  <c r="T77" i="95"/>
  <c r="R77" i="95"/>
  <c r="P77" i="95"/>
  <c r="H77" i="95"/>
  <c r="D77" i="95"/>
  <c r="L77" i="95" s="1"/>
  <c r="B77" i="95"/>
  <c r="X76" i="95"/>
  <c r="Z76" i="95" s="1"/>
  <c r="V76" i="95"/>
  <c r="R76" i="95"/>
  <c r="N76" i="95"/>
  <c r="L76" i="95"/>
  <c r="B76" i="95"/>
  <c r="X75" i="95"/>
  <c r="Z75" i="95" s="1"/>
  <c r="L75" i="95"/>
  <c r="N75" i="95" s="1"/>
  <c r="J75" i="95"/>
  <c r="B75" i="95"/>
  <c r="X74" i="95"/>
  <c r="Z74" i="95" s="1"/>
  <c r="V74" i="95"/>
  <c r="L74" i="95"/>
  <c r="N74" i="95" s="1"/>
  <c r="B74" i="95"/>
  <c r="Z73" i="95"/>
  <c r="X73" i="95"/>
  <c r="L73" i="95"/>
  <c r="N73" i="95" s="1"/>
  <c r="B73" i="95"/>
  <c r="X72" i="95"/>
  <c r="Z72" i="95" s="1"/>
  <c r="V72" i="95"/>
  <c r="R72" i="95"/>
  <c r="N72" i="95"/>
  <c r="L72" i="95"/>
  <c r="B72" i="95"/>
  <c r="T71" i="95"/>
  <c r="P71" i="95"/>
  <c r="X71" i="95" s="1"/>
  <c r="H71" i="95"/>
  <c r="D71" i="95"/>
  <c r="L71" i="95" s="1"/>
  <c r="N71" i="95" s="1"/>
  <c r="B71" i="95"/>
  <c r="X70" i="95"/>
  <c r="Z70" i="95" s="1"/>
  <c r="N70" i="95"/>
  <c r="L70" i="95"/>
  <c r="B70" i="95"/>
  <c r="Z69" i="95"/>
  <c r="X69" i="95"/>
  <c r="N69" i="95"/>
  <c r="L69" i="95"/>
  <c r="B69" i="95"/>
  <c r="Z68" i="95"/>
  <c r="X68" i="95"/>
  <c r="N68" i="95"/>
  <c r="L68" i="95"/>
  <c r="B68" i="95"/>
  <c r="Z67" i="95"/>
  <c r="X67" i="95"/>
  <c r="V67" i="95"/>
  <c r="N67" i="95"/>
  <c r="L67" i="95"/>
  <c r="B67" i="95"/>
  <c r="T66" i="95"/>
  <c r="R66" i="95"/>
  <c r="P66" i="95"/>
  <c r="X66" i="95" s="1"/>
  <c r="H66" i="95"/>
  <c r="L66" i="95" s="1"/>
  <c r="D66" i="95"/>
  <c r="B66" i="95"/>
  <c r="Z65" i="95"/>
  <c r="X65" i="95"/>
  <c r="V65" i="95"/>
  <c r="R65" i="95"/>
  <c r="N65" i="95"/>
  <c r="L65" i="95"/>
  <c r="B65" i="95"/>
  <c r="T64" i="95"/>
  <c r="P64" i="95"/>
  <c r="X64" i="95" s="1"/>
  <c r="Z64" i="95" s="1"/>
  <c r="L64" i="95"/>
  <c r="N64" i="95" s="1"/>
  <c r="H64" i="95"/>
  <c r="D64" i="95"/>
  <c r="B64" i="95"/>
  <c r="X63" i="95"/>
  <c r="Z63" i="95" s="1"/>
  <c r="L63" i="95"/>
  <c r="N63" i="95" s="1"/>
  <c r="J63" i="95"/>
  <c r="B63" i="95"/>
  <c r="X62" i="95"/>
  <c r="V62" i="95"/>
  <c r="T62" i="95"/>
  <c r="Z62" i="95" s="1"/>
  <c r="P62" i="95"/>
  <c r="J62" i="95"/>
  <c r="H62" i="95"/>
  <c r="D62" i="95"/>
  <c r="B62" i="95"/>
  <c r="X61" i="95"/>
  <c r="Z61" i="95" s="1"/>
  <c r="N61" i="95"/>
  <c r="L61" i="95"/>
  <c r="B61" i="95"/>
  <c r="T60" i="95"/>
  <c r="X60" i="95" s="1"/>
  <c r="P60" i="95"/>
  <c r="H60" i="95"/>
  <c r="N60" i="95" s="1"/>
  <c r="D60" i="95"/>
  <c r="L60" i="95" s="1"/>
  <c r="B60" i="95"/>
  <c r="Z59" i="95"/>
  <c r="X59" i="95"/>
  <c r="V59" i="95"/>
  <c r="L59" i="95"/>
  <c r="N59" i="95" s="1"/>
  <c r="B59" i="95"/>
  <c r="X58" i="95"/>
  <c r="Z58" i="95" s="1"/>
  <c r="V58" i="95"/>
  <c r="T58" i="95"/>
  <c r="P58" i="95"/>
  <c r="H58" i="95"/>
  <c r="D58" i="95"/>
  <c r="L58" i="95" s="1"/>
  <c r="N58" i="95" s="1"/>
  <c r="B58" i="95"/>
  <c r="Z57" i="95"/>
  <c r="X57" i="95"/>
  <c r="V57" i="95"/>
  <c r="L57" i="95"/>
  <c r="N57" i="95" s="1"/>
  <c r="B57" i="95"/>
  <c r="T56" i="95"/>
  <c r="P56" i="95"/>
  <c r="L56" i="95"/>
  <c r="J56" i="95"/>
  <c r="H56" i="95"/>
  <c r="N56" i="95" s="1"/>
  <c r="D56" i="95"/>
  <c r="B56" i="95"/>
  <c r="X55" i="95"/>
  <c r="Z55" i="95" s="1"/>
  <c r="V55" i="95"/>
  <c r="N55" i="95"/>
  <c r="L55" i="95"/>
  <c r="B55" i="95"/>
  <c r="X54" i="95"/>
  <c r="Z54" i="95" s="1"/>
  <c r="L54" i="95"/>
  <c r="N54" i="95" s="1"/>
  <c r="B54" i="95"/>
  <c r="X53" i="95"/>
  <c r="Z53" i="95" s="1"/>
  <c r="N53" i="95"/>
  <c r="L53" i="95"/>
  <c r="J53" i="95"/>
  <c r="B53" i="95"/>
  <c r="T52" i="95"/>
  <c r="X52" i="95" s="1"/>
  <c r="P52" i="95"/>
  <c r="H52" i="95"/>
  <c r="N52" i="95" s="1"/>
  <c r="D52" i="95"/>
  <c r="L52" i="95" s="1"/>
  <c r="B52" i="95"/>
  <c r="Z51" i="95"/>
  <c r="X51" i="95"/>
  <c r="V51" i="95"/>
  <c r="N51" i="95"/>
  <c r="L51" i="95"/>
  <c r="B51" i="95"/>
  <c r="X50" i="95"/>
  <c r="Z50" i="95" s="1"/>
  <c r="T50" i="95"/>
  <c r="V50" i="95" s="1"/>
  <c r="P50" i="95"/>
  <c r="N50" i="95"/>
  <c r="H50" i="95"/>
  <c r="D50" i="95"/>
  <c r="L50" i="95" s="1"/>
  <c r="B50" i="95"/>
  <c r="Z49" i="95"/>
  <c r="X49" i="95"/>
  <c r="V49" i="95"/>
  <c r="L49" i="95"/>
  <c r="N49" i="95" s="1"/>
  <c r="B49" i="95"/>
  <c r="T48" i="95"/>
  <c r="P48" i="95"/>
  <c r="L48" i="95"/>
  <c r="J48" i="95"/>
  <c r="H48" i="95"/>
  <c r="N48" i="95" s="1"/>
  <c r="D48" i="95"/>
  <c r="B48" i="95"/>
  <c r="X47" i="95"/>
  <c r="Z47" i="95" s="1"/>
  <c r="V47" i="95"/>
  <c r="N47" i="95"/>
  <c r="L47" i="95"/>
  <c r="B47" i="95"/>
  <c r="T46" i="95"/>
  <c r="Z46" i="95" s="1"/>
  <c r="P46" i="95"/>
  <c r="X46" i="95" s="1"/>
  <c r="H46" i="95"/>
  <c r="L46" i="95" s="1"/>
  <c r="D46" i="95"/>
  <c r="B46" i="95"/>
  <c r="Z45" i="95"/>
  <c r="X45" i="95"/>
  <c r="V45" i="95"/>
  <c r="R45" i="95"/>
  <c r="N45" i="95"/>
  <c r="L45" i="95"/>
  <c r="B45" i="95"/>
  <c r="Z44" i="95"/>
  <c r="X44" i="95"/>
  <c r="V44" i="95"/>
  <c r="N44" i="95"/>
  <c r="L44" i="95"/>
  <c r="J44" i="95"/>
  <c r="B44" i="95"/>
  <c r="Z43" i="95"/>
  <c r="X43" i="95"/>
  <c r="V43" i="95"/>
  <c r="N43" i="95"/>
  <c r="L43" i="95"/>
  <c r="B43" i="95"/>
  <c r="X42" i="95"/>
  <c r="Z42" i="95" s="1"/>
  <c r="V42" i="95"/>
  <c r="L42" i="95"/>
  <c r="N42" i="95" s="1"/>
  <c r="J42" i="95"/>
  <c r="B42" i="95"/>
  <c r="Z41" i="95"/>
  <c r="X41" i="95"/>
  <c r="V41" i="95"/>
  <c r="R41" i="95"/>
  <c r="N41" i="95"/>
  <c r="L41" i="95"/>
  <c r="B41" i="95"/>
  <c r="Z40" i="95"/>
  <c r="X40" i="95"/>
  <c r="V40" i="95"/>
  <c r="L40" i="95"/>
  <c r="N40" i="95" s="1"/>
  <c r="J40" i="95"/>
  <c r="B40" i="95"/>
  <c r="Z39" i="95"/>
  <c r="X39" i="95"/>
  <c r="V39" i="95"/>
  <c r="L39" i="95"/>
  <c r="N39" i="95" s="1"/>
  <c r="B39" i="95"/>
  <c r="Z38" i="95"/>
  <c r="X38" i="95"/>
  <c r="V38" i="95"/>
  <c r="N38" i="95"/>
  <c r="L38" i="95"/>
  <c r="J38" i="95"/>
  <c r="B38" i="95"/>
  <c r="Z37" i="95"/>
  <c r="X37" i="95"/>
  <c r="V37" i="95"/>
  <c r="R37" i="95"/>
  <c r="N37" i="95"/>
  <c r="L37" i="95"/>
  <c r="B37" i="95"/>
  <c r="Z36" i="95"/>
  <c r="X36" i="95"/>
  <c r="V36" i="95"/>
  <c r="N36" i="95"/>
  <c r="L36" i="95"/>
  <c r="J36" i="95"/>
  <c r="B36" i="95"/>
  <c r="V35" i="95"/>
  <c r="T35" i="95"/>
  <c r="P35" i="95"/>
  <c r="X35" i="95" s="1"/>
  <c r="H35" i="95"/>
  <c r="D35" i="95"/>
  <c r="B35" i="95"/>
  <c r="X34" i="95"/>
  <c r="Z34" i="95" s="1"/>
  <c r="V34" i="95"/>
  <c r="N34" i="95"/>
  <c r="L34" i="95"/>
  <c r="B34" i="95"/>
  <c r="Z33" i="95"/>
  <c r="X33" i="95"/>
  <c r="V33" i="95"/>
  <c r="N33" i="95"/>
  <c r="L33" i="95"/>
  <c r="B33" i="95"/>
  <c r="X32" i="95"/>
  <c r="Z32" i="95" s="1"/>
  <c r="V32" i="95"/>
  <c r="R32" i="95"/>
  <c r="N32" i="95"/>
  <c r="L32" i="95"/>
  <c r="B32" i="95"/>
  <c r="Z31" i="95"/>
  <c r="X31" i="95"/>
  <c r="V31" i="95"/>
  <c r="N31" i="95"/>
  <c r="L31" i="95"/>
  <c r="J31" i="95"/>
  <c r="B31" i="95"/>
  <c r="X30" i="95"/>
  <c r="Z30" i="95" s="1"/>
  <c r="V30" i="95"/>
  <c r="L30" i="95"/>
  <c r="N30" i="95" s="1"/>
  <c r="B30" i="95"/>
  <c r="Z29" i="95"/>
  <c r="X29" i="95"/>
  <c r="V29" i="95"/>
  <c r="N29" i="95"/>
  <c r="L29" i="95"/>
  <c r="B29" i="95"/>
  <c r="X28" i="95"/>
  <c r="Z28" i="95" s="1"/>
  <c r="V28" i="95"/>
  <c r="R28" i="95"/>
  <c r="N28" i="95"/>
  <c r="L28" i="95"/>
  <c r="B28" i="95"/>
  <c r="X27" i="95"/>
  <c r="Z27" i="95" s="1"/>
  <c r="V27" i="95"/>
  <c r="L27" i="95"/>
  <c r="N27" i="95" s="1"/>
  <c r="J27" i="95"/>
  <c r="B27" i="95"/>
  <c r="X26" i="95"/>
  <c r="Z26" i="95" s="1"/>
  <c r="V26" i="95"/>
  <c r="L26" i="95"/>
  <c r="N26" i="95" s="1"/>
  <c r="B26" i="95"/>
  <c r="V25" i="95"/>
  <c r="T25" i="95"/>
  <c r="P25" i="95"/>
  <c r="X25" i="95" s="1"/>
  <c r="Z25" i="95" s="1"/>
  <c r="H25" i="95"/>
  <c r="N25" i="95" s="1"/>
  <c r="D25" i="95"/>
  <c r="L25" i="95" s="1"/>
  <c r="B25" i="95"/>
  <c r="T24" i="95"/>
  <c r="X24" i="95" s="1"/>
  <c r="P24" i="95"/>
  <c r="H24" i="95"/>
  <c r="D24" i="95"/>
  <c r="L24" i="95" s="1"/>
  <c r="T22" i="95"/>
  <c r="T103" i="95" s="1"/>
  <c r="H22" i="95"/>
  <c r="H103" i="95" s="1"/>
  <c r="Z20" i="95"/>
  <c r="X20" i="95"/>
  <c r="N20" i="95"/>
  <c r="L20" i="95"/>
  <c r="B20" i="95"/>
  <c r="Z19" i="95"/>
  <c r="X19" i="95"/>
  <c r="V19" i="95"/>
  <c r="N19" i="95"/>
  <c r="L19" i="95"/>
  <c r="J19" i="95"/>
  <c r="B19" i="95"/>
  <c r="X18" i="95"/>
  <c r="Z18" i="95" s="1"/>
  <c r="V18" i="95"/>
  <c r="N18" i="95"/>
  <c r="L18" i="95"/>
  <c r="J18" i="95"/>
  <c r="B18" i="95"/>
  <c r="Z17" i="95"/>
  <c r="X17" i="95"/>
  <c r="T17" i="95"/>
  <c r="V17" i="95" s="1"/>
  <c r="P17" i="95"/>
  <c r="L17" i="95"/>
  <c r="N17" i="95" s="1"/>
  <c r="J17" i="95"/>
  <c r="H17" i="95"/>
  <c r="D17" i="95"/>
  <c r="Z15" i="95"/>
  <c r="X15" i="95"/>
  <c r="P15" i="95"/>
  <c r="N15" i="95"/>
  <c r="L15" i="95"/>
  <c r="D15" i="95"/>
  <c r="B15" i="95"/>
  <c r="X14" i="95"/>
  <c r="Z14" i="95" s="1"/>
  <c r="P14" i="95"/>
  <c r="D14" i="95"/>
  <c r="L14" i="95" s="1"/>
  <c r="N14" i="95" s="1"/>
  <c r="B14" i="95"/>
  <c r="Z13" i="95"/>
  <c r="P13" i="95"/>
  <c r="X13" i="95" s="1"/>
  <c r="N13" i="95"/>
  <c r="D13" i="95"/>
  <c r="B13" i="95"/>
  <c r="T12" i="95"/>
  <c r="V83" i="95" s="1"/>
  <c r="P12" i="95"/>
  <c r="R83" i="95" s="1"/>
  <c r="H12" i="95"/>
  <c r="J105" i="95" s="1"/>
  <c r="D6" i="95"/>
  <c r="D4" i="95"/>
  <c r="X88" i="94"/>
  <c r="Z88" i="94" s="1"/>
  <c r="L88" i="94"/>
  <c r="N88" i="94" s="1"/>
  <c r="J88" i="94"/>
  <c r="T84" i="94"/>
  <c r="Z84" i="94" s="1"/>
  <c r="P84" i="94"/>
  <c r="X84" i="94" s="1"/>
  <c r="H84" i="94"/>
  <c r="L84" i="94" s="1"/>
  <c r="D84" i="94"/>
  <c r="X82" i="94"/>
  <c r="Z82" i="94" s="1"/>
  <c r="N82" i="94"/>
  <c r="L82" i="94"/>
  <c r="B82" i="94"/>
  <c r="Z81" i="94"/>
  <c r="X81" i="94"/>
  <c r="T81" i="94"/>
  <c r="P81" i="94"/>
  <c r="N81" i="94"/>
  <c r="L81" i="94"/>
  <c r="J81" i="94"/>
  <c r="H81" i="94"/>
  <c r="D81" i="94"/>
  <c r="B81" i="94"/>
  <c r="Z80" i="94"/>
  <c r="X80" i="94"/>
  <c r="L80" i="94"/>
  <c r="N80" i="94" s="1"/>
  <c r="J80" i="94"/>
  <c r="B80" i="94"/>
  <c r="T79" i="94"/>
  <c r="P79" i="94"/>
  <c r="X79" i="94" s="1"/>
  <c r="H79" i="94"/>
  <c r="D79" i="94"/>
  <c r="L79" i="94" s="1"/>
  <c r="B79" i="94"/>
  <c r="Z78" i="94"/>
  <c r="X78" i="94"/>
  <c r="N78" i="94"/>
  <c r="L78" i="94"/>
  <c r="B78" i="94"/>
  <c r="Z77" i="94"/>
  <c r="X77" i="94"/>
  <c r="N77" i="94"/>
  <c r="L77" i="94"/>
  <c r="B77" i="94"/>
  <c r="Z76" i="94"/>
  <c r="X76" i="94"/>
  <c r="N76" i="94"/>
  <c r="L76" i="94"/>
  <c r="B76" i="94"/>
  <c r="X75" i="94"/>
  <c r="Z75" i="94" s="1"/>
  <c r="L75" i="94"/>
  <c r="N75" i="94" s="1"/>
  <c r="J75" i="94"/>
  <c r="B75" i="94"/>
  <c r="X74" i="94"/>
  <c r="Z74" i="94" s="1"/>
  <c r="L74" i="94"/>
  <c r="N74" i="94" s="1"/>
  <c r="B74" i="94"/>
  <c r="Z73" i="94"/>
  <c r="X73" i="94"/>
  <c r="N73" i="94"/>
  <c r="L73" i="94"/>
  <c r="B73" i="94"/>
  <c r="Z72" i="94"/>
  <c r="X72" i="94"/>
  <c r="N72" i="94"/>
  <c r="L72" i="94"/>
  <c r="B72" i="94"/>
  <c r="T71" i="94"/>
  <c r="P71" i="94"/>
  <c r="X71" i="94" s="1"/>
  <c r="H71" i="94"/>
  <c r="D71" i="94"/>
  <c r="L71" i="94" s="1"/>
  <c r="N71" i="94" s="1"/>
  <c r="B71" i="94"/>
  <c r="Z70" i="94"/>
  <c r="X70" i="94"/>
  <c r="N70" i="94"/>
  <c r="L70" i="94"/>
  <c r="B70" i="94"/>
  <c r="Z69" i="94"/>
  <c r="X69" i="94"/>
  <c r="T69" i="94"/>
  <c r="P69" i="94"/>
  <c r="N69" i="94"/>
  <c r="L69" i="94"/>
  <c r="J69" i="94"/>
  <c r="H69" i="94"/>
  <c r="D69" i="94"/>
  <c r="B69" i="94"/>
  <c r="Z68" i="94"/>
  <c r="X68" i="94"/>
  <c r="L68" i="94"/>
  <c r="N68" i="94" s="1"/>
  <c r="J68" i="94"/>
  <c r="B68" i="94"/>
  <c r="T67" i="94"/>
  <c r="P67" i="94"/>
  <c r="X67" i="94" s="1"/>
  <c r="H67" i="94"/>
  <c r="D67" i="94"/>
  <c r="B67" i="94"/>
  <c r="X66" i="94"/>
  <c r="Z66" i="94" s="1"/>
  <c r="L66" i="94"/>
  <c r="N66" i="94" s="1"/>
  <c r="B66" i="94"/>
  <c r="T65" i="94"/>
  <c r="P65" i="94"/>
  <c r="X65" i="94" s="1"/>
  <c r="Z65" i="94" s="1"/>
  <c r="H65" i="94"/>
  <c r="D65" i="94"/>
  <c r="L65" i="94" s="1"/>
  <c r="B65" i="94"/>
  <c r="Z64" i="94"/>
  <c r="X64" i="94"/>
  <c r="N64" i="94"/>
  <c r="L64" i="94"/>
  <c r="B64" i="94"/>
  <c r="Z63" i="94"/>
  <c r="X63" i="94"/>
  <c r="N63" i="94"/>
  <c r="L63" i="94"/>
  <c r="J63" i="94"/>
  <c r="B63" i="94"/>
  <c r="T62" i="94"/>
  <c r="Z62" i="94" s="1"/>
  <c r="P62" i="94"/>
  <c r="X62" i="94" s="1"/>
  <c r="H62" i="94"/>
  <c r="L62" i="94" s="1"/>
  <c r="D62" i="94"/>
  <c r="B62" i="94"/>
  <c r="Z61" i="94"/>
  <c r="X61" i="94"/>
  <c r="N61" i="94"/>
  <c r="L61" i="94"/>
  <c r="B61" i="94"/>
  <c r="T60" i="94"/>
  <c r="P60" i="94"/>
  <c r="X60" i="94" s="1"/>
  <c r="Z60" i="94" s="1"/>
  <c r="L60" i="94"/>
  <c r="N60" i="94" s="1"/>
  <c r="H60" i="94"/>
  <c r="D60" i="94"/>
  <c r="B60" i="94"/>
  <c r="Z59" i="94"/>
  <c r="X59" i="94"/>
  <c r="N59" i="94"/>
  <c r="L59" i="94"/>
  <c r="J59" i="94"/>
  <c r="B59" i="94"/>
  <c r="X58" i="94"/>
  <c r="T58" i="94"/>
  <c r="Z58" i="94" s="1"/>
  <c r="P58" i="94"/>
  <c r="L58" i="94"/>
  <c r="H58" i="94"/>
  <c r="N58" i="94" s="1"/>
  <c r="D58" i="94"/>
  <c r="B58" i="94"/>
  <c r="Z57" i="94"/>
  <c r="X57" i="94"/>
  <c r="N57" i="94"/>
  <c r="L57" i="94"/>
  <c r="J57" i="94"/>
  <c r="B57" i="94"/>
  <c r="T56" i="94"/>
  <c r="P56" i="94"/>
  <c r="H56" i="94"/>
  <c r="N56" i="94" s="1"/>
  <c r="D56" i="94"/>
  <c r="L56" i="94" s="1"/>
  <c r="B56" i="94"/>
  <c r="Z55" i="94"/>
  <c r="X55" i="94"/>
  <c r="L55" i="94"/>
  <c r="N55" i="94" s="1"/>
  <c r="B55" i="94"/>
  <c r="Z54" i="94"/>
  <c r="X54" i="94"/>
  <c r="L54" i="94"/>
  <c r="N54" i="94" s="1"/>
  <c r="J54" i="94"/>
  <c r="B54" i="94"/>
  <c r="V53" i="94"/>
  <c r="T53" i="94"/>
  <c r="P53" i="94"/>
  <c r="X53" i="94" s="1"/>
  <c r="J53" i="94"/>
  <c r="H53" i="94"/>
  <c r="N53" i="94" s="1"/>
  <c r="D53" i="94"/>
  <c r="L53" i="94" s="1"/>
  <c r="B53" i="94"/>
  <c r="X52" i="94"/>
  <c r="Z52" i="94" s="1"/>
  <c r="N52" i="94"/>
  <c r="L52" i="94"/>
  <c r="B52" i="94"/>
  <c r="T51" i="94"/>
  <c r="Z51" i="94" s="1"/>
  <c r="P51" i="94"/>
  <c r="X51" i="94" s="1"/>
  <c r="J51" i="94"/>
  <c r="H51" i="94"/>
  <c r="D51" i="94"/>
  <c r="L51" i="94" s="1"/>
  <c r="N51" i="94" s="1"/>
  <c r="B51" i="94"/>
  <c r="Z50" i="94"/>
  <c r="X50" i="94"/>
  <c r="N50" i="94"/>
  <c r="L50" i="94"/>
  <c r="J50" i="94"/>
  <c r="B50" i="94"/>
  <c r="Z49" i="94"/>
  <c r="X49" i="94"/>
  <c r="T49" i="94"/>
  <c r="P49" i="94"/>
  <c r="L49" i="94"/>
  <c r="N49" i="94" s="1"/>
  <c r="J49" i="94"/>
  <c r="H49" i="94"/>
  <c r="D49" i="94"/>
  <c r="B49" i="94"/>
  <c r="Z48" i="94"/>
  <c r="X48" i="94"/>
  <c r="N48" i="94"/>
  <c r="L48" i="94"/>
  <c r="J48" i="94"/>
  <c r="B48" i="94"/>
  <c r="V47" i="94"/>
  <c r="T47" i="94"/>
  <c r="P47" i="94"/>
  <c r="X47" i="94" s="1"/>
  <c r="J47" i="94"/>
  <c r="H47" i="94"/>
  <c r="N47" i="94" s="1"/>
  <c r="D47" i="94"/>
  <c r="B47" i="94"/>
  <c r="Z46" i="94"/>
  <c r="X46" i="94"/>
  <c r="N46" i="94"/>
  <c r="L46" i="94"/>
  <c r="B46" i="94"/>
  <c r="Z45" i="94"/>
  <c r="X45" i="94"/>
  <c r="N45" i="94"/>
  <c r="L45" i="94"/>
  <c r="B45" i="94"/>
  <c r="X44" i="94"/>
  <c r="Z44" i="94" s="1"/>
  <c r="V44" i="94"/>
  <c r="N44" i="94"/>
  <c r="L44" i="94"/>
  <c r="B44" i="94"/>
  <c r="X43" i="94"/>
  <c r="Z43" i="94" s="1"/>
  <c r="N43" i="94"/>
  <c r="L43" i="94"/>
  <c r="J43" i="94"/>
  <c r="B43" i="94"/>
  <c r="Z42" i="94"/>
  <c r="X42" i="94"/>
  <c r="N42" i="94"/>
  <c r="L42" i="94"/>
  <c r="B42" i="94"/>
  <c r="Z41" i="94"/>
  <c r="X41" i="94"/>
  <c r="N41" i="94"/>
  <c r="L41" i="94"/>
  <c r="B41" i="94"/>
  <c r="X40" i="94"/>
  <c r="Z40" i="94" s="1"/>
  <c r="V40" i="94"/>
  <c r="N40" i="94"/>
  <c r="L40" i="94"/>
  <c r="B40" i="94"/>
  <c r="Z39" i="94"/>
  <c r="X39" i="94"/>
  <c r="N39" i="94"/>
  <c r="L39" i="94"/>
  <c r="J39" i="94"/>
  <c r="B39" i="94"/>
  <c r="X38" i="94"/>
  <c r="Z38" i="94" s="1"/>
  <c r="L38" i="94"/>
  <c r="N38" i="94" s="1"/>
  <c r="B38" i="94"/>
  <c r="Z37" i="94"/>
  <c r="X37" i="94"/>
  <c r="N37" i="94"/>
  <c r="L37" i="94"/>
  <c r="B37" i="94"/>
  <c r="X36" i="94"/>
  <c r="V36" i="94"/>
  <c r="T36" i="94"/>
  <c r="P36" i="94"/>
  <c r="L36" i="94"/>
  <c r="J36" i="94"/>
  <c r="H36" i="94"/>
  <c r="D36" i="94"/>
  <c r="B36" i="94"/>
  <c r="Z35" i="94"/>
  <c r="X35" i="94"/>
  <c r="V35" i="94"/>
  <c r="N35" i="94"/>
  <c r="L35" i="94"/>
  <c r="J35" i="94"/>
  <c r="B35" i="94"/>
  <c r="X34" i="94"/>
  <c r="Z34" i="94" s="1"/>
  <c r="N34" i="94"/>
  <c r="L34" i="94"/>
  <c r="J34" i="94"/>
  <c r="B34" i="94"/>
  <c r="Z33" i="94"/>
  <c r="X33" i="94"/>
  <c r="N33" i="94"/>
  <c r="L33" i="94"/>
  <c r="J33" i="94"/>
  <c r="B33" i="94"/>
  <c r="Z32" i="94"/>
  <c r="X32" i="94"/>
  <c r="N32" i="94"/>
  <c r="L32" i="94"/>
  <c r="J32" i="94"/>
  <c r="B32" i="94"/>
  <c r="X31" i="94"/>
  <c r="Z31" i="94" s="1"/>
  <c r="N31" i="94"/>
  <c r="L31" i="94"/>
  <c r="J31" i="94"/>
  <c r="B31" i="94"/>
  <c r="X30" i="94"/>
  <c r="Z30" i="94" s="1"/>
  <c r="L30" i="94"/>
  <c r="N30" i="94" s="1"/>
  <c r="J30" i="94"/>
  <c r="B30" i="94"/>
  <c r="Z29" i="94"/>
  <c r="X29" i="94"/>
  <c r="N29" i="94"/>
  <c r="L29" i="94"/>
  <c r="J29" i="94"/>
  <c r="B29" i="94"/>
  <c r="X28" i="94"/>
  <c r="Z28" i="94" s="1"/>
  <c r="N28" i="94"/>
  <c r="L28" i="94"/>
  <c r="J28" i="94"/>
  <c r="B28" i="94"/>
  <c r="X27" i="94"/>
  <c r="Z27" i="94" s="1"/>
  <c r="V27" i="94"/>
  <c r="N27" i="94"/>
  <c r="L27" i="94"/>
  <c r="J27" i="94"/>
  <c r="B27" i="94"/>
  <c r="T26" i="94"/>
  <c r="P26" i="94"/>
  <c r="X26" i="94" s="1"/>
  <c r="H26" i="94"/>
  <c r="D26" i="94"/>
  <c r="B26" i="94"/>
  <c r="T25" i="94"/>
  <c r="P25" i="94"/>
  <c r="J25" i="94"/>
  <c r="H25" i="94"/>
  <c r="N25" i="94" s="1"/>
  <c r="D25" i="94"/>
  <c r="L25" i="94" s="1"/>
  <c r="T23" i="94"/>
  <c r="J23" i="94"/>
  <c r="H23" i="94"/>
  <c r="Z21" i="94"/>
  <c r="X21" i="94"/>
  <c r="N21" i="94"/>
  <c r="L21" i="94"/>
  <c r="J21" i="94"/>
  <c r="B21" i="94"/>
  <c r="Z20" i="94"/>
  <c r="X20" i="94"/>
  <c r="N20" i="94"/>
  <c r="L20" i="94"/>
  <c r="J20" i="94"/>
  <c r="B20" i="94"/>
  <c r="Z19" i="94"/>
  <c r="X19" i="94"/>
  <c r="V19" i="94"/>
  <c r="L19" i="94"/>
  <c r="N19" i="94" s="1"/>
  <c r="J19" i="94"/>
  <c r="B19" i="94"/>
  <c r="T18" i="94"/>
  <c r="P18" i="94"/>
  <c r="X18" i="94" s="1"/>
  <c r="Z18" i="94" s="1"/>
  <c r="J18" i="94"/>
  <c r="H18" i="94"/>
  <c r="D18" i="94"/>
  <c r="L18" i="94" s="1"/>
  <c r="N18" i="94" s="1"/>
  <c r="Z16" i="94"/>
  <c r="X16" i="94"/>
  <c r="P16" i="94"/>
  <c r="N16" i="94"/>
  <c r="D16" i="94"/>
  <c r="L16" i="94" s="1"/>
  <c r="B16" i="94"/>
  <c r="X15" i="94"/>
  <c r="Z15" i="94" s="1"/>
  <c r="P15" i="94"/>
  <c r="D15" i="94"/>
  <c r="L15" i="94" s="1"/>
  <c r="N15" i="94" s="1"/>
  <c r="B15" i="94"/>
  <c r="Z14" i="94"/>
  <c r="X14" i="94"/>
  <c r="P14" i="94"/>
  <c r="N14" i="94"/>
  <c r="L14" i="94"/>
  <c r="D14" i="94"/>
  <c r="B14" i="94"/>
  <c r="P13" i="94"/>
  <c r="N13" i="94"/>
  <c r="L13" i="94"/>
  <c r="D13" i="94"/>
  <c r="B13" i="94"/>
  <c r="T12" i="94"/>
  <c r="V55" i="94" s="1"/>
  <c r="H12" i="94"/>
  <c r="J71" i="94" s="1"/>
  <c r="D12" i="94"/>
  <c r="D6" i="94"/>
  <c r="D4" i="94"/>
  <c r="Z87" i="93"/>
  <c r="X87" i="93"/>
  <c r="N87" i="93"/>
  <c r="L87" i="93"/>
  <c r="Z83" i="93"/>
  <c r="X83" i="93"/>
  <c r="P83" i="93"/>
  <c r="N83" i="93"/>
  <c r="D83" i="93"/>
  <c r="L83" i="93" s="1"/>
  <c r="B83" i="93"/>
  <c r="V82" i="93"/>
  <c r="T82" i="93"/>
  <c r="Z82" i="93" s="1"/>
  <c r="P82" i="93"/>
  <c r="X82" i="93" s="1"/>
  <c r="H82" i="93"/>
  <c r="N82" i="93" s="1"/>
  <c r="D82" i="93"/>
  <c r="Z80" i="93"/>
  <c r="X80" i="93"/>
  <c r="N80" i="93"/>
  <c r="L80" i="93"/>
  <c r="B80" i="93"/>
  <c r="Z79" i="93"/>
  <c r="T79" i="93"/>
  <c r="P79" i="93"/>
  <c r="X79" i="93" s="1"/>
  <c r="H79" i="93"/>
  <c r="D79" i="93"/>
  <c r="L79" i="93" s="1"/>
  <c r="N79" i="93" s="1"/>
  <c r="B79" i="93"/>
  <c r="X78" i="93"/>
  <c r="Z78" i="93" s="1"/>
  <c r="N78" i="93"/>
  <c r="L78" i="93"/>
  <c r="B78" i="93"/>
  <c r="X77" i="93"/>
  <c r="T77" i="93"/>
  <c r="P77" i="93"/>
  <c r="L77" i="93"/>
  <c r="H77" i="93"/>
  <c r="N77" i="93" s="1"/>
  <c r="D77" i="93"/>
  <c r="B77" i="93"/>
  <c r="Z76" i="93"/>
  <c r="X76" i="93"/>
  <c r="N76" i="93"/>
  <c r="L76" i="93"/>
  <c r="B76" i="93"/>
  <c r="Z75" i="93"/>
  <c r="X75" i="93"/>
  <c r="N75" i="93"/>
  <c r="L75" i="93"/>
  <c r="B75" i="93"/>
  <c r="X74" i="93"/>
  <c r="Z74" i="93" s="1"/>
  <c r="V74" i="93"/>
  <c r="T74" i="93"/>
  <c r="P74" i="93"/>
  <c r="L74" i="93"/>
  <c r="N74" i="93" s="1"/>
  <c r="H74" i="93"/>
  <c r="D74" i="93"/>
  <c r="B74" i="93"/>
  <c r="X73" i="93"/>
  <c r="Z73" i="93" s="1"/>
  <c r="N73" i="93"/>
  <c r="L73" i="93"/>
  <c r="J73" i="93"/>
  <c r="B73" i="93"/>
  <c r="Z72" i="93"/>
  <c r="X72" i="93"/>
  <c r="V72" i="93"/>
  <c r="N72" i="93"/>
  <c r="L72" i="93"/>
  <c r="B72" i="93"/>
  <c r="Z71" i="93"/>
  <c r="X71" i="93"/>
  <c r="N71" i="93"/>
  <c r="L71" i="93"/>
  <c r="B71" i="93"/>
  <c r="Z70" i="93"/>
  <c r="X70" i="93"/>
  <c r="L70" i="93"/>
  <c r="N70" i="93" s="1"/>
  <c r="B70" i="93"/>
  <c r="X69" i="93"/>
  <c r="Z69" i="93" s="1"/>
  <c r="L69" i="93"/>
  <c r="N69" i="93" s="1"/>
  <c r="B69" i="93"/>
  <c r="Z68" i="93"/>
  <c r="X68" i="93"/>
  <c r="V68" i="93"/>
  <c r="N68" i="93"/>
  <c r="L68" i="93"/>
  <c r="B68" i="93"/>
  <c r="Z67" i="93"/>
  <c r="X67" i="93"/>
  <c r="L67" i="93"/>
  <c r="N67" i="93" s="1"/>
  <c r="B67" i="93"/>
  <c r="T66" i="93"/>
  <c r="P66" i="93"/>
  <c r="H66" i="93"/>
  <c r="D66" i="93"/>
  <c r="L66" i="93" s="1"/>
  <c r="B66" i="93"/>
  <c r="X65" i="93"/>
  <c r="Z65" i="93" s="1"/>
  <c r="N65" i="93"/>
  <c r="L65" i="93"/>
  <c r="B65" i="93"/>
  <c r="Z64" i="93"/>
  <c r="X64" i="93"/>
  <c r="N64" i="93"/>
  <c r="L64" i="93"/>
  <c r="B64" i="93"/>
  <c r="X63" i="93"/>
  <c r="V63" i="93"/>
  <c r="T63" i="93"/>
  <c r="P63" i="93"/>
  <c r="L63" i="93"/>
  <c r="H63" i="93"/>
  <c r="N63" i="93" s="1"/>
  <c r="D63" i="93"/>
  <c r="B63" i="93"/>
  <c r="Z62" i="93"/>
  <c r="X62" i="93"/>
  <c r="N62" i="93"/>
  <c r="L62" i="93"/>
  <c r="B62" i="93"/>
  <c r="Z61" i="93"/>
  <c r="X61" i="93"/>
  <c r="N61" i="93"/>
  <c r="L61" i="93"/>
  <c r="B61" i="93"/>
  <c r="Z60" i="93"/>
  <c r="X60" i="93"/>
  <c r="N60" i="93"/>
  <c r="L60" i="93"/>
  <c r="B60" i="93"/>
  <c r="T59" i="93"/>
  <c r="P59" i="93"/>
  <c r="H59" i="93"/>
  <c r="N59" i="93" s="1"/>
  <c r="D59" i="93"/>
  <c r="L59" i="93" s="1"/>
  <c r="B59" i="93"/>
  <c r="Z58" i="93"/>
  <c r="X58" i="93"/>
  <c r="V58" i="93"/>
  <c r="N58" i="93"/>
  <c r="L58" i="93"/>
  <c r="B58" i="93"/>
  <c r="Z57" i="93"/>
  <c r="T57" i="93"/>
  <c r="P57" i="93"/>
  <c r="X57" i="93" s="1"/>
  <c r="N57" i="93"/>
  <c r="H57" i="93"/>
  <c r="D57" i="93"/>
  <c r="L57" i="93" s="1"/>
  <c r="B57" i="93"/>
  <c r="X56" i="93"/>
  <c r="Z56" i="93" s="1"/>
  <c r="N56" i="93"/>
  <c r="L56" i="93"/>
  <c r="B56" i="93"/>
  <c r="V55" i="93"/>
  <c r="T55" i="93"/>
  <c r="P55" i="93"/>
  <c r="L55" i="93"/>
  <c r="H55" i="93"/>
  <c r="N55" i="93" s="1"/>
  <c r="D55" i="93"/>
  <c r="B55" i="93"/>
  <c r="X54" i="93"/>
  <c r="Z54" i="93" s="1"/>
  <c r="N54" i="93"/>
  <c r="L54" i="93"/>
  <c r="J54" i="93"/>
  <c r="B54" i="93"/>
  <c r="T53" i="93"/>
  <c r="P53" i="93"/>
  <c r="X53" i="93" s="1"/>
  <c r="H53" i="93"/>
  <c r="L53" i="93" s="1"/>
  <c r="D53" i="93"/>
  <c r="B53" i="93"/>
  <c r="Z52" i="93"/>
  <c r="X52" i="93"/>
  <c r="V52" i="93"/>
  <c r="N52" i="93"/>
  <c r="L52" i="93"/>
  <c r="B52" i="93"/>
  <c r="T51" i="93"/>
  <c r="P51" i="93"/>
  <c r="X51" i="93" s="1"/>
  <c r="Z51" i="93" s="1"/>
  <c r="N51" i="93"/>
  <c r="J51" i="93"/>
  <c r="H51" i="93"/>
  <c r="D51" i="93"/>
  <c r="L51" i="93" s="1"/>
  <c r="B51" i="93"/>
  <c r="X50" i="93"/>
  <c r="Z50" i="93" s="1"/>
  <c r="L50" i="93"/>
  <c r="N50" i="93" s="1"/>
  <c r="B50" i="93"/>
  <c r="X49" i="93"/>
  <c r="V49" i="93"/>
  <c r="T49" i="93"/>
  <c r="Z49" i="93" s="1"/>
  <c r="P49" i="93"/>
  <c r="H49" i="93"/>
  <c r="D49" i="93"/>
  <c r="B49" i="93"/>
  <c r="X48" i="93"/>
  <c r="Z48" i="93" s="1"/>
  <c r="N48" i="93"/>
  <c r="L48" i="93"/>
  <c r="B48" i="93"/>
  <c r="T47" i="93"/>
  <c r="X47" i="93" s="1"/>
  <c r="P47" i="93"/>
  <c r="H47" i="93"/>
  <c r="N47" i="93" s="1"/>
  <c r="D47" i="93"/>
  <c r="L47" i="93" s="1"/>
  <c r="B47" i="93"/>
  <c r="Z46" i="93"/>
  <c r="X46" i="93"/>
  <c r="N46" i="93"/>
  <c r="L46" i="93"/>
  <c r="B46" i="93"/>
  <c r="Z45" i="93"/>
  <c r="X45" i="93"/>
  <c r="V45" i="93"/>
  <c r="N45" i="93"/>
  <c r="L45" i="93"/>
  <c r="J45" i="93"/>
  <c r="B45" i="93"/>
  <c r="Z44" i="93"/>
  <c r="X44" i="93"/>
  <c r="N44" i="93"/>
  <c r="L44" i="93"/>
  <c r="B44" i="93"/>
  <c r="Z43" i="93"/>
  <c r="X43" i="93"/>
  <c r="V43" i="93"/>
  <c r="N43" i="93"/>
  <c r="L43" i="93"/>
  <c r="J43" i="93"/>
  <c r="B43" i="93"/>
  <c r="Z42" i="93"/>
  <c r="X42" i="93"/>
  <c r="V42" i="93"/>
  <c r="N42" i="93"/>
  <c r="L42" i="93"/>
  <c r="B42" i="93"/>
  <c r="X41" i="93"/>
  <c r="Z41" i="93" s="1"/>
  <c r="V41" i="93"/>
  <c r="N41" i="93"/>
  <c r="L41" i="93"/>
  <c r="J41" i="93"/>
  <c r="B41" i="93"/>
  <c r="Z40" i="93"/>
  <c r="X40" i="93"/>
  <c r="V40" i="93"/>
  <c r="N40" i="93"/>
  <c r="L40" i="93"/>
  <c r="J40" i="93"/>
  <c r="B40" i="93"/>
  <c r="Z39" i="93"/>
  <c r="X39" i="93"/>
  <c r="V39" i="93"/>
  <c r="N39" i="93"/>
  <c r="L39" i="93"/>
  <c r="J39" i="93"/>
  <c r="B39" i="93"/>
  <c r="Z38" i="93"/>
  <c r="X38" i="93"/>
  <c r="V38" i="93"/>
  <c r="L38" i="93"/>
  <c r="N38" i="93" s="1"/>
  <c r="B38" i="93"/>
  <c r="Z37" i="93"/>
  <c r="X37" i="93"/>
  <c r="V37" i="93"/>
  <c r="N37" i="93"/>
  <c r="L37" i="93"/>
  <c r="B37" i="93"/>
  <c r="V36" i="93"/>
  <c r="T36" i="93"/>
  <c r="P36" i="93"/>
  <c r="X36" i="93" s="1"/>
  <c r="H36" i="93"/>
  <c r="D36" i="93"/>
  <c r="B36" i="93"/>
  <c r="Z35" i="93"/>
  <c r="X35" i="93"/>
  <c r="V35" i="93"/>
  <c r="N35" i="93"/>
  <c r="L35" i="93"/>
  <c r="B35" i="93"/>
  <c r="X34" i="93"/>
  <c r="Z34" i="93" s="1"/>
  <c r="L34" i="93"/>
  <c r="N34" i="93" s="1"/>
  <c r="B34" i="93"/>
  <c r="X33" i="93"/>
  <c r="Z33" i="93" s="1"/>
  <c r="V33" i="93"/>
  <c r="N33" i="93"/>
  <c r="L33" i="93"/>
  <c r="B33" i="93"/>
  <c r="Z32" i="93"/>
  <c r="X32" i="93"/>
  <c r="V32" i="93"/>
  <c r="N32" i="93"/>
  <c r="L32" i="93"/>
  <c r="B32" i="93"/>
  <c r="X31" i="93"/>
  <c r="Z31" i="93" s="1"/>
  <c r="L31" i="93"/>
  <c r="N31" i="93" s="1"/>
  <c r="B31" i="93"/>
  <c r="X30" i="93"/>
  <c r="Z30" i="93" s="1"/>
  <c r="L30" i="93"/>
  <c r="N30" i="93" s="1"/>
  <c r="B30" i="93"/>
  <c r="X29" i="93"/>
  <c r="Z29" i="93" s="1"/>
  <c r="V29" i="93"/>
  <c r="N29" i="93"/>
  <c r="L29" i="93"/>
  <c r="B29" i="93"/>
  <c r="Z28" i="93"/>
  <c r="X28" i="93"/>
  <c r="V28" i="93"/>
  <c r="L28" i="93"/>
  <c r="N28" i="93" s="1"/>
  <c r="B28" i="93"/>
  <c r="X27" i="93"/>
  <c r="Z27" i="93" s="1"/>
  <c r="V27" i="93"/>
  <c r="R27" i="93"/>
  <c r="L27" i="93"/>
  <c r="N27" i="93" s="1"/>
  <c r="B27" i="93"/>
  <c r="T26" i="93"/>
  <c r="P26" i="93"/>
  <c r="X26" i="93" s="1"/>
  <c r="H26" i="93"/>
  <c r="D26" i="93"/>
  <c r="L26" i="93" s="1"/>
  <c r="N26" i="93" s="1"/>
  <c r="B26" i="93"/>
  <c r="T25" i="93"/>
  <c r="Z25" i="93" s="1"/>
  <c r="P25" i="93"/>
  <c r="X25" i="93" s="1"/>
  <c r="H25" i="93"/>
  <c r="L25" i="93" s="1"/>
  <c r="N25" i="93" s="1"/>
  <c r="D25" i="93"/>
  <c r="T23" i="93"/>
  <c r="H23" i="93"/>
  <c r="H85" i="93" s="1"/>
  <c r="H89" i="93" s="1"/>
  <c r="Z21" i="93"/>
  <c r="X21" i="93"/>
  <c r="N21" i="93"/>
  <c r="L21" i="93"/>
  <c r="J21" i="93"/>
  <c r="B21" i="93"/>
  <c r="Z20" i="93"/>
  <c r="X20" i="93"/>
  <c r="R20" i="93"/>
  <c r="N20" i="93"/>
  <c r="L20" i="93"/>
  <c r="J20" i="93"/>
  <c r="B20" i="93"/>
  <c r="X19" i="93"/>
  <c r="Z19" i="93" s="1"/>
  <c r="N19" i="93"/>
  <c r="L19" i="93"/>
  <c r="B19" i="93"/>
  <c r="V18" i="93"/>
  <c r="T18" i="93"/>
  <c r="X18" i="93" s="1"/>
  <c r="Z18" i="93" s="1"/>
  <c r="R18" i="93"/>
  <c r="P18" i="93"/>
  <c r="N18" i="93"/>
  <c r="L18" i="93"/>
  <c r="H18" i="93"/>
  <c r="D18" i="93"/>
  <c r="Z16" i="93"/>
  <c r="X16" i="93"/>
  <c r="P16" i="93"/>
  <c r="N16" i="93"/>
  <c r="L16" i="93"/>
  <c r="D16" i="93"/>
  <c r="B16" i="93"/>
  <c r="P15" i="93"/>
  <c r="X15" i="93" s="1"/>
  <c r="Z15" i="93" s="1"/>
  <c r="N15" i="93"/>
  <c r="D15" i="93"/>
  <c r="L15" i="93" s="1"/>
  <c r="B15" i="93"/>
  <c r="Z14" i="93"/>
  <c r="X14" i="93"/>
  <c r="P14" i="93"/>
  <c r="P12" i="93" s="1"/>
  <c r="R55" i="93" s="1"/>
  <c r="N14" i="93"/>
  <c r="L14" i="93"/>
  <c r="D14" i="93"/>
  <c r="B14" i="93"/>
  <c r="Z13" i="93"/>
  <c r="X13" i="93"/>
  <c r="P13" i="93"/>
  <c r="N13" i="93"/>
  <c r="L13" i="93"/>
  <c r="D13" i="93"/>
  <c r="B13" i="93"/>
  <c r="T12" i="93"/>
  <c r="H12" i="93"/>
  <c r="J82" i="93" s="1"/>
  <c r="D6" i="93"/>
  <c r="D4" i="93"/>
  <c r="Z93" i="92"/>
  <c r="X93" i="92"/>
  <c r="N93" i="92"/>
  <c r="L93" i="92"/>
  <c r="J93" i="92"/>
  <c r="T89" i="92"/>
  <c r="Z89" i="92" s="1"/>
  <c r="P89" i="92"/>
  <c r="H89" i="92"/>
  <c r="N89" i="92" s="1"/>
  <c r="D89" i="92"/>
  <c r="Z87" i="92"/>
  <c r="X87" i="92"/>
  <c r="N87" i="92"/>
  <c r="L87" i="92"/>
  <c r="B87" i="92"/>
  <c r="X86" i="92"/>
  <c r="T86" i="92"/>
  <c r="P86" i="92"/>
  <c r="H86" i="92"/>
  <c r="D86" i="92"/>
  <c r="B86" i="92"/>
  <c r="Z85" i="92"/>
  <c r="X85" i="92"/>
  <c r="L85" i="92"/>
  <c r="N85" i="92" s="1"/>
  <c r="J85" i="92"/>
  <c r="B85" i="92"/>
  <c r="V84" i="92"/>
  <c r="T84" i="92"/>
  <c r="P84" i="92"/>
  <c r="X84" i="92" s="1"/>
  <c r="J84" i="92"/>
  <c r="H84" i="92"/>
  <c r="D84" i="92"/>
  <c r="L84" i="92" s="1"/>
  <c r="B84" i="92"/>
  <c r="Z83" i="92"/>
  <c r="X83" i="92"/>
  <c r="N83" i="92"/>
  <c r="L83" i="92"/>
  <c r="B83" i="92"/>
  <c r="X82" i="92"/>
  <c r="Z82" i="92" s="1"/>
  <c r="T82" i="92"/>
  <c r="P82" i="92"/>
  <c r="N82" i="92"/>
  <c r="L82" i="92"/>
  <c r="H82" i="92"/>
  <c r="D82" i="92"/>
  <c r="B82" i="92"/>
  <c r="X81" i="92"/>
  <c r="Z81" i="92" s="1"/>
  <c r="N81" i="92"/>
  <c r="L81" i="92"/>
  <c r="J81" i="92"/>
  <c r="B81" i="92"/>
  <c r="Z80" i="92"/>
  <c r="X80" i="92"/>
  <c r="N80" i="92"/>
  <c r="L80" i="92"/>
  <c r="B80" i="92"/>
  <c r="Z79" i="92"/>
  <c r="X79" i="92"/>
  <c r="N79" i="92"/>
  <c r="L79" i="92"/>
  <c r="B79" i="92"/>
  <c r="X78" i="92"/>
  <c r="Z78" i="92" s="1"/>
  <c r="N78" i="92"/>
  <c r="L78" i="92"/>
  <c r="B78" i="92"/>
  <c r="X77" i="92"/>
  <c r="Z77" i="92" s="1"/>
  <c r="V77" i="92"/>
  <c r="N77" i="92"/>
  <c r="L77" i="92"/>
  <c r="J77" i="92"/>
  <c r="B77" i="92"/>
  <c r="Z76" i="92"/>
  <c r="X76" i="92"/>
  <c r="V76" i="92"/>
  <c r="N76" i="92"/>
  <c r="L76" i="92"/>
  <c r="B76" i="92"/>
  <c r="Z75" i="92"/>
  <c r="X75" i="92"/>
  <c r="N75" i="92"/>
  <c r="L75" i="92"/>
  <c r="B75" i="92"/>
  <c r="X74" i="92"/>
  <c r="Z74" i="92" s="1"/>
  <c r="N74" i="92"/>
  <c r="L74" i="92"/>
  <c r="B74" i="92"/>
  <c r="X73" i="92"/>
  <c r="V73" i="92"/>
  <c r="T73" i="92"/>
  <c r="Z73" i="92" s="1"/>
  <c r="P73" i="92"/>
  <c r="H73" i="92"/>
  <c r="D73" i="92"/>
  <c r="L73" i="92" s="1"/>
  <c r="N73" i="92" s="1"/>
  <c r="B73" i="92"/>
  <c r="X72" i="92"/>
  <c r="Z72" i="92" s="1"/>
  <c r="L72" i="92"/>
  <c r="N72" i="92" s="1"/>
  <c r="J72" i="92"/>
  <c r="B72" i="92"/>
  <c r="X71" i="92"/>
  <c r="Z71" i="92" s="1"/>
  <c r="N71" i="92"/>
  <c r="L71" i="92"/>
  <c r="J71" i="92"/>
  <c r="B71" i="92"/>
  <c r="Z70" i="92"/>
  <c r="X70" i="92"/>
  <c r="N70" i="92"/>
  <c r="L70" i="92"/>
  <c r="J70" i="92"/>
  <c r="B70" i="92"/>
  <c r="V69" i="92"/>
  <c r="T69" i="92"/>
  <c r="P69" i="92"/>
  <c r="X69" i="92" s="1"/>
  <c r="Z69" i="92" s="1"/>
  <c r="H69" i="92"/>
  <c r="D69" i="92"/>
  <c r="B69" i="92"/>
  <c r="X68" i="92"/>
  <c r="Z68" i="92" s="1"/>
  <c r="N68" i="92"/>
  <c r="L68" i="92"/>
  <c r="J68" i="92"/>
  <c r="B68" i="92"/>
  <c r="T67" i="92"/>
  <c r="P67" i="92"/>
  <c r="X67" i="92" s="1"/>
  <c r="Z67" i="92" s="1"/>
  <c r="H67" i="92"/>
  <c r="D67" i="92"/>
  <c r="B67" i="92"/>
  <c r="X66" i="92"/>
  <c r="Z66" i="92" s="1"/>
  <c r="N66" i="92"/>
  <c r="L66" i="92"/>
  <c r="B66" i="92"/>
  <c r="X65" i="92"/>
  <c r="Z65" i="92" s="1"/>
  <c r="N65" i="92"/>
  <c r="L65" i="92"/>
  <c r="J65" i="92"/>
  <c r="B65" i="92"/>
  <c r="Z64" i="92"/>
  <c r="X64" i="92"/>
  <c r="V64" i="92"/>
  <c r="N64" i="92"/>
  <c r="L64" i="92"/>
  <c r="B64" i="92"/>
  <c r="Z63" i="92"/>
  <c r="T63" i="92"/>
  <c r="P63" i="92"/>
  <c r="X63" i="92" s="1"/>
  <c r="L63" i="92"/>
  <c r="J63" i="92"/>
  <c r="H63" i="92"/>
  <c r="D63" i="92"/>
  <c r="B63" i="92"/>
  <c r="Z62" i="92"/>
  <c r="X62" i="92"/>
  <c r="N62" i="92"/>
  <c r="L62" i="92"/>
  <c r="J62" i="92"/>
  <c r="B62" i="92"/>
  <c r="Z61" i="92"/>
  <c r="T61" i="92"/>
  <c r="P61" i="92"/>
  <c r="X61" i="92" s="1"/>
  <c r="L61" i="92"/>
  <c r="H61" i="92"/>
  <c r="D61" i="92"/>
  <c r="B61" i="92"/>
  <c r="X60" i="92"/>
  <c r="Z60" i="92" s="1"/>
  <c r="N60" i="92"/>
  <c r="L60" i="92"/>
  <c r="J60" i="92"/>
  <c r="B60" i="92"/>
  <c r="T59" i="92"/>
  <c r="P59" i="92"/>
  <c r="X59" i="92" s="1"/>
  <c r="Z59" i="92" s="1"/>
  <c r="H59" i="92"/>
  <c r="D59" i="92"/>
  <c r="B59" i="92"/>
  <c r="X58" i="92"/>
  <c r="Z58" i="92" s="1"/>
  <c r="N58" i="92"/>
  <c r="L58" i="92"/>
  <c r="B58" i="92"/>
  <c r="X57" i="92"/>
  <c r="V57" i="92"/>
  <c r="T57" i="92"/>
  <c r="Z57" i="92" s="1"/>
  <c r="P57" i="92"/>
  <c r="N57" i="92"/>
  <c r="H57" i="92"/>
  <c r="D57" i="92"/>
  <c r="L57" i="92" s="1"/>
  <c r="B57" i="92"/>
  <c r="X56" i="92"/>
  <c r="Z56" i="92" s="1"/>
  <c r="L56" i="92"/>
  <c r="N56" i="92" s="1"/>
  <c r="J56" i="92"/>
  <c r="B56" i="92"/>
  <c r="X55" i="92"/>
  <c r="Z55" i="92" s="1"/>
  <c r="N55" i="92"/>
  <c r="L55" i="92"/>
  <c r="J55" i="92"/>
  <c r="B55" i="92"/>
  <c r="Z54" i="92"/>
  <c r="X54" i="92"/>
  <c r="N54" i="92"/>
  <c r="L54" i="92"/>
  <c r="J54" i="92"/>
  <c r="B54" i="92"/>
  <c r="T53" i="92"/>
  <c r="P53" i="92"/>
  <c r="X53" i="92" s="1"/>
  <c r="Z53" i="92" s="1"/>
  <c r="L53" i="92"/>
  <c r="H53" i="92"/>
  <c r="D53" i="92"/>
  <c r="B53" i="92"/>
  <c r="X52" i="92"/>
  <c r="Z52" i="92" s="1"/>
  <c r="V52" i="92"/>
  <c r="N52" i="92"/>
  <c r="L52" i="92"/>
  <c r="J52" i="92"/>
  <c r="B52" i="92"/>
  <c r="Z51" i="92"/>
  <c r="V51" i="92"/>
  <c r="T51" i="92"/>
  <c r="P51" i="92"/>
  <c r="X51" i="92" s="1"/>
  <c r="H51" i="92"/>
  <c r="D51" i="92"/>
  <c r="B51" i="92"/>
  <c r="X50" i="92"/>
  <c r="Z50" i="92" s="1"/>
  <c r="N50" i="92"/>
  <c r="L50" i="92"/>
  <c r="J50" i="92"/>
  <c r="B50" i="92"/>
  <c r="X49" i="92"/>
  <c r="V49" i="92"/>
  <c r="T49" i="92"/>
  <c r="Z49" i="92" s="1"/>
  <c r="P49" i="92"/>
  <c r="N49" i="92"/>
  <c r="L49" i="92"/>
  <c r="H49" i="92"/>
  <c r="D49" i="92"/>
  <c r="B49" i="92"/>
  <c r="Z48" i="92"/>
  <c r="X48" i="92"/>
  <c r="L48" i="92"/>
  <c r="N48" i="92" s="1"/>
  <c r="J48" i="92"/>
  <c r="B48" i="92"/>
  <c r="T47" i="92"/>
  <c r="P47" i="92"/>
  <c r="H47" i="92"/>
  <c r="D47" i="92"/>
  <c r="B47" i="92"/>
  <c r="Z46" i="92"/>
  <c r="X46" i="92"/>
  <c r="V46" i="92"/>
  <c r="N46" i="92"/>
  <c r="L46" i="92"/>
  <c r="B46" i="92"/>
  <c r="Z45" i="92"/>
  <c r="X45" i="92"/>
  <c r="N45" i="92"/>
  <c r="L45" i="92"/>
  <c r="J45" i="92"/>
  <c r="B45" i="92"/>
  <c r="Z44" i="92"/>
  <c r="X44" i="92"/>
  <c r="V44" i="92"/>
  <c r="N44" i="92"/>
  <c r="L44" i="92"/>
  <c r="J44" i="92"/>
  <c r="B44" i="92"/>
  <c r="Z43" i="92"/>
  <c r="X43" i="92"/>
  <c r="V43" i="92"/>
  <c r="N43" i="92"/>
  <c r="L43" i="92"/>
  <c r="B43" i="92"/>
  <c r="Z42" i="92"/>
  <c r="X42" i="92"/>
  <c r="V42" i="92"/>
  <c r="N42" i="92"/>
  <c r="L42" i="92"/>
  <c r="B42" i="92"/>
  <c r="Z41" i="92"/>
  <c r="X41" i="92"/>
  <c r="N41" i="92"/>
  <c r="L41" i="92"/>
  <c r="J41" i="92"/>
  <c r="B41" i="92"/>
  <c r="X40" i="92"/>
  <c r="Z40" i="92" s="1"/>
  <c r="N40" i="92"/>
  <c r="L40" i="92"/>
  <c r="J40" i="92"/>
  <c r="B40" i="92"/>
  <c r="Z39" i="92"/>
  <c r="X39" i="92"/>
  <c r="N39" i="92"/>
  <c r="L39" i="92"/>
  <c r="B39" i="92"/>
  <c r="Z38" i="92"/>
  <c r="X38" i="92"/>
  <c r="V38" i="92"/>
  <c r="L38" i="92"/>
  <c r="N38" i="92" s="1"/>
  <c r="B38" i="92"/>
  <c r="Z37" i="92"/>
  <c r="X37" i="92"/>
  <c r="N37" i="92"/>
  <c r="L37" i="92"/>
  <c r="J37" i="92"/>
  <c r="B37" i="92"/>
  <c r="X36" i="92"/>
  <c r="V36" i="92"/>
  <c r="T36" i="92"/>
  <c r="P36" i="92"/>
  <c r="J36" i="92"/>
  <c r="H36" i="92"/>
  <c r="D36" i="92"/>
  <c r="L36" i="92" s="1"/>
  <c r="N36" i="92" s="1"/>
  <c r="B36" i="92"/>
  <c r="Z35" i="92"/>
  <c r="X35" i="92"/>
  <c r="N35" i="92"/>
  <c r="L35" i="92"/>
  <c r="J35" i="92"/>
  <c r="B35" i="92"/>
  <c r="X34" i="92"/>
  <c r="Z34" i="92" s="1"/>
  <c r="N34" i="92"/>
  <c r="L34" i="92"/>
  <c r="J34" i="92"/>
  <c r="B34" i="92"/>
  <c r="X33" i="92"/>
  <c r="Z33" i="92" s="1"/>
  <c r="N33" i="92"/>
  <c r="L33" i="92"/>
  <c r="J33" i="92"/>
  <c r="B33" i="92"/>
  <c r="Z32" i="92"/>
  <c r="X32" i="92"/>
  <c r="V32" i="92"/>
  <c r="N32" i="92"/>
  <c r="L32" i="92"/>
  <c r="J32" i="92"/>
  <c r="B32" i="92"/>
  <c r="Z31" i="92"/>
  <c r="X31" i="92"/>
  <c r="L31" i="92"/>
  <c r="N31" i="92" s="1"/>
  <c r="J31" i="92"/>
  <c r="B31" i="92"/>
  <c r="X30" i="92"/>
  <c r="Z30" i="92" s="1"/>
  <c r="N30" i="92"/>
  <c r="L30" i="92"/>
  <c r="J30" i="92"/>
  <c r="B30" i="92"/>
  <c r="X29" i="92"/>
  <c r="Z29" i="92" s="1"/>
  <c r="V29" i="92"/>
  <c r="N29" i="92"/>
  <c r="L29" i="92"/>
  <c r="J29" i="92"/>
  <c r="B29" i="92"/>
  <c r="Z28" i="92"/>
  <c r="X28" i="92"/>
  <c r="N28" i="92"/>
  <c r="L28" i="92"/>
  <c r="J28" i="92"/>
  <c r="B28" i="92"/>
  <c r="Z27" i="92"/>
  <c r="X27" i="92"/>
  <c r="L27" i="92"/>
  <c r="N27" i="92" s="1"/>
  <c r="J27" i="92"/>
  <c r="B27" i="92"/>
  <c r="X26" i="92"/>
  <c r="T26" i="92"/>
  <c r="P26" i="92"/>
  <c r="J26" i="92"/>
  <c r="H26" i="92"/>
  <c r="D26" i="92"/>
  <c r="L26" i="92" s="1"/>
  <c r="N26" i="92" s="1"/>
  <c r="B26" i="92"/>
  <c r="T25" i="92"/>
  <c r="P25" i="92"/>
  <c r="H25" i="92"/>
  <c r="D25" i="92"/>
  <c r="L25" i="92" s="1"/>
  <c r="T23" i="92"/>
  <c r="Z21" i="92"/>
  <c r="X21" i="92"/>
  <c r="V21" i="92"/>
  <c r="N21" i="92"/>
  <c r="L21" i="92"/>
  <c r="J21" i="92"/>
  <c r="B21" i="92"/>
  <c r="Z20" i="92"/>
  <c r="X20" i="92"/>
  <c r="V20" i="92"/>
  <c r="N20" i="92"/>
  <c r="L20" i="92"/>
  <c r="J20" i="92"/>
  <c r="B20" i="92"/>
  <c r="X19" i="92"/>
  <c r="Z19" i="92" s="1"/>
  <c r="N19" i="92"/>
  <c r="L19" i="92"/>
  <c r="J19" i="92"/>
  <c r="B19" i="92"/>
  <c r="T18" i="92"/>
  <c r="P18" i="92"/>
  <c r="X18" i="92" s="1"/>
  <c r="Z18" i="92" s="1"/>
  <c r="L18" i="92"/>
  <c r="J18" i="92"/>
  <c r="H18" i="92"/>
  <c r="H23" i="92" s="1"/>
  <c r="D18" i="92"/>
  <c r="Z16" i="92"/>
  <c r="P16" i="92"/>
  <c r="X16" i="92" s="1"/>
  <c r="N16" i="92"/>
  <c r="L16" i="92"/>
  <c r="D16" i="92"/>
  <c r="B16" i="92"/>
  <c r="P15" i="92"/>
  <c r="L15" i="92"/>
  <c r="N15" i="92" s="1"/>
  <c r="D15" i="92"/>
  <c r="B15" i="92"/>
  <c r="Z14" i="92"/>
  <c r="P14" i="92"/>
  <c r="X14" i="92" s="1"/>
  <c r="N14" i="92"/>
  <c r="D14" i="92"/>
  <c r="L14" i="92" s="1"/>
  <c r="B14" i="92"/>
  <c r="Z13" i="92"/>
  <c r="P13" i="92"/>
  <c r="X13" i="92" s="1"/>
  <c r="D13" i="92"/>
  <c r="B13" i="92"/>
  <c r="T12" i="92"/>
  <c r="V61" i="92" s="1"/>
  <c r="H12" i="92"/>
  <c r="J82" i="92" s="1"/>
  <c r="D6" i="92"/>
  <c r="D4" i="92"/>
  <c r="V109" i="91"/>
  <c r="Z104" i="91"/>
  <c r="X104" i="91"/>
  <c r="N104" i="91"/>
  <c r="L104" i="91"/>
  <c r="V102" i="91"/>
  <c r="R102" i="91"/>
  <c r="Z100" i="91"/>
  <c r="P100" i="91"/>
  <c r="P98" i="91" s="1"/>
  <c r="X98" i="91" s="1"/>
  <c r="N100" i="91"/>
  <c r="L100" i="91"/>
  <c r="J100" i="91"/>
  <c r="D100" i="91"/>
  <c r="B100" i="91"/>
  <c r="Z99" i="91"/>
  <c r="P99" i="91"/>
  <c r="X99" i="91" s="1"/>
  <c r="D99" i="91"/>
  <c r="L99" i="91" s="1"/>
  <c r="N99" i="91" s="1"/>
  <c r="B99" i="91"/>
  <c r="T98" i="91"/>
  <c r="Z98" i="91" s="1"/>
  <c r="H98" i="91"/>
  <c r="D98" i="91"/>
  <c r="L98" i="91" s="1"/>
  <c r="Z96" i="91"/>
  <c r="X96" i="91"/>
  <c r="N96" i="91"/>
  <c r="L96" i="91"/>
  <c r="B96" i="91"/>
  <c r="T95" i="91"/>
  <c r="R95" i="91"/>
  <c r="P95" i="91"/>
  <c r="H95" i="91"/>
  <c r="D95" i="91"/>
  <c r="B95" i="91"/>
  <c r="Z94" i="91"/>
  <c r="X94" i="91"/>
  <c r="R94" i="91"/>
  <c r="N94" i="91"/>
  <c r="L94" i="91"/>
  <c r="B94" i="91"/>
  <c r="Z93" i="91"/>
  <c r="X93" i="91"/>
  <c r="N93" i="91"/>
  <c r="L93" i="91"/>
  <c r="B93" i="91"/>
  <c r="Z92" i="91"/>
  <c r="X92" i="91"/>
  <c r="N92" i="91"/>
  <c r="L92" i="91"/>
  <c r="B92" i="91"/>
  <c r="T91" i="91"/>
  <c r="P91" i="91"/>
  <c r="H91" i="91"/>
  <c r="L91" i="91" s="1"/>
  <c r="D91" i="91"/>
  <c r="B91" i="91"/>
  <c r="X90" i="91"/>
  <c r="Z90" i="91" s="1"/>
  <c r="V90" i="91"/>
  <c r="N90" i="91"/>
  <c r="L90" i="91"/>
  <c r="J90" i="91"/>
  <c r="B90" i="91"/>
  <c r="X89" i="91"/>
  <c r="Z89" i="91" s="1"/>
  <c r="T89" i="91"/>
  <c r="P89" i="91"/>
  <c r="H89" i="91"/>
  <c r="D89" i="91"/>
  <c r="B89" i="91"/>
  <c r="X88" i="91"/>
  <c r="Z88" i="91" s="1"/>
  <c r="N88" i="91"/>
  <c r="L88" i="91"/>
  <c r="B88" i="91"/>
  <c r="Z87" i="91"/>
  <c r="X87" i="91"/>
  <c r="T87" i="91"/>
  <c r="P87" i="91"/>
  <c r="H87" i="91"/>
  <c r="D87" i="91"/>
  <c r="L87" i="91" s="1"/>
  <c r="N87" i="91" s="1"/>
  <c r="B87" i="91"/>
  <c r="Z86" i="91"/>
  <c r="X86" i="91"/>
  <c r="N86" i="91"/>
  <c r="L86" i="91"/>
  <c r="B86" i="91"/>
  <c r="Z85" i="91"/>
  <c r="X85" i="91"/>
  <c r="V85" i="91"/>
  <c r="R85" i="91"/>
  <c r="N85" i="91"/>
  <c r="L85" i="91"/>
  <c r="B85" i="91"/>
  <c r="X84" i="91"/>
  <c r="Z84" i="91" s="1"/>
  <c r="N84" i="91"/>
  <c r="L84" i="91"/>
  <c r="J84" i="91"/>
  <c r="B84" i="91"/>
  <c r="X83" i="91"/>
  <c r="Z83" i="91" s="1"/>
  <c r="N83" i="91"/>
  <c r="L83" i="91"/>
  <c r="B83" i="91"/>
  <c r="Z82" i="91"/>
  <c r="X82" i="91"/>
  <c r="N82" i="91"/>
  <c r="L82" i="91"/>
  <c r="B82" i="91"/>
  <c r="Z81" i="91"/>
  <c r="X81" i="91"/>
  <c r="V81" i="91"/>
  <c r="R81" i="91"/>
  <c r="L81" i="91"/>
  <c r="N81" i="91" s="1"/>
  <c r="B81" i="91"/>
  <c r="X80" i="91"/>
  <c r="Z80" i="91" s="1"/>
  <c r="L80" i="91"/>
  <c r="N80" i="91" s="1"/>
  <c r="J80" i="91"/>
  <c r="B80" i="91"/>
  <c r="Z79" i="91"/>
  <c r="X79" i="91"/>
  <c r="N79" i="91"/>
  <c r="L79" i="91"/>
  <c r="B79" i="91"/>
  <c r="Z78" i="91"/>
  <c r="X78" i="91"/>
  <c r="N78" i="91"/>
  <c r="L78" i="91"/>
  <c r="B78" i="91"/>
  <c r="V77" i="91"/>
  <c r="T77" i="91"/>
  <c r="P77" i="91"/>
  <c r="X77" i="91" s="1"/>
  <c r="L77" i="91"/>
  <c r="H77" i="91"/>
  <c r="N77" i="91" s="1"/>
  <c r="D77" i="91"/>
  <c r="B77" i="91"/>
  <c r="Z76" i="91"/>
  <c r="X76" i="91"/>
  <c r="V76" i="91"/>
  <c r="N76" i="91"/>
  <c r="L76" i="91"/>
  <c r="J76" i="91"/>
  <c r="B76" i="91"/>
  <c r="Z75" i="91"/>
  <c r="V75" i="91"/>
  <c r="T75" i="91"/>
  <c r="R75" i="91"/>
  <c r="P75" i="91"/>
  <c r="X75" i="91" s="1"/>
  <c r="H75" i="91"/>
  <c r="L75" i="91" s="1"/>
  <c r="D75" i="91"/>
  <c r="B75" i="91"/>
  <c r="X74" i="91"/>
  <c r="Z74" i="91" s="1"/>
  <c r="R74" i="91"/>
  <c r="N74" i="91"/>
  <c r="L74" i="91"/>
  <c r="B74" i="91"/>
  <c r="Z73" i="91"/>
  <c r="X73" i="91"/>
  <c r="V73" i="91"/>
  <c r="N73" i="91"/>
  <c r="L73" i="91"/>
  <c r="J73" i="91"/>
  <c r="F73" i="91"/>
  <c r="B73" i="91"/>
  <c r="Z72" i="91"/>
  <c r="X72" i="91"/>
  <c r="V72" i="91"/>
  <c r="L72" i="91"/>
  <c r="N72" i="91" s="1"/>
  <c r="B72" i="91"/>
  <c r="X71" i="91"/>
  <c r="Z71" i="91" s="1"/>
  <c r="L71" i="91"/>
  <c r="N71" i="91" s="1"/>
  <c r="B71" i="91"/>
  <c r="X70" i="91"/>
  <c r="Z70" i="91" s="1"/>
  <c r="R70" i="91"/>
  <c r="N70" i="91"/>
  <c r="L70" i="91"/>
  <c r="B70" i="91"/>
  <c r="V69" i="91"/>
  <c r="T69" i="91"/>
  <c r="P69" i="91"/>
  <c r="X69" i="91" s="1"/>
  <c r="Z69" i="91" s="1"/>
  <c r="L69" i="91"/>
  <c r="N69" i="91" s="1"/>
  <c r="H69" i="91"/>
  <c r="D69" i="91"/>
  <c r="B69" i="91"/>
  <c r="X68" i="91"/>
  <c r="Z68" i="91" s="1"/>
  <c r="L68" i="91"/>
  <c r="N68" i="91" s="1"/>
  <c r="J68" i="91"/>
  <c r="B68" i="91"/>
  <c r="X67" i="91"/>
  <c r="Z67" i="91" s="1"/>
  <c r="V67" i="91"/>
  <c r="N67" i="91"/>
  <c r="L67" i="91"/>
  <c r="B67" i="91"/>
  <c r="Z66" i="91"/>
  <c r="X66" i="91"/>
  <c r="N66" i="91"/>
  <c r="L66" i="91"/>
  <c r="B66" i="91"/>
  <c r="Z65" i="91"/>
  <c r="X65" i="91"/>
  <c r="V65" i="91"/>
  <c r="R65" i="91"/>
  <c r="L65" i="91"/>
  <c r="N65" i="91" s="1"/>
  <c r="B65" i="91"/>
  <c r="T64" i="91"/>
  <c r="P64" i="91"/>
  <c r="X64" i="91" s="1"/>
  <c r="H64" i="91"/>
  <c r="D64" i="91"/>
  <c r="L64" i="91" s="1"/>
  <c r="N64" i="91" s="1"/>
  <c r="B64" i="91"/>
  <c r="Z63" i="91"/>
  <c r="X63" i="91"/>
  <c r="V63" i="91"/>
  <c r="N63" i="91"/>
  <c r="L63" i="91"/>
  <c r="B63" i="91"/>
  <c r="Z62" i="91"/>
  <c r="T62" i="91"/>
  <c r="P62" i="91"/>
  <c r="X62" i="91" s="1"/>
  <c r="L62" i="91"/>
  <c r="J62" i="91"/>
  <c r="H62" i="91"/>
  <c r="N62" i="91" s="1"/>
  <c r="D62" i="91"/>
  <c r="B62" i="91"/>
  <c r="Z61" i="91"/>
  <c r="X61" i="91"/>
  <c r="V61" i="91"/>
  <c r="N61" i="91"/>
  <c r="L61" i="91"/>
  <c r="J61" i="91"/>
  <c r="F61" i="91"/>
  <c r="B61" i="91"/>
  <c r="V60" i="91"/>
  <c r="T60" i="91"/>
  <c r="Z60" i="91" s="1"/>
  <c r="P60" i="91"/>
  <c r="X60" i="91" s="1"/>
  <c r="H60" i="91"/>
  <c r="D60" i="91"/>
  <c r="B60" i="91"/>
  <c r="X59" i="91"/>
  <c r="Z59" i="91" s="1"/>
  <c r="V59" i="91"/>
  <c r="N59" i="91"/>
  <c r="L59" i="91"/>
  <c r="J59" i="91"/>
  <c r="B59" i="91"/>
  <c r="Z58" i="91"/>
  <c r="T58" i="91"/>
  <c r="P58" i="91"/>
  <c r="X58" i="91" s="1"/>
  <c r="H58" i="91"/>
  <c r="N58" i="91" s="1"/>
  <c r="D58" i="91"/>
  <c r="L58" i="91" s="1"/>
  <c r="B58" i="91"/>
  <c r="Z57" i="91"/>
  <c r="X57" i="91"/>
  <c r="N57" i="91"/>
  <c r="L57" i="91"/>
  <c r="B57" i="91"/>
  <c r="X56" i="91"/>
  <c r="V56" i="91"/>
  <c r="T56" i="91"/>
  <c r="Z56" i="91" s="1"/>
  <c r="P56" i="91"/>
  <c r="N56" i="91"/>
  <c r="H56" i="91"/>
  <c r="D56" i="91"/>
  <c r="L56" i="91" s="1"/>
  <c r="B56" i="91"/>
  <c r="X55" i="91"/>
  <c r="Z55" i="91" s="1"/>
  <c r="L55" i="91"/>
  <c r="N55" i="91" s="1"/>
  <c r="B55" i="91"/>
  <c r="T54" i="91"/>
  <c r="R54" i="91"/>
  <c r="P54" i="91"/>
  <c r="J54" i="91"/>
  <c r="H54" i="91"/>
  <c r="D54" i="91"/>
  <c r="L54" i="91" s="1"/>
  <c r="B54" i="91"/>
  <c r="Z53" i="91"/>
  <c r="X53" i="91"/>
  <c r="V53" i="91"/>
  <c r="R53" i="91"/>
  <c r="L53" i="91"/>
  <c r="N53" i="91" s="1"/>
  <c r="B53" i="91"/>
  <c r="T52" i="91"/>
  <c r="Z52" i="91" s="1"/>
  <c r="P52" i="91"/>
  <c r="X52" i="91" s="1"/>
  <c r="H52" i="91"/>
  <c r="D52" i="91"/>
  <c r="L52" i="91" s="1"/>
  <c r="N52" i="91" s="1"/>
  <c r="B52" i="91"/>
  <c r="Z51" i="91"/>
  <c r="X51" i="91"/>
  <c r="V51" i="91"/>
  <c r="N51" i="91"/>
  <c r="L51" i="91"/>
  <c r="B51" i="91"/>
  <c r="T50" i="91"/>
  <c r="P50" i="91"/>
  <c r="X50" i="91" s="1"/>
  <c r="Z50" i="91" s="1"/>
  <c r="L50" i="91"/>
  <c r="J50" i="91"/>
  <c r="H50" i="91"/>
  <c r="N50" i="91" s="1"/>
  <c r="D50" i="91"/>
  <c r="B50" i="91"/>
  <c r="Z49" i="91"/>
  <c r="X49" i="91"/>
  <c r="V49" i="91"/>
  <c r="N49" i="91"/>
  <c r="L49" i="91"/>
  <c r="J49" i="91"/>
  <c r="F49" i="91"/>
  <c r="B49" i="91"/>
  <c r="Z48" i="91"/>
  <c r="X48" i="91"/>
  <c r="V48" i="91"/>
  <c r="L48" i="91"/>
  <c r="N48" i="91" s="1"/>
  <c r="B48" i="91"/>
  <c r="X47" i="91"/>
  <c r="Z47" i="91" s="1"/>
  <c r="V47" i="91"/>
  <c r="L47" i="91"/>
  <c r="N47" i="91" s="1"/>
  <c r="J47" i="91"/>
  <c r="B47" i="91"/>
  <c r="X46" i="91"/>
  <c r="Z46" i="91" s="1"/>
  <c r="R46" i="91"/>
  <c r="N46" i="91"/>
  <c r="L46" i="91"/>
  <c r="B46" i="91"/>
  <c r="V45" i="91"/>
  <c r="T45" i="91"/>
  <c r="P45" i="91"/>
  <c r="X45" i="91" s="1"/>
  <c r="Z45" i="91" s="1"/>
  <c r="L45" i="91"/>
  <c r="N45" i="91" s="1"/>
  <c r="H45" i="91"/>
  <c r="D45" i="91"/>
  <c r="B45" i="91"/>
  <c r="Z44" i="91"/>
  <c r="X44" i="91"/>
  <c r="V44" i="91"/>
  <c r="N44" i="91"/>
  <c r="L44" i="91"/>
  <c r="J44" i="91"/>
  <c r="B44" i="91"/>
  <c r="X43" i="91"/>
  <c r="V43" i="91"/>
  <c r="T43" i="91"/>
  <c r="Z43" i="91" s="1"/>
  <c r="P43" i="91"/>
  <c r="J43" i="91"/>
  <c r="H43" i="91"/>
  <c r="N43" i="91" s="1"/>
  <c r="D43" i="91"/>
  <c r="L43" i="91" s="1"/>
  <c r="B43" i="91"/>
  <c r="Z42" i="91"/>
  <c r="X42" i="91"/>
  <c r="L42" i="91"/>
  <c r="N42" i="91" s="1"/>
  <c r="F42" i="91"/>
  <c r="B42" i="91"/>
  <c r="T41" i="91"/>
  <c r="X41" i="91" s="1"/>
  <c r="P41" i="91"/>
  <c r="J41" i="91"/>
  <c r="H41" i="91"/>
  <c r="D41" i="91"/>
  <c r="L41" i="91" s="1"/>
  <c r="N41" i="91" s="1"/>
  <c r="B41" i="91"/>
  <c r="Z40" i="91"/>
  <c r="X40" i="91"/>
  <c r="V40" i="91"/>
  <c r="N40" i="91"/>
  <c r="L40" i="91"/>
  <c r="B40" i="91"/>
  <c r="Z39" i="91"/>
  <c r="X39" i="91"/>
  <c r="V39" i="91"/>
  <c r="N39" i="91"/>
  <c r="L39" i="91"/>
  <c r="J39" i="91"/>
  <c r="B39" i="91"/>
  <c r="X38" i="91"/>
  <c r="Z38" i="91" s="1"/>
  <c r="V38" i="91"/>
  <c r="R38" i="91"/>
  <c r="N38" i="91"/>
  <c r="L38" i="91"/>
  <c r="B38" i="91"/>
  <c r="Z37" i="91"/>
  <c r="X37" i="91"/>
  <c r="V37" i="91"/>
  <c r="N37" i="91"/>
  <c r="L37" i="91"/>
  <c r="J37" i="91"/>
  <c r="F37" i="91"/>
  <c r="B37" i="91"/>
  <c r="Z36" i="91"/>
  <c r="X36" i="91"/>
  <c r="V36" i="91"/>
  <c r="N36" i="91"/>
  <c r="L36" i="91"/>
  <c r="B36" i="91"/>
  <c r="X35" i="91"/>
  <c r="Z35" i="91" s="1"/>
  <c r="V35" i="91"/>
  <c r="L35" i="91"/>
  <c r="N35" i="91" s="1"/>
  <c r="J35" i="91"/>
  <c r="B35" i="91"/>
  <c r="X34" i="91"/>
  <c r="Z34" i="91" s="1"/>
  <c r="V34" i="91"/>
  <c r="R34" i="91"/>
  <c r="N34" i="91"/>
  <c r="L34" i="91"/>
  <c r="B34" i="91"/>
  <c r="Z33" i="91"/>
  <c r="X33" i="91"/>
  <c r="V33" i="91"/>
  <c r="N33" i="91"/>
  <c r="L33" i="91"/>
  <c r="J33" i="91"/>
  <c r="F33" i="91"/>
  <c r="B33" i="91"/>
  <c r="Z32" i="91"/>
  <c r="X32" i="91"/>
  <c r="V32" i="91"/>
  <c r="L32" i="91"/>
  <c r="N32" i="91" s="1"/>
  <c r="B32" i="91"/>
  <c r="Z31" i="91"/>
  <c r="X31" i="91"/>
  <c r="V31" i="91"/>
  <c r="L31" i="91"/>
  <c r="N31" i="91" s="1"/>
  <c r="J31" i="91"/>
  <c r="B31" i="91"/>
  <c r="V30" i="91"/>
  <c r="T30" i="91"/>
  <c r="R30" i="91"/>
  <c r="P30" i="91"/>
  <c r="J30" i="91"/>
  <c r="H30" i="91"/>
  <c r="D30" i="91"/>
  <c r="L30" i="91" s="1"/>
  <c r="B30" i="91"/>
  <c r="Z29" i="91"/>
  <c r="X29" i="91"/>
  <c r="V29" i="91"/>
  <c r="R29" i="91"/>
  <c r="N29" i="91"/>
  <c r="L29" i="91"/>
  <c r="F29" i="91"/>
  <c r="B29" i="91"/>
  <c r="X28" i="91"/>
  <c r="Z28" i="91" s="1"/>
  <c r="V28" i="91"/>
  <c r="L28" i="91"/>
  <c r="N28" i="91" s="1"/>
  <c r="J28" i="91"/>
  <c r="B28" i="91"/>
  <c r="X27" i="91"/>
  <c r="Z27" i="91" s="1"/>
  <c r="V27" i="91"/>
  <c r="N27" i="91"/>
  <c r="L27" i="91"/>
  <c r="J27" i="91"/>
  <c r="B27" i="91"/>
  <c r="Z26" i="91"/>
  <c r="X26" i="91"/>
  <c r="V26" i="91"/>
  <c r="N26" i="91"/>
  <c r="L26" i="91"/>
  <c r="B26" i="91"/>
  <c r="Z25" i="91"/>
  <c r="X25" i="91"/>
  <c r="V25" i="91"/>
  <c r="R25" i="91"/>
  <c r="N25" i="91"/>
  <c r="L25" i="91"/>
  <c r="F25" i="91"/>
  <c r="B25" i="91"/>
  <c r="X24" i="91"/>
  <c r="Z24" i="91" s="1"/>
  <c r="V24" i="91"/>
  <c r="L24" i="91"/>
  <c r="N24" i="91" s="1"/>
  <c r="J24" i="91"/>
  <c r="B24" i="91"/>
  <c r="X23" i="91"/>
  <c r="Z23" i="91" s="1"/>
  <c r="V23" i="91"/>
  <c r="N23" i="91"/>
  <c r="L23" i="91"/>
  <c r="J23" i="91"/>
  <c r="B23" i="91"/>
  <c r="Z22" i="91"/>
  <c r="X22" i="91"/>
  <c r="V22" i="91"/>
  <c r="N22" i="91"/>
  <c r="L22" i="91"/>
  <c r="B22" i="91"/>
  <c r="Z21" i="91"/>
  <c r="X21" i="91"/>
  <c r="V21" i="91"/>
  <c r="R21" i="91"/>
  <c r="N21" i="91"/>
  <c r="L21" i="91"/>
  <c r="F21" i="91"/>
  <c r="B21" i="91"/>
  <c r="X20" i="91"/>
  <c r="Z20" i="91" s="1"/>
  <c r="V20" i="91"/>
  <c r="L20" i="91"/>
  <c r="N20" i="91" s="1"/>
  <c r="J20" i="91"/>
  <c r="B20" i="91"/>
  <c r="X19" i="91"/>
  <c r="V19" i="91"/>
  <c r="T19" i="91"/>
  <c r="Z19" i="91" s="1"/>
  <c r="P19" i="91"/>
  <c r="J19" i="91"/>
  <c r="H19" i="91"/>
  <c r="D19" i="91"/>
  <c r="B19" i="91"/>
  <c r="T18" i="91"/>
  <c r="P18" i="91"/>
  <c r="X18" i="91" s="1"/>
  <c r="Z18" i="91" s="1"/>
  <c r="L18" i="91"/>
  <c r="J18" i="91"/>
  <c r="H18" i="91"/>
  <c r="D18" i="91"/>
  <c r="Z16" i="91"/>
  <c r="J16" i="91"/>
  <c r="Z14" i="91"/>
  <c r="T14" i="91"/>
  <c r="T16" i="91" s="1"/>
  <c r="T102" i="91" s="1"/>
  <c r="P14" i="91"/>
  <c r="X14" i="91" s="1"/>
  <c r="L14" i="91"/>
  <c r="J14" i="91"/>
  <c r="H14" i="91"/>
  <c r="N14" i="91" s="1"/>
  <c r="D14" i="91"/>
  <c r="Z12" i="91"/>
  <c r="T12" i="91"/>
  <c r="V106" i="91" s="1"/>
  <c r="P12" i="91"/>
  <c r="R73" i="91" s="1"/>
  <c r="N12" i="91"/>
  <c r="H12" i="91"/>
  <c r="J69" i="91" s="1"/>
  <c r="D12" i="91"/>
  <c r="D6" i="91"/>
  <c r="D4" i="91"/>
  <c r="Z90" i="88"/>
  <c r="X90" i="88"/>
  <c r="L90" i="88"/>
  <c r="N90" i="88" s="1"/>
  <c r="X86" i="88"/>
  <c r="V86" i="88"/>
  <c r="T86" i="88"/>
  <c r="Z86" i="88" s="1"/>
  <c r="P86" i="88"/>
  <c r="N86" i="88"/>
  <c r="H86" i="88"/>
  <c r="D86" i="88"/>
  <c r="L86" i="88" s="1"/>
  <c r="Z84" i="88"/>
  <c r="X84" i="88"/>
  <c r="N84" i="88"/>
  <c r="L84" i="88"/>
  <c r="J84" i="88"/>
  <c r="B84" i="88"/>
  <c r="Z83" i="88"/>
  <c r="X83" i="88"/>
  <c r="N83" i="88"/>
  <c r="L83" i="88"/>
  <c r="B83" i="88"/>
  <c r="T82" i="88"/>
  <c r="P82" i="88"/>
  <c r="X82" i="88" s="1"/>
  <c r="Z82" i="88" s="1"/>
  <c r="L82" i="88"/>
  <c r="J82" i="88"/>
  <c r="H82" i="88"/>
  <c r="N82" i="88" s="1"/>
  <c r="D82" i="88"/>
  <c r="B82" i="88"/>
  <c r="Z81" i="88"/>
  <c r="X81" i="88"/>
  <c r="N81" i="88"/>
  <c r="L81" i="88"/>
  <c r="B81" i="88"/>
  <c r="T80" i="88"/>
  <c r="P80" i="88"/>
  <c r="X80" i="88" s="1"/>
  <c r="H80" i="88"/>
  <c r="N80" i="88" s="1"/>
  <c r="D80" i="88"/>
  <c r="B80" i="88"/>
  <c r="X79" i="88"/>
  <c r="Z79" i="88" s="1"/>
  <c r="N79" i="88"/>
  <c r="L79" i="88"/>
  <c r="B79" i="88"/>
  <c r="Z78" i="88"/>
  <c r="X78" i="88"/>
  <c r="N78" i="88"/>
  <c r="L78" i="88"/>
  <c r="B78" i="88"/>
  <c r="Z77" i="88"/>
  <c r="T77" i="88"/>
  <c r="P77" i="88"/>
  <c r="X77" i="88" s="1"/>
  <c r="L77" i="88"/>
  <c r="N77" i="88" s="1"/>
  <c r="H77" i="88"/>
  <c r="D77" i="88"/>
  <c r="B77" i="88"/>
  <c r="X76" i="88"/>
  <c r="Z76" i="88" s="1"/>
  <c r="N76" i="88"/>
  <c r="L76" i="88"/>
  <c r="B76" i="88"/>
  <c r="Z75" i="88"/>
  <c r="X75" i="88"/>
  <c r="N75" i="88"/>
  <c r="L75" i="88"/>
  <c r="B75" i="88"/>
  <c r="Z74" i="88"/>
  <c r="X74" i="88"/>
  <c r="N74" i="88"/>
  <c r="L74" i="88"/>
  <c r="B74" i="88"/>
  <c r="Z73" i="88"/>
  <c r="X73" i="88"/>
  <c r="N73" i="88"/>
  <c r="L73" i="88"/>
  <c r="J73" i="88"/>
  <c r="B73" i="88"/>
  <c r="X72" i="88"/>
  <c r="Z72" i="88" s="1"/>
  <c r="N72" i="88"/>
  <c r="L72" i="88"/>
  <c r="B72" i="88"/>
  <c r="Z71" i="88"/>
  <c r="X71" i="88"/>
  <c r="L71" i="88"/>
  <c r="N71" i="88" s="1"/>
  <c r="B71" i="88"/>
  <c r="T70" i="88"/>
  <c r="P70" i="88"/>
  <c r="L70" i="88"/>
  <c r="H70" i="88"/>
  <c r="D70" i="88"/>
  <c r="B70" i="88"/>
  <c r="Z69" i="88"/>
  <c r="X69" i="88"/>
  <c r="V69" i="88"/>
  <c r="N69" i="88"/>
  <c r="L69" i="88"/>
  <c r="B69" i="88"/>
  <c r="Z68" i="88"/>
  <c r="X68" i="88"/>
  <c r="L68" i="88"/>
  <c r="N68" i="88" s="1"/>
  <c r="B68" i="88"/>
  <c r="Z67" i="88"/>
  <c r="X67" i="88"/>
  <c r="L67" i="88"/>
  <c r="N67" i="88" s="1"/>
  <c r="B67" i="88"/>
  <c r="T66" i="88"/>
  <c r="P66" i="88"/>
  <c r="H66" i="88"/>
  <c r="D66" i="88"/>
  <c r="L66" i="88" s="1"/>
  <c r="B66" i="88"/>
  <c r="Z65" i="88"/>
  <c r="X65" i="88"/>
  <c r="N65" i="88"/>
  <c r="L65" i="88"/>
  <c r="B65" i="88"/>
  <c r="Z64" i="88"/>
  <c r="X64" i="88"/>
  <c r="N64" i="88"/>
  <c r="L64" i="88"/>
  <c r="J64" i="88"/>
  <c r="B64" i="88"/>
  <c r="X63" i="88"/>
  <c r="Z63" i="88" s="1"/>
  <c r="N63" i="88"/>
  <c r="L63" i="88"/>
  <c r="B63" i="88"/>
  <c r="X62" i="88"/>
  <c r="Z62" i="88" s="1"/>
  <c r="T62" i="88"/>
  <c r="P62" i="88"/>
  <c r="H62" i="88"/>
  <c r="L62" i="88" s="1"/>
  <c r="D62" i="88"/>
  <c r="B62" i="88"/>
  <c r="Z61" i="88"/>
  <c r="X61" i="88"/>
  <c r="N61" i="88"/>
  <c r="L61" i="88"/>
  <c r="B61" i="88"/>
  <c r="X60" i="88"/>
  <c r="T60" i="88"/>
  <c r="Z60" i="88" s="1"/>
  <c r="P60" i="88"/>
  <c r="N60" i="88"/>
  <c r="H60" i="88"/>
  <c r="D60" i="88"/>
  <c r="B60" i="88"/>
  <c r="Z59" i="88"/>
  <c r="X59" i="88"/>
  <c r="N59" i="88"/>
  <c r="L59" i="88"/>
  <c r="B59" i="88"/>
  <c r="X58" i="88"/>
  <c r="T58" i="88"/>
  <c r="Z58" i="88" s="1"/>
  <c r="P58" i="88"/>
  <c r="H58" i="88"/>
  <c r="N58" i="88" s="1"/>
  <c r="D58" i="88"/>
  <c r="L58" i="88" s="1"/>
  <c r="B58" i="88"/>
  <c r="Z57" i="88"/>
  <c r="X57" i="88"/>
  <c r="V57" i="88"/>
  <c r="N57" i="88"/>
  <c r="L57" i="88"/>
  <c r="B57" i="88"/>
  <c r="T56" i="88"/>
  <c r="P56" i="88"/>
  <c r="X56" i="88" s="1"/>
  <c r="N56" i="88"/>
  <c r="L56" i="88"/>
  <c r="H56" i="88"/>
  <c r="D56" i="88"/>
  <c r="B56" i="88"/>
  <c r="Z55" i="88"/>
  <c r="X55" i="88"/>
  <c r="L55" i="88"/>
  <c r="N55" i="88" s="1"/>
  <c r="B55" i="88"/>
  <c r="Z54" i="88"/>
  <c r="X54" i="88"/>
  <c r="L54" i="88"/>
  <c r="N54" i="88" s="1"/>
  <c r="B54" i="88"/>
  <c r="Z53" i="88"/>
  <c r="T53" i="88"/>
  <c r="X53" i="88" s="1"/>
  <c r="P53" i="88"/>
  <c r="H53" i="88"/>
  <c r="D53" i="88"/>
  <c r="L53" i="88" s="1"/>
  <c r="N53" i="88" s="1"/>
  <c r="B53" i="88"/>
  <c r="Z52" i="88"/>
  <c r="X52" i="88"/>
  <c r="N52" i="88"/>
  <c r="L52" i="88"/>
  <c r="B52" i="88"/>
  <c r="T51" i="88"/>
  <c r="P51" i="88"/>
  <c r="X51" i="88" s="1"/>
  <c r="Z51" i="88" s="1"/>
  <c r="N51" i="88"/>
  <c r="H51" i="88"/>
  <c r="D51" i="88"/>
  <c r="L51" i="88" s="1"/>
  <c r="B51" i="88"/>
  <c r="X50" i="88"/>
  <c r="Z50" i="88" s="1"/>
  <c r="N50" i="88"/>
  <c r="L50" i="88"/>
  <c r="B50" i="88"/>
  <c r="Z49" i="88"/>
  <c r="T49" i="88"/>
  <c r="P49" i="88"/>
  <c r="X49" i="88" s="1"/>
  <c r="N49" i="88"/>
  <c r="L49" i="88"/>
  <c r="H49" i="88"/>
  <c r="D49" i="88"/>
  <c r="B49" i="88"/>
  <c r="X48" i="88"/>
  <c r="Z48" i="88" s="1"/>
  <c r="N48" i="88"/>
  <c r="L48" i="88"/>
  <c r="B48" i="88"/>
  <c r="T47" i="88"/>
  <c r="P47" i="88"/>
  <c r="X47" i="88" s="1"/>
  <c r="Z47" i="88" s="1"/>
  <c r="N47" i="88"/>
  <c r="H47" i="88"/>
  <c r="L47" i="88" s="1"/>
  <c r="D47" i="88"/>
  <c r="B47" i="88"/>
  <c r="Z46" i="88"/>
  <c r="X46" i="88"/>
  <c r="N46" i="88"/>
  <c r="L46" i="88"/>
  <c r="B46" i="88"/>
  <c r="Z45" i="88"/>
  <c r="X45" i="88"/>
  <c r="V45" i="88"/>
  <c r="N45" i="88"/>
  <c r="L45" i="88"/>
  <c r="B45" i="88"/>
  <c r="Z44" i="88"/>
  <c r="X44" i="88"/>
  <c r="N44" i="88"/>
  <c r="L44" i="88"/>
  <c r="B44" i="88"/>
  <c r="Z43" i="88"/>
  <c r="X43" i="88"/>
  <c r="N43" i="88"/>
  <c r="L43" i="88"/>
  <c r="B43" i="88"/>
  <c r="Z42" i="88"/>
  <c r="X42" i="88"/>
  <c r="N42" i="88"/>
  <c r="L42" i="88"/>
  <c r="B42" i="88"/>
  <c r="Z41" i="88"/>
  <c r="X41" i="88"/>
  <c r="N41" i="88"/>
  <c r="L41" i="88"/>
  <c r="B41" i="88"/>
  <c r="Z40" i="88"/>
  <c r="X40" i="88"/>
  <c r="N40" i="88"/>
  <c r="L40" i="88"/>
  <c r="B40" i="88"/>
  <c r="Z39" i="88"/>
  <c r="X39" i="88"/>
  <c r="N39" i="88"/>
  <c r="L39" i="88"/>
  <c r="J39" i="88"/>
  <c r="B39" i="88"/>
  <c r="Z38" i="88"/>
  <c r="X38" i="88"/>
  <c r="N38" i="88"/>
  <c r="L38" i="88"/>
  <c r="B38" i="88"/>
  <c r="Z37" i="88"/>
  <c r="X37" i="88"/>
  <c r="N37" i="88"/>
  <c r="L37" i="88"/>
  <c r="B37" i="88"/>
  <c r="T36" i="88"/>
  <c r="P36" i="88"/>
  <c r="H36" i="88"/>
  <c r="D36" i="88"/>
  <c r="L36" i="88" s="1"/>
  <c r="B36" i="88"/>
  <c r="X35" i="88"/>
  <c r="Z35" i="88" s="1"/>
  <c r="N35" i="88"/>
  <c r="L35" i="88"/>
  <c r="J35" i="88"/>
  <c r="B35" i="88"/>
  <c r="X34" i="88"/>
  <c r="Z34" i="88" s="1"/>
  <c r="L34" i="88"/>
  <c r="N34" i="88" s="1"/>
  <c r="B34" i="88"/>
  <c r="Z33" i="88"/>
  <c r="X33" i="88"/>
  <c r="N33" i="88"/>
  <c r="L33" i="88"/>
  <c r="B33" i="88"/>
  <c r="Z32" i="88"/>
  <c r="X32" i="88"/>
  <c r="N32" i="88"/>
  <c r="L32" i="88"/>
  <c r="B32" i="88"/>
  <c r="X31" i="88"/>
  <c r="Z31" i="88" s="1"/>
  <c r="N31" i="88"/>
  <c r="L31" i="88"/>
  <c r="B31" i="88"/>
  <c r="X30" i="88"/>
  <c r="Z30" i="88" s="1"/>
  <c r="N30" i="88"/>
  <c r="L30" i="88"/>
  <c r="B30" i="88"/>
  <c r="Z29" i="88"/>
  <c r="X29" i="88"/>
  <c r="N29" i="88"/>
  <c r="L29" i="88"/>
  <c r="B29" i="88"/>
  <c r="X28" i="88"/>
  <c r="Z28" i="88" s="1"/>
  <c r="L28" i="88"/>
  <c r="N28" i="88" s="1"/>
  <c r="B28" i="88"/>
  <c r="X27" i="88"/>
  <c r="Z27" i="88" s="1"/>
  <c r="N27" i="88"/>
  <c r="L27" i="88"/>
  <c r="B27" i="88"/>
  <c r="T26" i="88"/>
  <c r="P26" i="88"/>
  <c r="X26" i="88" s="1"/>
  <c r="Z26" i="88" s="1"/>
  <c r="H26" i="88"/>
  <c r="D26" i="88"/>
  <c r="L26" i="88" s="1"/>
  <c r="B26" i="88"/>
  <c r="T25" i="88"/>
  <c r="P25" i="88"/>
  <c r="X25" i="88" s="1"/>
  <c r="Z25" i="88" s="1"/>
  <c r="H25" i="88"/>
  <c r="D25" i="88"/>
  <c r="L25" i="88" s="1"/>
  <c r="N25" i="88" s="1"/>
  <c r="J23" i="88"/>
  <c r="Z21" i="88"/>
  <c r="X21" i="88"/>
  <c r="N21" i="88"/>
  <c r="L21" i="88"/>
  <c r="B21" i="88"/>
  <c r="Z20" i="88"/>
  <c r="X20" i="88"/>
  <c r="V20" i="88"/>
  <c r="N20" i="88"/>
  <c r="L20" i="88"/>
  <c r="J20" i="88"/>
  <c r="B20" i="88"/>
  <c r="Z19" i="88"/>
  <c r="X19" i="88"/>
  <c r="N19" i="88"/>
  <c r="L19" i="88"/>
  <c r="B19" i="88"/>
  <c r="X18" i="88"/>
  <c r="Z18" i="88" s="1"/>
  <c r="T18" i="88"/>
  <c r="P18" i="88"/>
  <c r="J18" i="88"/>
  <c r="H18" i="88"/>
  <c r="H23" i="88" s="1"/>
  <c r="D18" i="88"/>
  <c r="Z16" i="88"/>
  <c r="X16" i="88"/>
  <c r="P16" i="88"/>
  <c r="N16" i="88"/>
  <c r="D16" i="88"/>
  <c r="L16" i="88" s="1"/>
  <c r="B16" i="88"/>
  <c r="P15" i="88"/>
  <c r="P12" i="88" s="1"/>
  <c r="R25" i="88" s="1"/>
  <c r="N15" i="88"/>
  <c r="D15" i="88"/>
  <c r="L15" i="88" s="1"/>
  <c r="B15" i="88"/>
  <c r="Z14" i="88"/>
  <c r="X14" i="88"/>
  <c r="P14" i="88"/>
  <c r="N14" i="88"/>
  <c r="L14" i="88"/>
  <c r="D14" i="88"/>
  <c r="B14" i="88"/>
  <c r="Z13" i="88"/>
  <c r="X13" i="88"/>
  <c r="P13" i="88"/>
  <c r="N13" i="88"/>
  <c r="L13" i="88"/>
  <c r="D13" i="88"/>
  <c r="B13" i="88"/>
  <c r="T12" i="88"/>
  <c r="V77" i="88" s="1"/>
  <c r="H12" i="88"/>
  <c r="J79" i="88" s="1"/>
  <c r="D6" i="88"/>
  <c r="D4" i="88"/>
  <c r="X102" i="87"/>
  <c r="Z102" i="87" s="1"/>
  <c r="L102" i="87"/>
  <c r="N102" i="87" s="1"/>
  <c r="J102" i="87"/>
  <c r="T98" i="87"/>
  <c r="Z98" i="87" s="1"/>
  <c r="P98" i="87"/>
  <c r="X98" i="87" s="1"/>
  <c r="H98" i="87"/>
  <c r="D98" i="87"/>
  <c r="Z96" i="87"/>
  <c r="X96" i="87"/>
  <c r="L96" i="87"/>
  <c r="N96" i="87" s="1"/>
  <c r="B96" i="87"/>
  <c r="X95" i="87"/>
  <c r="Z95" i="87" s="1"/>
  <c r="T95" i="87"/>
  <c r="P95" i="87"/>
  <c r="H95" i="87"/>
  <c r="D95" i="87"/>
  <c r="L95" i="87" s="1"/>
  <c r="B95" i="87"/>
  <c r="Z94" i="87"/>
  <c r="X94" i="87"/>
  <c r="N94" i="87"/>
  <c r="L94" i="87"/>
  <c r="B94" i="87"/>
  <c r="T93" i="87"/>
  <c r="P93" i="87"/>
  <c r="L93" i="87"/>
  <c r="H93" i="87"/>
  <c r="N93" i="87" s="1"/>
  <c r="D93" i="87"/>
  <c r="B93" i="87"/>
  <c r="X92" i="87"/>
  <c r="Z92" i="87" s="1"/>
  <c r="N92" i="87"/>
  <c r="L92" i="87"/>
  <c r="B92" i="87"/>
  <c r="T91" i="87"/>
  <c r="Z91" i="87" s="1"/>
  <c r="R91" i="87"/>
  <c r="P91" i="87"/>
  <c r="X91" i="87" s="1"/>
  <c r="H91" i="87"/>
  <c r="L91" i="87" s="1"/>
  <c r="D91" i="87"/>
  <c r="B91" i="87"/>
  <c r="X90" i="87"/>
  <c r="Z90" i="87" s="1"/>
  <c r="R90" i="87"/>
  <c r="N90" i="87"/>
  <c r="L90" i="87"/>
  <c r="B90" i="87"/>
  <c r="T89" i="87"/>
  <c r="P89" i="87"/>
  <c r="X89" i="87" s="1"/>
  <c r="N89" i="87"/>
  <c r="L89" i="87"/>
  <c r="H89" i="87"/>
  <c r="D89" i="87"/>
  <c r="B89" i="87"/>
  <c r="Z88" i="87"/>
  <c r="X88" i="87"/>
  <c r="N88" i="87"/>
  <c r="L88" i="87"/>
  <c r="J88" i="87"/>
  <c r="B88" i="87"/>
  <c r="X87" i="87"/>
  <c r="Z87" i="87" s="1"/>
  <c r="L87" i="87"/>
  <c r="N87" i="87" s="1"/>
  <c r="B87" i="87"/>
  <c r="Z86" i="87"/>
  <c r="X86" i="87"/>
  <c r="N86" i="87"/>
  <c r="L86" i="87"/>
  <c r="B86" i="87"/>
  <c r="Z85" i="87"/>
  <c r="X85" i="87"/>
  <c r="R85" i="87"/>
  <c r="L85" i="87"/>
  <c r="N85" i="87" s="1"/>
  <c r="B85" i="87"/>
  <c r="X84" i="87"/>
  <c r="Z84" i="87" s="1"/>
  <c r="L84" i="87"/>
  <c r="N84" i="87" s="1"/>
  <c r="J84" i="87"/>
  <c r="B84" i="87"/>
  <c r="Z83" i="87"/>
  <c r="X83" i="87"/>
  <c r="N83" i="87"/>
  <c r="L83" i="87"/>
  <c r="B83" i="87"/>
  <c r="Z82" i="87"/>
  <c r="X82" i="87"/>
  <c r="N82" i="87"/>
  <c r="L82" i="87"/>
  <c r="B82" i="87"/>
  <c r="Z81" i="87"/>
  <c r="X81" i="87"/>
  <c r="R81" i="87"/>
  <c r="N81" i="87"/>
  <c r="L81" i="87"/>
  <c r="B81" i="87"/>
  <c r="X80" i="87"/>
  <c r="Z80" i="87" s="1"/>
  <c r="L80" i="87"/>
  <c r="N80" i="87" s="1"/>
  <c r="J80" i="87"/>
  <c r="B80" i="87"/>
  <c r="X79" i="87"/>
  <c r="T79" i="87"/>
  <c r="Z79" i="87" s="1"/>
  <c r="P79" i="87"/>
  <c r="J79" i="87"/>
  <c r="H79" i="87"/>
  <c r="D79" i="87"/>
  <c r="B79" i="87"/>
  <c r="Z78" i="87"/>
  <c r="X78" i="87"/>
  <c r="N78" i="87"/>
  <c r="L78" i="87"/>
  <c r="B78" i="87"/>
  <c r="Z77" i="87"/>
  <c r="X77" i="87"/>
  <c r="N77" i="87"/>
  <c r="L77" i="87"/>
  <c r="B77" i="87"/>
  <c r="Z76" i="87"/>
  <c r="X76" i="87"/>
  <c r="T76" i="87"/>
  <c r="P76" i="87"/>
  <c r="N76" i="87"/>
  <c r="H76" i="87"/>
  <c r="D76" i="87"/>
  <c r="L76" i="87" s="1"/>
  <c r="B76" i="87"/>
  <c r="Z75" i="87"/>
  <c r="X75" i="87"/>
  <c r="L75" i="87"/>
  <c r="N75" i="87" s="1"/>
  <c r="B75" i="87"/>
  <c r="X74" i="87"/>
  <c r="Z74" i="87" s="1"/>
  <c r="R74" i="87"/>
  <c r="N74" i="87"/>
  <c r="L74" i="87"/>
  <c r="B74" i="87"/>
  <c r="Z73" i="87"/>
  <c r="X73" i="87"/>
  <c r="N73" i="87"/>
  <c r="L73" i="87"/>
  <c r="J73" i="87"/>
  <c r="B73" i="87"/>
  <c r="T72" i="87"/>
  <c r="Z72" i="87" s="1"/>
  <c r="P72" i="87"/>
  <c r="X72" i="87" s="1"/>
  <c r="H72" i="87"/>
  <c r="D72" i="87"/>
  <c r="B72" i="87"/>
  <c r="X71" i="87"/>
  <c r="Z71" i="87" s="1"/>
  <c r="L71" i="87"/>
  <c r="N71" i="87" s="1"/>
  <c r="B71" i="87"/>
  <c r="Z70" i="87"/>
  <c r="T70" i="87"/>
  <c r="P70" i="87"/>
  <c r="X70" i="87" s="1"/>
  <c r="H70" i="87"/>
  <c r="N70" i="87" s="1"/>
  <c r="D70" i="87"/>
  <c r="L70" i="87" s="1"/>
  <c r="B70" i="87"/>
  <c r="X69" i="87"/>
  <c r="Z69" i="87" s="1"/>
  <c r="R69" i="87"/>
  <c r="N69" i="87"/>
  <c r="L69" i="87"/>
  <c r="B69" i="87"/>
  <c r="X68" i="87"/>
  <c r="Z68" i="87" s="1"/>
  <c r="N68" i="87"/>
  <c r="L68" i="87"/>
  <c r="B68" i="87"/>
  <c r="X67" i="87"/>
  <c r="Z67" i="87" s="1"/>
  <c r="N67" i="87"/>
  <c r="L67" i="87"/>
  <c r="B67" i="87"/>
  <c r="T66" i="87"/>
  <c r="P66" i="87"/>
  <c r="X66" i="87" s="1"/>
  <c r="Z66" i="87" s="1"/>
  <c r="L66" i="87"/>
  <c r="N66" i="87" s="1"/>
  <c r="J66" i="87"/>
  <c r="H66" i="87"/>
  <c r="D66" i="87"/>
  <c r="B66" i="87"/>
  <c r="Z65" i="87"/>
  <c r="X65" i="87"/>
  <c r="N65" i="87"/>
  <c r="L65" i="87"/>
  <c r="J65" i="87"/>
  <c r="B65" i="87"/>
  <c r="T64" i="87"/>
  <c r="Z64" i="87" s="1"/>
  <c r="P64" i="87"/>
  <c r="X64" i="87" s="1"/>
  <c r="H64" i="87"/>
  <c r="D64" i="87"/>
  <c r="B64" i="87"/>
  <c r="X63" i="87"/>
  <c r="Z63" i="87" s="1"/>
  <c r="L63" i="87"/>
  <c r="N63" i="87" s="1"/>
  <c r="B63" i="87"/>
  <c r="T62" i="87"/>
  <c r="R62" i="87"/>
  <c r="P62" i="87"/>
  <c r="X62" i="87" s="1"/>
  <c r="Z62" i="87" s="1"/>
  <c r="H62" i="87"/>
  <c r="N62" i="87" s="1"/>
  <c r="D62" i="87"/>
  <c r="L62" i="87" s="1"/>
  <c r="B62" i="87"/>
  <c r="X61" i="87"/>
  <c r="Z61" i="87" s="1"/>
  <c r="R61" i="87"/>
  <c r="N61" i="87"/>
  <c r="L61" i="87"/>
  <c r="B61" i="87"/>
  <c r="X60" i="87"/>
  <c r="Z60" i="87" s="1"/>
  <c r="T60" i="87"/>
  <c r="P60" i="87"/>
  <c r="H60" i="87"/>
  <c r="D60" i="87"/>
  <c r="L60" i="87" s="1"/>
  <c r="N60" i="87" s="1"/>
  <c r="B60" i="87"/>
  <c r="X59" i="87"/>
  <c r="Z59" i="87" s="1"/>
  <c r="L59" i="87"/>
  <c r="N59" i="87" s="1"/>
  <c r="B59" i="87"/>
  <c r="T58" i="87"/>
  <c r="R58" i="87"/>
  <c r="P58" i="87"/>
  <c r="H58" i="87"/>
  <c r="N58" i="87" s="1"/>
  <c r="D58" i="87"/>
  <c r="L58" i="87" s="1"/>
  <c r="B58" i="87"/>
  <c r="Z57" i="87"/>
  <c r="X57" i="87"/>
  <c r="R57" i="87"/>
  <c r="N57" i="87"/>
  <c r="L57" i="87"/>
  <c r="B57" i="87"/>
  <c r="T56" i="87"/>
  <c r="P56" i="87"/>
  <c r="X56" i="87" s="1"/>
  <c r="N56" i="87"/>
  <c r="H56" i="87"/>
  <c r="D56" i="87"/>
  <c r="L56" i="87" s="1"/>
  <c r="B56" i="87"/>
  <c r="X55" i="87"/>
  <c r="Z55" i="87" s="1"/>
  <c r="L55" i="87"/>
  <c r="N55" i="87" s="1"/>
  <c r="B55" i="87"/>
  <c r="Z54" i="87"/>
  <c r="X54" i="87"/>
  <c r="L54" i="87"/>
  <c r="N54" i="87" s="1"/>
  <c r="F54" i="87"/>
  <c r="B54" i="87"/>
  <c r="X53" i="87"/>
  <c r="Z53" i="87" s="1"/>
  <c r="R53" i="87"/>
  <c r="N53" i="87"/>
  <c r="L53" i="87"/>
  <c r="B53" i="87"/>
  <c r="X52" i="87"/>
  <c r="Z52" i="87" s="1"/>
  <c r="T52" i="87"/>
  <c r="P52" i="87"/>
  <c r="H52" i="87"/>
  <c r="D52" i="87"/>
  <c r="L52" i="87" s="1"/>
  <c r="N52" i="87" s="1"/>
  <c r="B52" i="87"/>
  <c r="Z51" i="87"/>
  <c r="X51" i="87"/>
  <c r="N51" i="87"/>
  <c r="L51" i="87"/>
  <c r="B51" i="87"/>
  <c r="T50" i="87"/>
  <c r="R50" i="87"/>
  <c r="P50" i="87"/>
  <c r="H50" i="87"/>
  <c r="N50" i="87" s="1"/>
  <c r="D50" i="87"/>
  <c r="L50" i="87" s="1"/>
  <c r="B50" i="87"/>
  <c r="Z49" i="87"/>
  <c r="X49" i="87"/>
  <c r="R49" i="87"/>
  <c r="L49" i="87"/>
  <c r="N49" i="87" s="1"/>
  <c r="B49" i="87"/>
  <c r="T48" i="87"/>
  <c r="Z48" i="87" s="1"/>
  <c r="P48" i="87"/>
  <c r="X48" i="87" s="1"/>
  <c r="N48" i="87"/>
  <c r="H48" i="87"/>
  <c r="D48" i="87"/>
  <c r="L48" i="87" s="1"/>
  <c r="B48" i="87"/>
  <c r="X47" i="87"/>
  <c r="Z47" i="87" s="1"/>
  <c r="N47" i="87"/>
  <c r="L47" i="87"/>
  <c r="B47" i="87"/>
  <c r="T46" i="87"/>
  <c r="P46" i="87"/>
  <c r="X46" i="87" s="1"/>
  <c r="Z46" i="87" s="1"/>
  <c r="L46" i="87"/>
  <c r="N46" i="87" s="1"/>
  <c r="J46" i="87"/>
  <c r="H46" i="87"/>
  <c r="D46" i="87"/>
  <c r="B46" i="87"/>
  <c r="Z45" i="87"/>
  <c r="X45" i="87"/>
  <c r="N45" i="87"/>
  <c r="L45" i="87"/>
  <c r="J45" i="87"/>
  <c r="B45" i="87"/>
  <c r="Z44" i="87"/>
  <c r="X44" i="87"/>
  <c r="N44" i="87"/>
  <c r="L44" i="87"/>
  <c r="B44" i="87"/>
  <c r="X43" i="87"/>
  <c r="Z43" i="87" s="1"/>
  <c r="N43" i="87"/>
  <c r="L43" i="87"/>
  <c r="B43" i="87"/>
  <c r="X42" i="87"/>
  <c r="Z42" i="87" s="1"/>
  <c r="R42" i="87"/>
  <c r="N42" i="87"/>
  <c r="L42" i="87"/>
  <c r="B42" i="87"/>
  <c r="Z41" i="87"/>
  <c r="X41" i="87"/>
  <c r="N41" i="87"/>
  <c r="L41" i="87"/>
  <c r="J41" i="87"/>
  <c r="B41" i="87"/>
  <c r="Z40" i="87"/>
  <c r="X40" i="87"/>
  <c r="N40" i="87"/>
  <c r="L40" i="87"/>
  <c r="B40" i="87"/>
  <c r="Z39" i="87"/>
  <c r="X39" i="87"/>
  <c r="N39" i="87"/>
  <c r="L39" i="87"/>
  <c r="B39" i="87"/>
  <c r="Z38" i="87"/>
  <c r="X38" i="87"/>
  <c r="R38" i="87"/>
  <c r="N38" i="87"/>
  <c r="L38" i="87"/>
  <c r="B38" i="87"/>
  <c r="Z37" i="87"/>
  <c r="X37" i="87"/>
  <c r="N37" i="87"/>
  <c r="L37" i="87"/>
  <c r="J37" i="87"/>
  <c r="F37" i="87"/>
  <c r="B37" i="87"/>
  <c r="Z36" i="87"/>
  <c r="X36" i="87"/>
  <c r="N36" i="87"/>
  <c r="L36" i="87"/>
  <c r="B36" i="87"/>
  <c r="X35" i="87"/>
  <c r="Z35" i="87" s="1"/>
  <c r="T35" i="87"/>
  <c r="P35" i="87"/>
  <c r="H35" i="87"/>
  <c r="D35" i="87"/>
  <c r="L35" i="87" s="1"/>
  <c r="B35" i="87"/>
  <c r="Z34" i="87"/>
  <c r="X34" i="87"/>
  <c r="N34" i="87"/>
  <c r="L34" i="87"/>
  <c r="B34" i="87"/>
  <c r="Z33" i="87"/>
  <c r="X33" i="87"/>
  <c r="R33" i="87"/>
  <c r="N33" i="87"/>
  <c r="L33" i="87"/>
  <c r="B33" i="87"/>
  <c r="X32" i="87"/>
  <c r="Z32" i="87" s="1"/>
  <c r="R32" i="87"/>
  <c r="L32" i="87"/>
  <c r="N32" i="87" s="1"/>
  <c r="J32" i="87"/>
  <c r="B32" i="87"/>
  <c r="X31" i="87"/>
  <c r="Z31" i="87" s="1"/>
  <c r="N31" i="87"/>
  <c r="L31" i="87"/>
  <c r="B31" i="87"/>
  <c r="Z30" i="87"/>
  <c r="X30" i="87"/>
  <c r="N30" i="87"/>
  <c r="L30" i="87"/>
  <c r="B30" i="87"/>
  <c r="Z29" i="87"/>
  <c r="X29" i="87"/>
  <c r="R29" i="87"/>
  <c r="N29" i="87"/>
  <c r="L29" i="87"/>
  <c r="B29" i="87"/>
  <c r="X28" i="87"/>
  <c r="Z28" i="87" s="1"/>
  <c r="R28" i="87"/>
  <c r="L28" i="87"/>
  <c r="N28" i="87" s="1"/>
  <c r="J28" i="87"/>
  <c r="B28" i="87"/>
  <c r="X27" i="87"/>
  <c r="Z27" i="87" s="1"/>
  <c r="L27" i="87"/>
  <c r="N27" i="87" s="1"/>
  <c r="B27" i="87"/>
  <c r="Z26" i="87"/>
  <c r="X26" i="87"/>
  <c r="N26" i="87"/>
  <c r="L26" i="87"/>
  <c r="B26" i="87"/>
  <c r="V25" i="87"/>
  <c r="T25" i="87"/>
  <c r="P25" i="87"/>
  <c r="L25" i="87"/>
  <c r="H25" i="87"/>
  <c r="N25" i="87" s="1"/>
  <c r="D25" i="87"/>
  <c r="B25" i="87"/>
  <c r="X24" i="87"/>
  <c r="T24" i="87"/>
  <c r="P24" i="87"/>
  <c r="H24" i="87"/>
  <c r="D24" i="87"/>
  <c r="L24" i="87" s="1"/>
  <c r="N24" i="87" s="1"/>
  <c r="Z20" i="87"/>
  <c r="X20" i="87"/>
  <c r="N20" i="87"/>
  <c r="L20" i="87"/>
  <c r="B20" i="87"/>
  <c r="Z19" i="87"/>
  <c r="X19" i="87"/>
  <c r="N19" i="87"/>
  <c r="L19" i="87"/>
  <c r="B19" i="87"/>
  <c r="Z18" i="87"/>
  <c r="X18" i="87"/>
  <c r="R18" i="87"/>
  <c r="L18" i="87"/>
  <c r="N18" i="87" s="1"/>
  <c r="B18" i="87"/>
  <c r="T17" i="87"/>
  <c r="X17" i="87" s="1"/>
  <c r="P17" i="87"/>
  <c r="J17" i="87"/>
  <c r="H17" i="87"/>
  <c r="F17" i="87"/>
  <c r="D17" i="87"/>
  <c r="L17" i="87" s="1"/>
  <c r="N17" i="87" s="1"/>
  <c r="Z15" i="87"/>
  <c r="X15" i="87"/>
  <c r="P15" i="87"/>
  <c r="N15" i="87"/>
  <c r="L15" i="87"/>
  <c r="D15" i="87"/>
  <c r="B15" i="87"/>
  <c r="Z14" i="87"/>
  <c r="X14" i="87"/>
  <c r="P14" i="87"/>
  <c r="N14" i="87"/>
  <c r="L14" i="87"/>
  <c r="D14" i="87"/>
  <c r="B14" i="87"/>
  <c r="X13" i="87"/>
  <c r="Z13" i="87" s="1"/>
  <c r="P13" i="87"/>
  <c r="L13" i="87"/>
  <c r="N13" i="87" s="1"/>
  <c r="D13" i="87"/>
  <c r="D12" i="87" s="1"/>
  <c r="F72" i="87" s="1"/>
  <c r="B13" i="87"/>
  <c r="T12" i="87"/>
  <c r="V81" i="87" s="1"/>
  <c r="P12" i="87"/>
  <c r="H12" i="87"/>
  <c r="J90" i="87" s="1"/>
  <c r="D6" i="87"/>
  <c r="D4" i="87"/>
  <c r="F39" i="85"/>
  <c r="F36" i="85"/>
  <c r="Z34" i="85"/>
  <c r="X34" i="85"/>
  <c r="V34" i="85"/>
  <c r="L34" i="85"/>
  <c r="N34" i="85" s="1"/>
  <c r="J34" i="85"/>
  <c r="F34" i="85"/>
  <c r="V32" i="85"/>
  <c r="X30" i="85"/>
  <c r="V30" i="85"/>
  <c r="T30" i="85"/>
  <c r="Z30" i="85" s="1"/>
  <c r="P30" i="85"/>
  <c r="N30" i="85"/>
  <c r="H30" i="85"/>
  <c r="D30" i="85"/>
  <c r="L30" i="85" s="1"/>
  <c r="Z28" i="85"/>
  <c r="X28" i="85"/>
  <c r="V28" i="85"/>
  <c r="N28" i="85"/>
  <c r="L28" i="85"/>
  <c r="J28" i="85"/>
  <c r="B28" i="85"/>
  <c r="Z27" i="85"/>
  <c r="V27" i="85"/>
  <c r="T27" i="85"/>
  <c r="P27" i="85"/>
  <c r="X27" i="85" s="1"/>
  <c r="H27" i="85"/>
  <c r="L27" i="85" s="1"/>
  <c r="D27" i="85"/>
  <c r="B27" i="85"/>
  <c r="Z26" i="85"/>
  <c r="X26" i="85"/>
  <c r="V26" i="85"/>
  <c r="N26" i="85"/>
  <c r="L26" i="85"/>
  <c r="J26" i="85"/>
  <c r="B26" i="85"/>
  <c r="V25" i="85"/>
  <c r="T25" i="85"/>
  <c r="Z25" i="85" s="1"/>
  <c r="P25" i="85"/>
  <c r="X25" i="85" s="1"/>
  <c r="N25" i="85"/>
  <c r="L25" i="85"/>
  <c r="J25" i="85"/>
  <c r="H25" i="85"/>
  <c r="D25" i="85"/>
  <c r="B25" i="85"/>
  <c r="X24" i="85"/>
  <c r="Z24" i="85" s="1"/>
  <c r="V24" i="85"/>
  <c r="L24" i="85"/>
  <c r="N24" i="85" s="1"/>
  <c r="J24" i="85"/>
  <c r="B24" i="85"/>
  <c r="X23" i="85"/>
  <c r="Z23" i="85" s="1"/>
  <c r="T23" i="85"/>
  <c r="P23" i="85"/>
  <c r="J23" i="85"/>
  <c r="H23" i="85"/>
  <c r="D23" i="85"/>
  <c r="B23" i="85"/>
  <c r="T22" i="85"/>
  <c r="P22" i="85"/>
  <c r="X22" i="85" s="1"/>
  <c r="Z22" i="85" s="1"/>
  <c r="L22" i="85"/>
  <c r="J22" i="85"/>
  <c r="H22" i="85"/>
  <c r="N22" i="85" s="1"/>
  <c r="D22" i="85"/>
  <c r="T20" i="85"/>
  <c r="T32" i="85" s="1"/>
  <c r="J20" i="85"/>
  <c r="Z18" i="85"/>
  <c r="X18" i="85"/>
  <c r="N18" i="85"/>
  <c r="L18" i="85"/>
  <c r="J18" i="85"/>
  <c r="F18" i="85"/>
  <c r="B18" i="85"/>
  <c r="Z17" i="85"/>
  <c r="X17" i="85"/>
  <c r="N17" i="85"/>
  <c r="L17" i="85"/>
  <c r="J17" i="85"/>
  <c r="B17" i="85"/>
  <c r="X16" i="85"/>
  <c r="V16" i="85"/>
  <c r="T16" i="85"/>
  <c r="P16" i="85"/>
  <c r="H16" i="85"/>
  <c r="H20" i="85" s="1"/>
  <c r="D16" i="85"/>
  <c r="L16" i="85" s="1"/>
  <c r="N16" i="85" s="1"/>
  <c r="Z14" i="85"/>
  <c r="P14" i="85"/>
  <c r="X14" i="85" s="1"/>
  <c r="N14" i="85"/>
  <c r="L14" i="85"/>
  <c r="D14" i="85"/>
  <c r="B14" i="85"/>
  <c r="P13" i="85"/>
  <c r="L13" i="85"/>
  <c r="N13" i="85" s="1"/>
  <c r="D13" i="85"/>
  <c r="B13" i="85"/>
  <c r="T12" i="85"/>
  <c r="V17" i="85" s="1"/>
  <c r="H12" i="85"/>
  <c r="J27" i="85" s="1"/>
  <c r="D12" i="85"/>
  <c r="F22" i="85" s="1"/>
  <c r="D6" i="85"/>
  <c r="D4" i="85"/>
  <c r="X144" i="84"/>
  <c r="Z144" i="84" s="1"/>
  <c r="V144" i="84"/>
  <c r="N144" i="84"/>
  <c r="L144" i="84"/>
  <c r="J144" i="84"/>
  <c r="T140" i="84"/>
  <c r="Z140" i="84" s="1"/>
  <c r="P140" i="84"/>
  <c r="X140" i="84" s="1"/>
  <c r="N140" i="84"/>
  <c r="L140" i="84"/>
  <c r="H140" i="84"/>
  <c r="D140" i="84"/>
  <c r="X138" i="84"/>
  <c r="Z138" i="84" s="1"/>
  <c r="L138" i="84"/>
  <c r="N138" i="84" s="1"/>
  <c r="J138" i="84"/>
  <c r="B138" i="84"/>
  <c r="X137" i="84"/>
  <c r="Z137" i="84" s="1"/>
  <c r="T137" i="84"/>
  <c r="P137" i="84"/>
  <c r="J137" i="84"/>
  <c r="H137" i="84"/>
  <c r="D137" i="84"/>
  <c r="B137" i="84"/>
  <c r="Z136" i="84"/>
  <c r="X136" i="84"/>
  <c r="L136" i="84"/>
  <c r="N136" i="84" s="1"/>
  <c r="B136" i="84"/>
  <c r="T135" i="84"/>
  <c r="X135" i="84" s="1"/>
  <c r="P135" i="84"/>
  <c r="J135" i="84"/>
  <c r="H135" i="84"/>
  <c r="D135" i="84"/>
  <c r="L135" i="84" s="1"/>
  <c r="N135" i="84" s="1"/>
  <c r="B135" i="84"/>
  <c r="Z134" i="84"/>
  <c r="X134" i="84"/>
  <c r="V134" i="84"/>
  <c r="N134" i="84"/>
  <c r="L134" i="84"/>
  <c r="B134" i="84"/>
  <c r="X133" i="84"/>
  <c r="Z133" i="84" s="1"/>
  <c r="T133" i="84"/>
  <c r="P133" i="84"/>
  <c r="H133" i="84"/>
  <c r="N133" i="84" s="1"/>
  <c r="D133" i="84"/>
  <c r="L133" i="84" s="1"/>
  <c r="B133" i="84"/>
  <c r="Z132" i="84"/>
  <c r="X132" i="84"/>
  <c r="N132" i="84"/>
  <c r="L132" i="84"/>
  <c r="B132" i="84"/>
  <c r="Z131" i="84"/>
  <c r="X131" i="84"/>
  <c r="V131" i="84"/>
  <c r="N131" i="84"/>
  <c r="L131" i="84"/>
  <c r="B131" i="84"/>
  <c r="T130" i="84"/>
  <c r="P130" i="84"/>
  <c r="X130" i="84" s="1"/>
  <c r="N130" i="84"/>
  <c r="L130" i="84"/>
  <c r="H130" i="84"/>
  <c r="D130" i="84"/>
  <c r="B130" i="84"/>
  <c r="Z129" i="84"/>
  <c r="X129" i="84"/>
  <c r="V129" i="84"/>
  <c r="N129" i="84"/>
  <c r="L129" i="84"/>
  <c r="B129" i="84"/>
  <c r="Z128" i="84"/>
  <c r="X128" i="84"/>
  <c r="L128" i="84"/>
  <c r="N128" i="84" s="1"/>
  <c r="B128" i="84"/>
  <c r="Z127" i="84"/>
  <c r="X127" i="84"/>
  <c r="N127" i="84"/>
  <c r="L127" i="84"/>
  <c r="B127" i="84"/>
  <c r="X126" i="84"/>
  <c r="Z126" i="84" s="1"/>
  <c r="V126" i="84"/>
  <c r="N126" i="84"/>
  <c r="L126" i="84"/>
  <c r="J126" i="84"/>
  <c r="B126" i="84"/>
  <c r="Z125" i="84"/>
  <c r="X125" i="84"/>
  <c r="V125" i="84"/>
  <c r="L125" i="84"/>
  <c r="N125" i="84" s="1"/>
  <c r="B125" i="84"/>
  <c r="Z124" i="84"/>
  <c r="X124" i="84"/>
  <c r="L124" i="84"/>
  <c r="N124" i="84" s="1"/>
  <c r="B124" i="84"/>
  <c r="T123" i="84"/>
  <c r="X123" i="84" s="1"/>
  <c r="P123" i="84"/>
  <c r="J123" i="84"/>
  <c r="H123" i="84"/>
  <c r="D123" i="84"/>
  <c r="L123" i="84" s="1"/>
  <c r="N123" i="84" s="1"/>
  <c r="B123" i="84"/>
  <c r="Z122" i="84"/>
  <c r="X122" i="84"/>
  <c r="V122" i="84"/>
  <c r="L122" i="84"/>
  <c r="N122" i="84" s="1"/>
  <c r="B122" i="84"/>
  <c r="X121" i="84"/>
  <c r="Z121" i="84" s="1"/>
  <c r="L121" i="84"/>
  <c r="N121" i="84" s="1"/>
  <c r="B121" i="84"/>
  <c r="T120" i="84"/>
  <c r="P120" i="84"/>
  <c r="J120" i="84"/>
  <c r="H120" i="84"/>
  <c r="D120" i="84"/>
  <c r="L120" i="84" s="1"/>
  <c r="B120" i="84"/>
  <c r="Z119" i="84"/>
  <c r="X119" i="84"/>
  <c r="V119" i="84"/>
  <c r="N119" i="84"/>
  <c r="L119" i="84"/>
  <c r="B119" i="84"/>
  <c r="X118" i="84"/>
  <c r="Z118" i="84" s="1"/>
  <c r="L118" i="84"/>
  <c r="N118" i="84" s="1"/>
  <c r="J118" i="84"/>
  <c r="B118" i="84"/>
  <c r="X117" i="84"/>
  <c r="Z117" i="84" s="1"/>
  <c r="N117" i="84"/>
  <c r="L117" i="84"/>
  <c r="J117" i="84"/>
  <c r="B117" i="84"/>
  <c r="Z116" i="84"/>
  <c r="X116" i="84"/>
  <c r="T116" i="84"/>
  <c r="P116" i="84"/>
  <c r="H116" i="84"/>
  <c r="D116" i="84"/>
  <c r="B116" i="84"/>
  <c r="Z115" i="84"/>
  <c r="X115" i="84"/>
  <c r="N115" i="84"/>
  <c r="L115" i="84"/>
  <c r="B115" i="84"/>
  <c r="X114" i="84"/>
  <c r="Z114" i="84" s="1"/>
  <c r="V114" i="84"/>
  <c r="N114" i="84"/>
  <c r="L114" i="84"/>
  <c r="J114" i="84"/>
  <c r="B114" i="84"/>
  <c r="V113" i="84"/>
  <c r="T113" i="84"/>
  <c r="P113" i="84"/>
  <c r="X113" i="84" s="1"/>
  <c r="Z113" i="84" s="1"/>
  <c r="H113" i="84"/>
  <c r="L113" i="84" s="1"/>
  <c r="D113" i="84"/>
  <c r="B113" i="84"/>
  <c r="X112" i="84"/>
  <c r="Z112" i="84" s="1"/>
  <c r="N112" i="84"/>
  <c r="L112" i="84"/>
  <c r="B112" i="84"/>
  <c r="T111" i="84"/>
  <c r="Z111" i="84" s="1"/>
  <c r="P111" i="84"/>
  <c r="X111" i="84" s="1"/>
  <c r="L111" i="84"/>
  <c r="N111" i="84" s="1"/>
  <c r="H111" i="84"/>
  <c r="D111" i="84"/>
  <c r="B111" i="84"/>
  <c r="X110" i="84"/>
  <c r="Z110" i="84" s="1"/>
  <c r="N110" i="84"/>
  <c r="L110" i="84"/>
  <c r="J110" i="84"/>
  <c r="B110" i="84"/>
  <c r="X109" i="84"/>
  <c r="T109" i="84"/>
  <c r="Z109" i="84" s="1"/>
  <c r="P109" i="84"/>
  <c r="N109" i="84"/>
  <c r="J109" i="84"/>
  <c r="H109" i="84"/>
  <c r="L109" i="84" s="1"/>
  <c r="D109" i="84"/>
  <c r="B109" i="84"/>
  <c r="Z108" i="84"/>
  <c r="X108" i="84"/>
  <c r="N108" i="84"/>
  <c r="L108" i="84"/>
  <c r="B108" i="84"/>
  <c r="Z107" i="84"/>
  <c r="X107" i="84"/>
  <c r="N107" i="84"/>
  <c r="L107" i="84"/>
  <c r="B107" i="84"/>
  <c r="Z106" i="84"/>
  <c r="X106" i="84"/>
  <c r="V106" i="84"/>
  <c r="N106" i="84"/>
  <c r="L106" i="84"/>
  <c r="J106" i="84"/>
  <c r="B106" i="84"/>
  <c r="Z105" i="84"/>
  <c r="X105" i="84"/>
  <c r="V105" i="84"/>
  <c r="N105" i="84"/>
  <c r="L105" i="84"/>
  <c r="B105" i="84"/>
  <c r="Z104" i="84"/>
  <c r="X104" i="84"/>
  <c r="N104" i="84"/>
  <c r="L104" i="84"/>
  <c r="B104" i="84"/>
  <c r="Z103" i="84"/>
  <c r="X103" i="84"/>
  <c r="N103" i="84"/>
  <c r="L103" i="84"/>
  <c r="B103" i="84"/>
  <c r="Z102" i="84"/>
  <c r="X102" i="84"/>
  <c r="V102" i="84"/>
  <c r="N102" i="84"/>
  <c r="L102" i="84"/>
  <c r="J102" i="84"/>
  <c r="B102" i="84"/>
  <c r="Z101" i="84"/>
  <c r="X101" i="84"/>
  <c r="V101" i="84"/>
  <c r="N101" i="84"/>
  <c r="L101" i="84"/>
  <c r="B101" i="84"/>
  <c r="Z100" i="84"/>
  <c r="X100" i="84"/>
  <c r="N100" i="84"/>
  <c r="L100" i="84"/>
  <c r="B100" i="84"/>
  <c r="Z99" i="84"/>
  <c r="X99" i="84"/>
  <c r="N99" i="84"/>
  <c r="L99" i="84"/>
  <c r="B99" i="84"/>
  <c r="Z98" i="84"/>
  <c r="X98" i="84"/>
  <c r="V98" i="84"/>
  <c r="N98" i="84"/>
  <c r="L98" i="84"/>
  <c r="J98" i="84"/>
  <c r="B98" i="84"/>
  <c r="Z97" i="84"/>
  <c r="X97" i="84"/>
  <c r="V97" i="84"/>
  <c r="N97" i="84"/>
  <c r="L97" i="84"/>
  <c r="B97" i="84"/>
  <c r="Z96" i="84"/>
  <c r="X96" i="84"/>
  <c r="L96" i="84"/>
  <c r="N96" i="84" s="1"/>
  <c r="B96" i="84"/>
  <c r="T95" i="84"/>
  <c r="P95" i="84"/>
  <c r="J95" i="84"/>
  <c r="H95" i="84"/>
  <c r="D95" i="84"/>
  <c r="L95" i="84" s="1"/>
  <c r="N95" i="84" s="1"/>
  <c r="B95" i="84"/>
  <c r="Z94" i="84"/>
  <c r="X94" i="84"/>
  <c r="V94" i="84"/>
  <c r="L94" i="84"/>
  <c r="N94" i="84" s="1"/>
  <c r="B94" i="84"/>
  <c r="Z93" i="84"/>
  <c r="X93" i="84"/>
  <c r="T93" i="84"/>
  <c r="P93" i="84"/>
  <c r="H93" i="84"/>
  <c r="N93" i="84" s="1"/>
  <c r="D93" i="84"/>
  <c r="L93" i="84" s="1"/>
  <c r="B93" i="84"/>
  <c r="Z92" i="84"/>
  <c r="X92" i="84"/>
  <c r="N92" i="84"/>
  <c r="L92" i="84"/>
  <c r="B92" i="84"/>
  <c r="Z91" i="84"/>
  <c r="V91" i="84"/>
  <c r="T91" i="84"/>
  <c r="X91" i="84" s="1"/>
  <c r="P91" i="84"/>
  <c r="L91" i="84"/>
  <c r="H91" i="84"/>
  <c r="N91" i="84" s="1"/>
  <c r="D91" i="84"/>
  <c r="B91" i="84"/>
  <c r="X90" i="84"/>
  <c r="Z90" i="84" s="1"/>
  <c r="V90" i="84"/>
  <c r="N90" i="84"/>
  <c r="L90" i="84"/>
  <c r="J90" i="84"/>
  <c r="B90" i="84"/>
  <c r="V89" i="84"/>
  <c r="T89" i="84"/>
  <c r="P89" i="84"/>
  <c r="X89" i="84" s="1"/>
  <c r="Z89" i="84" s="1"/>
  <c r="H89" i="84"/>
  <c r="D89" i="84"/>
  <c r="B89" i="84"/>
  <c r="X88" i="84"/>
  <c r="Z88" i="84" s="1"/>
  <c r="N88" i="84"/>
  <c r="L88" i="84"/>
  <c r="B88" i="84"/>
  <c r="T87" i="84"/>
  <c r="P87" i="84"/>
  <c r="X87" i="84" s="1"/>
  <c r="H87" i="84"/>
  <c r="D87" i="84"/>
  <c r="L87" i="84" s="1"/>
  <c r="N87" i="84" s="1"/>
  <c r="B87" i="84"/>
  <c r="X86" i="84"/>
  <c r="Z86" i="84" s="1"/>
  <c r="L86" i="84"/>
  <c r="N86" i="84" s="1"/>
  <c r="J86" i="84"/>
  <c r="B86" i="84"/>
  <c r="X85" i="84"/>
  <c r="T85" i="84"/>
  <c r="P85" i="84"/>
  <c r="H85" i="84"/>
  <c r="L85" i="84" s="1"/>
  <c r="D85" i="84"/>
  <c r="B85" i="84"/>
  <c r="Z84" i="84"/>
  <c r="X84" i="84"/>
  <c r="L84" i="84"/>
  <c r="N84" i="84" s="1"/>
  <c r="B84" i="84"/>
  <c r="T83" i="84"/>
  <c r="P83" i="84"/>
  <c r="J83" i="84"/>
  <c r="H83" i="84"/>
  <c r="D83" i="84"/>
  <c r="L83" i="84" s="1"/>
  <c r="N83" i="84" s="1"/>
  <c r="B83" i="84"/>
  <c r="Z82" i="84"/>
  <c r="X82" i="84"/>
  <c r="V82" i="84"/>
  <c r="L82" i="84"/>
  <c r="N82" i="84" s="1"/>
  <c r="B82" i="84"/>
  <c r="Z81" i="84"/>
  <c r="X81" i="84"/>
  <c r="N81" i="84"/>
  <c r="L81" i="84"/>
  <c r="B81" i="84"/>
  <c r="X80" i="84"/>
  <c r="T80" i="84"/>
  <c r="P80" i="84"/>
  <c r="J80" i="84"/>
  <c r="H80" i="84"/>
  <c r="D80" i="84"/>
  <c r="L80" i="84" s="1"/>
  <c r="N80" i="84" s="1"/>
  <c r="B80" i="84"/>
  <c r="Z79" i="84"/>
  <c r="X79" i="84"/>
  <c r="V79" i="84"/>
  <c r="N79" i="84"/>
  <c r="L79" i="84"/>
  <c r="B79" i="84"/>
  <c r="T78" i="84"/>
  <c r="P78" i="84"/>
  <c r="X78" i="84" s="1"/>
  <c r="N78" i="84"/>
  <c r="L78" i="84"/>
  <c r="H78" i="84"/>
  <c r="D78" i="84"/>
  <c r="B78" i="84"/>
  <c r="Z77" i="84"/>
  <c r="X77" i="84"/>
  <c r="V77" i="84"/>
  <c r="N77" i="84"/>
  <c r="L77" i="84"/>
  <c r="B77" i="84"/>
  <c r="Z76" i="84"/>
  <c r="X76" i="84"/>
  <c r="N76" i="84"/>
  <c r="L76" i="84"/>
  <c r="B76" i="84"/>
  <c r="Z75" i="84"/>
  <c r="X75" i="84"/>
  <c r="N75" i="84"/>
  <c r="L75" i="84"/>
  <c r="B75" i="84"/>
  <c r="X74" i="84"/>
  <c r="Z74" i="84" s="1"/>
  <c r="V74" i="84"/>
  <c r="N74" i="84"/>
  <c r="L74" i="84"/>
  <c r="J74" i="84"/>
  <c r="B74" i="84"/>
  <c r="Z73" i="84"/>
  <c r="X73" i="84"/>
  <c r="V73" i="84"/>
  <c r="N73" i="84"/>
  <c r="L73" i="84"/>
  <c r="B73" i="84"/>
  <c r="Z72" i="84"/>
  <c r="X72" i="84"/>
  <c r="N72" i="84"/>
  <c r="L72" i="84"/>
  <c r="B72" i="84"/>
  <c r="Z71" i="84"/>
  <c r="X71" i="84"/>
  <c r="N71" i="84"/>
  <c r="L71" i="84"/>
  <c r="B71" i="84"/>
  <c r="Z70" i="84"/>
  <c r="X70" i="84"/>
  <c r="V70" i="84"/>
  <c r="N70" i="84"/>
  <c r="L70" i="84"/>
  <c r="J70" i="84"/>
  <c r="B70" i="84"/>
  <c r="Z69" i="84"/>
  <c r="X69" i="84"/>
  <c r="V69" i="84"/>
  <c r="L69" i="84"/>
  <c r="N69" i="84" s="1"/>
  <c r="B69" i="84"/>
  <c r="Z68" i="84"/>
  <c r="X68" i="84"/>
  <c r="N68" i="84"/>
  <c r="L68" i="84"/>
  <c r="B68" i="84"/>
  <c r="T67" i="84"/>
  <c r="P67" i="84"/>
  <c r="J67" i="84"/>
  <c r="H67" i="84"/>
  <c r="D67" i="84"/>
  <c r="L67" i="84" s="1"/>
  <c r="N67" i="84" s="1"/>
  <c r="B67" i="84"/>
  <c r="Z66" i="84"/>
  <c r="X66" i="84"/>
  <c r="V66" i="84"/>
  <c r="N66" i="84"/>
  <c r="L66" i="84"/>
  <c r="B66" i="84"/>
  <c r="Z65" i="84"/>
  <c r="X65" i="84"/>
  <c r="L65" i="84"/>
  <c r="N65" i="84" s="1"/>
  <c r="B65" i="84"/>
  <c r="X64" i="84"/>
  <c r="Z64" i="84" s="1"/>
  <c r="N64" i="84"/>
  <c r="L64" i="84"/>
  <c r="B64" i="84"/>
  <c r="Z63" i="84"/>
  <c r="X63" i="84"/>
  <c r="N63" i="84"/>
  <c r="L63" i="84"/>
  <c r="J63" i="84"/>
  <c r="B63" i="84"/>
  <c r="Z62" i="84"/>
  <c r="X62" i="84"/>
  <c r="V62" i="84"/>
  <c r="L62" i="84"/>
  <c r="N62" i="84" s="1"/>
  <c r="B62" i="84"/>
  <c r="Z61" i="84"/>
  <c r="X61" i="84"/>
  <c r="L61" i="84"/>
  <c r="N61" i="84" s="1"/>
  <c r="B61" i="84"/>
  <c r="X60" i="84"/>
  <c r="Z60" i="84" s="1"/>
  <c r="N60" i="84"/>
  <c r="L60" i="84"/>
  <c r="B60" i="84"/>
  <c r="Z59" i="84"/>
  <c r="X59" i="84"/>
  <c r="N59" i="84"/>
  <c r="L59" i="84"/>
  <c r="J59" i="84"/>
  <c r="B59" i="84"/>
  <c r="Z58" i="84"/>
  <c r="X58" i="84"/>
  <c r="V58" i="84"/>
  <c r="L58" i="84"/>
  <c r="N58" i="84" s="1"/>
  <c r="B58" i="84"/>
  <c r="X57" i="84"/>
  <c r="Z57" i="84" s="1"/>
  <c r="T57" i="84"/>
  <c r="P57" i="84"/>
  <c r="H57" i="84"/>
  <c r="D57" i="84"/>
  <c r="L57" i="84" s="1"/>
  <c r="B57" i="84"/>
  <c r="Z56" i="84"/>
  <c r="X56" i="84"/>
  <c r="T56" i="84"/>
  <c r="P56" i="84"/>
  <c r="H56" i="84"/>
  <c r="D56" i="84"/>
  <c r="H54" i="84"/>
  <c r="Z52" i="84"/>
  <c r="X52" i="84"/>
  <c r="N52" i="84"/>
  <c r="L52" i="84"/>
  <c r="B52" i="84"/>
  <c r="Z51" i="84"/>
  <c r="X51" i="84"/>
  <c r="V51" i="84"/>
  <c r="N51" i="84"/>
  <c r="L51" i="84"/>
  <c r="B51" i="84"/>
  <c r="Z50" i="84"/>
  <c r="X50" i="84"/>
  <c r="N50" i="84"/>
  <c r="L50" i="84"/>
  <c r="J50" i="84"/>
  <c r="B50" i="84"/>
  <c r="Z49" i="84"/>
  <c r="X49" i="84"/>
  <c r="N49" i="84"/>
  <c r="L49" i="84"/>
  <c r="J49" i="84"/>
  <c r="B49" i="84"/>
  <c r="Z48" i="84"/>
  <c r="X48" i="84"/>
  <c r="N48" i="84"/>
  <c r="L48" i="84"/>
  <c r="B48" i="84"/>
  <c r="Z47" i="84"/>
  <c r="X47" i="84"/>
  <c r="V47" i="84"/>
  <c r="N47" i="84"/>
  <c r="L47" i="84"/>
  <c r="B47" i="84"/>
  <c r="Z46" i="84"/>
  <c r="X46" i="84"/>
  <c r="N46" i="84"/>
  <c r="L46" i="84"/>
  <c r="J46" i="84"/>
  <c r="B46" i="84"/>
  <c r="Z45" i="84"/>
  <c r="X45" i="84"/>
  <c r="N45" i="84"/>
  <c r="L45" i="84"/>
  <c r="J45" i="84"/>
  <c r="B45" i="84"/>
  <c r="Z44" i="84"/>
  <c r="X44" i="84"/>
  <c r="N44" i="84"/>
  <c r="L44" i="84"/>
  <c r="B44" i="84"/>
  <c r="Z43" i="84"/>
  <c r="X43" i="84"/>
  <c r="V43" i="84"/>
  <c r="N43" i="84"/>
  <c r="L43" i="84"/>
  <c r="B43" i="84"/>
  <c r="Z42" i="84"/>
  <c r="X42" i="84"/>
  <c r="N42" i="84"/>
  <c r="L42" i="84"/>
  <c r="J42" i="84"/>
  <c r="B42" i="84"/>
  <c r="Z41" i="84"/>
  <c r="X41" i="84"/>
  <c r="N41" i="84"/>
  <c r="L41" i="84"/>
  <c r="J41" i="84"/>
  <c r="B41" i="84"/>
  <c r="Z40" i="84"/>
  <c r="X40" i="84"/>
  <c r="N40" i="84"/>
  <c r="L40" i="84"/>
  <c r="B40" i="84"/>
  <c r="Z39" i="84"/>
  <c r="X39" i="84"/>
  <c r="V39" i="84"/>
  <c r="N39" i="84"/>
  <c r="L39" i="84"/>
  <c r="B39" i="84"/>
  <c r="Z38" i="84"/>
  <c r="X38" i="84"/>
  <c r="N38" i="84"/>
  <c r="L38" i="84"/>
  <c r="J38" i="84"/>
  <c r="B38" i="84"/>
  <c r="Z37" i="84"/>
  <c r="X37" i="84"/>
  <c r="N37" i="84"/>
  <c r="L37" i="84"/>
  <c r="J37" i="84"/>
  <c r="B37" i="84"/>
  <c r="Z36" i="84"/>
  <c r="X36" i="84"/>
  <c r="N36" i="84"/>
  <c r="L36" i="84"/>
  <c r="B36" i="84"/>
  <c r="Z35" i="84"/>
  <c r="V35" i="84"/>
  <c r="T35" i="84"/>
  <c r="X35" i="84" s="1"/>
  <c r="P35" i="84"/>
  <c r="L35" i="84"/>
  <c r="N35" i="84" s="1"/>
  <c r="J35" i="84"/>
  <c r="H35" i="84"/>
  <c r="D35" i="84"/>
  <c r="Z33" i="84"/>
  <c r="P33" i="84"/>
  <c r="X33" i="84" s="1"/>
  <c r="N33" i="84"/>
  <c r="L33" i="84"/>
  <c r="D33" i="84"/>
  <c r="B33" i="84"/>
  <c r="Z32" i="84"/>
  <c r="X32" i="84"/>
  <c r="P32" i="84"/>
  <c r="N32" i="84"/>
  <c r="D32" i="84"/>
  <c r="L32" i="84" s="1"/>
  <c r="B32" i="84"/>
  <c r="Z31" i="84"/>
  <c r="X31" i="84"/>
  <c r="P31" i="84"/>
  <c r="N31" i="84"/>
  <c r="D31" i="84"/>
  <c r="L31" i="84" s="1"/>
  <c r="B31" i="84"/>
  <c r="Z30" i="84"/>
  <c r="X30" i="84"/>
  <c r="P30" i="84"/>
  <c r="N30" i="84"/>
  <c r="D30" i="84"/>
  <c r="L30" i="84" s="1"/>
  <c r="B30" i="84"/>
  <c r="Z29" i="84"/>
  <c r="P29" i="84"/>
  <c r="X29" i="84" s="1"/>
  <c r="N29" i="84"/>
  <c r="L29" i="84"/>
  <c r="D29" i="84"/>
  <c r="B29" i="84"/>
  <c r="Z28" i="84"/>
  <c r="X28" i="84"/>
  <c r="P28" i="84"/>
  <c r="N28" i="84"/>
  <c r="L28" i="84"/>
  <c r="D28" i="84"/>
  <c r="B28" i="84"/>
  <c r="Z27" i="84"/>
  <c r="X27" i="84"/>
  <c r="P27" i="84"/>
  <c r="N27" i="84"/>
  <c r="L27" i="84"/>
  <c r="D27" i="84"/>
  <c r="B27" i="84"/>
  <c r="Z26" i="84"/>
  <c r="X26" i="84"/>
  <c r="P26" i="84"/>
  <c r="N26" i="84"/>
  <c r="D26" i="84"/>
  <c r="L26" i="84" s="1"/>
  <c r="B26" i="84"/>
  <c r="Z25" i="84"/>
  <c r="P25" i="84"/>
  <c r="X25" i="84" s="1"/>
  <c r="N25" i="84"/>
  <c r="L25" i="84"/>
  <c r="D25" i="84"/>
  <c r="B25" i="84"/>
  <c r="Z24" i="84"/>
  <c r="X24" i="84"/>
  <c r="P24" i="84"/>
  <c r="N24" i="84"/>
  <c r="L24" i="84"/>
  <c r="D24" i="84"/>
  <c r="B24" i="84"/>
  <c r="Z23" i="84"/>
  <c r="P23" i="84"/>
  <c r="X23" i="84" s="1"/>
  <c r="N23" i="84"/>
  <c r="D23" i="84"/>
  <c r="L23" i="84" s="1"/>
  <c r="B23" i="84"/>
  <c r="Z22" i="84"/>
  <c r="P22" i="84"/>
  <c r="X22" i="84" s="1"/>
  <c r="N22" i="84"/>
  <c r="D22" i="84"/>
  <c r="L22" i="84" s="1"/>
  <c r="B22" i="84"/>
  <c r="Z21" i="84"/>
  <c r="P21" i="84"/>
  <c r="X21" i="84" s="1"/>
  <c r="N21" i="84"/>
  <c r="L21" i="84"/>
  <c r="D21" i="84"/>
  <c r="B21" i="84"/>
  <c r="Z20" i="84"/>
  <c r="X20" i="84"/>
  <c r="P20" i="84"/>
  <c r="N20" i="84"/>
  <c r="D20" i="84"/>
  <c r="L20" i="84" s="1"/>
  <c r="B20" i="84"/>
  <c r="Z19" i="84"/>
  <c r="X19" i="84"/>
  <c r="P19" i="84"/>
  <c r="N19" i="84"/>
  <c r="D19" i="84"/>
  <c r="L19" i="84" s="1"/>
  <c r="B19" i="84"/>
  <c r="Z18" i="84"/>
  <c r="X18" i="84"/>
  <c r="P18" i="84"/>
  <c r="N18" i="84"/>
  <c r="D18" i="84"/>
  <c r="B18" i="84"/>
  <c r="Z17" i="84"/>
  <c r="P17" i="84"/>
  <c r="X17" i="84" s="1"/>
  <c r="N17" i="84"/>
  <c r="L17" i="84"/>
  <c r="D17" i="84"/>
  <c r="B17" i="84"/>
  <c r="Z16" i="84"/>
  <c r="X16" i="84"/>
  <c r="P16" i="84"/>
  <c r="N16" i="84"/>
  <c r="L16" i="84"/>
  <c r="D16" i="84"/>
  <c r="B16" i="84"/>
  <c r="Z15" i="84"/>
  <c r="X15" i="84"/>
  <c r="P15" i="84"/>
  <c r="N15" i="84"/>
  <c r="L15" i="84"/>
  <c r="D15" i="84"/>
  <c r="B15" i="84"/>
  <c r="Z14" i="84"/>
  <c r="P14" i="84"/>
  <c r="X14" i="84" s="1"/>
  <c r="N14" i="84"/>
  <c r="L14" i="84"/>
  <c r="D14" i="84"/>
  <c r="B14" i="84"/>
  <c r="P13" i="84"/>
  <c r="L13" i="84"/>
  <c r="N13" i="84" s="1"/>
  <c r="D13" i="84"/>
  <c r="B13" i="84"/>
  <c r="T12" i="84"/>
  <c r="V132" i="84" s="1"/>
  <c r="H12" i="84"/>
  <c r="D6" i="84"/>
  <c r="D4" i="84"/>
  <c r="X99" i="83"/>
  <c r="Z99" i="83" s="1"/>
  <c r="N99" i="83"/>
  <c r="L99" i="83"/>
  <c r="T95" i="83"/>
  <c r="Z95" i="83" s="1"/>
  <c r="P95" i="83"/>
  <c r="N95" i="83"/>
  <c r="H95" i="83"/>
  <c r="D95" i="83"/>
  <c r="L95" i="83" s="1"/>
  <c r="X93" i="83"/>
  <c r="Z93" i="83" s="1"/>
  <c r="L93" i="83"/>
  <c r="N93" i="83" s="1"/>
  <c r="B93" i="83"/>
  <c r="X92" i="83"/>
  <c r="Z92" i="83" s="1"/>
  <c r="T92" i="83"/>
  <c r="P92" i="83"/>
  <c r="H92" i="83"/>
  <c r="D92" i="83"/>
  <c r="B92" i="83"/>
  <c r="Z91" i="83"/>
  <c r="X91" i="83"/>
  <c r="N91" i="83"/>
  <c r="L91" i="83"/>
  <c r="B91" i="83"/>
  <c r="T90" i="83"/>
  <c r="P90" i="83"/>
  <c r="N90" i="83"/>
  <c r="H90" i="83"/>
  <c r="D90" i="83"/>
  <c r="L90" i="83" s="1"/>
  <c r="B90" i="83"/>
  <c r="Z89" i="83"/>
  <c r="X89" i="83"/>
  <c r="N89" i="83"/>
  <c r="L89" i="83"/>
  <c r="B89" i="83"/>
  <c r="T88" i="83"/>
  <c r="P88" i="83"/>
  <c r="X88" i="83" s="1"/>
  <c r="Z88" i="83" s="1"/>
  <c r="N88" i="83"/>
  <c r="H88" i="83"/>
  <c r="D88" i="83"/>
  <c r="L88" i="83" s="1"/>
  <c r="B88" i="83"/>
  <c r="Z87" i="83"/>
  <c r="X87" i="83"/>
  <c r="N87" i="83"/>
  <c r="L87" i="83"/>
  <c r="B87" i="83"/>
  <c r="T86" i="83"/>
  <c r="P86" i="83"/>
  <c r="L86" i="83"/>
  <c r="N86" i="83" s="1"/>
  <c r="H86" i="83"/>
  <c r="D86" i="83"/>
  <c r="B86" i="83"/>
  <c r="X85" i="83"/>
  <c r="Z85" i="83" s="1"/>
  <c r="N85" i="83"/>
  <c r="L85" i="83"/>
  <c r="B85" i="83"/>
  <c r="Z84" i="83"/>
  <c r="X84" i="83"/>
  <c r="N84" i="83"/>
  <c r="L84" i="83"/>
  <c r="B84" i="83"/>
  <c r="Z83" i="83"/>
  <c r="X83" i="83"/>
  <c r="N83" i="83"/>
  <c r="L83" i="83"/>
  <c r="B83" i="83"/>
  <c r="Z82" i="83"/>
  <c r="X82" i="83"/>
  <c r="N82" i="83"/>
  <c r="L82" i="83"/>
  <c r="B82" i="83"/>
  <c r="X81" i="83"/>
  <c r="Z81" i="83" s="1"/>
  <c r="N81" i="83"/>
  <c r="L81" i="83"/>
  <c r="B81" i="83"/>
  <c r="X80" i="83"/>
  <c r="Z80" i="83" s="1"/>
  <c r="L80" i="83"/>
  <c r="N80" i="83" s="1"/>
  <c r="B80" i="83"/>
  <c r="Z79" i="83"/>
  <c r="X79" i="83"/>
  <c r="N79" i="83"/>
  <c r="L79" i="83"/>
  <c r="B79" i="83"/>
  <c r="T78" i="83"/>
  <c r="P78" i="83"/>
  <c r="H78" i="83"/>
  <c r="D78" i="83"/>
  <c r="L78" i="83" s="1"/>
  <c r="N78" i="83" s="1"/>
  <c r="B78" i="83"/>
  <c r="Z77" i="83"/>
  <c r="X77" i="83"/>
  <c r="L77" i="83"/>
  <c r="N77" i="83" s="1"/>
  <c r="B77" i="83"/>
  <c r="T76" i="83"/>
  <c r="P76" i="83"/>
  <c r="X76" i="83" s="1"/>
  <c r="Z76" i="83" s="1"/>
  <c r="H76" i="83"/>
  <c r="D76" i="83"/>
  <c r="L76" i="83" s="1"/>
  <c r="N76" i="83" s="1"/>
  <c r="B76" i="83"/>
  <c r="Z75" i="83"/>
  <c r="X75" i="83"/>
  <c r="N75" i="83"/>
  <c r="L75" i="83"/>
  <c r="B75" i="83"/>
  <c r="Z74" i="83"/>
  <c r="X74" i="83"/>
  <c r="V74" i="83"/>
  <c r="R74" i="83"/>
  <c r="N74" i="83"/>
  <c r="L74" i="83"/>
  <c r="B74" i="83"/>
  <c r="X73" i="83"/>
  <c r="Z73" i="83" s="1"/>
  <c r="L73" i="83"/>
  <c r="N73" i="83" s="1"/>
  <c r="B73" i="83"/>
  <c r="X72" i="83"/>
  <c r="Z72" i="83" s="1"/>
  <c r="L72" i="83"/>
  <c r="N72" i="83" s="1"/>
  <c r="B72" i="83"/>
  <c r="Z71" i="83"/>
  <c r="X71" i="83"/>
  <c r="N71" i="83"/>
  <c r="L71" i="83"/>
  <c r="B71" i="83"/>
  <c r="T70" i="83"/>
  <c r="P70" i="83"/>
  <c r="L70" i="83"/>
  <c r="H70" i="83"/>
  <c r="N70" i="83" s="1"/>
  <c r="D70" i="83"/>
  <c r="B70" i="83"/>
  <c r="X69" i="83"/>
  <c r="Z69" i="83" s="1"/>
  <c r="N69" i="83"/>
  <c r="L69" i="83"/>
  <c r="B69" i="83"/>
  <c r="Z68" i="83"/>
  <c r="X68" i="83"/>
  <c r="V68" i="83"/>
  <c r="N68" i="83"/>
  <c r="L68" i="83"/>
  <c r="B68" i="83"/>
  <c r="Z67" i="83"/>
  <c r="X67" i="83"/>
  <c r="N67" i="83"/>
  <c r="L67" i="83"/>
  <c r="B67" i="83"/>
  <c r="T66" i="83"/>
  <c r="P66" i="83"/>
  <c r="H66" i="83"/>
  <c r="N66" i="83" s="1"/>
  <c r="F66" i="83"/>
  <c r="D66" i="83"/>
  <c r="L66" i="83" s="1"/>
  <c r="B66" i="83"/>
  <c r="Z65" i="83"/>
  <c r="X65" i="83"/>
  <c r="L65" i="83"/>
  <c r="N65" i="83" s="1"/>
  <c r="B65" i="83"/>
  <c r="T64" i="83"/>
  <c r="P64" i="83"/>
  <c r="X64" i="83" s="1"/>
  <c r="Z64" i="83" s="1"/>
  <c r="H64" i="83"/>
  <c r="N64" i="83" s="1"/>
  <c r="D64" i="83"/>
  <c r="L64" i="83" s="1"/>
  <c r="B64" i="83"/>
  <c r="Z63" i="83"/>
  <c r="X63" i="83"/>
  <c r="N63" i="83"/>
  <c r="L63" i="83"/>
  <c r="B63" i="83"/>
  <c r="T62" i="83"/>
  <c r="P62" i="83"/>
  <c r="L62" i="83"/>
  <c r="H62" i="83"/>
  <c r="N62" i="83" s="1"/>
  <c r="D62" i="83"/>
  <c r="B62" i="83"/>
  <c r="X61" i="83"/>
  <c r="Z61" i="83" s="1"/>
  <c r="N61" i="83"/>
  <c r="L61" i="83"/>
  <c r="B61" i="83"/>
  <c r="X60" i="83"/>
  <c r="T60" i="83"/>
  <c r="P60" i="83"/>
  <c r="H60" i="83"/>
  <c r="D60" i="83"/>
  <c r="B60" i="83"/>
  <c r="Z59" i="83"/>
  <c r="X59" i="83"/>
  <c r="N59" i="83"/>
  <c r="L59" i="83"/>
  <c r="B59" i="83"/>
  <c r="T58" i="83"/>
  <c r="P58" i="83"/>
  <c r="H58" i="83"/>
  <c r="D58" i="83"/>
  <c r="L58" i="83" s="1"/>
  <c r="N58" i="83" s="1"/>
  <c r="B58" i="83"/>
  <c r="X57" i="83"/>
  <c r="Z57" i="83" s="1"/>
  <c r="V57" i="83"/>
  <c r="L57" i="83"/>
  <c r="N57" i="83" s="1"/>
  <c r="B57" i="83"/>
  <c r="T56" i="83"/>
  <c r="P56" i="83"/>
  <c r="X56" i="83" s="1"/>
  <c r="H56" i="83"/>
  <c r="N56" i="83" s="1"/>
  <c r="D56" i="83"/>
  <c r="L56" i="83" s="1"/>
  <c r="B56" i="83"/>
  <c r="Z55" i="83"/>
  <c r="X55" i="83"/>
  <c r="N55" i="83"/>
  <c r="L55" i="83"/>
  <c r="B55" i="83"/>
  <c r="X54" i="83"/>
  <c r="Z54" i="83" s="1"/>
  <c r="N54" i="83"/>
  <c r="L54" i="83"/>
  <c r="F54" i="83"/>
  <c r="B54" i="83"/>
  <c r="X53" i="83"/>
  <c r="Z53" i="83" s="1"/>
  <c r="N53" i="83"/>
  <c r="L53" i="83"/>
  <c r="B53" i="83"/>
  <c r="T52" i="83"/>
  <c r="P52" i="83"/>
  <c r="X52" i="83" s="1"/>
  <c r="L52" i="83"/>
  <c r="H52" i="83"/>
  <c r="D52" i="83"/>
  <c r="B52" i="83"/>
  <c r="X51" i="83"/>
  <c r="Z51" i="83" s="1"/>
  <c r="N51" i="83"/>
  <c r="L51" i="83"/>
  <c r="J51" i="83"/>
  <c r="B51" i="83"/>
  <c r="T50" i="83"/>
  <c r="Z50" i="83" s="1"/>
  <c r="P50" i="83"/>
  <c r="X50" i="83" s="1"/>
  <c r="L50" i="83"/>
  <c r="H50" i="83"/>
  <c r="N50" i="83" s="1"/>
  <c r="D50" i="83"/>
  <c r="B50" i="83"/>
  <c r="Z49" i="83"/>
  <c r="X49" i="83"/>
  <c r="N49" i="83"/>
  <c r="L49" i="83"/>
  <c r="B49" i="83"/>
  <c r="T48" i="83"/>
  <c r="P48" i="83"/>
  <c r="X48" i="83" s="1"/>
  <c r="L48" i="83"/>
  <c r="N48" i="83" s="1"/>
  <c r="H48" i="83"/>
  <c r="D48" i="83"/>
  <c r="B48" i="83"/>
  <c r="Z47" i="83"/>
  <c r="X47" i="83"/>
  <c r="N47" i="83"/>
  <c r="L47" i="83"/>
  <c r="F47" i="83"/>
  <c r="B47" i="83"/>
  <c r="X46" i="83"/>
  <c r="T46" i="83"/>
  <c r="P46" i="83"/>
  <c r="H46" i="83"/>
  <c r="D46" i="83"/>
  <c r="L46" i="83" s="1"/>
  <c r="N46" i="83" s="1"/>
  <c r="B46" i="83"/>
  <c r="Z45" i="83"/>
  <c r="X45" i="83"/>
  <c r="N45" i="83"/>
  <c r="L45" i="83"/>
  <c r="B45" i="83"/>
  <c r="Z44" i="83"/>
  <c r="X44" i="83"/>
  <c r="V44" i="83"/>
  <c r="R44" i="83"/>
  <c r="N44" i="83"/>
  <c r="L44" i="83"/>
  <c r="B44" i="83"/>
  <c r="X43" i="83"/>
  <c r="Z43" i="83" s="1"/>
  <c r="N43" i="83"/>
  <c r="L43" i="83"/>
  <c r="B43" i="83"/>
  <c r="Z42" i="83"/>
  <c r="X42" i="83"/>
  <c r="V42" i="83"/>
  <c r="N42" i="83"/>
  <c r="L42" i="83"/>
  <c r="B42" i="83"/>
  <c r="Z41" i="83"/>
  <c r="X41" i="83"/>
  <c r="N41" i="83"/>
  <c r="L41" i="83"/>
  <c r="B41" i="83"/>
  <c r="X40" i="83"/>
  <c r="Z40" i="83" s="1"/>
  <c r="V40" i="83"/>
  <c r="R40" i="83"/>
  <c r="N40" i="83"/>
  <c r="L40" i="83"/>
  <c r="B40" i="83"/>
  <c r="Z39" i="83"/>
  <c r="X39" i="83"/>
  <c r="N39" i="83"/>
  <c r="L39" i="83"/>
  <c r="J39" i="83"/>
  <c r="B39" i="83"/>
  <c r="Z38" i="83"/>
  <c r="X38" i="83"/>
  <c r="V38" i="83"/>
  <c r="N38" i="83"/>
  <c r="L38" i="83"/>
  <c r="B38" i="83"/>
  <c r="Z37" i="83"/>
  <c r="X37" i="83"/>
  <c r="L37" i="83"/>
  <c r="N37" i="83" s="1"/>
  <c r="B37" i="83"/>
  <c r="Z36" i="83"/>
  <c r="X36" i="83"/>
  <c r="V36" i="83"/>
  <c r="R36" i="83"/>
  <c r="N36" i="83"/>
  <c r="L36" i="83"/>
  <c r="B36" i="83"/>
  <c r="T35" i="83"/>
  <c r="P35" i="83"/>
  <c r="X35" i="83" s="1"/>
  <c r="H35" i="83"/>
  <c r="D35" i="83"/>
  <c r="L35" i="83" s="1"/>
  <c r="N35" i="83" s="1"/>
  <c r="B35" i="83"/>
  <c r="Z34" i="83"/>
  <c r="X34" i="83"/>
  <c r="N34" i="83"/>
  <c r="L34" i="83"/>
  <c r="B34" i="83"/>
  <c r="X33" i="83"/>
  <c r="Z33" i="83" s="1"/>
  <c r="N33" i="83"/>
  <c r="L33" i="83"/>
  <c r="F33" i="83"/>
  <c r="B33" i="83"/>
  <c r="Z32" i="83"/>
  <c r="X32" i="83"/>
  <c r="N32" i="83"/>
  <c r="L32" i="83"/>
  <c r="B32" i="83"/>
  <c r="Z31" i="83"/>
  <c r="X31" i="83"/>
  <c r="V31" i="83"/>
  <c r="N31" i="83"/>
  <c r="L31" i="83"/>
  <c r="B31" i="83"/>
  <c r="Z30" i="83"/>
  <c r="X30" i="83"/>
  <c r="N30" i="83"/>
  <c r="L30" i="83"/>
  <c r="B30" i="83"/>
  <c r="X29" i="83"/>
  <c r="Z29" i="83" s="1"/>
  <c r="N29" i="83"/>
  <c r="L29" i="83"/>
  <c r="B29" i="83"/>
  <c r="Z28" i="83"/>
  <c r="X28" i="83"/>
  <c r="N28" i="83"/>
  <c r="L28" i="83"/>
  <c r="B28" i="83"/>
  <c r="X27" i="83"/>
  <c r="Z27" i="83" s="1"/>
  <c r="V27" i="83"/>
  <c r="L27" i="83"/>
  <c r="N27" i="83" s="1"/>
  <c r="B27" i="83"/>
  <c r="Z26" i="83"/>
  <c r="X26" i="83"/>
  <c r="L26" i="83"/>
  <c r="N26" i="83" s="1"/>
  <c r="B26" i="83"/>
  <c r="X25" i="83"/>
  <c r="T25" i="83"/>
  <c r="Z25" i="83" s="1"/>
  <c r="P25" i="83"/>
  <c r="L25" i="83"/>
  <c r="N25" i="83" s="1"/>
  <c r="J25" i="83"/>
  <c r="H25" i="83"/>
  <c r="D25" i="83"/>
  <c r="B25" i="83"/>
  <c r="T24" i="83"/>
  <c r="P24" i="83"/>
  <c r="X24" i="83" s="1"/>
  <c r="Z24" i="83" s="1"/>
  <c r="N24" i="83"/>
  <c r="L24" i="83"/>
  <c r="H24" i="83"/>
  <c r="D24" i="83"/>
  <c r="Z20" i="83"/>
  <c r="X20" i="83"/>
  <c r="N20" i="83"/>
  <c r="L20" i="83"/>
  <c r="J20" i="83"/>
  <c r="F20" i="83"/>
  <c r="B20" i="83"/>
  <c r="Z19" i="83"/>
  <c r="X19" i="83"/>
  <c r="N19" i="83"/>
  <c r="L19" i="83"/>
  <c r="B19" i="83"/>
  <c r="X18" i="83"/>
  <c r="Z18" i="83" s="1"/>
  <c r="V18" i="83"/>
  <c r="N18" i="83"/>
  <c r="L18" i="83"/>
  <c r="B18" i="83"/>
  <c r="T17" i="83"/>
  <c r="R17" i="83"/>
  <c r="P17" i="83"/>
  <c r="X17" i="83" s="1"/>
  <c r="H17" i="83"/>
  <c r="N17" i="83" s="1"/>
  <c r="D17" i="83"/>
  <c r="L17" i="83" s="1"/>
  <c r="Z15" i="83"/>
  <c r="P15" i="83"/>
  <c r="X15" i="83" s="1"/>
  <c r="N15" i="83"/>
  <c r="L15" i="83"/>
  <c r="D15" i="83"/>
  <c r="B15" i="83"/>
  <c r="Z14" i="83"/>
  <c r="P14" i="83"/>
  <c r="X14" i="83" s="1"/>
  <c r="N14" i="83"/>
  <c r="D14" i="83"/>
  <c r="L14" i="83" s="1"/>
  <c r="B14" i="83"/>
  <c r="X13" i="83"/>
  <c r="Z13" i="83" s="1"/>
  <c r="P13" i="83"/>
  <c r="P12" i="83" s="1"/>
  <c r="R52" i="83" s="1"/>
  <c r="D13" i="83"/>
  <c r="L13" i="83" s="1"/>
  <c r="N13" i="83" s="1"/>
  <c r="B13" i="83"/>
  <c r="T12" i="83"/>
  <c r="V80" i="83" s="1"/>
  <c r="H12" i="83"/>
  <c r="D12" i="83"/>
  <c r="D6" i="83"/>
  <c r="D4" i="83"/>
  <c r="Z30" i="82"/>
  <c r="X30" i="82"/>
  <c r="V30" i="82"/>
  <c r="L30" i="82"/>
  <c r="N30" i="82" s="1"/>
  <c r="Z26" i="82"/>
  <c r="X26" i="82"/>
  <c r="T26" i="82"/>
  <c r="P26" i="82"/>
  <c r="N26" i="82"/>
  <c r="H26" i="82"/>
  <c r="D26" i="82"/>
  <c r="L26" i="82" s="1"/>
  <c r="Z24" i="82"/>
  <c r="X24" i="82"/>
  <c r="T24" i="82"/>
  <c r="P24" i="82"/>
  <c r="N24" i="82"/>
  <c r="H24" i="82"/>
  <c r="D24" i="82"/>
  <c r="L24" i="82" s="1"/>
  <c r="Z20" i="82"/>
  <c r="X20" i="82"/>
  <c r="N20" i="82"/>
  <c r="L20" i="82"/>
  <c r="B20" i="82"/>
  <c r="Z19" i="82"/>
  <c r="X19" i="82"/>
  <c r="V19" i="82"/>
  <c r="N19" i="82"/>
  <c r="L19" i="82"/>
  <c r="B19" i="82"/>
  <c r="Z18" i="82"/>
  <c r="X18" i="82"/>
  <c r="L18" i="82"/>
  <c r="N18" i="82" s="1"/>
  <c r="J18" i="82"/>
  <c r="F18" i="82"/>
  <c r="B18" i="82"/>
  <c r="T17" i="82"/>
  <c r="P17" i="82"/>
  <c r="X17" i="82" s="1"/>
  <c r="H17" i="82"/>
  <c r="F17" i="82"/>
  <c r="D17" i="82"/>
  <c r="L17" i="82" s="1"/>
  <c r="X15" i="82"/>
  <c r="Z15" i="82" s="1"/>
  <c r="P15" i="82"/>
  <c r="D15" i="82"/>
  <c r="L15" i="82" s="1"/>
  <c r="N15" i="82" s="1"/>
  <c r="B15" i="82"/>
  <c r="Z14" i="82"/>
  <c r="P14" i="82"/>
  <c r="N14" i="82"/>
  <c r="L14" i="82"/>
  <c r="D14" i="82"/>
  <c r="B14" i="82"/>
  <c r="Z13" i="82"/>
  <c r="X13" i="82"/>
  <c r="P13" i="82"/>
  <c r="N13" i="82"/>
  <c r="L13" i="82"/>
  <c r="D13" i="82"/>
  <c r="D12" i="82" s="1"/>
  <c r="B13" i="82"/>
  <c r="T12" i="82"/>
  <c r="T22" i="82" s="1"/>
  <c r="T28" i="82" s="1"/>
  <c r="T32" i="82" s="1"/>
  <c r="H12" i="82"/>
  <c r="J19" i="82" s="1"/>
  <c r="D6" i="82"/>
  <c r="D4" i="82"/>
  <c r="Z88" i="80"/>
  <c r="X88" i="80"/>
  <c r="L88" i="80"/>
  <c r="N88" i="80" s="1"/>
  <c r="Z84" i="80"/>
  <c r="X84" i="80"/>
  <c r="T84" i="80"/>
  <c r="P84" i="80"/>
  <c r="N84" i="80"/>
  <c r="H84" i="80"/>
  <c r="D84" i="80"/>
  <c r="L84" i="80" s="1"/>
  <c r="Z82" i="80"/>
  <c r="X82" i="80"/>
  <c r="N82" i="80"/>
  <c r="L82" i="80"/>
  <c r="B82" i="80"/>
  <c r="T81" i="80"/>
  <c r="P81" i="80"/>
  <c r="H81" i="80"/>
  <c r="N81" i="80" s="1"/>
  <c r="D81" i="80"/>
  <c r="L81" i="80" s="1"/>
  <c r="B81" i="80"/>
  <c r="Z80" i="80"/>
  <c r="X80" i="80"/>
  <c r="V80" i="80"/>
  <c r="N80" i="80"/>
  <c r="L80" i="80"/>
  <c r="B80" i="80"/>
  <c r="T79" i="80"/>
  <c r="Z79" i="80" s="1"/>
  <c r="P79" i="80"/>
  <c r="X79" i="80" s="1"/>
  <c r="N79" i="80"/>
  <c r="H79" i="80"/>
  <c r="D79" i="80"/>
  <c r="L79" i="80" s="1"/>
  <c r="B79" i="80"/>
  <c r="X78" i="80"/>
  <c r="Z78" i="80" s="1"/>
  <c r="N78" i="80"/>
  <c r="L78" i="80"/>
  <c r="B78" i="80"/>
  <c r="X77" i="80"/>
  <c r="T77" i="80"/>
  <c r="Z77" i="80" s="1"/>
  <c r="P77" i="80"/>
  <c r="L77" i="80"/>
  <c r="N77" i="80" s="1"/>
  <c r="H77" i="80"/>
  <c r="D77" i="80"/>
  <c r="B77" i="80"/>
  <c r="Z76" i="80"/>
  <c r="X76" i="80"/>
  <c r="N76" i="80"/>
  <c r="L76" i="80"/>
  <c r="B76" i="80"/>
  <c r="X75" i="80"/>
  <c r="Z75" i="80" s="1"/>
  <c r="L75" i="80"/>
  <c r="N75" i="80" s="1"/>
  <c r="B75" i="80"/>
  <c r="Z74" i="80"/>
  <c r="X74" i="80"/>
  <c r="N74" i="80"/>
  <c r="L74" i="80"/>
  <c r="B74" i="80"/>
  <c r="Z73" i="80"/>
  <c r="X73" i="80"/>
  <c r="V73" i="80"/>
  <c r="N73" i="80"/>
  <c r="L73" i="80"/>
  <c r="B73" i="80"/>
  <c r="Z72" i="80"/>
  <c r="X72" i="80"/>
  <c r="N72" i="80"/>
  <c r="L72" i="80"/>
  <c r="F72" i="80"/>
  <c r="B72" i="80"/>
  <c r="Z71" i="80"/>
  <c r="X71" i="80"/>
  <c r="N71" i="80"/>
  <c r="L71" i="80"/>
  <c r="B71" i="80"/>
  <c r="Z70" i="80"/>
  <c r="X70" i="80"/>
  <c r="N70" i="80"/>
  <c r="L70" i="80"/>
  <c r="B70" i="80"/>
  <c r="T69" i="80"/>
  <c r="R69" i="80"/>
  <c r="P69" i="80"/>
  <c r="H69" i="80"/>
  <c r="D69" i="80"/>
  <c r="L69" i="80" s="1"/>
  <c r="B69" i="80"/>
  <c r="Z68" i="80"/>
  <c r="X68" i="80"/>
  <c r="V68" i="80"/>
  <c r="N68" i="80"/>
  <c r="L68" i="80"/>
  <c r="B68" i="80"/>
  <c r="Z67" i="80"/>
  <c r="X67" i="80"/>
  <c r="N67" i="80"/>
  <c r="L67" i="80"/>
  <c r="B67" i="80"/>
  <c r="Z66" i="80"/>
  <c r="X66" i="80"/>
  <c r="N66" i="80"/>
  <c r="L66" i="80"/>
  <c r="B66" i="80"/>
  <c r="Z65" i="80"/>
  <c r="T65" i="80"/>
  <c r="P65" i="80"/>
  <c r="X65" i="80" s="1"/>
  <c r="H65" i="80"/>
  <c r="N65" i="80" s="1"/>
  <c r="D65" i="80"/>
  <c r="L65" i="80" s="1"/>
  <c r="B65" i="80"/>
  <c r="Z64" i="80"/>
  <c r="X64" i="80"/>
  <c r="N64" i="80"/>
  <c r="L64" i="80"/>
  <c r="B64" i="80"/>
  <c r="Z63" i="80"/>
  <c r="X63" i="80"/>
  <c r="V63" i="80"/>
  <c r="N63" i="80"/>
  <c r="L63" i="80"/>
  <c r="B63" i="80"/>
  <c r="Z62" i="80"/>
  <c r="X62" i="80"/>
  <c r="N62" i="80"/>
  <c r="L62" i="80"/>
  <c r="B62" i="80"/>
  <c r="X61" i="80"/>
  <c r="T61" i="80"/>
  <c r="Z61" i="80" s="1"/>
  <c r="P61" i="80"/>
  <c r="L61" i="80"/>
  <c r="N61" i="80" s="1"/>
  <c r="H61" i="80"/>
  <c r="D61" i="80"/>
  <c r="B61" i="80"/>
  <c r="Z60" i="80"/>
  <c r="X60" i="80"/>
  <c r="L60" i="80"/>
  <c r="N60" i="80" s="1"/>
  <c r="B60" i="80"/>
  <c r="T59" i="80"/>
  <c r="P59" i="80"/>
  <c r="X59" i="80" s="1"/>
  <c r="H59" i="80"/>
  <c r="D59" i="80"/>
  <c r="B59" i="80"/>
  <c r="Z58" i="80"/>
  <c r="X58" i="80"/>
  <c r="V58" i="80"/>
  <c r="N58" i="80"/>
  <c r="L58" i="80"/>
  <c r="B58" i="80"/>
  <c r="Z57" i="80"/>
  <c r="T57" i="80"/>
  <c r="P57" i="80"/>
  <c r="X57" i="80" s="1"/>
  <c r="H57" i="80"/>
  <c r="D57" i="80"/>
  <c r="L57" i="80" s="1"/>
  <c r="B57" i="80"/>
  <c r="Z56" i="80"/>
  <c r="X56" i="80"/>
  <c r="N56" i="80"/>
  <c r="L56" i="80"/>
  <c r="B56" i="80"/>
  <c r="Z55" i="80"/>
  <c r="X55" i="80"/>
  <c r="V55" i="80"/>
  <c r="T55" i="80"/>
  <c r="P55" i="80"/>
  <c r="L55" i="80"/>
  <c r="H55" i="80"/>
  <c r="N55" i="80" s="1"/>
  <c r="D55" i="80"/>
  <c r="B55" i="80"/>
  <c r="X54" i="80"/>
  <c r="Z54" i="80" s="1"/>
  <c r="N54" i="80"/>
  <c r="L54" i="80"/>
  <c r="B54" i="80"/>
  <c r="Z53" i="80"/>
  <c r="X53" i="80"/>
  <c r="V53" i="80"/>
  <c r="N53" i="80"/>
  <c r="L53" i="80"/>
  <c r="B53" i="80"/>
  <c r="T52" i="80"/>
  <c r="P52" i="80"/>
  <c r="X52" i="80" s="1"/>
  <c r="Z52" i="80" s="1"/>
  <c r="N52" i="80"/>
  <c r="L52" i="80"/>
  <c r="H52" i="80"/>
  <c r="D52" i="80"/>
  <c r="B52" i="80"/>
  <c r="X51" i="80"/>
  <c r="Z51" i="80" s="1"/>
  <c r="L51" i="80"/>
  <c r="N51" i="80" s="1"/>
  <c r="B51" i="80"/>
  <c r="V50" i="80"/>
  <c r="T50" i="80"/>
  <c r="P50" i="80"/>
  <c r="X50" i="80" s="1"/>
  <c r="Z50" i="80" s="1"/>
  <c r="H50" i="80"/>
  <c r="D50" i="80"/>
  <c r="B50" i="80"/>
  <c r="Z49" i="80"/>
  <c r="X49" i="80"/>
  <c r="N49" i="80"/>
  <c r="L49" i="80"/>
  <c r="B49" i="80"/>
  <c r="Z48" i="80"/>
  <c r="X48" i="80"/>
  <c r="T48" i="80"/>
  <c r="P48" i="80"/>
  <c r="H48" i="80"/>
  <c r="N48" i="80" s="1"/>
  <c r="D48" i="80"/>
  <c r="L48" i="80" s="1"/>
  <c r="B48" i="80"/>
  <c r="Z47" i="80"/>
  <c r="X47" i="80"/>
  <c r="N47" i="80"/>
  <c r="L47" i="80"/>
  <c r="B47" i="80"/>
  <c r="Z46" i="80"/>
  <c r="X46" i="80"/>
  <c r="T46" i="80"/>
  <c r="P46" i="80"/>
  <c r="N46" i="80"/>
  <c r="H46" i="80"/>
  <c r="D46" i="80"/>
  <c r="L46" i="80" s="1"/>
  <c r="B46" i="80"/>
  <c r="Z45" i="80"/>
  <c r="X45" i="80"/>
  <c r="N45" i="80"/>
  <c r="L45" i="80"/>
  <c r="B45" i="80"/>
  <c r="Z44" i="80"/>
  <c r="X44" i="80"/>
  <c r="V44" i="80"/>
  <c r="R44" i="80"/>
  <c r="N44" i="80"/>
  <c r="L44" i="80"/>
  <c r="B44" i="80"/>
  <c r="X43" i="80"/>
  <c r="Z43" i="80" s="1"/>
  <c r="N43" i="80"/>
  <c r="L43" i="80"/>
  <c r="B43" i="80"/>
  <c r="Z42" i="80"/>
  <c r="X42" i="80"/>
  <c r="V42" i="80"/>
  <c r="N42" i="80"/>
  <c r="L42" i="80"/>
  <c r="B42" i="80"/>
  <c r="Z41" i="80"/>
  <c r="X41" i="80"/>
  <c r="N41" i="80"/>
  <c r="L41" i="80"/>
  <c r="B41" i="80"/>
  <c r="Z40" i="80"/>
  <c r="X40" i="80"/>
  <c r="V40" i="80"/>
  <c r="R40" i="80"/>
  <c r="N40" i="80"/>
  <c r="L40" i="80"/>
  <c r="B40" i="80"/>
  <c r="Z39" i="80"/>
  <c r="X39" i="80"/>
  <c r="N39" i="80"/>
  <c r="L39" i="80"/>
  <c r="B39" i="80"/>
  <c r="Z38" i="80"/>
  <c r="X38" i="80"/>
  <c r="V38" i="80"/>
  <c r="N38" i="80"/>
  <c r="L38" i="80"/>
  <c r="B38" i="80"/>
  <c r="Z37" i="80"/>
  <c r="X37" i="80"/>
  <c r="N37" i="80"/>
  <c r="L37" i="80"/>
  <c r="B37" i="80"/>
  <c r="X36" i="80"/>
  <c r="Z36" i="80" s="1"/>
  <c r="V36" i="80"/>
  <c r="N36" i="80"/>
  <c r="L36" i="80"/>
  <c r="B36" i="80"/>
  <c r="T35" i="80"/>
  <c r="P35" i="80"/>
  <c r="X35" i="80" s="1"/>
  <c r="N35" i="80"/>
  <c r="H35" i="80"/>
  <c r="D35" i="80"/>
  <c r="L35" i="80" s="1"/>
  <c r="B35" i="80"/>
  <c r="Z34" i="80"/>
  <c r="X34" i="80"/>
  <c r="N34" i="80"/>
  <c r="L34" i="80"/>
  <c r="B34" i="80"/>
  <c r="X33" i="80"/>
  <c r="Z33" i="80" s="1"/>
  <c r="N33" i="80"/>
  <c r="L33" i="80"/>
  <c r="B33" i="80"/>
  <c r="Z32" i="80"/>
  <c r="X32" i="80"/>
  <c r="N32" i="80"/>
  <c r="L32" i="80"/>
  <c r="B32" i="80"/>
  <c r="Z31" i="80"/>
  <c r="X31" i="80"/>
  <c r="V31" i="80"/>
  <c r="N31" i="80"/>
  <c r="L31" i="80"/>
  <c r="B31" i="80"/>
  <c r="X30" i="80"/>
  <c r="Z30" i="80" s="1"/>
  <c r="L30" i="80"/>
  <c r="N30" i="80" s="1"/>
  <c r="B30" i="80"/>
  <c r="X29" i="80"/>
  <c r="Z29" i="80" s="1"/>
  <c r="N29" i="80"/>
  <c r="L29" i="80"/>
  <c r="B29" i="80"/>
  <c r="Z28" i="80"/>
  <c r="X28" i="80"/>
  <c r="N28" i="80"/>
  <c r="L28" i="80"/>
  <c r="B28" i="80"/>
  <c r="X27" i="80"/>
  <c r="Z27" i="80" s="1"/>
  <c r="V27" i="80"/>
  <c r="L27" i="80"/>
  <c r="N27" i="80" s="1"/>
  <c r="B27" i="80"/>
  <c r="X26" i="80"/>
  <c r="Z26" i="80" s="1"/>
  <c r="N26" i="80"/>
  <c r="L26" i="80"/>
  <c r="B26" i="80"/>
  <c r="X25" i="80"/>
  <c r="T25" i="80"/>
  <c r="Z25" i="80" s="1"/>
  <c r="P25" i="80"/>
  <c r="L25" i="80"/>
  <c r="N25" i="80" s="1"/>
  <c r="H25" i="80"/>
  <c r="D25" i="80"/>
  <c r="B25" i="80"/>
  <c r="T24" i="80"/>
  <c r="P24" i="80"/>
  <c r="X24" i="80" s="1"/>
  <c r="Z24" i="80" s="1"/>
  <c r="N24" i="80"/>
  <c r="L24" i="80"/>
  <c r="H24" i="80"/>
  <c r="D24" i="80"/>
  <c r="Z20" i="80"/>
  <c r="X20" i="80"/>
  <c r="N20" i="80"/>
  <c r="L20" i="80"/>
  <c r="F20" i="80"/>
  <c r="B20" i="80"/>
  <c r="Z19" i="80"/>
  <c r="X19" i="80"/>
  <c r="N19" i="80"/>
  <c r="L19" i="80"/>
  <c r="B19" i="80"/>
  <c r="X18" i="80"/>
  <c r="Z18" i="80" s="1"/>
  <c r="N18" i="80"/>
  <c r="L18" i="80"/>
  <c r="B18" i="80"/>
  <c r="V17" i="80"/>
  <c r="T17" i="80"/>
  <c r="P17" i="80"/>
  <c r="H17" i="80"/>
  <c r="D17" i="80"/>
  <c r="L17" i="80" s="1"/>
  <c r="Z15" i="80"/>
  <c r="P15" i="80"/>
  <c r="X15" i="80" s="1"/>
  <c r="N15" i="80"/>
  <c r="L15" i="80"/>
  <c r="D15" i="80"/>
  <c r="B15" i="80"/>
  <c r="P14" i="80"/>
  <c r="X14" i="80" s="1"/>
  <c r="Z14" i="80" s="1"/>
  <c r="D14" i="80"/>
  <c r="L14" i="80" s="1"/>
  <c r="N14" i="80" s="1"/>
  <c r="B14" i="80"/>
  <c r="Z13" i="80"/>
  <c r="P13" i="80"/>
  <c r="P12" i="80" s="1"/>
  <c r="R68" i="80" s="1"/>
  <c r="N13" i="80"/>
  <c r="D13" i="80"/>
  <c r="L13" i="80" s="1"/>
  <c r="B13" i="80"/>
  <c r="T12" i="80"/>
  <c r="V65" i="80" s="1"/>
  <c r="H12" i="80"/>
  <c r="J76" i="80" s="1"/>
  <c r="D12" i="80"/>
  <c r="D6" i="80"/>
  <c r="D4" i="80"/>
  <c r="Z84" i="79"/>
  <c r="X84" i="79"/>
  <c r="L84" i="79"/>
  <c r="N84" i="79" s="1"/>
  <c r="Z80" i="79"/>
  <c r="X80" i="79"/>
  <c r="T80" i="79"/>
  <c r="P80" i="79"/>
  <c r="N80" i="79"/>
  <c r="H80" i="79"/>
  <c r="D80" i="79"/>
  <c r="L80" i="79" s="1"/>
  <c r="Z78" i="79"/>
  <c r="X78" i="79"/>
  <c r="N78" i="79"/>
  <c r="L78" i="79"/>
  <c r="B78" i="79"/>
  <c r="T77" i="79"/>
  <c r="P77" i="79"/>
  <c r="H77" i="79"/>
  <c r="D77" i="79"/>
  <c r="L77" i="79" s="1"/>
  <c r="B77" i="79"/>
  <c r="X76" i="79"/>
  <c r="Z76" i="79" s="1"/>
  <c r="V76" i="79"/>
  <c r="N76" i="79"/>
  <c r="L76" i="79"/>
  <c r="B76" i="79"/>
  <c r="T75" i="79"/>
  <c r="Z75" i="79" s="1"/>
  <c r="P75" i="79"/>
  <c r="X75" i="79" s="1"/>
  <c r="H75" i="79"/>
  <c r="D75" i="79"/>
  <c r="L75" i="79" s="1"/>
  <c r="N75" i="79" s="1"/>
  <c r="B75" i="79"/>
  <c r="Z74" i="79"/>
  <c r="X74" i="79"/>
  <c r="N74" i="79"/>
  <c r="L74" i="79"/>
  <c r="B74" i="79"/>
  <c r="X73" i="79"/>
  <c r="Z73" i="79" s="1"/>
  <c r="N73" i="79"/>
  <c r="L73" i="79"/>
  <c r="B73" i="79"/>
  <c r="Z72" i="79"/>
  <c r="X72" i="79"/>
  <c r="N72" i="79"/>
  <c r="L72" i="79"/>
  <c r="B72" i="79"/>
  <c r="Z71" i="79"/>
  <c r="X71" i="79"/>
  <c r="V71" i="79"/>
  <c r="N71" i="79"/>
  <c r="L71" i="79"/>
  <c r="B71" i="79"/>
  <c r="T70" i="79"/>
  <c r="P70" i="79"/>
  <c r="N70" i="79"/>
  <c r="L70" i="79"/>
  <c r="H70" i="79"/>
  <c r="D70" i="79"/>
  <c r="B70" i="79"/>
  <c r="Z69" i="79"/>
  <c r="X69" i="79"/>
  <c r="V69" i="79"/>
  <c r="N69" i="79"/>
  <c r="L69" i="79"/>
  <c r="B69" i="79"/>
  <c r="Z68" i="79"/>
  <c r="X68" i="79"/>
  <c r="L68" i="79"/>
  <c r="N68" i="79" s="1"/>
  <c r="B68" i="79"/>
  <c r="Z67" i="79"/>
  <c r="X67" i="79"/>
  <c r="N67" i="79"/>
  <c r="L67" i="79"/>
  <c r="B67" i="79"/>
  <c r="Z66" i="79"/>
  <c r="X66" i="79"/>
  <c r="T66" i="79"/>
  <c r="P66" i="79"/>
  <c r="H66" i="79"/>
  <c r="D66" i="79"/>
  <c r="L66" i="79" s="1"/>
  <c r="N66" i="79" s="1"/>
  <c r="B66" i="79"/>
  <c r="Z65" i="79"/>
  <c r="X65" i="79"/>
  <c r="L65" i="79"/>
  <c r="N65" i="79" s="1"/>
  <c r="B65" i="79"/>
  <c r="Z64" i="79"/>
  <c r="X64" i="79"/>
  <c r="V64" i="79"/>
  <c r="N64" i="79"/>
  <c r="L64" i="79"/>
  <c r="B64" i="79"/>
  <c r="T63" i="79"/>
  <c r="P63" i="79"/>
  <c r="X63" i="79" s="1"/>
  <c r="H63" i="79"/>
  <c r="D63" i="79"/>
  <c r="L63" i="79" s="1"/>
  <c r="N63" i="79" s="1"/>
  <c r="B63" i="79"/>
  <c r="Z62" i="79"/>
  <c r="X62" i="79"/>
  <c r="N62" i="79"/>
  <c r="L62" i="79"/>
  <c r="B62" i="79"/>
  <c r="Z61" i="79"/>
  <c r="X61" i="79"/>
  <c r="N61" i="79"/>
  <c r="L61" i="79"/>
  <c r="J61" i="79"/>
  <c r="B61" i="79"/>
  <c r="Z60" i="79"/>
  <c r="X60" i="79"/>
  <c r="N60" i="79"/>
  <c r="L60" i="79"/>
  <c r="B60" i="79"/>
  <c r="Z59" i="79"/>
  <c r="X59" i="79"/>
  <c r="V59" i="79"/>
  <c r="T59" i="79"/>
  <c r="P59" i="79"/>
  <c r="L59" i="79"/>
  <c r="H59" i="79"/>
  <c r="N59" i="79" s="1"/>
  <c r="D59" i="79"/>
  <c r="B59" i="79"/>
  <c r="Z58" i="79"/>
  <c r="X58" i="79"/>
  <c r="N58" i="79"/>
  <c r="L58" i="79"/>
  <c r="B58" i="79"/>
  <c r="T57" i="79"/>
  <c r="P57" i="79"/>
  <c r="H57" i="79"/>
  <c r="N57" i="79" s="1"/>
  <c r="D57" i="79"/>
  <c r="L57" i="79" s="1"/>
  <c r="B57" i="79"/>
  <c r="X56" i="79"/>
  <c r="Z56" i="79" s="1"/>
  <c r="V56" i="79"/>
  <c r="N56" i="79"/>
  <c r="L56" i="79"/>
  <c r="B56" i="79"/>
  <c r="T55" i="79"/>
  <c r="Z55" i="79" s="1"/>
  <c r="P55" i="79"/>
  <c r="X55" i="79" s="1"/>
  <c r="H55" i="79"/>
  <c r="D55" i="79"/>
  <c r="L55" i="79" s="1"/>
  <c r="N55" i="79" s="1"/>
  <c r="B55" i="79"/>
  <c r="Z54" i="79"/>
  <c r="X54" i="79"/>
  <c r="N54" i="79"/>
  <c r="L54" i="79"/>
  <c r="B54" i="79"/>
  <c r="X53" i="79"/>
  <c r="T53" i="79"/>
  <c r="Z53" i="79" s="1"/>
  <c r="P53" i="79"/>
  <c r="N53" i="79"/>
  <c r="L53" i="79"/>
  <c r="H53" i="79"/>
  <c r="D53" i="79"/>
  <c r="B53" i="79"/>
  <c r="Z52" i="79"/>
  <c r="X52" i="79"/>
  <c r="L52" i="79"/>
  <c r="N52" i="79" s="1"/>
  <c r="J52" i="79"/>
  <c r="B52" i="79"/>
  <c r="T51" i="79"/>
  <c r="P51" i="79"/>
  <c r="X51" i="79" s="1"/>
  <c r="H51" i="79"/>
  <c r="D51" i="79"/>
  <c r="L51" i="79" s="1"/>
  <c r="B51" i="79"/>
  <c r="Z50" i="79"/>
  <c r="X50" i="79"/>
  <c r="V50" i="79"/>
  <c r="L50" i="79"/>
  <c r="N50" i="79" s="1"/>
  <c r="B50" i="79"/>
  <c r="Z49" i="79"/>
  <c r="T49" i="79"/>
  <c r="P49" i="79"/>
  <c r="X49" i="79" s="1"/>
  <c r="H49" i="79"/>
  <c r="D49" i="79"/>
  <c r="L49" i="79" s="1"/>
  <c r="B49" i="79"/>
  <c r="Z48" i="79"/>
  <c r="X48" i="79"/>
  <c r="N48" i="79"/>
  <c r="L48" i="79"/>
  <c r="B48" i="79"/>
  <c r="Z47" i="79"/>
  <c r="X47" i="79"/>
  <c r="V47" i="79"/>
  <c r="T47" i="79"/>
  <c r="P47" i="79"/>
  <c r="L47" i="79"/>
  <c r="H47" i="79"/>
  <c r="N47" i="79" s="1"/>
  <c r="D47" i="79"/>
  <c r="B47" i="79"/>
  <c r="Z46" i="79"/>
  <c r="X46" i="79"/>
  <c r="N46" i="79"/>
  <c r="L46" i="79"/>
  <c r="B46" i="79"/>
  <c r="T45" i="79"/>
  <c r="Z45" i="79" s="1"/>
  <c r="P45" i="79"/>
  <c r="X45" i="79" s="1"/>
  <c r="H45" i="79"/>
  <c r="N45" i="79" s="1"/>
  <c r="D45" i="79"/>
  <c r="L45" i="79" s="1"/>
  <c r="B45" i="79"/>
  <c r="Z44" i="79"/>
  <c r="X44" i="79"/>
  <c r="V44" i="79"/>
  <c r="N44" i="79"/>
  <c r="L44" i="79"/>
  <c r="B44" i="79"/>
  <c r="Z43" i="79"/>
  <c r="X43" i="79"/>
  <c r="N43" i="79"/>
  <c r="L43" i="79"/>
  <c r="J43" i="79"/>
  <c r="B43" i="79"/>
  <c r="Z42" i="79"/>
  <c r="X42" i="79"/>
  <c r="V42" i="79"/>
  <c r="N42" i="79"/>
  <c r="L42" i="79"/>
  <c r="B42" i="79"/>
  <c r="Z41" i="79"/>
  <c r="X41" i="79"/>
  <c r="L41" i="79"/>
  <c r="N41" i="79" s="1"/>
  <c r="B41" i="79"/>
  <c r="Z40" i="79"/>
  <c r="X40" i="79"/>
  <c r="V40" i="79"/>
  <c r="N40" i="79"/>
  <c r="L40" i="79"/>
  <c r="B40" i="79"/>
  <c r="Z39" i="79"/>
  <c r="X39" i="79"/>
  <c r="N39" i="79"/>
  <c r="L39" i="79"/>
  <c r="B39" i="79"/>
  <c r="Z38" i="79"/>
  <c r="X38" i="79"/>
  <c r="V38" i="79"/>
  <c r="N38" i="79"/>
  <c r="L38" i="79"/>
  <c r="B38" i="79"/>
  <c r="Z37" i="79"/>
  <c r="X37" i="79"/>
  <c r="N37" i="79"/>
  <c r="L37" i="79"/>
  <c r="B37" i="79"/>
  <c r="Z36" i="79"/>
  <c r="X36" i="79"/>
  <c r="V36" i="79"/>
  <c r="N36" i="79"/>
  <c r="L36" i="79"/>
  <c r="B36" i="79"/>
  <c r="X35" i="79"/>
  <c r="Z35" i="79" s="1"/>
  <c r="L35" i="79"/>
  <c r="N35" i="79" s="1"/>
  <c r="B35" i="79"/>
  <c r="V34" i="79"/>
  <c r="T34" i="79"/>
  <c r="P34" i="79"/>
  <c r="X34" i="79" s="1"/>
  <c r="Z34" i="79" s="1"/>
  <c r="L34" i="79"/>
  <c r="H34" i="79"/>
  <c r="D34" i="79"/>
  <c r="B34" i="79"/>
  <c r="X33" i="79"/>
  <c r="Z33" i="79" s="1"/>
  <c r="N33" i="79"/>
  <c r="L33" i="79"/>
  <c r="B33" i="79"/>
  <c r="Z32" i="79"/>
  <c r="X32" i="79"/>
  <c r="N32" i="79"/>
  <c r="L32" i="79"/>
  <c r="B32" i="79"/>
  <c r="Z31" i="79"/>
  <c r="X31" i="79"/>
  <c r="V31" i="79"/>
  <c r="N31" i="79"/>
  <c r="L31" i="79"/>
  <c r="B31" i="79"/>
  <c r="X30" i="79"/>
  <c r="Z30" i="79" s="1"/>
  <c r="L30" i="79"/>
  <c r="N30" i="79" s="1"/>
  <c r="B30" i="79"/>
  <c r="X29" i="79"/>
  <c r="Z29" i="79" s="1"/>
  <c r="N29" i="79"/>
  <c r="L29" i="79"/>
  <c r="B29" i="79"/>
  <c r="Z28" i="79"/>
  <c r="X28" i="79"/>
  <c r="N28" i="79"/>
  <c r="L28" i="79"/>
  <c r="B28" i="79"/>
  <c r="X27" i="79"/>
  <c r="Z27" i="79" s="1"/>
  <c r="V27" i="79"/>
  <c r="L27" i="79"/>
  <c r="N27" i="79" s="1"/>
  <c r="B27" i="79"/>
  <c r="X26" i="79"/>
  <c r="Z26" i="79" s="1"/>
  <c r="L26" i="79"/>
  <c r="N26" i="79" s="1"/>
  <c r="B26" i="79"/>
  <c r="X25" i="79"/>
  <c r="T25" i="79"/>
  <c r="P25" i="79"/>
  <c r="L25" i="79"/>
  <c r="N25" i="79" s="1"/>
  <c r="J25" i="79"/>
  <c r="H25" i="79"/>
  <c r="D25" i="79"/>
  <c r="B25" i="79"/>
  <c r="Z24" i="79"/>
  <c r="T24" i="79"/>
  <c r="P24" i="79"/>
  <c r="X24" i="79" s="1"/>
  <c r="N24" i="79"/>
  <c r="L24" i="79"/>
  <c r="H24" i="79"/>
  <c r="D24" i="79"/>
  <c r="Z20" i="79"/>
  <c r="X20" i="79"/>
  <c r="N20" i="79"/>
  <c r="L20" i="79"/>
  <c r="B20" i="79"/>
  <c r="Z19" i="79"/>
  <c r="X19" i="79"/>
  <c r="N19" i="79"/>
  <c r="L19" i="79"/>
  <c r="B19" i="79"/>
  <c r="Z18" i="79"/>
  <c r="X18" i="79"/>
  <c r="N18" i="79"/>
  <c r="L18" i="79"/>
  <c r="B18" i="79"/>
  <c r="T17" i="79"/>
  <c r="P17" i="79"/>
  <c r="H17" i="79"/>
  <c r="D17" i="79"/>
  <c r="L17" i="79" s="1"/>
  <c r="Z15" i="79"/>
  <c r="P15" i="79"/>
  <c r="X15" i="79" s="1"/>
  <c r="N15" i="79"/>
  <c r="L15" i="79"/>
  <c r="D15" i="79"/>
  <c r="B15" i="79"/>
  <c r="P14" i="79"/>
  <c r="X14" i="79" s="1"/>
  <c r="Z14" i="79" s="1"/>
  <c r="D14" i="79"/>
  <c r="L14" i="79" s="1"/>
  <c r="N14" i="79" s="1"/>
  <c r="B14" i="79"/>
  <c r="Z13" i="79"/>
  <c r="P13" i="79"/>
  <c r="N13" i="79"/>
  <c r="L13" i="79"/>
  <c r="D13" i="79"/>
  <c r="B13" i="79"/>
  <c r="T12" i="79"/>
  <c r="V65" i="79" s="1"/>
  <c r="H12" i="79"/>
  <c r="J29" i="79" s="1"/>
  <c r="D12" i="79"/>
  <c r="D6" i="79"/>
  <c r="D4" i="79"/>
  <c r="J84" i="78"/>
  <c r="J81" i="78"/>
  <c r="Z79" i="78"/>
  <c r="X79" i="78"/>
  <c r="V79" i="78"/>
  <c r="L79" i="78"/>
  <c r="N79" i="78" s="1"/>
  <c r="Z75" i="78"/>
  <c r="X75" i="78"/>
  <c r="P75" i="78"/>
  <c r="N75" i="78"/>
  <c r="L75" i="78"/>
  <c r="D75" i="78"/>
  <c r="B75" i="78"/>
  <c r="X74" i="78"/>
  <c r="Z74" i="78" s="1"/>
  <c r="V74" i="78"/>
  <c r="P74" i="78"/>
  <c r="J74" i="78"/>
  <c r="D74" i="78"/>
  <c r="L74" i="78" s="1"/>
  <c r="N74" i="78" s="1"/>
  <c r="B74" i="78"/>
  <c r="Z73" i="78"/>
  <c r="X73" i="78"/>
  <c r="V73" i="78"/>
  <c r="P73" i="78"/>
  <c r="N73" i="78"/>
  <c r="L73" i="78"/>
  <c r="D73" i="78"/>
  <c r="B73" i="78"/>
  <c r="Z72" i="78"/>
  <c r="V72" i="78"/>
  <c r="P72" i="78"/>
  <c r="X72" i="78" s="1"/>
  <c r="N72" i="78"/>
  <c r="D72" i="78"/>
  <c r="L72" i="78" s="1"/>
  <c r="B72" i="78"/>
  <c r="Z71" i="78"/>
  <c r="P71" i="78"/>
  <c r="X71" i="78" s="1"/>
  <c r="N71" i="78"/>
  <c r="L71" i="78"/>
  <c r="D71" i="78"/>
  <c r="B71" i="78"/>
  <c r="T70" i="78"/>
  <c r="R70" i="78"/>
  <c r="P70" i="78"/>
  <c r="X70" i="78" s="1"/>
  <c r="H70" i="78"/>
  <c r="Z68" i="78"/>
  <c r="X68" i="78"/>
  <c r="N68" i="78"/>
  <c r="L68" i="78"/>
  <c r="J68" i="78"/>
  <c r="B68" i="78"/>
  <c r="Z67" i="78"/>
  <c r="V67" i="78"/>
  <c r="T67" i="78"/>
  <c r="P67" i="78"/>
  <c r="X67" i="78" s="1"/>
  <c r="J67" i="78"/>
  <c r="H67" i="78"/>
  <c r="N67" i="78" s="1"/>
  <c r="D67" i="78"/>
  <c r="B67" i="78"/>
  <c r="X66" i="78"/>
  <c r="Z66" i="78" s="1"/>
  <c r="N66" i="78"/>
  <c r="L66" i="78"/>
  <c r="J66" i="78"/>
  <c r="B66" i="78"/>
  <c r="Z65" i="78"/>
  <c r="X65" i="78"/>
  <c r="N65" i="78"/>
  <c r="L65" i="78"/>
  <c r="B65" i="78"/>
  <c r="X64" i="78"/>
  <c r="Z64" i="78" s="1"/>
  <c r="T64" i="78"/>
  <c r="P64" i="78"/>
  <c r="L64" i="78"/>
  <c r="H64" i="78"/>
  <c r="N64" i="78" s="1"/>
  <c r="D64" i="78"/>
  <c r="B64" i="78"/>
  <c r="Z63" i="78"/>
  <c r="X63" i="78"/>
  <c r="N63" i="78"/>
  <c r="L63" i="78"/>
  <c r="J63" i="78"/>
  <c r="B63" i="78"/>
  <c r="Z62" i="78"/>
  <c r="X62" i="78"/>
  <c r="V62" i="78"/>
  <c r="N62" i="78"/>
  <c r="L62" i="78"/>
  <c r="B62" i="78"/>
  <c r="Z61" i="78"/>
  <c r="X61" i="78"/>
  <c r="L61" i="78"/>
  <c r="N61" i="78" s="1"/>
  <c r="J61" i="78"/>
  <c r="B61" i="78"/>
  <c r="T60" i="78"/>
  <c r="P60" i="78"/>
  <c r="X60" i="78" s="1"/>
  <c r="J60" i="78"/>
  <c r="H60" i="78"/>
  <c r="D60" i="78"/>
  <c r="B60" i="78"/>
  <c r="Z59" i="78"/>
  <c r="X59" i="78"/>
  <c r="L59" i="78"/>
  <c r="N59" i="78" s="1"/>
  <c r="B59" i="78"/>
  <c r="Z58" i="78"/>
  <c r="T58" i="78"/>
  <c r="P58" i="78"/>
  <c r="X58" i="78" s="1"/>
  <c r="J58" i="78"/>
  <c r="H58" i="78"/>
  <c r="D58" i="78"/>
  <c r="L58" i="78" s="1"/>
  <c r="B58" i="78"/>
  <c r="Z57" i="78"/>
  <c r="X57" i="78"/>
  <c r="N57" i="78"/>
  <c r="L57" i="78"/>
  <c r="B57" i="78"/>
  <c r="Z56" i="78"/>
  <c r="X56" i="78"/>
  <c r="N56" i="78"/>
  <c r="L56" i="78"/>
  <c r="B56" i="78"/>
  <c r="T55" i="78"/>
  <c r="P55" i="78"/>
  <c r="X55" i="78" s="1"/>
  <c r="L55" i="78"/>
  <c r="N55" i="78" s="1"/>
  <c r="H55" i="78"/>
  <c r="F55" i="78"/>
  <c r="D55" i="78"/>
  <c r="B55" i="78"/>
  <c r="Z54" i="78"/>
  <c r="X54" i="78"/>
  <c r="V54" i="78"/>
  <c r="N54" i="78"/>
  <c r="L54" i="78"/>
  <c r="B54" i="78"/>
  <c r="T53" i="78"/>
  <c r="P53" i="78"/>
  <c r="X53" i="78" s="1"/>
  <c r="Z53" i="78" s="1"/>
  <c r="N53" i="78"/>
  <c r="L53" i="78"/>
  <c r="H53" i="78"/>
  <c r="D53" i="78"/>
  <c r="B53" i="78"/>
  <c r="X52" i="78"/>
  <c r="Z52" i="78" s="1"/>
  <c r="N52" i="78"/>
  <c r="L52" i="78"/>
  <c r="J52" i="78"/>
  <c r="B52" i="78"/>
  <c r="V51" i="78"/>
  <c r="T51" i="78"/>
  <c r="P51" i="78"/>
  <c r="X51" i="78" s="1"/>
  <c r="Z51" i="78" s="1"/>
  <c r="J51" i="78"/>
  <c r="H51" i="78"/>
  <c r="N51" i="78" s="1"/>
  <c r="D51" i="78"/>
  <c r="B51" i="78"/>
  <c r="Z50" i="78"/>
  <c r="X50" i="78"/>
  <c r="N50" i="78"/>
  <c r="L50" i="78"/>
  <c r="J50" i="78"/>
  <c r="F50" i="78"/>
  <c r="B50" i="78"/>
  <c r="Z49" i="78"/>
  <c r="X49" i="78"/>
  <c r="N49" i="78"/>
  <c r="L49" i="78"/>
  <c r="B49" i="78"/>
  <c r="Z48" i="78"/>
  <c r="X48" i="78"/>
  <c r="V48" i="78"/>
  <c r="N48" i="78"/>
  <c r="L48" i="78"/>
  <c r="F48" i="78"/>
  <c r="B48" i="78"/>
  <c r="X47" i="78"/>
  <c r="Z47" i="78" s="1"/>
  <c r="N47" i="78"/>
  <c r="L47" i="78"/>
  <c r="B47" i="78"/>
  <c r="Z46" i="78"/>
  <c r="X46" i="78"/>
  <c r="N46" i="78"/>
  <c r="L46" i="78"/>
  <c r="J46" i="78"/>
  <c r="F46" i="78"/>
  <c r="B46" i="78"/>
  <c r="Z45" i="78"/>
  <c r="X45" i="78"/>
  <c r="N45" i="78"/>
  <c r="L45" i="78"/>
  <c r="B45" i="78"/>
  <c r="Z44" i="78"/>
  <c r="X44" i="78"/>
  <c r="V44" i="78"/>
  <c r="N44" i="78"/>
  <c r="L44" i="78"/>
  <c r="B44" i="78"/>
  <c r="Z43" i="78"/>
  <c r="X43" i="78"/>
  <c r="N43" i="78"/>
  <c r="L43" i="78"/>
  <c r="B43" i="78"/>
  <c r="X42" i="78"/>
  <c r="Z42" i="78" s="1"/>
  <c r="N42" i="78"/>
  <c r="L42" i="78"/>
  <c r="J42" i="78"/>
  <c r="B42" i="78"/>
  <c r="Z41" i="78"/>
  <c r="X41" i="78"/>
  <c r="N41" i="78"/>
  <c r="L41" i="78"/>
  <c r="B41" i="78"/>
  <c r="Z40" i="78"/>
  <c r="X40" i="78"/>
  <c r="V40" i="78"/>
  <c r="T40" i="78"/>
  <c r="P40" i="78"/>
  <c r="L40" i="78"/>
  <c r="H40" i="78"/>
  <c r="N40" i="78" s="1"/>
  <c r="D40" i="78"/>
  <c r="B40" i="78"/>
  <c r="Z39" i="78"/>
  <c r="X39" i="78"/>
  <c r="N39" i="78"/>
  <c r="L39" i="78"/>
  <c r="J39" i="78"/>
  <c r="B39" i="78"/>
  <c r="Z38" i="78"/>
  <c r="X38" i="78"/>
  <c r="V38" i="78"/>
  <c r="N38" i="78"/>
  <c r="L38" i="78"/>
  <c r="J38" i="78"/>
  <c r="B38" i="78"/>
  <c r="Z37" i="78"/>
  <c r="X37" i="78"/>
  <c r="R37" i="78"/>
  <c r="N37" i="78"/>
  <c r="L37" i="78"/>
  <c r="J37" i="78"/>
  <c r="B37" i="78"/>
  <c r="Z36" i="78"/>
  <c r="X36" i="78"/>
  <c r="L36" i="78"/>
  <c r="N36" i="78" s="1"/>
  <c r="J36" i="78"/>
  <c r="B36" i="78"/>
  <c r="Z35" i="78"/>
  <c r="X35" i="78"/>
  <c r="N35" i="78"/>
  <c r="L35" i="78"/>
  <c r="J35" i="78"/>
  <c r="B35" i="78"/>
  <c r="Z34" i="78"/>
  <c r="X34" i="78"/>
  <c r="V34" i="78"/>
  <c r="N34" i="78"/>
  <c r="L34" i="78"/>
  <c r="J34" i="78"/>
  <c r="B34" i="78"/>
  <c r="Z33" i="78"/>
  <c r="X33" i="78"/>
  <c r="L33" i="78"/>
  <c r="N33" i="78" s="1"/>
  <c r="J33" i="78"/>
  <c r="B33" i="78"/>
  <c r="Z32" i="78"/>
  <c r="X32" i="78"/>
  <c r="L32" i="78"/>
  <c r="N32" i="78" s="1"/>
  <c r="J32" i="78"/>
  <c r="B32" i="78"/>
  <c r="X31" i="78"/>
  <c r="Z31" i="78" s="1"/>
  <c r="T31" i="78"/>
  <c r="P31" i="78"/>
  <c r="J31" i="78"/>
  <c r="H31" i="78"/>
  <c r="N31" i="78" s="1"/>
  <c r="D31" i="78"/>
  <c r="L31" i="78" s="1"/>
  <c r="B31" i="78"/>
  <c r="Z30" i="78"/>
  <c r="T30" i="78"/>
  <c r="P30" i="78"/>
  <c r="X30" i="78" s="1"/>
  <c r="J30" i="78"/>
  <c r="H30" i="78"/>
  <c r="D30" i="78"/>
  <c r="L30" i="78" s="1"/>
  <c r="J28" i="78"/>
  <c r="Z26" i="78"/>
  <c r="X26" i="78"/>
  <c r="N26" i="78"/>
  <c r="L26" i="78"/>
  <c r="B26" i="78"/>
  <c r="Z25" i="78"/>
  <c r="X25" i="78"/>
  <c r="V25" i="78"/>
  <c r="N25" i="78"/>
  <c r="L25" i="78"/>
  <c r="J25" i="78"/>
  <c r="B25" i="78"/>
  <c r="Z24" i="78"/>
  <c r="X24" i="78"/>
  <c r="N24" i="78"/>
  <c r="L24" i="78"/>
  <c r="J24" i="78"/>
  <c r="B24" i="78"/>
  <c r="Z23" i="78"/>
  <c r="X23" i="78"/>
  <c r="V23" i="78"/>
  <c r="N23" i="78"/>
  <c r="L23" i="78"/>
  <c r="J23" i="78"/>
  <c r="B23" i="78"/>
  <c r="Z22" i="78"/>
  <c r="X22" i="78"/>
  <c r="N22" i="78"/>
  <c r="L22" i="78"/>
  <c r="B22" i="78"/>
  <c r="X21" i="78"/>
  <c r="Z21" i="78" s="1"/>
  <c r="V21" i="78"/>
  <c r="N21" i="78"/>
  <c r="L21" i="78"/>
  <c r="J21" i="78"/>
  <c r="B21" i="78"/>
  <c r="V20" i="78"/>
  <c r="T20" i="78"/>
  <c r="Z20" i="78" s="1"/>
  <c r="P20" i="78"/>
  <c r="X20" i="78" s="1"/>
  <c r="N20" i="78"/>
  <c r="J20" i="78"/>
  <c r="H20" i="78"/>
  <c r="H28" i="78" s="1"/>
  <c r="D20" i="78"/>
  <c r="L20" i="78" s="1"/>
  <c r="Z18" i="78"/>
  <c r="P18" i="78"/>
  <c r="X18" i="78" s="1"/>
  <c r="N18" i="78"/>
  <c r="D18" i="78"/>
  <c r="L18" i="78" s="1"/>
  <c r="B18" i="78"/>
  <c r="Z17" i="78"/>
  <c r="X17" i="78"/>
  <c r="P17" i="78"/>
  <c r="N17" i="78"/>
  <c r="L17" i="78"/>
  <c r="D17" i="78"/>
  <c r="B17" i="78"/>
  <c r="Z16" i="78"/>
  <c r="P16" i="78"/>
  <c r="X16" i="78" s="1"/>
  <c r="N16" i="78"/>
  <c r="D16" i="78"/>
  <c r="L16" i="78" s="1"/>
  <c r="B16" i="78"/>
  <c r="Z15" i="78"/>
  <c r="P15" i="78"/>
  <c r="X15" i="78" s="1"/>
  <c r="N15" i="78"/>
  <c r="D15" i="78"/>
  <c r="L15" i="78" s="1"/>
  <c r="B15" i="78"/>
  <c r="Z14" i="78"/>
  <c r="X14" i="78"/>
  <c r="P14" i="78"/>
  <c r="P12" i="78" s="1"/>
  <c r="R62" i="78" s="1"/>
  <c r="N14" i="78"/>
  <c r="D14" i="78"/>
  <c r="L14" i="78" s="1"/>
  <c r="B14" i="78"/>
  <c r="P13" i="78"/>
  <c r="X13" i="78" s="1"/>
  <c r="Z13" i="78" s="1"/>
  <c r="N13" i="78"/>
  <c r="L13" i="78"/>
  <c r="D13" i="78"/>
  <c r="D12" i="78" s="1"/>
  <c r="B13" i="78"/>
  <c r="T12" i="78"/>
  <c r="N12" i="78"/>
  <c r="H12" i="78"/>
  <c r="J71" i="78" s="1"/>
  <c r="D6" i="78"/>
  <c r="D4" i="78"/>
  <c r="X127" i="76"/>
  <c r="Z127" i="76" s="1"/>
  <c r="L127" i="76"/>
  <c r="N127" i="76" s="1"/>
  <c r="J127" i="76"/>
  <c r="Z123" i="76"/>
  <c r="X123" i="76"/>
  <c r="P123" i="76"/>
  <c r="N123" i="76"/>
  <c r="D123" i="76"/>
  <c r="L123" i="76" s="1"/>
  <c r="B123" i="76"/>
  <c r="Z122" i="76"/>
  <c r="X122" i="76"/>
  <c r="V122" i="76"/>
  <c r="P122" i="76"/>
  <c r="N122" i="76"/>
  <c r="L122" i="76"/>
  <c r="D122" i="76"/>
  <c r="B122" i="76"/>
  <c r="Z121" i="76"/>
  <c r="P121" i="76"/>
  <c r="N121" i="76"/>
  <c r="D121" i="76"/>
  <c r="L121" i="76" s="1"/>
  <c r="B121" i="76"/>
  <c r="Z120" i="76"/>
  <c r="P120" i="76"/>
  <c r="X120" i="76" s="1"/>
  <c r="N120" i="76"/>
  <c r="L120" i="76"/>
  <c r="J120" i="76"/>
  <c r="D120" i="76"/>
  <c r="B120" i="76"/>
  <c r="T119" i="76"/>
  <c r="J119" i="76"/>
  <c r="H119" i="76"/>
  <c r="Z117" i="76"/>
  <c r="X117" i="76"/>
  <c r="N117" i="76"/>
  <c r="L117" i="76"/>
  <c r="J117" i="76"/>
  <c r="B117" i="76"/>
  <c r="Z116" i="76"/>
  <c r="X116" i="76"/>
  <c r="T116" i="76"/>
  <c r="P116" i="76"/>
  <c r="H116" i="76"/>
  <c r="N116" i="76" s="1"/>
  <c r="D116" i="76"/>
  <c r="L116" i="76" s="1"/>
  <c r="B116" i="76"/>
  <c r="Z115" i="76"/>
  <c r="X115" i="76"/>
  <c r="N115" i="76"/>
  <c r="L115" i="76"/>
  <c r="B115" i="76"/>
  <c r="X114" i="76"/>
  <c r="V114" i="76"/>
  <c r="T114" i="76"/>
  <c r="P114" i="76"/>
  <c r="H114" i="76"/>
  <c r="D114" i="76"/>
  <c r="L114" i="76" s="1"/>
  <c r="N114" i="76" s="1"/>
  <c r="B114" i="76"/>
  <c r="Z113" i="76"/>
  <c r="X113" i="76"/>
  <c r="N113" i="76"/>
  <c r="L113" i="76"/>
  <c r="B113" i="76"/>
  <c r="X112" i="76"/>
  <c r="Z112" i="76" s="1"/>
  <c r="N112" i="76"/>
  <c r="L112" i="76"/>
  <c r="B112" i="76"/>
  <c r="T111" i="76"/>
  <c r="P111" i="76"/>
  <c r="X111" i="76" s="1"/>
  <c r="Z111" i="76" s="1"/>
  <c r="N111" i="76"/>
  <c r="L111" i="76"/>
  <c r="H111" i="76"/>
  <c r="D111" i="76"/>
  <c r="B111" i="76"/>
  <c r="Z110" i="76"/>
  <c r="X110" i="76"/>
  <c r="N110" i="76"/>
  <c r="L110" i="76"/>
  <c r="J110" i="76"/>
  <c r="B110" i="76"/>
  <c r="X109" i="76"/>
  <c r="Z109" i="76" s="1"/>
  <c r="N109" i="76"/>
  <c r="L109" i="76"/>
  <c r="J109" i="76"/>
  <c r="B109" i="76"/>
  <c r="Z108" i="76"/>
  <c r="X108" i="76"/>
  <c r="T108" i="76"/>
  <c r="P108" i="76"/>
  <c r="H108" i="76"/>
  <c r="D108" i="76"/>
  <c r="L108" i="76" s="1"/>
  <c r="B108" i="76"/>
  <c r="Z107" i="76"/>
  <c r="X107" i="76"/>
  <c r="N107" i="76"/>
  <c r="L107" i="76"/>
  <c r="B107" i="76"/>
  <c r="X106" i="76"/>
  <c r="V106" i="76"/>
  <c r="T106" i="76"/>
  <c r="Z106" i="76" s="1"/>
  <c r="P106" i="76"/>
  <c r="N106" i="76"/>
  <c r="H106" i="76"/>
  <c r="D106" i="76"/>
  <c r="L106" i="76" s="1"/>
  <c r="B106" i="76"/>
  <c r="Z105" i="76"/>
  <c r="X105" i="76"/>
  <c r="N105" i="76"/>
  <c r="L105" i="76"/>
  <c r="B105" i="76"/>
  <c r="T104" i="76"/>
  <c r="P104" i="76"/>
  <c r="H104" i="76"/>
  <c r="N104" i="76" s="1"/>
  <c r="D104" i="76"/>
  <c r="B104" i="76"/>
  <c r="Z103" i="76"/>
  <c r="X103" i="76"/>
  <c r="V103" i="76"/>
  <c r="N103" i="76"/>
  <c r="L103" i="76"/>
  <c r="B103" i="76"/>
  <c r="Z102" i="76"/>
  <c r="X102" i="76"/>
  <c r="N102" i="76"/>
  <c r="L102" i="76"/>
  <c r="J102" i="76"/>
  <c r="B102" i="76"/>
  <c r="Z101" i="76"/>
  <c r="X101" i="76"/>
  <c r="N101" i="76"/>
  <c r="L101" i="76"/>
  <c r="J101" i="76"/>
  <c r="B101" i="76"/>
  <c r="Z100" i="76"/>
  <c r="X100" i="76"/>
  <c r="N100" i="76"/>
  <c r="L100" i="76"/>
  <c r="B100" i="76"/>
  <c r="Z99" i="76"/>
  <c r="X99" i="76"/>
  <c r="V99" i="76"/>
  <c r="N99" i="76"/>
  <c r="L99" i="76"/>
  <c r="B99" i="76"/>
  <c r="Z98" i="76"/>
  <c r="X98" i="76"/>
  <c r="N98" i="76"/>
  <c r="L98" i="76"/>
  <c r="J98" i="76"/>
  <c r="B98" i="76"/>
  <c r="Z97" i="76"/>
  <c r="X97" i="76"/>
  <c r="N97" i="76"/>
  <c r="L97" i="76"/>
  <c r="J97" i="76"/>
  <c r="B97" i="76"/>
  <c r="Z96" i="76"/>
  <c r="X96" i="76"/>
  <c r="L96" i="76"/>
  <c r="N96" i="76" s="1"/>
  <c r="B96" i="76"/>
  <c r="T95" i="76"/>
  <c r="V95" i="76" s="1"/>
  <c r="P95" i="76"/>
  <c r="L95" i="76"/>
  <c r="N95" i="76" s="1"/>
  <c r="J95" i="76"/>
  <c r="H95" i="76"/>
  <c r="D95" i="76"/>
  <c r="B95" i="76"/>
  <c r="Z94" i="76"/>
  <c r="X94" i="76"/>
  <c r="V94" i="76"/>
  <c r="N94" i="76"/>
  <c r="L94" i="76"/>
  <c r="B94" i="76"/>
  <c r="V93" i="76"/>
  <c r="T93" i="76"/>
  <c r="Z93" i="76" s="1"/>
  <c r="P93" i="76"/>
  <c r="X93" i="76" s="1"/>
  <c r="N93" i="76"/>
  <c r="H93" i="76"/>
  <c r="D93" i="76"/>
  <c r="L93" i="76" s="1"/>
  <c r="B93" i="76"/>
  <c r="X92" i="76"/>
  <c r="Z92" i="76" s="1"/>
  <c r="N92" i="76"/>
  <c r="L92" i="76"/>
  <c r="B92" i="76"/>
  <c r="T91" i="76"/>
  <c r="P91" i="76"/>
  <c r="X91" i="76" s="1"/>
  <c r="Z91" i="76" s="1"/>
  <c r="N91" i="76"/>
  <c r="L91" i="76"/>
  <c r="H91" i="76"/>
  <c r="D91" i="76"/>
  <c r="B91" i="76"/>
  <c r="X90" i="76"/>
  <c r="Z90" i="76" s="1"/>
  <c r="L90" i="76"/>
  <c r="N90" i="76" s="1"/>
  <c r="J90" i="76"/>
  <c r="B90" i="76"/>
  <c r="X89" i="76"/>
  <c r="Z89" i="76" s="1"/>
  <c r="T89" i="76"/>
  <c r="P89" i="76"/>
  <c r="J89" i="76"/>
  <c r="H89" i="76"/>
  <c r="D89" i="76"/>
  <c r="B89" i="76"/>
  <c r="X88" i="76"/>
  <c r="Z88" i="76" s="1"/>
  <c r="L88" i="76"/>
  <c r="N88" i="76" s="1"/>
  <c r="B88" i="76"/>
  <c r="T87" i="76"/>
  <c r="Z87" i="76" s="1"/>
  <c r="P87" i="76"/>
  <c r="X87" i="76" s="1"/>
  <c r="J87" i="76"/>
  <c r="H87" i="76"/>
  <c r="D87" i="76"/>
  <c r="L87" i="76" s="1"/>
  <c r="B87" i="76"/>
  <c r="Z86" i="76"/>
  <c r="X86" i="76"/>
  <c r="N86" i="76"/>
  <c r="L86" i="76"/>
  <c r="B86" i="76"/>
  <c r="Z85" i="76"/>
  <c r="X85" i="76"/>
  <c r="T85" i="76"/>
  <c r="P85" i="76"/>
  <c r="N85" i="76"/>
  <c r="H85" i="76"/>
  <c r="D85" i="76"/>
  <c r="L85" i="76" s="1"/>
  <c r="B85" i="76"/>
  <c r="Z84" i="76"/>
  <c r="X84" i="76"/>
  <c r="L84" i="76"/>
  <c r="N84" i="76" s="1"/>
  <c r="B84" i="76"/>
  <c r="T83" i="76"/>
  <c r="P83" i="76"/>
  <c r="L83" i="76"/>
  <c r="N83" i="76" s="1"/>
  <c r="J83" i="76"/>
  <c r="H83" i="76"/>
  <c r="D83" i="76"/>
  <c r="B83" i="76"/>
  <c r="Z82" i="76"/>
  <c r="X82" i="76"/>
  <c r="V82" i="76"/>
  <c r="N82" i="76"/>
  <c r="L82" i="76"/>
  <c r="J82" i="76"/>
  <c r="B82" i="76"/>
  <c r="Z81" i="76"/>
  <c r="X81" i="76"/>
  <c r="V81" i="76"/>
  <c r="N81" i="76"/>
  <c r="L81" i="76"/>
  <c r="J81" i="76"/>
  <c r="B81" i="76"/>
  <c r="X80" i="76"/>
  <c r="Z80" i="76" s="1"/>
  <c r="N80" i="76"/>
  <c r="L80" i="76"/>
  <c r="B80" i="76"/>
  <c r="Z79" i="76"/>
  <c r="X79" i="76"/>
  <c r="N79" i="76"/>
  <c r="L79" i="76"/>
  <c r="B79" i="76"/>
  <c r="Z78" i="76"/>
  <c r="X78" i="76"/>
  <c r="V78" i="76"/>
  <c r="N78" i="76"/>
  <c r="L78" i="76"/>
  <c r="J78" i="76"/>
  <c r="B78" i="76"/>
  <c r="Z77" i="76"/>
  <c r="X77" i="76"/>
  <c r="V77" i="76"/>
  <c r="N77" i="76"/>
  <c r="L77" i="76"/>
  <c r="J77" i="76"/>
  <c r="B77" i="76"/>
  <c r="X76" i="76"/>
  <c r="Z76" i="76" s="1"/>
  <c r="L76" i="76"/>
  <c r="N76" i="76" s="1"/>
  <c r="B76" i="76"/>
  <c r="Z75" i="76"/>
  <c r="X75" i="76"/>
  <c r="N75" i="76"/>
  <c r="L75" i="76"/>
  <c r="B75" i="76"/>
  <c r="Z74" i="76"/>
  <c r="X74" i="76"/>
  <c r="V74" i="76"/>
  <c r="N74" i="76"/>
  <c r="L74" i="76"/>
  <c r="J74" i="76"/>
  <c r="B74" i="76"/>
  <c r="X73" i="76"/>
  <c r="Z73" i="76" s="1"/>
  <c r="V73" i="76"/>
  <c r="N73" i="76"/>
  <c r="L73" i="76"/>
  <c r="J73" i="76"/>
  <c r="B73" i="76"/>
  <c r="T72" i="76"/>
  <c r="P72" i="76"/>
  <c r="X72" i="76" s="1"/>
  <c r="Z72" i="76" s="1"/>
  <c r="L72" i="76"/>
  <c r="J72" i="76"/>
  <c r="H72" i="76"/>
  <c r="D72" i="76"/>
  <c r="B72" i="76"/>
  <c r="Z71" i="76"/>
  <c r="X71" i="76"/>
  <c r="N71" i="76"/>
  <c r="L71" i="76"/>
  <c r="J71" i="76"/>
  <c r="B71" i="76"/>
  <c r="X70" i="76"/>
  <c r="Z70" i="76" s="1"/>
  <c r="L70" i="76"/>
  <c r="N70" i="76" s="1"/>
  <c r="B70" i="76"/>
  <c r="Z69" i="76"/>
  <c r="X69" i="76"/>
  <c r="L69" i="76"/>
  <c r="N69" i="76" s="1"/>
  <c r="J69" i="76"/>
  <c r="B69" i="76"/>
  <c r="Z68" i="76"/>
  <c r="X68" i="76"/>
  <c r="N68" i="76"/>
  <c r="L68" i="76"/>
  <c r="B68" i="76"/>
  <c r="Z67" i="76"/>
  <c r="X67" i="76"/>
  <c r="N67" i="76"/>
  <c r="L67" i="76"/>
  <c r="J67" i="76"/>
  <c r="B67" i="76"/>
  <c r="X66" i="76"/>
  <c r="Z66" i="76" s="1"/>
  <c r="L66" i="76"/>
  <c r="N66" i="76" s="1"/>
  <c r="B66" i="76"/>
  <c r="Z65" i="76"/>
  <c r="X65" i="76"/>
  <c r="L65" i="76"/>
  <c r="N65" i="76" s="1"/>
  <c r="J65" i="76"/>
  <c r="B65" i="76"/>
  <c r="X64" i="76"/>
  <c r="Z64" i="76" s="1"/>
  <c r="N64" i="76"/>
  <c r="L64" i="76"/>
  <c r="B64" i="76"/>
  <c r="Z63" i="76"/>
  <c r="X63" i="76"/>
  <c r="N63" i="76"/>
  <c r="L63" i="76"/>
  <c r="J63" i="76"/>
  <c r="B63" i="76"/>
  <c r="X62" i="76"/>
  <c r="Z62" i="76" s="1"/>
  <c r="L62" i="76"/>
  <c r="N62" i="76" s="1"/>
  <c r="B62" i="76"/>
  <c r="Z61" i="76"/>
  <c r="X61" i="76"/>
  <c r="T61" i="76"/>
  <c r="P61" i="76"/>
  <c r="H61" i="76"/>
  <c r="D61" i="76"/>
  <c r="L61" i="76" s="1"/>
  <c r="N61" i="76" s="1"/>
  <c r="B61" i="76"/>
  <c r="Z60" i="76"/>
  <c r="T60" i="76"/>
  <c r="P60" i="76"/>
  <c r="X60" i="76" s="1"/>
  <c r="H60" i="76"/>
  <c r="N60" i="76" s="1"/>
  <c r="D60" i="76"/>
  <c r="L60" i="76" s="1"/>
  <c r="Z56" i="76"/>
  <c r="X56" i="76"/>
  <c r="N56" i="76"/>
  <c r="L56" i="76"/>
  <c r="B56" i="76"/>
  <c r="Z55" i="76"/>
  <c r="X55" i="76"/>
  <c r="V55" i="76"/>
  <c r="N55" i="76"/>
  <c r="L55" i="76"/>
  <c r="J55" i="76"/>
  <c r="B55" i="76"/>
  <c r="Z54" i="76"/>
  <c r="X54" i="76"/>
  <c r="N54" i="76"/>
  <c r="L54" i="76"/>
  <c r="J54" i="76"/>
  <c r="B54" i="76"/>
  <c r="Z53" i="76"/>
  <c r="X53" i="76"/>
  <c r="N53" i="76"/>
  <c r="L53" i="76"/>
  <c r="J53" i="76"/>
  <c r="B53" i="76"/>
  <c r="Z52" i="76"/>
  <c r="X52" i="76"/>
  <c r="N52" i="76"/>
  <c r="L52" i="76"/>
  <c r="B52" i="76"/>
  <c r="Z51" i="76"/>
  <c r="X51" i="76"/>
  <c r="V51" i="76"/>
  <c r="N51" i="76"/>
  <c r="L51" i="76"/>
  <c r="J51" i="76"/>
  <c r="B51" i="76"/>
  <c r="Z50" i="76"/>
  <c r="X50" i="76"/>
  <c r="N50" i="76"/>
  <c r="L50" i="76"/>
  <c r="J50" i="76"/>
  <c r="B50" i="76"/>
  <c r="Z49" i="76"/>
  <c r="X49" i="76"/>
  <c r="N49" i="76"/>
  <c r="L49" i="76"/>
  <c r="J49" i="76"/>
  <c r="B49" i="76"/>
  <c r="Z48" i="76"/>
  <c r="X48" i="76"/>
  <c r="N48" i="76"/>
  <c r="L48" i="76"/>
  <c r="B48" i="76"/>
  <c r="Z47" i="76"/>
  <c r="X47" i="76"/>
  <c r="V47" i="76"/>
  <c r="N47" i="76"/>
  <c r="L47" i="76"/>
  <c r="J47" i="76"/>
  <c r="B47" i="76"/>
  <c r="Z46" i="76"/>
  <c r="X46" i="76"/>
  <c r="N46" i="76"/>
  <c r="L46" i="76"/>
  <c r="J46" i="76"/>
  <c r="B46" i="76"/>
  <c r="Z45" i="76"/>
  <c r="X45" i="76"/>
  <c r="N45" i="76"/>
  <c r="L45" i="76"/>
  <c r="J45" i="76"/>
  <c r="B45" i="76"/>
  <c r="Z44" i="76"/>
  <c r="X44" i="76"/>
  <c r="N44" i="76"/>
  <c r="L44" i="76"/>
  <c r="B44" i="76"/>
  <c r="Z43" i="76"/>
  <c r="X43" i="76"/>
  <c r="V43" i="76"/>
  <c r="N43" i="76"/>
  <c r="L43" i="76"/>
  <c r="J43" i="76"/>
  <c r="B43" i="76"/>
  <c r="Z42" i="76"/>
  <c r="X42" i="76"/>
  <c r="N42" i="76"/>
  <c r="L42" i="76"/>
  <c r="J42" i="76"/>
  <c r="B42" i="76"/>
  <c r="X41" i="76"/>
  <c r="Z41" i="76" s="1"/>
  <c r="L41" i="76"/>
  <c r="N41" i="76" s="1"/>
  <c r="J41" i="76"/>
  <c r="B41" i="76"/>
  <c r="T40" i="76"/>
  <c r="P40" i="76"/>
  <c r="X40" i="76" s="1"/>
  <c r="Z40" i="76" s="1"/>
  <c r="H40" i="76"/>
  <c r="H58" i="76" s="1"/>
  <c r="D40" i="76"/>
  <c r="Z38" i="76"/>
  <c r="X38" i="76"/>
  <c r="P38" i="76"/>
  <c r="N38" i="76"/>
  <c r="D38" i="76"/>
  <c r="L38" i="76" s="1"/>
  <c r="B38" i="76"/>
  <c r="Z37" i="76"/>
  <c r="P37" i="76"/>
  <c r="X37" i="76" s="1"/>
  <c r="N37" i="76"/>
  <c r="D37" i="76"/>
  <c r="L37" i="76" s="1"/>
  <c r="B37" i="76"/>
  <c r="Z36" i="76"/>
  <c r="P36" i="76"/>
  <c r="X36" i="76" s="1"/>
  <c r="N36" i="76"/>
  <c r="D36" i="76"/>
  <c r="L36" i="76" s="1"/>
  <c r="B36" i="76"/>
  <c r="Z35" i="76"/>
  <c r="P35" i="76"/>
  <c r="X35" i="76" s="1"/>
  <c r="N35" i="76"/>
  <c r="L35" i="76"/>
  <c r="D35" i="76"/>
  <c r="B35" i="76"/>
  <c r="Z34" i="76"/>
  <c r="X34" i="76"/>
  <c r="P34" i="76"/>
  <c r="N34" i="76"/>
  <c r="D34" i="76"/>
  <c r="L34" i="76" s="1"/>
  <c r="B34" i="76"/>
  <c r="Z33" i="76"/>
  <c r="X33" i="76"/>
  <c r="P33" i="76"/>
  <c r="N33" i="76"/>
  <c r="D33" i="76"/>
  <c r="L33" i="76" s="1"/>
  <c r="B33" i="76"/>
  <c r="Z32" i="76"/>
  <c r="P32" i="76"/>
  <c r="X32" i="76" s="1"/>
  <c r="N32" i="76"/>
  <c r="D32" i="76"/>
  <c r="L32" i="76" s="1"/>
  <c r="B32" i="76"/>
  <c r="Z31" i="76"/>
  <c r="P31" i="76"/>
  <c r="X31" i="76" s="1"/>
  <c r="N31" i="76"/>
  <c r="L31" i="76"/>
  <c r="D31" i="76"/>
  <c r="B31" i="76"/>
  <c r="Z30" i="76"/>
  <c r="X30" i="76"/>
  <c r="P30" i="76"/>
  <c r="N30" i="76"/>
  <c r="L30" i="76"/>
  <c r="D30" i="76"/>
  <c r="B30" i="76"/>
  <c r="Z29" i="76"/>
  <c r="P29" i="76"/>
  <c r="X29" i="76" s="1"/>
  <c r="N29" i="76"/>
  <c r="D29" i="76"/>
  <c r="L29" i="76" s="1"/>
  <c r="B29" i="76"/>
  <c r="Z28" i="76"/>
  <c r="X28" i="76"/>
  <c r="P28" i="76"/>
  <c r="N28" i="76"/>
  <c r="D28" i="76"/>
  <c r="L28" i="76" s="1"/>
  <c r="B28" i="76"/>
  <c r="Z27" i="76"/>
  <c r="P27" i="76"/>
  <c r="X27" i="76" s="1"/>
  <c r="N27" i="76"/>
  <c r="L27" i="76"/>
  <c r="D27" i="76"/>
  <c r="B27" i="76"/>
  <c r="Z26" i="76"/>
  <c r="X26" i="76"/>
  <c r="P26" i="76"/>
  <c r="N26" i="76"/>
  <c r="D26" i="76"/>
  <c r="L26" i="76" s="1"/>
  <c r="B26" i="76"/>
  <c r="Z25" i="76"/>
  <c r="P25" i="76"/>
  <c r="X25" i="76" s="1"/>
  <c r="N25" i="76"/>
  <c r="D25" i="76"/>
  <c r="L25" i="76" s="1"/>
  <c r="B25" i="76"/>
  <c r="Z24" i="76"/>
  <c r="P24" i="76"/>
  <c r="X24" i="76" s="1"/>
  <c r="N24" i="76"/>
  <c r="D24" i="76"/>
  <c r="L24" i="76" s="1"/>
  <c r="B24" i="76"/>
  <c r="Z23" i="76"/>
  <c r="P23" i="76"/>
  <c r="X23" i="76" s="1"/>
  <c r="N23" i="76"/>
  <c r="L23" i="76"/>
  <c r="D23" i="76"/>
  <c r="B23" i="76"/>
  <c r="Z22" i="76"/>
  <c r="X22" i="76"/>
  <c r="P22" i="76"/>
  <c r="N22" i="76"/>
  <c r="D22" i="76"/>
  <c r="L22" i="76" s="1"/>
  <c r="B22" i="76"/>
  <c r="X21" i="76"/>
  <c r="Z21" i="76" s="1"/>
  <c r="P21" i="76"/>
  <c r="D21" i="76"/>
  <c r="L21" i="76" s="1"/>
  <c r="N21" i="76" s="1"/>
  <c r="B21" i="76"/>
  <c r="Z20" i="76"/>
  <c r="P20" i="76"/>
  <c r="X20" i="76" s="1"/>
  <c r="N20" i="76"/>
  <c r="D20" i="76"/>
  <c r="L20" i="76" s="1"/>
  <c r="B20" i="76"/>
  <c r="Z19" i="76"/>
  <c r="P19" i="76"/>
  <c r="X19" i="76" s="1"/>
  <c r="N19" i="76"/>
  <c r="L19" i="76"/>
  <c r="D19" i="76"/>
  <c r="B19" i="76"/>
  <c r="Z18" i="76"/>
  <c r="X18" i="76"/>
  <c r="P18" i="76"/>
  <c r="N18" i="76"/>
  <c r="L18" i="76"/>
  <c r="D18" i="76"/>
  <c r="B18" i="76"/>
  <c r="Z17" i="76"/>
  <c r="P17" i="76"/>
  <c r="X17" i="76" s="1"/>
  <c r="N17" i="76"/>
  <c r="D17" i="76"/>
  <c r="L17" i="76" s="1"/>
  <c r="B17" i="76"/>
  <c r="Z16" i="76"/>
  <c r="X16" i="76"/>
  <c r="P16" i="76"/>
  <c r="N16" i="76"/>
  <c r="D16" i="76"/>
  <c r="L16" i="76" s="1"/>
  <c r="B16" i="76"/>
  <c r="Z15" i="76"/>
  <c r="P15" i="76"/>
  <c r="X15" i="76" s="1"/>
  <c r="N15" i="76"/>
  <c r="L15" i="76"/>
  <c r="D15" i="76"/>
  <c r="B15" i="76"/>
  <c r="Z14" i="76"/>
  <c r="X14" i="76"/>
  <c r="P14" i="76"/>
  <c r="N14" i="76"/>
  <c r="D14" i="76"/>
  <c r="L14" i="76" s="1"/>
  <c r="B14" i="76"/>
  <c r="P13" i="76"/>
  <c r="L13" i="76"/>
  <c r="N13" i="76" s="1"/>
  <c r="D13" i="76"/>
  <c r="B13" i="76"/>
  <c r="T12" i="76"/>
  <c r="V117" i="76" s="1"/>
  <c r="H12" i="76"/>
  <c r="J122" i="76" s="1"/>
  <c r="D6" i="76"/>
  <c r="D4" i="76"/>
  <c r="Z94" i="75"/>
  <c r="X94" i="75"/>
  <c r="L94" i="75"/>
  <c r="N94" i="75" s="1"/>
  <c r="X90" i="75"/>
  <c r="Z90" i="75" s="1"/>
  <c r="P90" i="75"/>
  <c r="D90" i="75"/>
  <c r="L90" i="75" s="1"/>
  <c r="N90" i="75" s="1"/>
  <c r="B90" i="75"/>
  <c r="V89" i="75"/>
  <c r="P89" i="75"/>
  <c r="X89" i="75" s="1"/>
  <c r="Z89" i="75" s="1"/>
  <c r="N89" i="75"/>
  <c r="L89" i="75"/>
  <c r="D89" i="75"/>
  <c r="B89" i="75"/>
  <c r="T88" i="75"/>
  <c r="P88" i="75"/>
  <c r="N88" i="75"/>
  <c r="H88" i="75"/>
  <c r="D88" i="75"/>
  <c r="L88" i="75" s="1"/>
  <c r="Z86" i="75"/>
  <c r="X86" i="75"/>
  <c r="N86" i="75"/>
  <c r="L86" i="75"/>
  <c r="B86" i="75"/>
  <c r="Z85" i="75"/>
  <c r="X85" i="75"/>
  <c r="V85" i="75"/>
  <c r="T85" i="75"/>
  <c r="P85" i="75"/>
  <c r="N85" i="75"/>
  <c r="H85" i="75"/>
  <c r="L85" i="75" s="1"/>
  <c r="D85" i="75"/>
  <c r="B85" i="75"/>
  <c r="Z84" i="75"/>
  <c r="X84" i="75"/>
  <c r="N84" i="75"/>
  <c r="L84" i="75"/>
  <c r="B84" i="75"/>
  <c r="Z83" i="75"/>
  <c r="X83" i="75"/>
  <c r="N83" i="75"/>
  <c r="L83" i="75"/>
  <c r="B83" i="75"/>
  <c r="X82" i="75"/>
  <c r="V82" i="75"/>
  <c r="T82" i="75"/>
  <c r="Z82" i="75" s="1"/>
  <c r="P82" i="75"/>
  <c r="H82" i="75"/>
  <c r="D82" i="75"/>
  <c r="L82" i="75" s="1"/>
  <c r="N82" i="75" s="1"/>
  <c r="B82" i="75"/>
  <c r="X81" i="75"/>
  <c r="Z81" i="75" s="1"/>
  <c r="V81" i="75"/>
  <c r="L81" i="75"/>
  <c r="N81" i="75" s="1"/>
  <c r="B81" i="75"/>
  <c r="Z80" i="75"/>
  <c r="X80" i="75"/>
  <c r="N80" i="75"/>
  <c r="L80" i="75"/>
  <c r="B80" i="75"/>
  <c r="Z79" i="75"/>
  <c r="X79" i="75"/>
  <c r="N79" i="75"/>
  <c r="L79" i="75"/>
  <c r="B79" i="75"/>
  <c r="Z78" i="75"/>
  <c r="X78" i="75"/>
  <c r="V78" i="75"/>
  <c r="N78" i="75"/>
  <c r="L78" i="75"/>
  <c r="B78" i="75"/>
  <c r="Z77" i="75"/>
  <c r="X77" i="75"/>
  <c r="V77" i="75"/>
  <c r="N77" i="75"/>
  <c r="L77" i="75"/>
  <c r="B77" i="75"/>
  <c r="X76" i="75"/>
  <c r="T76" i="75"/>
  <c r="P76" i="75"/>
  <c r="H76" i="75"/>
  <c r="D76" i="75"/>
  <c r="B76" i="75"/>
  <c r="Z75" i="75"/>
  <c r="X75" i="75"/>
  <c r="V75" i="75"/>
  <c r="N75" i="75"/>
  <c r="L75" i="75"/>
  <c r="B75" i="75"/>
  <c r="X74" i="75"/>
  <c r="Z74" i="75" s="1"/>
  <c r="L74" i="75"/>
  <c r="N74" i="75" s="1"/>
  <c r="B74" i="75"/>
  <c r="X73" i="75"/>
  <c r="Z73" i="75" s="1"/>
  <c r="V73" i="75"/>
  <c r="T73" i="75"/>
  <c r="P73" i="75"/>
  <c r="J73" i="75"/>
  <c r="H73" i="75"/>
  <c r="L73" i="75" s="1"/>
  <c r="D73" i="75"/>
  <c r="B73" i="75"/>
  <c r="Z72" i="75"/>
  <c r="X72" i="75"/>
  <c r="N72" i="75"/>
  <c r="L72" i="75"/>
  <c r="B72" i="75"/>
  <c r="Z71" i="75"/>
  <c r="X71" i="75"/>
  <c r="N71" i="75"/>
  <c r="L71" i="75"/>
  <c r="B71" i="75"/>
  <c r="X70" i="75"/>
  <c r="V70" i="75"/>
  <c r="T70" i="75"/>
  <c r="P70" i="75"/>
  <c r="H70" i="75"/>
  <c r="D70" i="75"/>
  <c r="L70" i="75" s="1"/>
  <c r="N70" i="75" s="1"/>
  <c r="B70" i="75"/>
  <c r="Z69" i="75"/>
  <c r="X69" i="75"/>
  <c r="V69" i="75"/>
  <c r="L69" i="75"/>
  <c r="N69" i="75" s="1"/>
  <c r="B69" i="75"/>
  <c r="X68" i="75"/>
  <c r="T68" i="75"/>
  <c r="P68" i="75"/>
  <c r="H68" i="75"/>
  <c r="D68" i="75"/>
  <c r="B68" i="75"/>
  <c r="Z67" i="75"/>
  <c r="X67" i="75"/>
  <c r="V67" i="75"/>
  <c r="N67" i="75"/>
  <c r="L67" i="75"/>
  <c r="B67" i="75"/>
  <c r="T66" i="75"/>
  <c r="P66" i="75"/>
  <c r="X66" i="75" s="1"/>
  <c r="H66" i="75"/>
  <c r="D66" i="75"/>
  <c r="L66" i="75" s="1"/>
  <c r="N66" i="75" s="1"/>
  <c r="B66" i="75"/>
  <c r="Z65" i="75"/>
  <c r="X65" i="75"/>
  <c r="V65" i="75"/>
  <c r="N65" i="75"/>
  <c r="L65" i="75"/>
  <c r="B65" i="75"/>
  <c r="T64" i="75"/>
  <c r="P64" i="75"/>
  <c r="X64" i="75" s="1"/>
  <c r="Z64" i="75" s="1"/>
  <c r="L64" i="75"/>
  <c r="H64" i="75"/>
  <c r="N64" i="75" s="1"/>
  <c r="D64" i="75"/>
  <c r="B64" i="75"/>
  <c r="Z63" i="75"/>
  <c r="X63" i="75"/>
  <c r="N63" i="75"/>
  <c r="L63" i="75"/>
  <c r="B63" i="75"/>
  <c r="T62" i="75"/>
  <c r="P62" i="75"/>
  <c r="L62" i="75"/>
  <c r="H62" i="75"/>
  <c r="D62" i="75"/>
  <c r="B62" i="75"/>
  <c r="X61" i="75"/>
  <c r="Z61" i="75" s="1"/>
  <c r="V61" i="75"/>
  <c r="N61" i="75"/>
  <c r="L61" i="75"/>
  <c r="J61" i="75"/>
  <c r="B61" i="75"/>
  <c r="Z60" i="75"/>
  <c r="T60" i="75"/>
  <c r="P60" i="75"/>
  <c r="X60" i="75" s="1"/>
  <c r="H60" i="75"/>
  <c r="D60" i="75"/>
  <c r="L60" i="75" s="1"/>
  <c r="B60" i="75"/>
  <c r="Z59" i="75"/>
  <c r="X59" i="75"/>
  <c r="N59" i="75"/>
  <c r="L59" i="75"/>
  <c r="B59" i="75"/>
  <c r="X58" i="75"/>
  <c r="V58" i="75"/>
  <c r="T58" i="75"/>
  <c r="Z58" i="75" s="1"/>
  <c r="P58" i="75"/>
  <c r="N58" i="75"/>
  <c r="H58" i="75"/>
  <c r="D58" i="75"/>
  <c r="L58" i="75" s="1"/>
  <c r="B58" i="75"/>
  <c r="Z57" i="75"/>
  <c r="X57" i="75"/>
  <c r="V57" i="75"/>
  <c r="L57" i="75"/>
  <c r="N57" i="75" s="1"/>
  <c r="B57" i="75"/>
  <c r="T56" i="75"/>
  <c r="P56" i="75"/>
  <c r="H56" i="75"/>
  <c r="D56" i="75"/>
  <c r="B56" i="75"/>
  <c r="Z55" i="75"/>
  <c r="X55" i="75"/>
  <c r="V55" i="75"/>
  <c r="N55" i="75"/>
  <c r="L55" i="75"/>
  <c r="B55" i="75"/>
  <c r="Z54" i="75"/>
  <c r="X54" i="75"/>
  <c r="N54" i="75"/>
  <c r="L54" i="75"/>
  <c r="B54" i="75"/>
  <c r="X53" i="75"/>
  <c r="Z53" i="75" s="1"/>
  <c r="V53" i="75"/>
  <c r="N53" i="75"/>
  <c r="L53" i="75"/>
  <c r="J53" i="75"/>
  <c r="B53" i="75"/>
  <c r="Z52" i="75"/>
  <c r="X52" i="75"/>
  <c r="L52" i="75"/>
  <c r="N52" i="75" s="1"/>
  <c r="B52" i="75"/>
  <c r="Z51" i="75"/>
  <c r="X51" i="75"/>
  <c r="V51" i="75"/>
  <c r="N51" i="75"/>
  <c r="L51" i="75"/>
  <c r="B51" i="75"/>
  <c r="Z50" i="75"/>
  <c r="X50" i="75"/>
  <c r="N50" i="75"/>
  <c r="L50" i="75"/>
  <c r="B50" i="75"/>
  <c r="X49" i="75"/>
  <c r="Z49" i="75" s="1"/>
  <c r="V49" i="75"/>
  <c r="N49" i="75"/>
  <c r="L49" i="75"/>
  <c r="J49" i="75"/>
  <c r="B49" i="75"/>
  <c r="Z48" i="75"/>
  <c r="X48" i="75"/>
  <c r="N48" i="75"/>
  <c r="L48" i="75"/>
  <c r="B48" i="75"/>
  <c r="Z47" i="75"/>
  <c r="X47" i="75"/>
  <c r="V47" i="75"/>
  <c r="N47" i="75"/>
  <c r="L47" i="75"/>
  <c r="B47" i="75"/>
  <c r="X46" i="75"/>
  <c r="Z46" i="75" s="1"/>
  <c r="L46" i="75"/>
  <c r="N46" i="75" s="1"/>
  <c r="J46" i="75"/>
  <c r="B46" i="75"/>
  <c r="X45" i="75"/>
  <c r="Z45" i="75" s="1"/>
  <c r="V45" i="75"/>
  <c r="T45" i="75"/>
  <c r="P45" i="75"/>
  <c r="N45" i="75"/>
  <c r="J45" i="75"/>
  <c r="H45" i="75"/>
  <c r="L45" i="75" s="1"/>
  <c r="D45" i="75"/>
  <c r="B45" i="75"/>
  <c r="X44" i="75"/>
  <c r="Z44" i="75" s="1"/>
  <c r="L44" i="75"/>
  <c r="N44" i="75" s="1"/>
  <c r="B44" i="75"/>
  <c r="Z43" i="75"/>
  <c r="X43" i="75"/>
  <c r="N43" i="75"/>
  <c r="L43" i="75"/>
  <c r="B43" i="75"/>
  <c r="X42" i="75"/>
  <c r="Z42" i="75" s="1"/>
  <c r="V42" i="75"/>
  <c r="L42" i="75"/>
  <c r="N42" i="75" s="1"/>
  <c r="B42" i="75"/>
  <c r="Z41" i="75"/>
  <c r="X41" i="75"/>
  <c r="V41" i="75"/>
  <c r="N41" i="75"/>
  <c r="L41" i="75"/>
  <c r="B41" i="75"/>
  <c r="X40" i="75"/>
  <c r="Z40" i="75" s="1"/>
  <c r="L40" i="75"/>
  <c r="N40" i="75" s="1"/>
  <c r="B40" i="75"/>
  <c r="Z39" i="75"/>
  <c r="X39" i="75"/>
  <c r="V39" i="75"/>
  <c r="N39" i="75"/>
  <c r="L39" i="75"/>
  <c r="B39" i="75"/>
  <c r="X38" i="75"/>
  <c r="Z38" i="75" s="1"/>
  <c r="V38" i="75"/>
  <c r="L38" i="75"/>
  <c r="N38" i="75" s="1"/>
  <c r="B38" i="75"/>
  <c r="X37" i="75"/>
  <c r="Z37" i="75" s="1"/>
  <c r="V37" i="75"/>
  <c r="N37" i="75"/>
  <c r="L37" i="75"/>
  <c r="B37" i="75"/>
  <c r="X36" i="75"/>
  <c r="Z36" i="75" s="1"/>
  <c r="L36" i="75"/>
  <c r="N36" i="75" s="1"/>
  <c r="B36" i="75"/>
  <c r="T35" i="75"/>
  <c r="V35" i="75" s="1"/>
  <c r="P35" i="75"/>
  <c r="X35" i="75" s="1"/>
  <c r="Z35" i="75" s="1"/>
  <c r="J35" i="75"/>
  <c r="H35" i="75"/>
  <c r="D35" i="75"/>
  <c r="L35" i="75" s="1"/>
  <c r="B35" i="75"/>
  <c r="T34" i="75"/>
  <c r="P34" i="75"/>
  <c r="H34" i="75"/>
  <c r="D34" i="75"/>
  <c r="H32" i="75"/>
  <c r="T30" i="75"/>
  <c r="Z30" i="75" s="1"/>
  <c r="P30" i="75"/>
  <c r="L30" i="75"/>
  <c r="H30" i="75"/>
  <c r="N30" i="75" s="1"/>
  <c r="D30" i="75"/>
  <c r="Z28" i="75"/>
  <c r="P28" i="75"/>
  <c r="X28" i="75" s="1"/>
  <c r="N28" i="75"/>
  <c r="D28" i="75"/>
  <c r="L28" i="75" s="1"/>
  <c r="B28" i="75"/>
  <c r="Z27" i="75"/>
  <c r="P27" i="75"/>
  <c r="X27" i="75" s="1"/>
  <c r="N27" i="75"/>
  <c r="L27" i="75"/>
  <c r="D27" i="75"/>
  <c r="B27" i="75"/>
  <c r="Z26" i="75"/>
  <c r="X26" i="75"/>
  <c r="P26" i="75"/>
  <c r="N26" i="75"/>
  <c r="D26" i="75"/>
  <c r="L26" i="75" s="1"/>
  <c r="B26" i="75"/>
  <c r="Z25" i="75"/>
  <c r="X25" i="75"/>
  <c r="P25" i="75"/>
  <c r="N25" i="75"/>
  <c r="D25" i="75"/>
  <c r="L25" i="75" s="1"/>
  <c r="B25" i="75"/>
  <c r="Z24" i="75"/>
  <c r="X24" i="75"/>
  <c r="P24" i="75"/>
  <c r="N24" i="75"/>
  <c r="D24" i="75"/>
  <c r="L24" i="75" s="1"/>
  <c r="B24" i="75"/>
  <c r="Z23" i="75"/>
  <c r="P23" i="75"/>
  <c r="X23" i="75" s="1"/>
  <c r="N23" i="75"/>
  <c r="L23" i="75"/>
  <c r="D23" i="75"/>
  <c r="B23" i="75"/>
  <c r="Z22" i="75"/>
  <c r="X22" i="75"/>
  <c r="P22" i="75"/>
  <c r="N22" i="75"/>
  <c r="L22" i="75"/>
  <c r="D22" i="75"/>
  <c r="B22" i="75"/>
  <c r="Z21" i="75"/>
  <c r="P21" i="75"/>
  <c r="X21" i="75" s="1"/>
  <c r="N21" i="75"/>
  <c r="L21" i="75"/>
  <c r="D21" i="75"/>
  <c r="B21" i="75"/>
  <c r="Z20" i="75"/>
  <c r="X20" i="75"/>
  <c r="P20" i="75"/>
  <c r="N20" i="75"/>
  <c r="D20" i="75"/>
  <c r="L20" i="75" s="1"/>
  <c r="B20" i="75"/>
  <c r="P19" i="75"/>
  <c r="X19" i="75" s="1"/>
  <c r="Z19" i="75" s="1"/>
  <c r="L19" i="75"/>
  <c r="N19" i="75" s="1"/>
  <c r="D19" i="75"/>
  <c r="B19" i="75"/>
  <c r="Z18" i="75"/>
  <c r="X18" i="75"/>
  <c r="P18" i="75"/>
  <c r="N18" i="75"/>
  <c r="D18" i="75"/>
  <c r="L18" i="75" s="1"/>
  <c r="B18" i="75"/>
  <c r="Z17" i="75"/>
  <c r="P17" i="75"/>
  <c r="X17" i="75" s="1"/>
  <c r="N17" i="75"/>
  <c r="L17" i="75"/>
  <c r="D17" i="75"/>
  <c r="B17" i="75"/>
  <c r="Z16" i="75"/>
  <c r="P16" i="75"/>
  <c r="X16" i="75" s="1"/>
  <c r="N16" i="75"/>
  <c r="D16" i="75"/>
  <c r="L16" i="75" s="1"/>
  <c r="B16" i="75"/>
  <c r="Z15" i="75"/>
  <c r="P15" i="75"/>
  <c r="X15" i="75" s="1"/>
  <c r="N15" i="75"/>
  <c r="L15" i="75"/>
  <c r="D15" i="75"/>
  <c r="B15" i="75"/>
  <c r="Z14" i="75"/>
  <c r="X14" i="75"/>
  <c r="P14" i="75"/>
  <c r="N14" i="75"/>
  <c r="D14" i="75"/>
  <c r="B14" i="75"/>
  <c r="X13" i="75"/>
  <c r="Z13" i="75" s="1"/>
  <c r="P13" i="75"/>
  <c r="D13" i="75"/>
  <c r="L13" i="75" s="1"/>
  <c r="N13" i="75" s="1"/>
  <c r="B13" i="75"/>
  <c r="T12" i="75"/>
  <c r="H12" i="75"/>
  <c r="J74" i="75" s="1"/>
  <c r="D6" i="75"/>
  <c r="D4" i="75"/>
  <c r="X131" i="74"/>
  <c r="Z131" i="74" s="1"/>
  <c r="L131" i="74"/>
  <c r="N131" i="74" s="1"/>
  <c r="Z127" i="74"/>
  <c r="X127" i="74"/>
  <c r="P127" i="74"/>
  <c r="D127" i="74"/>
  <c r="L127" i="74" s="1"/>
  <c r="N127" i="74" s="1"/>
  <c r="B127" i="74"/>
  <c r="Z126" i="74"/>
  <c r="X126" i="74"/>
  <c r="P126" i="74"/>
  <c r="P124" i="74" s="1"/>
  <c r="X124" i="74" s="1"/>
  <c r="L126" i="74"/>
  <c r="N126" i="74" s="1"/>
  <c r="D126" i="74"/>
  <c r="B126" i="74"/>
  <c r="X125" i="74"/>
  <c r="Z125" i="74" s="1"/>
  <c r="V125" i="74"/>
  <c r="P125" i="74"/>
  <c r="L125" i="74"/>
  <c r="N125" i="74" s="1"/>
  <c r="D125" i="74"/>
  <c r="B125" i="74"/>
  <c r="Z124" i="74"/>
  <c r="V124" i="74"/>
  <c r="T124" i="74"/>
  <c r="H124" i="74"/>
  <c r="Z122" i="74"/>
  <c r="X122" i="74"/>
  <c r="V122" i="74"/>
  <c r="N122" i="74"/>
  <c r="L122" i="74"/>
  <c r="B122" i="74"/>
  <c r="Z121" i="74"/>
  <c r="X121" i="74"/>
  <c r="N121" i="74"/>
  <c r="L121" i="74"/>
  <c r="J121" i="74"/>
  <c r="B121" i="74"/>
  <c r="X120" i="74"/>
  <c r="Z120" i="74" s="1"/>
  <c r="V120" i="74"/>
  <c r="T120" i="74"/>
  <c r="P120" i="74"/>
  <c r="N120" i="74"/>
  <c r="H120" i="74"/>
  <c r="L120" i="74" s="1"/>
  <c r="D120" i="74"/>
  <c r="B120" i="74"/>
  <c r="X119" i="74"/>
  <c r="Z119" i="74" s="1"/>
  <c r="N119" i="74"/>
  <c r="L119" i="74"/>
  <c r="B119" i="74"/>
  <c r="T118" i="74"/>
  <c r="X118" i="74" s="1"/>
  <c r="Z118" i="74" s="1"/>
  <c r="P118" i="74"/>
  <c r="H118" i="74"/>
  <c r="N118" i="74" s="1"/>
  <c r="D118" i="74"/>
  <c r="L118" i="74" s="1"/>
  <c r="B118" i="74"/>
  <c r="X117" i="74"/>
  <c r="Z117" i="74" s="1"/>
  <c r="L117" i="74"/>
  <c r="N117" i="74" s="1"/>
  <c r="B117" i="74"/>
  <c r="X116" i="74"/>
  <c r="Z116" i="74" s="1"/>
  <c r="T116" i="74"/>
  <c r="P116" i="74"/>
  <c r="H116" i="74"/>
  <c r="D116" i="74"/>
  <c r="L116" i="74" s="1"/>
  <c r="N116" i="74" s="1"/>
  <c r="B116" i="74"/>
  <c r="Z115" i="74"/>
  <c r="X115" i="74"/>
  <c r="L115" i="74"/>
  <c r="N115" i="74" s="1"/>
  <c r="B115" i="74"/>
  <c r="Z114" i="74"/>
  <c r="X114" i="74"/>
  <c r="V114" i="74"/>
  <c r="N114" i="74"/>
  <c r="L114" i="74"/>
  <c r="B114" i="74"/>
  <c r="X113" i="74"/>
  <c r="Z113" i="74" s="1"/>
  <c r="L113" i="74"/>
  <c r="N113" i="74" s="1"/>
  <c r="B113" i="74"/>
  <c r="X112" i="74"/>
  <c r="Z112" i="74" s="1"/>
  <c r="V112" i="74"/>
  <c r="L112" i="74"/>
  <c r="N112" i="74" s="1"/>
  <c r="B112" i="74"/>
  <c r="Z111" i="74"/>
  <c r="X111" i="74"/>
  <c r="L111" i="74"/>
  <c r="N111" i="74" s="1"/>
  <c r="B111" i="74"/>
  <c r="Z110" i="74"/>
  <c r="V110" i="74"/>
  <c r="T110" i="74"/>
  <c r="X110" i="74" s="1"/>
  <c r="P110" i="74"/>
  <c r="L110" i="74"/>
  <c r="N110" i="74" s="1"/>
  <c r="H110" i="74"/>
  <c r="D110" i="74"/>
  <c r="B110" i="74"/>
  <c r="X109" i="74"/>
  <c r="Z109" i="74" s="1"/>
  <c r="V109" i="74"/>
  <c r="L109" i="74"/>
  <c r="N109" i="74" s="1"/>
  <c r="B109" i="74"/>
  <c r="X108" i="74"/>
  <c r="Z108" i="74" s="1"/>
  <c r="V108" i="74"/>
  <c r="N108" i="74"/>
  <c r="L108" i="74"/>
  <c r="B108" i="74"/>
  <c r="T107" i="74"/>
  <c r="P107" i="74"/>
  <c r="X107" i="74" s="1"/>
  <c r="Z107" i="74" s="1"/>
  <c r="L107" i="74"/>
  <c r="H107" i="74"/>
  <c r="N107" i="74" s="1"/>
  <c r="D107" i="74"/>
  <c r="B107" i="74"/>
  <c r="Z106" i="74"/>
  <c r="X106" i="74"/>
  <c r="N106" i="74"/>
  <c r="L106" i="74"/>
  <c r="B106" i="74"/>
  <c r="X105" i="74"/>
  <c r="Z105" i="74" s="1"/>
  <c r="L105" i="74"/>
  <c r="N105" i="74" s="1"/>
  <c r="B105" i="74"/>
  <c r="Z104" i="74"/>
  <c r="X104" i="74"/>
  <c r="V104" i="74"/>
  <c r="L104" i="74"/>
  <c r="N104" i="74" s="1"/>
  <c r="B104" i="74"/>
  <c r="X103" i="74"/>
  <c r="T103" i="74"/>
  <c r="P103" i="74"/>
  <c r="H103" i="74"/>
  <c r="D103" i="74"/>
  <c r="B103" i="74"/>
  <c r="Z102" i="74"/>
  <c r="X102" i="74"/>
  <c r="V102" i="74"/>
  <c r="N102" i="74"/>
  <c r="L102" i="74"/>
  <c r="B102" i="74"/>
  <c r="Z101" i="74"/>
  <c r="X101" i="74"/>
  <c r="N101" i="74"/>
  <c r="L101" i="74"/>
  <c r="B101" i="74"/>
  <c r="X100" i="74"/>
  <c r="Z100" i="74" s="1"/>
  <c r="V100" i="74"/>
  <c r="T100" i="74"/>
  <c r="P100" i="74"/>
  <c r="N100" i="74"/>
  <c r="H100" i="74"/>
  <c r="L100" i="74" s="1"/>
  <c r="D100" i="74"/>
  <c r="B100" i="74"/>
  <c r="X99" i="74"/>
  <c r="Z99" i="74" s="1"/>
  <c r="N99" i="74"/>
  <c r="L99" i="74"/>
  <c r="B99" i="74"/>
  <c r="T98" i="74"/>
  <c r="X98" i="74" s="1"/>
  <c r="Z98" i="74" s="1"/>
  <c r="P98" i="74"/>
  <c r="H98" i="74"/>
  <c r="N98" i="74" s="1"/>
  <c r="D98" i="74"/>
  <c r="L98" i="74" s="1"/>
  <c r="B98" i="74"/>
  <c r="Z97" i="74"/>
  <c r="X97" i="74"/>
  <c r="N97" i="74"/>
  <c r="L97" i="74"/>
  <c r="B97" i="74"/>
  <c r="Z96" i="74"/>
  <c r="X96" i="74"/>
  <c r="V96" i="74"/>
  <c r="N96" i="74"/>
  <c r="L96" i="74"/>
  <c r="B96" i="74"/>
  <c r="Z95" i="74"/>
  <c r="X95" i="74"/>
  <c r="N95" i="74"/>
  <c r="L95" i="74"/>
  <c r="B95" i="74"/>
  <c r="Z94" i="74"/>
  <c r="X94" i="74"/>
  <c r="N94" i="74"/>
  <c r="L94" i="74"/>
  <c r="B94" i="74"/>
  <c r="Z93" i="74"/>
  <c r="X93" i="74"/>
  <c r="N93" i="74"/>
  <c r="L93" i="74"/>
  <c r="B93" i="74"/>
  <c r="Z92" i="74"/>
  <c r="X92" i="74"/>
  <c r="V92" i="74"/>
  <c r="N92" i="74"/>
  <c r="L92" i="74"/>
  <c r="B92" i="74"/>
  <c r="X91" i="74"/>
  <c r="Z91" i="74" s="1"/>
  <c r="L91" i="74"/>
  <c r="N91" i="74" s="1"/>
  <c r="B91" i="74"/>
  <c r="Z90" i="74"/>
  <c r="T90" i="74"/>
  <c r="P90" i="74"/>
  <c r="X90" i="74" s="1"/>
  <c r="N90" i="74"/>
  <c r="L90" i="74"/>
  <c r="H90" i="74"/>
  <c r="D90" i="74"/>
  <c r="B90" i="74"/>
  <c r="X89" i="74"/>
  <c r="Z89" i="74" s="1"/>
  <c r="L89" i="74"/>
  <c r="N89" i="74" s="1"/>
  <c r="B89" i="74"/>
  <c r="X88" i="74"/>
  <c r="Z88" i="74" s="1"/>
  <c r="V88" i="74"/>
  <c r="T88" i="74"/>
  <c r="P88" i="74"/>
  <c r="H88" i="74"/>
  <c r="L88" i="74" s="1"/>
  <c r="D88" i="74"/>
  <c r="B88" i="74"/>
  <c r="Z87" i="74"/>
  <c r="X87" i="74"/>
  <c r="N87" i="74"/>
  <c r="L87" i="74"/>
  <c r="B87" i="74"/>
  <c r="Z86" i="74"/>
  <c r="X86" i="74"/>
  <c r="N86" i="74"/>
  <c r="L86" i="74"/>
  <c r="B86" i="74"/>
  <c r="T85" i="74"/>
  <c r="P85" i="74"/>
  <c r="H85" i="74"/>
  <c r="D85" i="74"/>
  <c r="L85" i="74" s="1"/>
  <c r="N85" i="74" s="1"/>
  <c r="B85" i="74"/>
  <c r="X84" i="74"/>
  <c r="Z84" i="74" s="1"/>
  <c r="V84" i="74"/>
  <c r="L84" i="74"/>
  <c r="N84" i="74" s="1"/>
  <c r="B84" i="74"/>
  <c r="T83" i="74"/>
  <c r="P83" i="74"/>
  <c r="X83" i="74" s="1"/>
  <c r="H83" i="74"/>
  <c r="D83" i="74"/>
  <c r="B83" i="74"/>
  <c r="Z82" i="74"/>
  <c r="X82" i="74"/>
  <c r="V82" i="74"/>
  <c r="N82" i="74"/>
  <c r="L82" i="74"/>
  <c r="B82" i="74"/>
  <c r="X81" i="74"/>
  <c r="Z81" i="74" s="1"/>
  <c r="L81" i="74"/>
  <c r="N81" i="74" s="1"/>
  <c r="B81" i="74"/>
  <c r="X80" i="74"/>
  <c r="Z80" i="74" s="1"/>
  <c r="V80" i="74"/>
  <c r="T80" i="74"/>
  <c r="P80" i="74"/>
  <c r="J80" i="74"/>
  <c r="H80" i="74"/>
  <c r="L80" i="74" s="1"/>
  <c r="D80" i="74"/>
  <c r="B80" i="74"/>
  <c r="X79" i="74"/>
  <c r="Z79" i="74" s="1"/>
  <c r="L79" i="74"/>
  <c r="N79" i="74" s="1"/>
  <c r="B79" i="74"/>
  <c r="T78" i="74"/>
  <c r="X78" i="74" s="1"/>
  <c r="Z78" i="74" s="1"/>
  <c r="P78" i="74"/>
  <c r="H78" i="74"/>
  <c r="N78" i="74" s="1"/>
  <c r="D78" i="74"/>
  <c r="L78" i="74" s="1"/>
  <c r="B78" i="74"/>
  <c r="Z77" i="74"/>
  <c r="X77" i="74"/>
  <c r="N77" i="74"/>
  <c r="L77" i="74"/>
  <c r="B77" i="74"/>
  <c r="Z76" i="74"/>
  <c r="X76" i="74"/>
  <c r="V76" i="74"/>
  <c r="N76" i="74"/>
  <c r="L76" i="74"/>
  <c r="J76" i="74"/>
  <c r="B76" i="74"/>
  <c r="X75" i="74"/>
  <c r="Z75" i="74" s="1"/>
  <c r="N75" i="74"/>
  <c r="L75" i="74"/>
  <c r="B75" i="74"/>
  <c r="Z74" i="74"/>
  <c r="X74" i="74"/>
  <c r="N74" i="74"/>
  <c r="L74" i="74"/>
  <c r="B74" i="74"/>
  <c r="Z73" i="74"/>
  <c r="X73" i="74"/>
  <c r="N73" i="74"/>
  <c r="L73" i="74"/>
  <c r="B73" i="74"/>
  <c r="Z72" i="74"/>
  <c r="X72" i="74"/>
  <c r="V72" i="74"/>
  <c r="N72" i="74"/>
  <c r="L72" i="74"/>
  <c r="B72" i="74"/>
  <c r="X71" i="74"/>
  <c r="Z71" i="74" s="1"/>
  <c r="N71" i="74"/>
  <c r="L71" i="74"/>
  <c r="B71" i="74"/>
  <c r="Z70" i="74"/>
  <c r="X70" i="74"/>
  <c r="N70" i="74"/>
  <c r="L70" i="74"/>
  <c r="B70" i="74"/>
  <c r="X69" i="74"/>
  <c r="Z69" i="74" s="1"/>
  <c r="V69" i="74"/>
  <c r="L69" i="74"/>
  <c r="N69" i="74" s="1"/>
  <c r="B69" i="74"/>
  <c r="Z68" i="74"/>
  <c r="X68" i="74"/>
  <c r="V68" i="74"/>
  <c r="N68" i="74"/>
  <c r="L68" i="74"/>
  <c r="B68" i="74"/>
  <c r="T67" i="74"/>
  <c r="P67" i="74"/>
  <c r="X67" i="74" s="1"/>
  <c r="H67" i="74"/>
  <c r="D67" i="74"/>
  <c r="B67" i="74"/>
  <c r="Z66" i="74"/>
  <c r="X66" i="74"/>
  <c r="V66" i="74"/>
  <c r="N66" i="74"/>
  <c r="L66" i="74"/>
  <c r="B66" i="74"/>
  <c r="X65" i="74"/>
  <c r="Z65" i="74" s="1"/>
  <c r="L65" i="74"/>
  <c r="N65" i="74" s="1"/>
  <c r="J65" i="74"/>
  <c r="B65" i="74"/>
  <c r="X64" i="74"/>
  <c r="Z64" i="74" s="1"/>
  <c r="V64" i="74"/>
  <c r="N64" i="74"/>
  <c r="L64" i="74"/>
  <c r="B64" i="74"/>
  <c r="Z63" i="74"/>
  <c r="X63" i="74"/>
  <c r="N63" i="74"/>
  <c r="L63" i="74"/>
  <c r="B63" i="74"/>
  <c r="Z62" i="74"/>
  <c r="X62" i="74"/>
  <c r="V62" i="74"/>
  <c r="N62" i="74"/>
  <c r="L62" i="74"/>
  <c r="B62" i="74"/>
  <c r="X61" i="74"/>
  <c r="Z61" i="74" s="1"/>
  <c r="L61" i="74"/>
  <c r="N61" i="74" s="1"/>
  <c r="B61" i="74"/>
  <c r="X60" i="74"/>
  <c r="Z60" i="74" s="1"/>
  <c r="V60" i="74"/>
  <c r="N60" i="74"/>
  <c r="L60" i="74"/>
  <c r="B60" i="74"/>
  <c r="X59" i="74"/>
  <c r="Z59" i="74" s="1"/>
  <c r="N59" i="74"/>
  <c r="L59" i="74"/>
  <c r="B59" i="74"/>
  <c r="Z58" i="74"/>
  <c r="X58" i="74"/>
  <c r="V58" i="74"/>
  <c r="N58" i="74"/>
  <c r="L58" i="74"/>
  <c r="B58" i="74"/>
  <c r="T57" i="74"/>
  <c r="P57" i="74"/>
  <c r="X57" i="74" s="1"/>
  <c r="L57" i="74"/>
  <c r="N57" i="74" s="1"/>
  <c r="H57" i="74"/>
  <c r="D57" i="74"/>
  <c r="B57" i="74"/>
  <c r="V56" i="74"/>
  <c r="T56" i="74"/>
  <c r="P56" i="74"/>
  <c r="X56" i="74" s="1"/>
  <c r="H56" i="74"/>
  <c r="D56" i="74"/>
  <c r="Z52" i="74"/>
  <c r="X52" i="74"/>
  <c r="V52" i="74"/>
  <c r="N52" i="74"/>
  <c r="L52" i="74"/>
  <c r="B52" i="74"/>
  <c r="Z51" i="74"/>
  <c r="X51" i="74"/>
  <c r="N51" i="74"/>
  <c r="L51" i="74"/>
  <c r="B51" i="74"/>
  <c r="Z50" i="74"/>
  <c r="X50" i="74"/>
  <c r="N50" i="74"/>
  <c r="L50" i="74"/>
  <c r="B50" i="74"/>
  <c r="Z49" i="74"/>
  <c r="X49" i="74"/>
  <c r="V49" i="74"/>
  <c r="N49" i="74"/>
  <c r="L49" i="74"/>
  <c r="B49" i="74"/>
  <c r="Z48" i="74"/>
  <c r="X48" i="74"/>
  <c r="V48" i="74"/>
  <c r="N48" i="74"/>
  <c r="L48" i="74"/>
  <c r="B48" i="74"/>
  <c r="Z47" i="74"/>
  <c r="X47" i="74"/>
  <c r="N47" i="74"/>
  <c r="L47" i="74"/>
  <c r="B47" i="74"/>
  <c r="Z46" i="74"/>
  <c r="X46" i="74"/>
  <c r="N46" i="74"/>
  <c r="L46" i="74"/>
  <c r="B46" i="74"/>
  <c r="Z45" i="74"/>
  <c r="X45" i="74"/>
  <c r="V45" i="74"/>
  <c r="N45" i="74"/>
  <c r="L45" i="74"/>
  <c r="B45" i="74"/>
  <c r="Z44" i="74"/>
  <c r="X44" i="74"/>
  <c r="V44" i="74"/>
  <c r="N44" i="74"/>
  <c r="L44" i="74"/>
  <c r="B44" i="74"/>
  <c r="Z43" i="74"/>
  <c r="X43" i="74"/>
  <c r="N43" i="74"/>
  <c r="L43" i="74"/>
  <c r="B43" i="74"/>
  <c r="Z42" i="74"/>
  <c r="X42" i="74"/>
  <c r="N42" i="74"/>
  <c r="L42" i="74"/>
  <c r="B42" i="74"/>
  <c r="Z41" i="74"/>
  <c r="X41" i="74"/>
  <c r="V41" i="74"/>
  <c r="N41" i="74"/>
  <c r="L41" i="74"/>
  <c r="B41" i="74"/>
  <c r="Z40" i="74"/>
  <c r="X40" i="74"/>
  <c r="V40" i="74"/>
  <c r="N40" i="74"/>
  <c r="L40" i="74"/>
  <c r="B40" i="74"/>
  <c r="Z39" i="74"/>
  <c r="X39" i="74"/>
  <c r="N39" i="74"/>
  <c r="L39" i="74"/>
  <c r="B39" i="74"/>
  <c r="Z38" i="74"/>
  <c r="X38" i="74"/>
  <c r="N38" i="74"/>
  <c r="L38" i="74"/>
  <c r="B38" i="74"/>
  <c r="X37" i="74"/>
  <c r="Z37" i="74" s="1"/>
  <c r="V37" i="74"/>
  <c r="L37" i="74"/>
  <c r="N37" i="74" s="1"/>
  <c r="J37" i="74"/>
  <c r="B37" i="74"/>
  <c r="V36" i="74"/>
  <c r="T36" i="74"/>
  <c r="T54" i="74" s="1"/>
  <c r="P36" i="74"/>
  <c r="X36" i="74" s="1"/>
  <c r="H36" i="74"/>
  <c r="D36" i="74"/>
  <c r="Z34" i="74"/>
  <c r="P34" i="74"/>
  <c r="X34" i="74" s="1"/>
  <c r="N34" i="74"/>
  <c r="D34" i="74"/>
  <c r="L34" i="74" s="1"/>
  <c r="B34" i="74"/>
  <c r="Z33" i="74"/>
  <c r="P33" i="74"/>
  <c r="X33" i="74" s="1"/>
  <c r="N33" i="74"/>
  <c r="L33" i="74"/>
  <c r="D33" i="74"/>
  <c r="B33" i="74"/>
  <c r="Z32" i="74"/>
  <c r="X32" i="74"/>
  <c r="P32" i="74"/>
  <c r="N32" i="74"/>
  <c r="L32" i="74"/>
  <c r="D32" i="74"/>
  <c r="B32" i="74"/>
  <c r="Z31" i="74"/>
  <c r="P31" i="74"/>
  <c r="X31" i="74" s="1"/>
  <c r="N31" i="74"/>
  <c r="D31" i="74"/>
  <c r="L31" i="74" s="1"/>
  <c r="B31" i="74"/>
  <c r="Z30" i="74"/>
  <c r="X30" i="74"/>
  <c r="P30" i="74"/>
  <c r="N30" i="74"/>
  <c r="L30" i="74"/>
  <c r="D30" i="74"/>
  <c r="B30" i="74"/>
  <c r="Z29" i="74"/>
  <c r="X29" i="74"/>
  <c r="P29" i="74"/>
  <c r="N29" i="74"/>
  <c r="D29" i="74"/>
  <c r="L29" i="74" s="1"/>
  <c r="B29" i="74"/>
  <c r="Z28" i="74"/>
  <c r="P28" i="74"/>
  <c r="X28" i="74" s="1"/>
  <c r="N28" i="74"/>
  <c r="D28" i="74"/>
  <c r="L28" i="74" s="1"/>
  <c r="B28" i="74"/>
  <c r="Z27" i="74"/>
  <c r="P27" i="74"/>
  <c r="X27" i="74" s="1"/>
  <c r="N27" i="74"/>
  <c r="L27" i="74"/>
  <c r="D27" i="74"/>
  <c r="B27" i="74"/>
  <c r="Z26" i="74"/>
  <c r="X26" i="74"/>
  <c r="P26" i="74"/>
  <c r="N26" i="74"/>
  <c r="L26" i="74"/>
  <c r="D26" i="74"/>
  <c r="B26" i="74"/>
  <c r="Z25" i="74"/>
  <c r="P25" i="74"/>
  <c r="X25" i="74" s="1"/>
  <c r="N25" i="74"/>
  <c r="D25" i="74"/>
  <c r="L25" i="74" s="1"/>
  <c r="B25" i="74"/>
  <c r="Z24" i="74"/>
  <c r="X24" i="74"/>
  <c r="P24" i="74"/>
  <c r="N24" i="74"/>
  <c r="L24" i="74"/>
  <c r="D24" i="74"/>
  <c r="B24" i="74"/>
  <c r="Z23" i="74"/>
  <c r="X23" i="74"/>
  <c r="P23" i="74"/>
  <c r="N23" i="74"/>
  <c r="L23" i="74"/>
  <c r="D23" i="74"/>
  <c r="B23" i="74"/>
  <c r="Z22" i="74"/>
  <c r="P22" i="74"/>
  <c r="X22" i="74" s="1"/>
  <c r="N22" i="74"/>
  <c r="L22" i="74"/>
  <c r="D22" i="74"/>
  <c r="B22" i="74"/>
  <c r="Z21" i="74"/>
  <c r="X21" i="74"/>
  <c r="P21" i="74"/>
  <c r="N21" i="74"/>
  <c r="L21" i="74"/>
  <c r="D21" i="74"/>
  <c r="B21" i="74"/>
  <c r="Z20" i="74"/>
  <c r="X20" i="74"/>
  <c r="P20" i="74"/>
  <c r="N20" i="74"/>
  <c r="L20" i="74"/>
  <c r="D20" i="74"/>
  <c r="B20" i="74"/>
  <c r="Z19" i="74"/>
  <c r="X19" i="74"/>
  <c r="P19" i="74"/>
  <c r="N19" i="74"/>
  <c r="D19" i="74"/>
  <c r="L19" i="74" s="1"/>
  <c r="B19" i="74"/>
  <c r="Z18" i="74"/>
  <c r="X18" i="74"/>
  <c r="P18" i="74"/>
  <c r="N18" i="74"/>
  <c r="L18" i="74"/>
  <c r="D18" i="74"/>
  <c r="B18" i="74"/>
  <c r="Z17" i="74"/>
  <c r="X17" i="74"/>
  <c r="P17" i="74"/>
  <c r="N17" i="74"/>
  <c r="D17" i="74"/>
  <c r="L17" i="74" s="1"/>
  <c r="B17" i="74"/>
  <c r="Z16" i="74"/>
  <c r="P16" i="74"/>
  <c r="X16" i="74" s="1"/>
  <c r="N16" i="74"/>
  <c r="L16" i="74"/>
  <c r="D16" i="74"/>
  <c r="B16" i="74"/>
  <c r="Z15" i="74"/>
  <c r="P15" i="74"/>
  <c r="X15" i="74" s="1"/>
  <c r="N15" i="74"/>
  <c r="L15" i="74"/>
  <c r="D15" i="74"/>
  <c r="B15" i="74"/>
  <c r="Z14" i="74"/>
  <c r="X14" i="74"/>
  <c r="P14" i="74"/>
  <c r="N14" i="74"/>
  <c r="L14" i="74"/>
  <c r="D14" i="74"/>
  <c r="B14" i="74"/>
  <c r="P13" i="74"/>
  <c r="N13" i="74"/>
  <c r="D13" i="74"/>
  <c r="L13" i="74" s="1"/>
  <c r="B13" i="74"/>
  <c r="T12" i="74"/>
  <c r="H12" i="74"/>
  <c r="J120" i="74" s="1"/>
  <c r="D6" i="74"/>
  <c r="D4" i="74"/>
  <c r="Z116" i="73"/>
  <c r="X116" i="73"/>
  <c r="L116" i="73"/>
  <c r="N116" i="73" s="1"/>
  <c r="T112" i="73"/>
  <c r="Z112" i="73" s="1"/>
  <c r="P112" i="73"/>
  <c r="X112" i="73" s="1"/>
  <c r="H112" i="73"/>
  <c r="N112" i="73" s="1"/>
  <c r="D112" i="73"/>
  <c r="L112" i="73" s="1"/>
  <c r="Z110" i="73"/>
  <c r="X110" i="73"/>
  <c r="N110" i="73"/>
  <c r="L110" i="73"/>
  <c r="B110" i="73"/>
  <c r="Z109" i="73"/>
  <c r="T109" i="73"/>
  <c r="X109" i="73" s="1"/>
  <c r="P109" i="73"/>
  <c r="N109" i="73"/>
  <c r="L109" i="73"/>
  <c r="H109" i="73"/>
  <c r="D109" i="73"/>
  <c r="B109" i="73"/>
  <c r="Z108" i="73"/>
  <c r="X108" i="73"/>
  <c r="N108" i="73"/>
  <c r="L108" i="73"/>
  <c r="B108" i="73"/>
  <c r="V107" i="73"/>
  <c r="T107" i="73"/>
  <c r="Z107" i="73" s="1"/>
  <c r="P107" i="73"/>
  <c r="X107" i="73" s="1"/>
  <c r="J107" i="73"/>
  <c r="H107" i="73"/>
  <c r="N107" i="73" s="1"/>
  <c r="D107" i="73"/>
  <c r="B107" i="73"/>
  <c r="Z106" i="73"/>
  <c r="X106" i="73"/>
  <c r="N106" i="73"/>
  <c r="L106" i="73"/>
  <c r="B106" i="73"/>
  <c r="Z105" i="73"/>
  <c r="X105" i="73"/>
  <c r="N105" i="73"/>
  <c r="L105" i="73"/>
  <c r="B105" i="73"/>
  <c r="X104" i="73"/>
  <c r="T104" i="73"/>
  <c r="P104" i="73"/>
  <c r="L104" i="73"/>
  <c r="H104" i="73"/>
  <c r="D104" i="73"/>
  <c r="B104" i="73"/>
  <c r="Z103" i="73"/>
  <c r="X103" i="73"/>
  <c r="N103" i="73"/>
  <c r="L103" i="73"/>
  <c r="J103" i="73"/>
  <c r="B103" i="73"/>
  <c r="T102" i="73"/>
  <c r="Z102" i="73" s="1"/>
  <c r="P102" i="73"/>
  <c r="H102" i="73"/>
  <c r="N102" i="73" s="1"/>
  <c r="D102" i="73"/>
  <c r="B102" i="73"/>
  <c r="Z101" i="73"/>
  <c r="X101" i="73"/>
  <c r="V101" i="73"/>
  <c r="N101" i="73"/>
  <c r="L101" i="73"/>
  <c r="B101" i="73"/>
  <c r="Z100" i="73"/>
  <c r="X100" i="73"/>
  <c r="N100" i="73"/>
  <c r="L100" i="73"/>
  <c r="B100" i="73"/>
  <c r="Z99" i="73"/>
  <c r="X99" i="73"/>
  <c r="V99" i="73"/>
  <c r="N99" i="73"/>
  <c r="L99" i="73"/>
  <c r="B99" i="73"/>
  <c r="Z98" i="73"/>
  <c r="X98" i="73"/>
  <c r="N98" i="73"/>
  <c r="L98" i="73"/>
  <c r="B98" i="73"/>
  <c r="Z97" i="73"/>
  <c r="X97" i="73"/>
  <c r="V97" i="73"/>
  <c r="N97" i="73"/>
  <c r="L97" i="73"/>
  <c r="B97" i="73"/>
  <c r="Z96" i="73"/>
  <c r="X96" i="73"/>
  <c r="N96" i="73"/>
  <c r="L96" i="73"/>
  <c r="B96" i="73"/>
  <c r="Z95" i="73"/>
  <c r="X95" i="73"/>
  <c r="V95" i="73"/>
  <c r="N95" i="73"/>
  <c r="L95" i="73"/>
  <c r="B95" i="73"/>
  <c r="Z94" i="73"/>
  <c r="X94" i="73"/>
  <c r="N94" i="73"/>
  <c r="L94" i="73"/>
  <c r="B94" i="73"/>
  <c r="Z93" i="73"/>
  <c r="X93" i="73"/>
  <c r="V93" i="73"/>
  <c r="N93" i="73"/>
  <c r="L93" i="73"/>
  <c r="B93" i="73"/>
  <c r="Z92" i="73"/>
  <c r="X92" i="73"/>
  <c r="L92" i="73"/>
  <c r="N92" i="73" s="1"/>
  <c r="B92" i="73"/>
  <c r="V91" i="73"/>
  <c r="T91" i="73"/>
  <c r="Z91" i="73" s="1"/>
  <c r="P91" i="73"/>
  <c r="X91" i="73" s="1"/>
  <c r="J91" i="73"/>
  <c r="H91" i="73"/>
  <c r="D91" i="73"/>
  <c r="B91" i="73"/>
  <c r="Z90" i="73"/>
  <c r="X90" i="73"/>
  <c r="N90" i="73"/>
  <c r="L90" i="73"/>
  <c r="B90" i="73"/>
  <c r="Z89" i="73"/>
  <c r="T89" i="73"/>
  <c r="P89" i="73"/>
  <c r="X89" i="73" s="1"/>
  <c r="L89" i="73"/>
  <c r="H89" i="73"/>
  <c r="N89" i="73" s="1"/>
  <c r="D89" i="73"/>
  <c r="B89" i="73"/>
  <c r="Z88" i="73"/>
  <c r="X88" i="73"/>
  <c r="N88" i="73"/>
  <c r="L88" i="73"/>
  <c r="B88" i="73"/>
  <c r="Z87" i="73"/>
  <c r="X87" i="73"/>
  <c r="T87" i="73"/>
  <c r="P87" i="73"/>
  <c r="N87" i="73"/>
  <c r="H87" i="73"/>
  <c r="L87" i="73" s="1"/>
  <c r="D87" i="73"/>
  <c r="B87" i="73"/>
  <c r="Z86" i="73"/>
  <c r="X86" i="73"/>
  <c r="L86" i="73"/>
  <c r="N86" i="73" s="1"/>
  <c r="B86" i="73"/>
  <c r="V85" i="73"/>
  <c r="T85" i="73"/>
  <c r="P85" i="73"/>
  <c r="J85" i="73"/>
  <c r="H85" i="73"/>
  <c r="N85" i="73" s="1"/>
  <c r="D85" i="73"/>
  <c r="L85" i="73" s="1"/>
  <c r="B85" i="73"/>
  <c r="Z84" i="73"/>
  <c r="X84" i="73"/>
  <c r="N84" i="73"/>
  <c r="L84" i="73"/>
  <c r="B84" i="73"/>
  <c r="X83" i="73"/>
  <c r="Z83" i="73" s="1"/>
  <c r="N83" i="73"/>
  <c r="L83" i="73"/>
  <c r="B83" i="73"/>
  <c r="X82" i="73"/>
  <c r="T82" i="73"/>
  <c r="Z82" i="73" s="1"/>
  <c r="P82" i="73"/>
  <c r="L82" i="73"/>
  <c r="H82" i="73"/>
  <c r="D82" i="73"/>
  <c r="B82" i="73"/>
  <c r="Z81" i="73"/>
  <c r="X81" i="73"/>
  <c r="N81" i="73"/>
  <c r="L81" i="73"/>
  <c r="J81" i="73"/>
  <c r="B81" i="73"/>
  <c r="T80" i="73"/>
  <c r="P80" i="73"/>
  <c r="X80" i="73" s="1"/>
  <c r="H80" i="73"/>
  <c r="D80" i="73"/>
  <c r="B80" i="73"/>
  <c r="Z79" i="73"/>
  <c r="X79" i="73"/>
  <c r="V79" i="73"/>
  <c r="N79" i="73"/>
  <c r="L79" i="73"/>
  <c r="B79" i="73"/>
  <c r="Z78" i="73"/>
  <c r="X78" i="73"/>
  <c r="N78" i="73"/>
  <c r="L78" i="73"/>
  <c r="B78" i="73"/>
  <c r="Z77" i="73"/>
  <c r="X77" i="73"/>
  <c r="V77" i="73"/>
  <c r="N77" i="73"/>
  <c r="L77" i="73"/>
  <c r="B77" i="73"/>
  <c r="Z76" i="73"/>
  <c r="X76" i="73"/>
  <c r="L76" i="73"/>
  <c r="N76" i="73" s="1"/>
  <c r="B76" i="73"/>
  <c r="Z75" i="73"/>
  <c r="X75" i="73"/>
  <c r="V75" i="73"/>
  <c r="N75" i="73"/>
  <c r="L75" i="73"/>
  <c r="B75" i="73"/>
  <c r="Z74" i="73"/>
  <c r="X74" i="73"/>
  <c r="N74" i="73"/>
  <c r="L74" i="73"/>
  <c r="B74" i="73"/>
  <c r="Z73" i="73"/>
  <c r="X73" i="73"/>
  <c r="V73" i="73"/>
  <c r="N73" i="73"/>
  <c r="L73" i="73"/>
  <c r="B73" i="73"/>
  <c r="Z72" i="73"/>
  <c r="X72" i="73"/>
  <c r="N72" i="73"/>
  <c r="L72" i="73"/>
  <c r="B72" i="73"/>
  <c r="Z71" i="73"/>
  <c r="X71" i="73"/>
  <c r="V71" i="73"/>
  <c r="N71" i="73"/>
  <c r="L71" i="73"/>
  <c r="B71" i="73"/>
  <c r="X70" i="73"/>
  <c r="Z70" i="73" s="1"/>
  <c r="L70" i="73"/>
  <c r="N70" i="73" s="1"/>
  <c r="B70" i="73"/>
  <c r="V69" i="73"/>
  <c r="T69" i="73"/>
  <c r="P69" i="73"/>
  <c r="J69" i="73"/>
  <c r="H69" i="73"/>
  <c r="N69" i="73" s="1"/>
  <c r="D69" i="73"/>
  <c r="L69" i="73" s="1"/>
  <c r="B69" i="73"/>
  <c r="Z68" i="73"/>
  <c r="X68" i="73"/>
  <c r="N68" i="73"/>
  <c r="L68" i="73"/>
  <c r="B68" i="73"/>
  <c r="X67" i="73"/>
  <c r="Z67" i="73" s="1"/>
  <c r="N67" i="73"/>
  <c r="L67" i="73"/>
  <c r="B67" i="73"/>
  <c r="X66" i="73"/>
  <c r="Z66" i="73" s="1"/>
  <c r="N66" i="73"/>
  <c r="L66" i="73"/>
  <c r="B66" i="73"/>
  <c r="Z65" i="73"/>
  <c r="X65" i="73"/>
  <c r="N65" i="73"/>
  <c r="L65" i="73"/>
  <c r="B65" i="73"/>
  <c r="Z64" i="73"/>
  <c r="X64" i="73"/>
  <c r="N64" i="73"/>
  <c r="L64" i="73"/>
  <c r="B64" i="73"/>
  <c r="X63" i="73"/>
  <c r="Z63" i="73" s="1"/>
  <c r="N63" i="73"/>
  <c r="L63" i="73"/>
  <c r="B63" i="73"/>
  <c r="X62" i="73"/>
  <c r="Z62" i="73" s="1"/>
  <c r="N62" i="73"/>
  <c r="L62" i="73"/>
  <c r="B62" i="73"/>
  <c r="Z61" i="73"/>
  <c r="X61" i="73"/>
  <c r="N61" i="73"/>
  <c r="L61" i="73"/>
  <c r="B61" i="73"/>
  <c r="X60" i="73"/>
  <c r="Z60" i="73" s="1"/>
  <c r="N60" i="73"/>
  <c r="L60" i="73"/>
  <c r="B60" i="73"/>
  <c r="X59" i="73"/>
  <c r="Z59" i="73" s="1"/>
  <c r="N59" i="73"/>
  <c r="L59" i="73"/>
  <c r="B59" i="73"/>
  <c r="X58" i="73"/>
  <c r="Z58" i="73" s="1"/>
  <c r="T58" i="73"/>
  <c r="P58" i="73"/>
  <c r="L58" i="73"/>
  <c r="H58" i="73"/>
  <c r="D58" i="73"/>
  <c r="B58" i="73"/>
  <c r="T57" i="73"/>
  <c r="P57" i="73"/>
  <c r="X57" i="73" s="1"/>
  <c r="Z57" i="73" s="1"/>
  <c r="N57" i="73"/>
  <c r="L57" i="73"/>
  <c r="H57" i="73"/>
  <c r="D57" i="73"/>
  <c r="Z53" i="73"/>
  <c r="X53" i="73"/>
  <c r="N53" i="73"/>
  <c r="L53" i="73"/>
  <c r="J53" i="73"/>
  <c r="B53" i="73"/>
  <c r="Z52" i="73"/>
  <c r="X52" i="73"/>
  <c r="N52" i="73"/>
  <c r="L52" i="73"/>
  <c r="B52" i="73"/>
  <c r="Z51" i="73"/>
  <c r="X51" i="73"/>
  <c r="N51" i="73"/>
  <c r="L51" i="73"/>
  <c r="J51" i="73"/>
  <c r="B51" i="73"/>
  <c r="Z50" i="73"/>
  <c r="X50" i="73"/>
  <c r="N50" i="73"/>
  <c r="L50" i="73"/>
  <c r="B50" i="73"/>
  <c r="Z49" i="73"/>
  <c r="X49" i="73"/>
  <c r="N49" i="73"/>
  <c r="L49" i="73"/>
  <c r="J49" i="73"/>
  <c r="B49" i="73"/>
  <c r="Z48" i="73"/>
  <c r="X48" i="73"/>
  <c r="N48" i="73"/>
  <c r="L48" i="73"/>
  <c r="B48" i="73"/>
  <c r="Z47" i="73"/>
  <c r="X47" i="73"/>
  <c r="N47" i="73"/>
  <c r="L47" i="73"/>
  <c r="J47" i="73"/>
  <c r="B47" i="73"/>
  <c r="Z46" i="73"/>
  <c r="X46" i="73"/>
  <c r="N46" i="73"/>
  <c r="L46" i="73"/>
  <c r="B46" i="73"/>
  <c r="Z45" i="73"/>
  <c r="X45" i="73"/>
  <c r="N45" i="73"/>
  <c r="L45" i="73"/>
  <c r="J45" i="73"/>
  <c r="B45" i="73"/>
  <c r="Z44" i="73"/>
  <c r="X44" i="73"/>
  <c r="N44" i="73"/>
  <c r="L44" i="73"/>
  <c r="B44" i="73"/>
  <c r="Z43" i="73"/>
  <c r="X43" i="73"/>
  <c r="N43" i="73"/>
  <c r="L43" i="73"/>
  <c r="J43" i="73"/>
  <c r="B43" i="73"/>
  <c r="Z42" i="73"/>
  <c r="X42" i="73"/>
  <c r="N42" i="73"/>
  <c r="L42" i="73"/>
  <c r="B42" i="73"/>
  <c r="Z41" i="73"/>
  <c r="X41" i="73"/>
  <c r="N41" i="73"/>
  <c r="L41" i="73"/>
  <c r="J41" i="73"/>
  <c r="B41" i="73"/>
  <c r="Z40" i="73"/>
  <c r="X40" i="73"/>
  <c r="N40" i="73"/>
  <c r="L40" i="73"/>
  <c r="J40" i="73"/>
  <c r="B40" i="73"/>
  <c r="Z39" i="73"/>
  <c r="X39" i="73"/>
  <c r="N39" i="73"/>
  <c r="L39" i="73"/>
  <c r="J39" i="73"/>
  <c r="B39" i="73"/>
  <c r="Z38" i="73"/>
  <c r="X38" i="73"/>
  <c r="L38" i="73"/>
  <c r="N38" i="73" s="1"/>
  <c r="B38" i="73"/>
  <c r="Z37" i="73"/>
  <c r="T37" i="73"/>
  <c r="P37" i="73"/>
  <c r="X37" i="73" s="1"/>
  <c r="H37" i="73"/>
  <c r="D37" i="73"/>
  <c r="L37" i="73" s="1"/>
  <c r="N37" i="73" s="1"/>
  <c r="Z35" i="73"/>
  <c r="X35" i="73"/>
  <c r="P35" i="73"/>
  <c r="N35" i="73"/>
  <c r="D35" i="73"/>
  <c r="L35" i="73" s="1"/>
  <c r="B35" i="73"/>
  <c r="Z34" i="73"/>
  <c r="X34" i="73"/>
  <c r="P34" i="73"/>
  <c r="N34" i="73"/>
  <c r="D34" i="73"/>
  <c r="L34" i="73" s="1"/>
  <c r="B34" i="73"/>
  <c r="Z33" i="73"/>
  <c r="X33" i="73"/>
  <c r="P33" i="73"/>
  <c r="N33" i="73"/>
  <c r="L33" i="73"/>
  <c r="D33" i="73"/>
  <c r="B33" i="73"/>
  <c r="Z32" i="73"/>
  <c r="P32" i="73"/>
  <c r="X32" i="73" s="1"/>
  <c r="N32" i="73"/>
  <c r="L32" i="73"/>
  <c r="D32" i="73"/>
  <c r="B32" i="73"/>
  <c r="Z31" i="73"/>
  <c r="P31" i="73"/>
  <c r="X31" i="73" s="1"/>
  <c r="N31" i="73"/>
  <c r="L31" i="73"/>
  <c r="D31" i="73"/>
  <c r="B31" i="73"/>
  <c r="Z30" i="73"/>
  <c r="X30" i="73"/>
  <c r="P30" i="73"/>
  <c r="N30" i="73"/>
  <c r="L30" i="73"/>
  <c r="D30" i="73"/>
  <c r="B30" i="73"/>
  <c r="Z29" i="73"/>
  <c r="P29" i="73"/>
  <c r="X29" i="73" s="1"/>
  <c r="N29" i="73"/>
  <c r="D29" i="73"/>
  <c r="L29" i="73" s="1"/>
  <c r="B29" i="73"/>
  <c r="Z28" i="73"/>
  <c r="P28" i="73"/>
  <c r="X28" i="73" s="1"/>
  <c r="N28" i="73"/>
  <c r="D28" i="73"/>
  <c r="L28" i="73" s="1"/>
  <c r="B28" i="73"/>
  <c r="Z27" i="73"/>
  <c r="X27" i="73"/>
  <c r="P27" i="73"/>
  <c r="N27" i="73"/>
  <c r="L27" i="73"/>
  <c r="D27" i="73"/>
  <c r="B27" i="73"/>
  <c r="Z26" i="73"/>
  <c r="P26" i="73"/>
  <c r="X26" i="73" s="1"/>
  <c r="N26" i="73"/>
  <c r="D26" i="73"/>
  <c r="L26" i="73" s="1"/>
  <c r="B26" i="73"/>
  <c r="Z25" i="73"/>
  <c r="P25" i="73"/>
  <c r="X25" i="73" s="1"/>
  <c r="N25" i="73"/>
  <c r="D25" i="73"/>
  <c r="L25" i="73" s="1"/>
  <c r="B25" i="73"/>
  <c r="Z24" i="73"/>
  <c r="X24" i="73"/>
  <c r="P24" i="73"/>
  <c r="N24" i="73"/>
  <c r="L24" i="73"/>
  <c r="D24" i="73"/>
  <c r="B24" i="73"/>
  <c r="Z23" i="73"/>
  <c r="X23" i="73"/>
  <c r="P23" i="73"/>
  <c r="N23" i="73"/>
  <c r="D23" i="73"/>
  <c r="L23" i="73" s="1"/>
  <c r="B23" i="73"/>
  <c r="Z22" i="73"/>
  <c r="X22" i="73"/>
  <c r="P22" i="73"/>
  <c r="N22" i="73"/>
  <c r="D22" i="73"/>
  <c r="B22" i="73"/>
  <c r="X21" i="73"/>
  <c r="Z21" i="73" s="1"/>
  <c r="P21" i="73"/>
  <c r="L21" i="73"/>
  <c r="N21" i="73" s="1"/>
  <c r="D21" i="73"/>
  <c r="B21" i="73"/>
  <c r="Z20" i="73"/>
  <c r="P20" i="73"/>
  <c r="X20" i="73" s="1"/>
  <c r="N20" i="73"/>
  <c r="L20" i="73"/>
  <c r="D20" i="73"/>
  <c r="B20" i="73"/>
  <c r="Z19" i="73"/>
  <c r="P19" i="73"/>
  <c r="X19" i="73" s="1"/>
  <c r="N19" i="73"/>
  <c r="L19" i="73"/>
  <c r="D19" i="73"/>
  <c r="B19" i="73"/>
  <c r="Z18" i="73"/>
  <c r="X18" i="73"/>
  <c r="P18" i="73"/>
  <c r="N18" i="73"/>
  <c r="L18" i="73"/>
  <c r="D18" i="73"/>
  <c r="B18" i="73"/>
  <c r="Z17" i="73"/>
  <c r="P17" i="73"/>
  <c r="X17" i="73" s="1"/>
  <c r="N17" i="73"/>
  <c r="D17" i="73"/>
  <c r="L17" i="73" s="1"/>
  <c r="B17" i="73"/>
  <c r="Z16" i="73"/>
  <c r="P16" i="73"/>
  <c r="X16" i="73" s="1"/>
  <c r="N16" i="73"/>
  <c r="D16" i="73"/>
  <c r="L16" i="73" s="1"/>
  <c r="B16" i="73"/>
  <c r="Z15" i="73"/>
  <c r="X15" i="73"/>
  <c r="P15" i="73"/>
  <c r="N15" i="73"/>
  <c r="L15" i="73"/>
  <c r="D15" i="73"/>
  <c r="B15" i="73"/>
  <c r="Z14" i="73"/>
  <c r="P14" i="73"/>
  <c r="X14" i="73" s="1"/>
  <c r="N14" i="73"/>
  <c r="D14" i="73"/>
  <c r="L14" i="73" s="1"/>
  <c r="B14" i="73"/>
  <c r="P13" i="73"/>
  <c r="D13" i="73"/>
  <c r="L13" i="73" s="1"/>
  <c r="N13" i="73" s="1"/>
  <c r="B13" i="73"/>
  <c r="T12" i="73"/>
  <c r="V109" i="73" s="1"/>
  <c r="H12" i="73"/>
  <c r="J105" i="73" s="1"/>
  <c r="D6" i="73"/>
  <c r="D4" i="73"/>
  <c r="Z89" i="72"/>
  <c r="X89" i="72"/>
  <c r="L89" i="72"/>
  <c r="N89" i="72" s="1"/>
  <c r="Z85" i="72"/>
  <c r="X85" i="72"/>
  <c r="T85" i="72"/>
  <c r="P85" i="72"/>
  <c r="L85" i="72"/>
  <c r="H85" i="72"/>
  <c r="N85" i="72" s="1"/>
  <c r="D85" i="72"/>
  <c r="X83" i="72"/>
  <c r="Z83" i="72" s="1"/>
  <c r="N83" i="72"/>
  <c r="L83" i="72"/>
  <c r="B83" i="72"/>
  <c r="T82" i="72"/>
  <c r="P82" i="72"/>
  <c r="X82" i="72" s="1"/>
  <c r="Z82" i="72" s="1"/>
  <c r="L82" i="72"/>
  <c r="H82" i="72"/>
  <c r="N82" i="72" s="1"/>
  <c r="D82" i="72"/>
  <c r="B82" i="72"/>
  <c r="Z81" i="72"/>
  <c r="X81" i="72"/>
  <c r="N81" i="72"/>
  <c r="L81" i="72"/>
  <c r="B81" i="72"/>
  <c r="Z80" i="72"/>
  <c r="T80" i="72"/>
  <c r="P80" i="72"/>
  <c r="X80" i="72" s="1"/>
  <c r="H80" i="72"/>
  <c r="D80" i="72"/>
  <c r="B80" i="72"/>
  <c r="Z79" i="72"/>
  <c r="X79" i="72"/>
  <c r="N79" i="72"/>
  <c r="L79" i="72"/>
  <c r="B79" i="72"/>
  <c r="X78" i="72"/>
  <c r="Z78" i="72" s="1"/>
  <c r="N78" i="72"/>
  <c r="L78" i="72"/>
  <c r="B78" i="72"/>
  <c r="Z77" i="72"/>
  <c r="X77" i="72"/>
  <c r="N77" i="72"/>
  <c r="L77" i="72"/>
  <c r="B77" i="72"/>
  <c r="Z76" i="72"/>
  <c r="X76" i="72"/>
  <c r="V76" i="72"/>
  <c r="N76" i="72"/>
  <c r="L76" i="72"/>
  <c r="B76" i="72"/>
  <c r="Z75" i="72"/>
  <c r="X75" i="72"/>
  <c r="N75" i="72"/>
  <c r="L75" i="72"/>
  <c r="B75" i="72"/>
  <c r="Z74" i="72"/>
  <c r="X74" i="72"/>
  <c r="V74" i="72"/>
  <c r="N74" i="72"/>
  <c r="L74" i="72"/>
  <c r="B74" i="72"/>
  <c r="T73" i="72"/>
  <c r="P73" i="72"/>
  <c r="X73" i="72" s="1"/>
  <c r="Z73" i="72" s="1"/>
  <c r="H73" i="72"/>
  <c r="D73" i="72"/>
  <c r="L73" i="72" s="1"/>
  <c r="N73" i="72" s="1"/>
  <c r="B73" i="72"/>
  <c r="Z72" i="72"/>
  <c r="X72" i="72"/>
  <c r="N72" i="72"/>
  <c r="L72" i="72"/>
  <c r="B72" i="72"/>
  <c r="Z71" i="72"/>
  <c r="X71" i="72"/>
  <c r="T71" i="72"/>
  <c r="P71" i="72"/>
  <c r="H71" i="72"/>
  <c r="N71" i="72" s="1"/>
  <c r="D71" i="72"/>
  <c r="B71" i="72"/>
  <c r="Z70" i="72"/>
  <c r="X70" i="72"/>
  <c r="L70" i="72"/>
  <c r="N70" i="72" s="1"/>
  <c r="J70" i="72"/>
  <c r="B70" i="72"/>
  <c r="Z69" i="72"/>
  <c r="X69" i="72"/>
  <c r="N69" i="72"/>
  <c r="L69" i="72"/>
  <c r="J69" i="72"/>
  <c r="B69" i="72"/>
  <c r="Z68" i="72"/>
  <c r="X68" i="72"/>
  <c r="N68" i="72"/>
  <c r="L68" i="72"/>
  <c r="B68" i="72"/>
  <c r="T67" i="72"/>
  <c r="P67" i="72"/>
  <c r="H67" i="72"/>
  <c r="D67" i="72"/>
  <c r="B67" i="72"/>
  <c r="X66" i="72"/>
  <c r="Z66" i="72" s="1"/>
  <c r="N66" i="72"/>
  <c r="L66" i="72"/>
  <c r="B66" i="72"/>
  <c r="T65" i="72"/>
  <c r="P65" i="72"/>
  <c r="X65" i="72" s="1"/>
  <c r="Z65" i="72" s="1"/>
  <c r="H65" i="72"/>
  <c r="D65" i="72"/>
  <c r="L65" i="72" s="1"/>
  <c r="N65" i="72" s="1"/>
  <c r="B65" i="72"/>
  <c r="Z64" i="72"/>
  <c r="X64" i="72"/>
  <c r="N64" i="72"/>
  <c r="L64" i="72"/>
  <c r="J64" i="72"/>
  <c r="B64" i="72"/>
  <c r="Z63" i="72"/>
  <c r="X63" i="72"/>
  <c r="T63" i="72"/>
  <c r="P63" i="72"/>
  <c r="L63" i="72"/>
  <c r="H63" i="72"/>
  <c r="N63" i="72" s="1"/>
  <c r="D63" i="72"/>
  <c r="B63" i="72"/>
  <c r="Z62" i="72"/>
  <c r="X62" i="72"/>
  <c r="N62" i="72"/>
  <c r="L62" i="72"/>
  <c r="J62" i="72"/>
  <c r="B62" i="72"/>
  <c r="T61" i="72"/>
  <c r="Z61" i="72" s="1"/>
  <c r="P61" i="72"/>
  <c r="H61" i="72"/>
  <c r="N61" i="72" s="1"/>
  <c r="D61" i="72"/>
  <c r="B61" i="72"/>
  <c r="Z60" i="72"/>
  <c r="X60" i="72"/>
  <c r="N60" i="72"/>
  <c r="L60" i="72"/>
  <c r="B60" i="72"/>
  <c r="Z59" i="72"/>
  <c r="X59" i="72"/>
  <c r="T59" i="72"/>
  <c r="P59" i="72"/>
  <c r="N59" i="72"/>
  <c r="J59" i="72"/>
  <c r="H59" i="72"/>
  <c r="D59" i="72"/>
  <c r="L59" i="72" s="1"/>
  <c r="B59" i="72"/>
  <c r="Z58" i="72"/>
  <c r="X58" i="72"/>
  <c r="N58" i="72"/>
  <c r="L58" i="72"/>
  <c r="B58" i="72"/>
  <c r="T57" i="72"/>
  <c r="X57" i="72" s="1"/>
  <c r="Z57" i="72" s="1"/>
  <c r="P57" i="72"/>
  <c r="L57" i="72"/>
  <c r="N57" i="72" s="1"/>
  <c r="J57" i="72"/>
  <c r="H57" i="72"/>
  <c r="D57" i="72"/>
  <c r="B57" i="72"/>
  <c r="Z56" i="72"/>
  <c r="X56" i="72"/>
  <c r="L56" i="72"/>
  <c r="N56" i="72" s="1"/>
  <c r="B56" i="72"/>
  <c r="Z55" i="72"/>
  <c r="T55" i="72"/>
  <c r="P55" i="72"/>
  <c r="X55" i="72" s="1"/>
  <c r="H55" i="72"/>
  <c r="D55" i="72"/>
  <c r="L55" i="72" s="1"/>
  <c r="B55" i="72"/>
  <c r="Z54" i="72"/>
  <c r="X54" i="72"/>
  <c r="N54" i="72"/>
  <c r="L54" i="72"/>
  <c r="B54" i="72"/>
  <c r="T53" i="72"/>
  <c r="Z53" i="72" s="1"/>
  <c r="P53" i="72"/>
  <c r="X53" i="72" s="1"/>
  <c r="N53" i="72"/>
  <c r="H53" i="72"/>
  <c r="D53" i="72"/>
  <c r="L53" i="72" s="1"/>
  <c r="B53" i="72"/>
  <c r="Z52" i="72"/>
  <c r="X52" i="72"/>
  <c r="N52" i="72"/>
  <c r="L52" i="72"/>
  <c r="B52" i="72"/>
  <c r="Z51" i="72"/>
  <c r="X51" i="72"/>
  <c r="T51" i="72"/>
  <c r="P51" i="72"/>
  <c r="H51" i="72"/>
  <c r="D51" i="72"/>
  <c r="B51" i="72"/>
  <c r="Z50" i="72"/>
  <c r="X50" i="72"/>
  <c r="N50" i="72"/>
  <c r="L50" i="72"/>
  <c r="B50" i="72"/>
  <c r="Z49" i="72"/>
  <c r="X49" i="72"/>
  <c r="N49" i="72"/>
  <c r="L49" i="72"/>
  <c r="B49" i="72"/>
  <c r="X48" i="72"/>
  <c r="Z48" i="72" s="1"/>
  <c r="V48" i="72"/>
  <c r="N48" i="72"/>
  <c r="L48" i="72"/>
  <c r="B48" i="72"/>
  <c r="Z47" i="72"/>
  <c r="X47" i="72"/>
  <c r="L47" i="72"/>
  <c r="N47" i="72" s="1"/>
  <c r="B47" i="72"/>
  <c r="Z46" i="72"/>
  <c r="X46" i="72"/>
  <c r="N46" i="72"/>
  <c r="L46" i="72"/>
  <c r="B46" i="72"/>
  <c r="Z45" i="72"/>
  <c r="X45" i="72"/>
  <c r="N45" i="72"/>
  <c r="L45" i="72"/>
  <c r="B45" i="72"/>
  <c r="Z44" i="72"/>
  <c r="X44" i="72"/>
  <c r="L44" i="72"/>
  <c r="N44" i="72" s="1"/>
  <c r="J44" i="72"/>
  <c r="B44" i="72"/>
  <c r="Z43" i="72"/>
  <c r="X43" i="72"/>
  <c r="N43" i="72"/>
  <c r="L43" i="72"/>
  <c r="B43" i="72"/>
  <c r="Z42" i="72"/>
  <c r="X42" i="72"/>
  <c r="N42" i="72"/>
  <c r="L42" i="72"/>
  <c r="B42" i="72"/>
  <c r="X41" i="72"/>
  <c r="Z41" i="72" s="1"/>
  <c r="N41" i="72"/>
  <c r="L41" i="72"/>
  <c r="J41" i="72"/>
  <c r="B41" i="72"/>
  <c r="T40" i="72"/>
  <c r="P40" i="72"/>
  <c r="X40" i="72" s="1"/>
  <c r="Z40" i="72" s="1"/>
  <c r="H40" i="72"/>
  <c r="D40" i="72"/>
  <c r="L40" i="72" s="1"/>
  <c r="B40" i="72"/>
  <c r="Z39" i="72"/>
  <c r="X39" i="72"/>
  <c r="N39" i="72"/>
  <c r="L39" i="72"/>
  <c r="B39" i="72"/>
  <c r="X38" i="72"/>
  <c r="Z38" i="72" s="1"/>
  <c r="L38" i="72"/>
  <c r="N38" i="72" s="1"/>
  <c r="B38" i="72"/>
  <c r="X37" i="72"/>
  <c r="Z37" i="72" s="1"/>
  <c r="L37" i="72"/>
  <c r="N37" i="72" s="1"/>
  <c r="B37" i="72"/>
  <c r="Z36" i="72"/>
  <c r="X36" i="72"/>
  <c r="N36" i="72"/>
  <c r="L36" i="72"/>
  <c r="J36" i="72"/>
  <c r="B36" i="72"/>
  <c r="Z35" i="72"/>
  <c r="X35" i="72"/>
  <c r="N35" i="72"/>
  <c r="L35" i="72"/>
  <c r="B35" i="72"/>
  <c r="X34" i="72"/>
  <c r="Z34" i="72" s="1"/>
  <c r="L34" i="72"/>
  <c r="N34" i="72" s="1"/>
  <c r="B34" i="72"/>
  <c r="X33" i="72"/>
  <c r="Z33" i="72" s="1"/>
  <c r="L33" i="72"/>
  <c r="N33" i="72" s="1"/>
  <c r="B33" i="72"/>
  <c r="X32" i="72"/>
  <c r="Z32" i="72" s="1"/>
  <c r="N32" i="72"/>
  <c r="L32" i="72"/>
  <c r="J32" i="72"/>
  <c r="B32" i="72"/>
  <c r="Z31" i="72"/>
  <c r="X31" i="72"/>
  <c r="N31" i="72"/>
  <c r="L31" i="72"/>
  <c r="B31" i="72"/>
  <c r="X30" i="72"/>
  <c r="Z30" i="72" s="1"/>
  <c r="V30" i="72"/>
  <c r="T30" i="72"/>
  <c r="P30" i="72"/>
  <c r="L30" i="72"/>
  <c r="N30" i="72" s="1"/>
  <c r="H30" i="72"/>
  <c r="D30" i="72"/>
  <c r="B30" i="72"/>
  <c r="Z29" i="72"/>
  <c r="X29" i="72"/>
  <c r="T29" i="72"/>
  <c r="P29" i="72"/>
  <c r="H29" i="72"/>
  <c r="D29" i="72"/>
  <c r="L29" i="72" s="1"/>
  <c r="N29" i="72" s="1"/>
  <c r="Z25" i="72"/>
  <c r="X25" i="72"/>
  <c r="N25" i="72"/>
  <c r="L25" i="72"/>
  <c r="J25" i="72"/>
  <c r="B25" i="72"/>
  <c r="Z24" i="72"/>
  <c r="X24" i="72"/>
  <c r="N24" i="72"/>
  <c r="L24" i="72"/>
  <c r="B24" i="72"/>
  <c r="Z23" i="72"/>
  <c r="X23" i="72"/>
  <c r="L23" i="72"/>
  <c r="N23" i="72" s="1"/>
  <c r="J23" i="72"/>
  <c r="B23" i="72"/>
  <c r="T22" i="72"/>
  <c r="P22" i="72"/>
  <c r="H22" i="72"/>
  <c r="D22" i="72"/>
  <c r="L22" i="72" s="1"/>
  <c r="Z20" i="72"/>
  <c r="P20" i="72"/>
  <c r="X20" i="72" s="1"/>
  <c r="N20" i="72"/>
  <c r="L20" i="72"/>
  <c r="D20" i="72"/>
  <c r="B20" i="72"/>
  <c r="Z19" i="72"/>
  <c r="P19" i="72"/>
  <c r="X19" i="72" s="1"/>
  <c r="N19" i="72"/>
  <c r="D19" i="72"/>
  <c r="L19" i="72" s="1"/>
  <c r="B19" i="72"/>
  <c r="Z18" i="72"/>
  <c r="X18" i="72"/>
  <c r="P18" i="72"/>
  <c r="N18" i="72"/>
  <c r="L18" i="72"/>
  <c r="D18" i="72"/>
  <c r="B18" i="72"/>
  <c r="Z17" i="72"/>
  <c r="X17" i="72"/>
  <c r="P17" i="72"/>
  <c r="N17" i="72"/>
  <c r="D17" i="72"/>
  <c r="L17" i="72" s="1"/>
  <c r="B17" i="72"/>
  <c r="Z16" i="72"/>
  <c r="P16" i="72"/>
  <c r="X16" i="72" s="1"/>
  <c r="N16" i="72"/>
  <c r="D16" i="72"/>
  <c r="B16" i="72"/>
  <c r="P15" i="72"/>
  <c r="X15" i="72" s="1"/>
  <c r="Z15" i="72" s="1"/>
  <c r="L15" i="72"/>
  <c r="N15" i="72" s="1"/>
  <c r="D15" i="72"/>
  <c r="B15" i="72"/>
  <c r="Z14" i="72"/>
  <c r="P14" i="72"/>
  <c r="X14" i="72" s="1"/>
  <c r="N14" i="72"/>
  <c r="L14" i="72"/>
  <c r="D14" i="72"/>
  <c r="B14" i="72"/>
  <c r="Z13" i="72"/>
  <c r="P13" i="72"/>
  <c r="X13" i="72" s="1"/>
  <c r="N13" i="72"/>
  <c r="D13" i="72"/>
  <c r="L13" i="72" s="1"/>
  <c r="B13" i="72"/>
  <c r="T12" i="72"/>
  <c r="H12" i="72"/>
  <c r="J55" i="72" s="1"/>
  <c r="D6" i="72"/>
  <c r="D4" i="72"/>
  <c r="X141" i="70"/>
  <c r="Z141" i="70" s="1"/>
  <c r="N141" i="70"/>
  <c r="L141" i="70"/>
  <c r="X137" i="70"/>
  <c r="Z137" i="70" s="1"/>
  <c r="P137" i="70"/>
  <c r="L137" i="70"/>
  <c r="N137" i="70" s="1"/>
  <c r="D137" i="70"/>
  <c r="B137" i="70"/>
  <c r="Z136" i="70"/>
  <c r="X136" i="70"/>
  <c r="P136" i="70"/>
  <c r="N136" i="70"/>
  <c r="L136" i="70"/>
  <c r="D136" i="70"/>
  <c r="B136" i="70"/>
  <c r="Z135" i="70"/>
  <c r="P135" i="70"/>
  <c r="X135" i="70" s="1"/>
  <c r="N135" i="70"/>
  <c r="D135" i="70"/>
  <c r="L135" i="70" s="1"/>
  <c r="B135" i="70"/>
  <c r="Z134" i="70"/>
  <c r="P134" i="70"/>
  <c r="X134" i="70" s="1"/>
  <c r="N134" i="70"/>
  <c r="D134" i="70"/>
  <c r="L134" i="70" s="1"/>
  <c r="B134" i="70"/>
  <c r="T133" i="70"/>
  <c r="N133" i="70"/>
  <c r="H133" i="70"/>
  <c r="D133" i="70"/>
  <c r="L133" i="70" s="1"/>
  <c r="Z131" i="70"/>
  <c r="X131" i="70"/>
  <c r="N131" i="70"/>
  <c r="L131" i="70"/>
  <c r="J131" i="70"/>
  <c r="B131" i="70"/>
  <c r="Z130" i="70"/>
  <c r="X130" i="70"/>
  <c r="N130" i="70"/>
  <c r="L130" i="70"/>
  <c r="B130" i="70"/>
  <c r="T129" i="70"/>
  <c r="P129" i="70"/>
  <c r="X129" i="70" s="1"/>
  <c r="Z129" i="70" s="1"/>
  <c r="N129" i="70"/>
  <c r="H129" i="70"/>
  <c r="D129" i="70"/>
  <c r="L129" i="70" s="1"/>
  <c r="B129" i="70"/>
  <c r="Z128" i="70"/>
  <c r="X128" i="70"/>
  <c r="N128" i="70"/>
  <c r="L128" i="70"/>
  <c r="B128" i="70"/>
  <c r="X127" i="70"/>
  <c r="Z127" i="70" s="1"/>
  <c r="T127" i="70"/>
  <c r="P127" i="70"/>
  <c r="L127" i="70"/>
  <c r="N127" i="70" s="1"/>
  <c r="H127" i="70"/>
  <c r="D127" i="70"/>
  <c r="B127" i="70"/>
  <c r="X126" i="70"/>
  <c r="Z126" i="70" s="1"/>
  <c r="L126" i="70"/>
  <c r="N126" i="70" s="1"/>
  <c r="J126" i="70"/>
  <c r="B126" i="70"/>
  <c r="Z125" i="70"/>
  <c r="X125" i="70"/>
  <c r="N125" i="70"/>
  <c r="L125" i="70"/>
  <c r="B125" i="70"/>
  <c r="T124" i="70"/>
  <c r="P124" i="70"/>
  <c r="X124" i="70" s="1"/>
  <c r="Z124" i="70" s="1"/>
  <c r="L124" i="70"/>
  <c r="N124" i="70" s="1"/>
  <c r="H124" i="70"/>
  <c r="D124" i="70"/>
  <c r="B124" i="70"/>
  <c r="Z123" i="70"/>
  <c r="X123" i="70"/>
  <c r="L123" i="70"/>
  <c r="N123" i="70" s="1"/>
  <c r="J123" i="70"/>
  <c r="B123" i="70"/>
  <c r="X122" i="70"/>
  <c r="Z122" i="70" s="1"/>
  <c r="L122" i="70"/>
  <c r="N122" i="70" s="1"/>
  <c r="B122" i="70"/>
  <c r="Z121" i="70"/>
  <c r="X121" i="70"/>
  <c r="L121" i="70"/>
  <c r="N121" i="70" s="1"/>
  <c r="B121" i="70"/>
  <c r="T120" i="70"/>
  <c r="P120" i="70"/>
  <c r="L120" i="70"/>
  <c r="N120" i="70" s="1"/>
  <c r="J120" i="70"/>
  <c r="H120" i="70"/>
  <c r="D120" i="70"/>
  <c r="B120" i="70"/>
  <c r="Z119" i="70"/>
  <c r="X119" i="70"/>
  <c r="N119" i="70"/>
  <c r="L119" i="70"/>
  <c r="B119" i="70"/>
  <c r="X118" i="70"/>
  <c r="Z118" i="70" s="1"/>
  <c r="L118" i="70"/>
  <c r="N118" i="70" s="1"/>
  <c r="B118" i="70"/>
  <c r="X117" i="70"/>
  <c r="Z117" i="70" s="1"/>
  <c r="T117" i="70"/>
  <c r="P117" i="70"/>
  <c r="L117" i="70"/>
  <c r="N117" i="70" s="1"/>
  <c r="J117" i="70"/>
  <c r="H117" i="70"/>
  <c r="D117" i="70"/>
  <c r="B117" i="70"/>
  <c r="Z116" i="70"/>
  <c r="X116" i="70"/>
  <c r="L116" i="70"/>
  <c r="N116" i="70" s="1"/>
  <c r="J116" i="70"/>
  <c r="B116" i="70"/>
  <c r="X115" i="70"/>
  <c r="Z115" i="70" s="1"/>
  <c r="N115" i="70"/>
  <c r="L115" i="70"/>
  <c r="B115" i="70"/>
  <c r="X114" i="70"/>
  <c r="Z114" i="70" s="1"/>
  <c r="N114" i="70"/>
  <c r="L114" i="70"/>
  <c r="J114" i="70"/>
  <c r="B114" i="70"/>
  <c r="Z113" i="70"/>
  <c r="X113" i="70"/>
  <c r="N113" i="70"/>
  <c r="L113" i="70"/>
  <c r="B113" i="70"/>
  <c r="T112" i="70"/>
  <c r="P112" i="70"/>
  <c r="X112" i="70" s="1"/>
  <c r="Z112" i="70" s="1"/>
  <c r="L112" i="70"/>
  <c r="N112" i="70" s="1"/>
  <c r="H112" i="70"/>
  <c r="D112" i="70"/>
  <c r="B112" i="70"/>
  <c r="Z111" i="70"/>
  <c r="X111" i="70"/>
  <c r="N111" i="70"/>
  <c r="L111" i="70"/>
  <c r="J111" i="70"/>
  <c r="B111" i="70"/>
  <c r="Z110" i="70"/>
  <c r="X110" i="70"/>
  <c r="N110" i="70"/>
  <c r="L110" i="70"/>
  <c r="B110" i="70"/>
  <c r="Z109" i="70"/>
  <c r="X109" i="70"/>
  <c r="N109" i="70"/>
  <c r="L109" i="70"/>
  <c r="B109" i="70"/>
  <c r="Z108" i="70"/>
  <c r="X108" i="70"/>
  <c r="N108" i="70"/>
  <c r="L108" i="70"/>
  <c r="B108" i="70"/>
  <c r="Z107" i="70"/>
  <c r="X107" i="70"/>
  <c r="N107" i="70"/>
  <c r="L107" i="70"/>
  <c r="J107" i="70"/>
  <c r="B107" i="70"/>
  <c r="Z106" i="70"/>
  <c r="X106" i="70"/>
  <c r="N106" i="70"/>
  <c r="L106" i="70"/>
  <c r="B106" i="70"/>
  <c r="Z105" i="70"/>
  <c r="X105" i="70"/>
  <c r="N105" i="70"/>
  <c r="L105" i="70"/>
  <c r="B105" i="70"/>
  <c r="Z104" i="70"/>
  <c r="X104" i="70"/>
  <c r="N104" i="70"/>
  <c r="L104" i="70"/>
  <c r="B104" i="70"/>
  <c r="X103" i="70"/>
  <c r="Z103" i="70" s="1"/>
  <c r="L103" i="70"/>
  <c r="N103" i="70" s="1"/>
  <c r="J103" i="70"/>
  <c r="B103" i="70"/>
  <c r="X102" i="70"/>
  <c r="Z102" i="70" s="1"/>
  <c r="T102" i="70"/>
  <c r="P102" i="70"/>
  <c r="L102" i="70"/>
  <c r="J102" i="70"/>
  <c r="H102" i="70"/>
  <c r="D102" i="70"/>
  <c r="B102" i="70"/>
  <c r="X101" i="70"/>
  <c r="Z101" i="70" s="1"/>
  <c r="N101" i="70"/>
  <c r="L101" i="70"/>
  <c r="J101" i="70"/>
  <c r="B101" i="70"/>
  <c r="T100" i="70"/>
  <c r="X100" i="70" s="1"/>
  <c r="P100" i="70"/>
  <c r="H100" i="70"/>
  <c r="N100" i="70" s="1"/>
  <c r="D100" i="70"/>
  <c r="B100" i="70"/>
  <c r="Z99" i="70"/>
  <c r="X99" i="70"/>
  <c r="N99" i="70"/>
  <c r="L99" i="70"/>
  <c r="B99" i="70"/>
  <c r="Z98" i="70"/>
  <c r="X98" i="70"/>
  <c r="L98" i="70"/>
  <c r="N98" i="70" s="1"/>
  <c r="J98" i="70"/>
  <c r="B98" i="70"/>
  <c r="T97" i="70"/>
  <c r="P97" i="70"/>
  <c r="X97" i="70" s="1"/>
  <c r="H97" i="70"/>
  <c r="D97" i="70"/>
  <c r="B97" i="70"/>
  <c r="X96" i="70"/>
  <c r="Z96" i="70" s="1"/>
  <c r="L96" i="70"/>
  <c r="N96" i="70" s="1"/>
  <c r="B96" i="70"/>
  <c r="T95" i="70"/>
  <c r="P95" i="70"/>
  <c r="X95" i="70" s="1"/>
  <c r="Z95" i="70" s="1"/>
  <c r="N95" i="70"/>
  <c r="H95" i="70"/>
  <c r="D95" i="70"/>
  <c r="L95" i="70" s="1"/>
  <c r="B95" i="70"/>
  <c r="X94" i="70"/>
  <c r="Z94" i="70" s="1"/>
  <c r="N94" i="70"/>
  <c r="L94" i="70"/>
  <c r="B94" i="70"/>
  <c r="X93" i="70"/>
  <c r="Z93" i="70" s="1"/>
  <c r="T93" i="70"/>
  <c r="P93" i="70"/>
  <c r="N93" i="70"/>
  <c r="L93" i="70"/>
  <c r="J93" i="70"/>
  <c r="H93" i="70"/>
  <c r="D93" i="70"/>
  <c r="B93" i="70"/>
  <c r="Z92" i="70"/>
  <c r="X92" i="70"/>
  <c r="N92" i="70"/>
  <c r="L92" i="70"/>
  <c r="J92" i="70"/>
  <c r="B92" i="70"/>
  <c r="X91" i="70"/>
  <c r="Z91" i="70" s="1"/>
  <c r="N91" i="70"/>
  <c r="L91" i="70"/>
  <c r="B91" i="70"/>
  <c r="X90" i="70"/>
  <c r="Z90" i="70" s="1"/>
  <c r="T90" i="70"/>
  <c r="P90" i="70"/>
  <c r="H90" i="70"/>
  <c r="D90" i="70"/>
  <c r="L90" i="70" s="1"/>
  <c r="N90" i="70" s="1"/>
  <c r="B90" i="70"/>
  <c r="Z89" i="70"/>
  <c r="X89" i="70"/>
  <c r="L89" i="70"/>
  <c r="N89" i="70" s="1"/>
  <c r="B89" i="70"/>
  <c r="T88" i="70"/>
  <c r="P88" i="70"/>
  <c r="L88" i="70"/>
  <c r="N88" i="70" s="1"/>
  <c r="J88" i="70"/>
  <c r="H88" i="70"/>
  <c r="D88" i="70"/>
  <c r="B88" i="70"/>
  <c r="Z87" i="70"/>
  <c r="X87" i="70"/>
  <c r="N87" i="70"/>
  <c r="L87" i="70"/>
  <c r="B87" i="70"/>
  <c r="Z86" i="70"/>
  <c r="X86" i="70"/>
  <c r="N86" i="70"/>
  <c r="L86" i="70"/>
  <c r="B86" i="70"/>
  <c r="X85" i="70"/>
  <c r="Z85" i="70" s="1"/>
  <c r="N85" i="70"/>
  <c r="L85" i="70"/>
  <c r="J85" i="70"/>
  <c r="B85" i="70"/>
  <c r="X84" i="70"/>
  <c r="Z84" i="70" s="1"/>
  <c r="N84" i="70"/>
  <c r="L84" i="70"/>
  <c r="B84" i="70"/>
  <c r="Z83" i="70"/>
  <c r="X83" i="70"/>
  <c r="N83" i="70"/>
  <c r="L83" i="70"/>
  <c r="B83" i="70"/>
  <c r="X82" i="70"/>
  <c r="Z82" i="70" s="1"/>
  <c r="N82" i="70"/>
  <c r="L82" i="70"/>
  <c r="B82" i="70"/>
  <c r="X81" i="70"/>
  <c r="Z81" i="70" s="1"/>
  <c r="N81" i="70"/>
  <c r="L81" i="70"/>
  <c r="J81" i="70"/>
  <c r="B81" i="70"/>
  <c r="Z80" i="70"/>
  <c r="X80" i="70"/>
  <c r="N80" i="70"/>
  <c r="L80" i="70"/>
  <c r="B80" i="70"/>
  <c r="Z79" i="70"/>
  <c r="X79" i="70"/>
  <c r="L79" i="70"/>
  <c r="N79" i="70" s="1"/>
  <c r="B79" i="70"/>
  <c r="Z78" i="70"/>
  <c r="X78" i="70"/>
  <c r="N78" i="70"/>
  <c r="L78" i="70"/>
  <c r="B78" i="70"/>
  <c r="X77" i="70"/>
  <c r="Z77" i="70" s="1"/>
  <c r="T77" i="70"/>
  <c r="P77" i="70"/>
  <c r="L77" i="70"/>
  <c r="N77" i="70" s="1"/>
  <c r="J77" i="70"/>
  <c r="H77" i="70"/>
  <c r="D77" i="70"/>
  <c r="B77" i="70"/>
  <c r="Z76" i="70"/>
  <c r="X76" i="70"/>
  <c r="L76" i="70"/>
  <c r="N76" i="70" s="1"/>
  <c r="J76" i="70"/>
  <c r="B76" i="70"/>
  <c r="X75" i="70"/>
  <c r="Z75" i="70" s="1"/>
  <c r="N75" i="70"/>
  <c r="L75" i="70"/>
  <c r="B75" i="70"/>
  <c r="X74" i="70"/>
  <c r="Z74" i="70" s="1"/>
  <c r="N74" i="70"/>
  <c r="L74" i="70"/>
  <c r="J74" i="70"/>
  <c r="B74" i="70"/>
  <c r="Z73" i="70"/>
  <c r="X73" i="70"/>
  <c r="N73" i="70"/>
  <c r="L73" i="70"/>
  <c r="B73" i="70"/>
  <c r="Z72" i="70"/>
  <c r="X72" i="70"/>
  <c r="N72" i="70"/>
  <c r="L72" i="70"/>
  <c r="J72" i="70"/>
  <c r="B72" i="70"/>
  <c r="X71" i="70"/>
  <c r="Z71" i="70" s="1"/>
  <c r="N71" i="70"/>
  <c r="L71" i="70"/>
  <c r="B71" i="70"/>
  <c r="X70" i="70"/>
  <c r="Z70" i="70" s="1"/>
  <c r="N70" i="70"/>
  <c r="L70" i="70"/>
  <c r="J70" i="70"/>
  <c r="B70" i="70"/>
  <c r="Z69" i="70"/>
  <c r="X69" i="70"/>
  <c r="N69" i="70"/>
  <c r="L69" i="70"/>
  <c r="B69" i="70"/>
  <c r="Z68" i="70"/>
  <c r="X68" i="70"/>
  <c r="L68" i="70"/>
  <c r="N68" i="70" s="1"/>
  <c r="J68" i="70"/>
  <c r="B68" i="70"/>
  <c r="X67" i="70"/>
  <c r="Z67" i="70" s="1"/>
  <c r="N67" i="70"/>
  <c r="L67" i="70"/>
  <c r="B67" i="70"/>
  <c r="X66" i="70"/>
  <c r="Z66" i="70" s="1"/>
  <c r="T66" i="70"/>
  <c r="P66" i="70"/>
  <c r="H66" i="70"/>
  <c r="D66" i="70"/>
  <c r="L66" i="70" s="1"/>
  <c r="N66" i="70" s="1"/>
  <c r="B66" i="70"/>
  <c r="T65" i="70"/>
  <c r="P65" i="70"/>
  <c r="X65" i="70" s="1"/>
  <c r="Z65" i="70" s="1"/>
  <c r="H65" i="70"/>
  <c r="N65" i="70" s="1"/>
  <c r="D65" i="70"/>
  <c r="L65" i="70" s="1"/>
  <c r="Z61" i="70"/>
  <c r="X61" i="70"/>
  <c r="N61" i="70"/>
  <c r="L61" i="70"/>
  <c r="B61" i="70"/>
  <c r="Z60" i="70"/>
  <c r="X60" i="70"/>
  <c r="N60" i="70"/>
  <c r="L60" i="70"/>
  <c r="B60" i="70"/>
  <c r="Z59" i="70"/>
  <c r="X59" i="70"/>
  <c r="N59" i="70"/>
  <c r="L59" i="70"/>
  <c r="J59" i="70"/>
  <c r="B59" i="70"/>
  <c r="Z58" i="70"/>
  <c r="X58" i="70"/>
  <c r="N58" i="70"/>
  <c r="L58" i="70"/>
  <c r="B58" i="70"/>
  <c r="Z57" i="70"/>
  <c r="X57" i="70"/>
  <c r="N57" i="70"/>
  <c r="L57" i="70"/>
  <c r="B57" i="70"/>
  <c r="Z56" i="70"/>
  <c r="X56" i="70"/>
  <c r="N56" i="70"/>
  <c r="L56" i="70"/>
  <c r="B56" i="70"/>
  <c r="Z55" i="70"/>
  <c r="X55" i="70"/>
  <c r="N55" i="70"/>
  <c r="L55" i="70"/>
  <c r="J55" i="70"/>
  <c r="B55" i="70"/>
  <c r="Z54" i="70"/>
  <c r="X54" i="70"/>
  <c r="N54" i="70"/>
  <c r="L54" i="70"/>
  <c r="B54" i="70"/>
  <c r="Z53" i="70"/>
  <c r="X53" i="70"/>
  <c r="N53" i="70"/>
  <c r="L53" i="70"/>
  <c r="B53" i="70"/>
  <c r="Z52" i="70"/>
  <c r="X52" i="70"/>
  <c r="N52" i="70"/>
  <c r="L52" i="70"/>
  <c r="B52" i="70"/>
  <c r="Z51" i="70"/>
  <c r="X51" i="70"/>
  <c r="N51" i="70"/>
  <c r="L51" i="70"/>
  <c r="J51" i="70"/>
  <c r="B51" i="70"/>
  <c r="Z50" i="70"/>
  <c r="X50" i="70"/>
  <c r="N50" i="70"/>
  <c r="L50" i="70"/>
  <c r="B50" i="70"/>
  <c r="Z49" i="70"/>
  <c r="X49" i="70"/>
  <c r="N49" i="70"/>
  <c r="L49" i="70"/>
  <c r="B49" i="70"/>
  <c r="Z48" i="70"/>
  <c r="X48" i="70"/>
  <c r="N48" i="70"/>
  <c r="L48" i="70"/>
  <c r="B48" i="70"/>
  <c r="Z47" i="70"/>
  <c r="X47" i="70"/>
  <c r="N47" i="70"/>
  <c r="L47" i="70"/>
  <c r="J47" i="70"/>
  <c r="B47" i="70"/>
  <c r="Z46" i="70"/>
  <c r="X46" i="70"/>
  <c r="N46" i="70"/>
  <c r="L46" i="70"/>
  <c r="B46" i="70"/>
  <c r="Z45" i="70"/>
  <c r="X45" i="70"/>
  <c r="L45" i="70"/>
  <c r="N45" i="70" s="1"/>
  <c r="B45" i="70"/>
  <c r="T44" i="70"/>
  <c r="P44" i="70"/>
  <c r="J44" i="70"/>
  <c r="H44" i="70"/>
  <c r="D44" i="70"/>
  <c r="L44" i="70" s="1"/>
  <c r="N44" i="70" s="1"/>
  <c r="Z42" i="70"/>
  <c r="X42" i="70"/>
  <c r="P42" i="70"/>
  <c r="N42" i="70"/>
  <c r="D42" i="70"/>
  <c r="L42" i="70" s="1"/>
  <c r="B42" i="70"/>
  <c r="Z41" i="70"/>
  <c r="X41" i="70"/>
  <c r="P41" i="70"/>
  <c r="N41" i="70"/>
  <c r="L41" i="70"/>
  <c r="D41" i="70"/>
  <c r="B41" i="70"/>
  <c r="Z40" i="70"/>
  <c r="X40" i="70"/>
  <c r="P40" i="70"/>
  <c r="N40" i="70"/>
  <c r="L40" i="70"/>
  <c r="D40" i="70"/>
  <c r="B40" i="70"/>
  <c r="Z39" i="70"/>
  <c r="P39" i="70"/>
  <c r="X39" i="70" s="1"/>
  <c r="N39" i="70"/>
  <c r="D39" i="70"/>
  <c r="L39" i="70" s="1"/>
  <c r="B39" i="70"/>
  <c r="Z38" i="70"/>
  <c r="P38" i="70"/>
  <c r="X38" i="70" s="1"/>
  <c r="N38" i="70"/>
  <c r="L38" i="70"/>
  <c r="D38" i="70"/>
  <c r="B38" i="70"/>
  <c r="Z37" i="70"/>
  <c r="P37" i="70"/>
  <c r="X37" i="70" s="1"/>
  <c r="N37" i="70"/>
  <c r="L37" i="70"/>
  <c r="D37" i="70"/>
  <c r="B37" i="70"/>
  <c r="Z36" i="70"/>
  <c r="P36" i="70"/>
  <c r="X36" i="70" s="1"/>
  <c r="N36" i="70"/>
  <c r="D36" i="70"/>
  <c r="L36" i="70" s="1"/>
  <c r="B36" i="70"/>
  <c r="Z35" i="70"/>
  <c r="X35" i="70"/>
  <c r="P35" i="70"/>
  <c r="N35" i="70"/>
  <c r="D35" i="70"/>
  <c r="L35" i="70" s="1"/>
  <c r="B35" i="70"/>
  <c r="Z34" i="70"/>
  <c r="P34" i="70"/>
  <c r="X34" i="70" s="1"/>
  <c r="N34" i="70"/>
  <c r="D34" i="70"/>
  <c r="L34" i="70" s="1"/>
  <c r="B34" i="70"/>
  <c r="Z33" i="70"/>
  <c r="P33" i="70"/>
  <c r="X33" i="70" s="1"/>
  <c r="N33" i="70"/>
  <c r="D33" i="70"/>
  <c r="L33" i="70" s="1"/>
  <c r="B33" i="70"/>
  <c r="Z32" i="70"/>
  <c r="X32" i="70"/>
  <c r="P32" i="70"/>
  <c r="N32" i="70"/>
  <c r="L32" i="70"/>
  <c r="D32" i="70"/>
  <c r="B32" i="70"/>
  <c r="Z31" i="70"/>
  <c r="X31" i="70"/>
  <c r="P31" i="70"/>
  <c r="N31" i="70"/>
  <c r="D31" i="70"/>
  <c r="L31" i="70" s="1"/>
  <c r="B31" i="70"/>
  <c r="Z30" i="70"/>
  <c r="X30" i="70"/>
  <c r="P30" i="70"/>
  <c r="N30" i="70"/>
  <c r="D30" i="70"/>
  <c r="L30" i="70" s="1"/>
  <c r="B30" i="70"/>
  <c r="Z29" i="70"/>
  <c r="X29" i="70"/>
  <c r="P29" i="70"/>
  <c r="N29" i="70"/>
  <c r="L29" i="70"/>
  <c r="D29" i="70"/>
  <c r="B29" i="70"/>
  <c r="Z28" i="70"/>
  <c r="X28" i="70"/>
  <c r="P28" i="70"/>
  <c r="N28" i="70"/>
  <c r="L28" i="70"/>
  <c r="D28" i="70"/>
  <c r="B28" i="70"/>
  <c r="Z27" i="70"/>
  <c r="P27" i="70"/>
  <c r="X27" i="70" s="1"/>
  <c r="N27" i="70"/>
  <c r="D27" i="70"/>
  <c r="L27" i="70" s="1"/>
  <c r="B27" i="70"/>
  <c r="Z26" i="70"/>
  <c r="P26" i="70"/>
  <c r="X26" i="70" s="1"/>
  <c r="N26" i="70"/>
  <c r="L26" i="70"/>
  <c r="D26" i="70"/>
  <c r="B26" i="70"/>
  <c r="Z25" i="70"/>
  <c r="P25" i="70"/>
  <c r="X25" i="70" s="1"/>
  <c r="N25" i="70"/>
  <c r="L25" i="70"/>
  <c r="D25" i="70"/>
  <c r="B25" i="70"/>
  <c r="Z24" i="70"/>
  <c r="P24" i="70"/>
  <c r="X24" i="70" s="1"/>
  <c r="N24" i="70"/>
  <c r="D24" i="70"/>
  <c r="L24" i="70" s="1"/>
  <c r="B24" i="70"/>
  <c r="Z23" i="70"/>
  <c r="X23" i="70"/>
  <c r="P23" i="70"/>
  <c r="N23" i="70"/>
  <c r="D23" i="70"/>
  <c r="L23" i="70" s="1"/>
  <c r="B23" i="70"/>
  <c r="Z22" i="70"/>
  <c r="P22" i="70"/>
  <c r="X22" i="70" s="1"/>
  <c r="N22" i="70"/>
  <c r="D22" i="70"/>
  <c r="L22" i="70" s="1"/>
  <c r="B22" i="70"/>
  <c r="P21" i="70"/>
  <c r="X21" i="70" s="1"/>
  <c r="Z21" i="70" s="1"/>
  <c r="D21" i="70"/>
  <c r="L21" i="70" s="1"/>
  <c r="N21" i="70" s="1"/>
  <c r="B21" i="70"/>
  <c r="Z20" i="70"/>
  <c r="X20" i="70"/>
  <c r="P20" i="70"/>
  <c r="N20" i="70"/>
  <c r="L20" i="70"/>
  <c r="D20" i="70"/>
  <c r="B20" i="70"/>
  <c r="Z19" i="70"/>
  <c r="X19" i="70"/>
  <c r="P19" i="70"/>
  <c r="N19" i="70"/>
  <c r="L19" i="70"/>
  <c r="D19" i="70"/>
  <c r="B19" i="70"/>
  <c r="Z18" i="70"/>
  <c r="X18" i="70"/>
  <c r="P18" i="70"/>
  <c r="N18" i="70"/>
  <c r="D18" i="70"/>
  <c r="L18" i="70" s="1"/>
  <c r="B18" i="70"/>
  <c r="Z17" i="70"/>
  <c r="X17" i="70"/>
  <c r="P17" i="70"/>
  <c r="N17" i="70"/>
  <c r="L17" i="70"/>
  <c r="D17" i="70"/>
  <c r="B17" i="70"/>
  <c r="Z16" i="70"/>
  <c r="X16" i="70"/>
  <c r="P16" i="70"/>
  <c r="N16" i="70"/>
  <c r="L16" i="70"/>
  <c r="D16" i="70"/>
  <c r="B16" i="70"/>
  <c r="Z15" i="70"/>
  <c r="P15" i="70"/>
  <c r="X15" i="70" s="1"/>
  <c r="N15" i="70"/>
  <c r="D15" i="70"/>
  <c r="L15" i="70" s="1"/>
  <c r="B15" i="70"/>
  <c r="Z14" i="70"/>
  <c r="P14" i="70"/>
  <c r="X14" i="70" s="1"/>
  <c r="N14" i="70"/>
  <c r="L14" i="70"/>
  <c r="D14" i="70"/>
  <c r="B14" i="70"/>
  <c r="Z13" i="70"/>
  <c r="P13" i="70"/>
  <c r="N13" i="70"/>
  <c r="L13" i="70"/>
  <c r="D13" i="70"/>
  <c r="B13" i="70"/>
  <c r="T12" i="70"/>
  <c r="V125" i="70" s="1"/>
  <c r="H12" i="70"/>
  <c r="J134" i="70" s="1"/>
  <c r="D6" i="70"/>
  <c r="D4" i="70"/>
  <c r="F83" i="69"/>
  <c r="X81" i="69"/>
  <c r="Z81" i="69" s="1"/>
  <c r="N81" i="69"/>
  <c r="L81" i="69"/>
  <c r="T77" i="69"/>
  <c r="Z77" i="69" s="1"/>
  <c r="P77" i="69"/>
  <c r="N77" i="69"/>
  <c r="J77" i="69"/>
  <c r="H77" i="69"/>
  <c r="D77" i="69"/>
  <c r="L77" i="69" s="1"/>
  <c r="X75" i="69"/>
  <c r="Z75" i="69" s="1"/>
  <c r="N75" i="69"/>
  <c r="L75" i="69"/>
  <c r="B75" i="69"/>
  <c r="T74" i="69"/>
  <c r="R74" i="69"/>
  <c r="P74" i="69"/>
  <c r="X74" i="69" s="1"/>
  <c r="N74" i="69"/>
  <c r="H74" i="69"/>
  <c r="D74" i="69"/>
  <c r="L74" i="69" s="1"/>
  <c r="B74" i="69"/>
  <c r="X73" i="69"/>
  <c r="Z73" i="69" s="1"/>
  <c r="L73" i="69"/>
  <c r="N73" i="69" s="1"/>
  <c r="B73" i="69"/>
  <c r="X72" i="69"/>
  <c r="Z72" i="69" s="1"/>
  <c r="T72" i="69"/>
  <c r="P72" i="69"/>
  <c r="N72" i="69"/>
  <c r="L72" i="69"/>
  <c r="J72" i="69"/>
  <c r="H72" i="69"/>
  <c r="D72" i="69"/>
  <c r="B72" i="69"/>
  <c r="Z71" i="69"/>
  <c r="X71" i="69"/>
  <c r="L71" i="69"/>
  <c r="N71" i="69" s="1"/>
  <c r="J71" i="69"/>
  <c r="F71" i="69"/>
  <c r="B71" i="69"/>
  <c r="Z70" i="69"/>
  <c r="X70" i="69"/>
  <c r="N70" i="69"/>
  <c r="L70" i="69"/>
  <c r="B70" i="69"/>
  <c r="Z69" i="69"/>
  <c r="X69" i="69"/>
  <c r="N69" i="69"/>
  <c r="L69" i="69"/>
  <c r="J69" i="69"/>
  <c r="B69" i="69"/>
  <c r="T68" i="69"/>
  <c r="P68" i="69"/>
  <c r="X68" i="69" s="1"/>
  <c r="H68" i="69"/>
  <c r="D68" i="69"/>
  <c r="B68" i="69"/>
  <c r="Z67" i="69"/>
  <c r="X67" i="69"/>
  <c r="R67" i="69"/>
  <c r="N67" i="69"/>
  <c r="L67" i="69"/>
  <c r="B67" i="69"/>
  <c r="Z66" i="69"/>
  <c r="X66" i="69"/>
  <c r="N66" i="69"/>
  <c r="L66" i="69"/>
  <c r="J66" i="69"/>
  <c r="B66" i="69"/>
  <c r="Z65" i="69"/>
  <c r="X65" i="69"/>
  <c r="L65" i="69"/>
  <c r="N65" i="69" s="1"/>
  <c r="F65" i="69"/>
  <c r="B65" i="69"/>
  <c r="T64" i="69"/>
  <c r="P64" i="69"/>
  <c r="X64" i="69" s="1"/>
  <c r="Z64" i="69" s="1"/>
  <c r="H64" i="69"/>
  <c r="D64" i="69"/>
  <c r="L64" i="69" s="1"/>
  <c r="N64" i="69" s="1"/>
  <c r="B64" i="69"/>
  <c r="X63" i="69"/>
  <c r="Z63" i="69" s="1"/>
  <c r="N63" i="69"/>
  <c r="L63" i="69"/>
  <c r="B63" i="69"/>
  <c r="Z62" i="69"/>
  <c r="X62" i="69"/>
  <c r="N62" i="69"/>
  <c r="L62" i="69"/>
  <c r="B62" i="69"/>
  <c r="T61" i="69"/>
  <c r="P61" i="69"/>
  <c r="X61" i="69" s="1"/>
  <c r="H61" i="69"/>
  <c r="N61" i="69" s="1"/>
  <c r="F61" i="69"/>
  <c r="D61" i="69"/>
  <c r="L61" i="69" s="1"/>
  <c r="B61" i="69"/>
  <c r="Z60" i="69"/>
  <c r="X60" i="69"/>
  <c r="N60" i="69"/>
  <c r="L60" i="69"/>
  <c r="B60" i="69"/>
  <c r="Z59" i="69"/>
  <c r="T59" i="69"/>
  <c r="P59" i="69"/>
  <c r="X59" i="69" s="1"/>
  <c r="N59" i="69"/>
  <c r="L59" i="69"/>
  <c r="H59" i="69"/>
  <c r="D59" i="69"/>
  <c r="B59" i="69"/>
  <c r="Z58" i="69"/>
  <c r="X58" i="69"/>
  <c r="N58" i="69"/>
  <c r="L58" i="69"/>
  <c r="J58" i="69"/>
  <c r="B58" i="69"/>
  <c r="Z57" i="69"/>
  <c r="X57" i="69"/>
  <c r="T57" i="69"/>
  <c r="P57" i="69"/>
  <c r="L57" i="69"/>
  <c r="H57" i="69"/>
  <c r="N57" i="69" s="1"/>
  <c r="D57" i="69"/>
  <c r="B57" i="69"/>
  <c r="Z56" i="69"/>
  <c r="X56" i="69"/>
  <c r="N56" i="69"/>
  <c r="L56" i="69"/>
  <c r="J56" i="69"/>
  <c r="B56" i="69"/>
  <c r="T55" i="69"/>
  <c r="X55" i="69" s="1"/>
  <c r="P55" i="69"/>
  <c r="H55" i="69"/>
  <c r="N55" i="69" s="1"/>
  <c r="D55" i="69"/>
  <c r="L55" i="69" s="1"/>
  <c r="B55" i="69"/>
  <c r="X54" i="69"/>
  <c r="Z54" i="69" s="1"/>
  <c r="N54" i="69"/>
  <c r="L54" i="69"/>
  <c r="B54" i="69"/>
  <c r="Z53" i="69"/>
  <c r="X53" i="69"/>
  <c r="N53" i="69"/>
  <c r="L53" i="69"/>
  <c r="J53" i="69"/>
  <c r="B53" i="69"/>
  <c r="T52" i="69"/>
  <c r="P52" i="69"/>
  <c r="H52" i="69"/>
  <c r="D52" i="69"/>
  <c r="B52" i="69"/>
  <c r="X51" i="69"/>
  <c r="Z51" i="69" s="1"/>
  <c r="L51" i="69"/>
  <c r="N51" i="69" s="1"/>
  <c r="B51" i="69"/>
  <c r="T50" i="69"/>
  <c r="P50" i="69"/>
  <c r="X50" i="69" s="1"/>
  <c r="Z50" i="69" s="1"/>
  <c r="H50" i="69"/>
  <c r="D50" i="69"/>
  <c r="L50" i="69" s="1"/>
  <c r="N50" i="69" s="1"/>
  <c r="B50" i="69"/>
  <c r="Z49" i="69"/>
  <c r="X49" i="69"/>
  <c r="N49" i="69"/>
  <c r="L49" i="69"/>
  <c r="B49" i="69"/>
  <c r="Z48" i="69"/>
  <c r="X48" i="69"/>
  <c r="T48" i="69"/>
  <c r="P48" i="69"/>
  <c r="N48" i="69"/>
  <c r="L48" i="69"/>
  <c r="J48" i="69"/>
  <c r="H48" i="69"/>
  <c r="D48" i="69"/>
  <c r="B48" i="69"/>
  <c r="Z47" i="69"/>
  <c r="X47" i="69"/>
  <c r="N47" i="69"/>
  <c r="L47" i="69"/>
  <c r="J47" i="69"/>
  <c r="B47" i="69"/>
  <c r="T46" i="69"/>
  <c r="P46" i="69"/>
  <c r="H46" i="69"/>
  <c r="N46" i="69" s="1"/>
  <c r="D46" i="69"/>
  <c r="L46" i="69" s="1"/>
  <c r="B46" i="69"/>
  <c r="Z45" i="69"/>
  <c r="X45" i="69"/>
  <c r="N45" i="69"/>
  <c r="L45" i="69"/>
  <c r="B45" i="69"/>
  <c r="Z44" i="69"/>
  <c r="X44" i="69"/>
  <c r="N44" i="69"/>
  <c r="L44" i="69"/>
  <c r="B44" i="69"/>
  <c r="X43" i="69"/>
  <c r="Z43" i="69" s="1"/>
  <c r="N43" i="69"/>
  <c r="L43" i="69"/>
  <c r="B43" i="69"/>
  <c r="X42" i="69"/>
  <c r="Z42" i="69" s="1"/>
  <c r="L42" i="69"/>
  <c r="N42" i="69" s="1"/>
  <c r="J42" i="69"/>
  <c r="B42" i="69"/>
  <c r="Z41" i="69"/>
  <c r="X41" i="69"/>
  <c r="N41" i="69"/>
  <c r="L41" i="69"/>
  <c r="F41" i="69"/>
  <c r="B41" i="69"/>
  <c r="Z40" i="69"/>
  <c r="X40" i="69"/>
  <c r="N40" i="69"/>
  <c r="L40" i="69"/>
  <c r="B40" i="69"/>
  <c r="Z39" i="69"/>
  <c r="X39" i="69"/>
  <c r="N39" i="69"/>
  <c r="L39" i="69"/>
  <c r="B39" i="69"/>
  <c r="Z38" i="69"/>
  <c r="X38" i="69"/>
  <c r="N38" i="69"/>
  <c r="L38" i="69"/>
  <c r="J38" i="69"/>
  <c r="B38" i="69"/>
  <c r="Z37" i="69"/>
  <c r="X37" i="69"/>
  <c r="N37" i="69"/>
  <c r="L37" i="69"/>
  <c r="F37" i="69"/>
  <c r="B37" i="69"/>
  <c r="Z36" i="69"/>
  <c r="X36" i="69"/>
  <c r="L36" i="69"/>
  <c r="N36" i="69" s="1"/>
  <c r="B36" i="69"/>
  <c r="X35" i="69"/>
  <c r="T35" i="69"/>
  <c r="P35" i="69"/>
  <c r="J35" i="69"/>
  <c r="H35" i="69"/>
  <c r="D35" i="69"/>
  <c r="L35" i="69" s="1"/>
  <c r="N35" i="69" s="1"/>
  <c r="B35" i="69"/>
  <c r="Z34" i="69"/>
  <c r="X34" i="69"/>
  <c r="N34" i="69"/>
  <c r="L34" i="69"/>
  <c r="F34" i="69"/>
  <c r="B34" i="69"/>
  <c r="X33" i="69"/>
  <c r="Z33" i="69" s="1"/>
  <c r="N33" i="69"/>
  <c r="L33" i="69"/>
  <c r="B33" i="69"/>
  <c r="X32" i="69"/>
  <c r="Z32" i="69" s="1"/>
  <c r="N32" i="69"/>
  <c r="L32" i="69"/>
  <c r="J32" i="69"/>
  <c r="F32" i="69"/>
  <c r="B32" i="69"/>
  <c r="Z31" i="69"/>
  <c r="X31" i="69"/>
  <c r="N31" i="69"/>
  <c r="L31" i="69"/>
  <c r="B31" i="69"/>
  <c r="X30" i="69"/>
  <c r="Z30" i="69" s="1"/>
  <c r="L30" i="69"/>
  <c r="N30" i="69" s="1"/>
  <c r="F30" i="69"/>
  <c r="B30" i="69"/>
  <c r="X29" i="69"/>
  <c r="Z29" i="69" s="1"/>
  <c r="L29" i="69"/>
  <c r="N29" i="69" s="1"/>
  <c r="B29" i="69"/>
  <c r="X28" i="69"/>
  <c r="Z28" i="69" s="1"/>
  <c r="N28" i="69"/>
  <c r="L28" i="69"/>
  <c r="J28" i="69"/>
  <c r="B28" i="69"/>
  <c r="X27" i="69"/>
  <c r="Z27" i="69" s="1"/>
  <c r="N27" i="69"/>
  <c r="L27" i="69"/>
  <c r="B27" i="69"/>
  <c r="X26" i="69"/>
  <c r="Z26" i="69" s="1"/>
  <c r="L26" i="69"/>
  <c r="N26" i="69" s="1"/>
  <c r="B26" i="69"/>
  <c r="T25" i="69"/>
  <c r="R25" i="69"/>
  <c r="P25" i="69"/>
  <c r="X25" i="69" s="1"/>
  <c r="J25" i="69"/>
  <c r="H25" i="69"/>
  <c r="D25" i="69"/>
  <c r="L25" i="69" s="1"/>
  <c r="B25" i="69"/>
  <c r="T24" i="69"/>
  <c r="P24" i="69"/>
  <c r="H24" i="69"/>
  <c r="D24" i="69"/>
  <c r="H22" i="69"/>
  <c r="Z20" i="69"/>
  <c r="X20" i="69"/>
  <c r="N20" i="69"/>
  <c r="L20" i="69"/>
  <c r="B20" i="69"/>
  <c r="Z19" i="69"/>
  <c r="X19" i="69"/>
  <c r="N19" i="69"/>
  <c r="L19" i="69"/>
  <c r="J19" i="69"/>
  <c r="B19" i="69"/>
  <c r="X18" i="69"/>
  <c r="Z18" i="69" s="1"/>
  <c r="L18" i="69"/>
  <c r="N18" i="69" s="1"/>
  <c r="B18" i="69"/>
  <c r="X17" i="69"/>
  <c r="Z17" i="69" s="1"/>
  <c r="T17" i="69"/>
  <c r="P17" i="69"/>
  <c r="J17" i="69"/>
  <c r="H17" i="69"/>
  <c r="D17" i="69"/>
  <c r="L17" i="69" s="1"/>
  <c r="N17" i="69" s="1"/>
  <c r="Z15" i="69"/>
  <c r="X15" i="69"/>
  <c r="P15" i="69"/>
  <c r="N15" i="69"/>
  <c r="L15" i="69"/>
  <c r="D15" i="69"/>
  <c r="B15" i="69"/>
  <c r="X14" i="69"/>
  <c r="Z14" i="69" s="1"/>
  <c r="P14" i="69"/>
  <c r="D14" i="69"/>
  <c r="D12" i="69" s="1"/>
  <c r="F45" i="69" s="1"/>
  <c r="B14" i="69"/>
  <c r="Z13" i="69"/>
  <c r="P13" i="69"/>
  <c r="X13" i="69" s="1"/>
  <c r="N13" i="69"/>
  <c r="L13" i="69"/>
  <c r="D13" i="69"/>
  <c r="B13" i="69"/>
  <c r="T12" i="69"/>
  <c r="V68" i="69" s="1"/>
  <c r="P12" i="69"/>
  <c r="R54" i="69" s="1"/>
  <c r="H12" i="69"/>
  <c r="J74" i="69" s="1"/>
  <c r="D6" i="69"/>
  <c r="D4" i="69"/>
  <c r="X154" i="68"/>
  <c r="Z154" i="68" s="1"/>
  <c r="L154" i="68"/>
  <c r="N154" i="68" s="1"/>
  <c r="Z150" i="68"/>
  <c r="X150" i="68"/>
  <c r="P150" i="68"/>
  <c r="N150" i="68"/>
  <c r="D150" i="68"/>
  <c r="L150" i="68" s="1"/>
  <c r="B150" i="68"/>
  <c r="Z149" i="68"/>
  <c r="T149" i="68"/>
  <c r="P149" i="68"/>
  <c r="X149" i="68" s="1"/>
  <c r="H149" i="68"/>
  <c r="N149" i="68" s="1"/>
  <c r="D149" i="68"/>
  <c r="L149" i="68" s="1"/>
  <c r="Z147" i="68"/>
  <c r="X147" i="68"/>
  <c r="N147" i="68"/>
  <c r="L147" i="68"/>
  <c r="B147" i="68"/>
  <c r="Z146" i="68"/>
  <c r="X146" i="68"/>
  <c r="T146" i="68"/>
  <c r="P146" i="68"/>
  <c r="L146" i="68"/>
  <c r="H146" i="68"/>
  <c r="D146" i="68"/>
  <c r="B146" i="68"/>
  <c r="X145" i="68"/>
  <c r="Z145" i="68" s="1"/>
  <c r="N145" i="68"/>
  <c r="L145" i="68"/>
  <c r="B145" i="68"/>
  <c r="T144" i="68"/>
  <c r="P144" i="68"/>
  <c r="X144" i="68" s="1"/>
  <c r="H144" i="68"/>
  <c r="D144" i="68"/>
  <c r="B144" i="68"/>
  <c r="Z143" i="68"/>
  <c r="X143" i="68"/>
  <c r="N143" i="68"/>
  <c r="L143" i="68"/>
  <c r="B143" i="68"/>
  <c r="Z142" i="68"/>
  <c r="X142" i="68"/>
  <c r="N142" i="68"/>
  <c r="L142" i="68"/>
  <c r="B142" i="68"/>
  <c r="Z141" i="68"/>
  <c r="X141" i="68"/>
  <c r="N141" i="68"/>
  <c r="L141" i="68"/>
  <c r="B141" i="68"/>
  <c r="Z140" i="68"/>
  <c r="T140" i="68"/>
  <c r="P140" i="68"/>
  <c r="X140" i="68" s="1"/>
  <c r="H140" i="68"/>
  <c r="D140" i="68"/>
  <c r="L140" i="68" s="1"/>
  <c r="N140" i="68" s="1"/>
  <c r="B140" i="68"/>
  <c r="Z139" i="68"/>
  <c r="X139" i="68"/>
  <c r="N139" i="68"/>
  <c r="L139" i="68"/>
  <c r="B139" i="68"/>
  <c r="Z138" i="68"/>
  <c r="X138" i="68"/>
  <c r="L138" i="68"/>
  <c r="N138" i="68" s="1"/>
  <c r="B138" i="68"/>
  <c r="T137" i="68"/>
  <c r="P137" i="68"/>
  <c r="H137" i="68"/>
  <c r="D137" i="68"/>
  <c r="L137" i="68" s="1"/>
  <c r="N137" i="68" s="1"/>
  <c r="B137" i="68"/>
  <c r="Z136" i="68"/>
  <c r="X136" i="68"/>
  <c r="N136" i="68"/>
  <c r="L136" i="68"/>
  <c r="B136" i="68"/>
  <c r="Z135" i="68"/>
  <c r="X135" i="68"/>
  <c r="N135" i="68"/>
  <c r="L135" i="68"/>
  <c r="B135" i="68"/>
  <c r="T134" i="68"/>
  <c r="P134" i="68"/>
  <c r="X134" i="68" s="1"/>
  <c r="H134" i="68"/>
  <c r="D134" i="68"/>
  <c r="B134" i="68"/>
  <c r="X133" i="68"/>
  <c r="Z133" i="68" s="1"/>
  <c r="V133" i="68"/>
  <c r="N133" i="68"/>
  <c r="L133" i="68"/>
  <c r="B133" i="68"/>
  <c r="T132" i="68"/>
  <c r="P132" i="68"/>
  <c r="X132" i="68" s="1"/>
  <c r="Z132" i="68" s="1"/>
  <c r="H132" i="68"/>
  <c r="D132" i="68"/>
  <c r="L132" i="68" s="1"/>
  <c r="N132" i="68" s="1"/>
  <c r="B132" i="68"/>
  <c r="Z131" i="68"/>
  <c r="X131" i="68"/>
  <c r="N131" i="68"/>
  <c r="L131" i="68"/>
  <c r="B131" i="68"/>
  <c r="Z130" i="68"/>
  <c r="X130" i="68"/>
  <c r="N130" i="68"/>
  <c r="L130" i="68"/>
  <c r="B130" i="68"/>
  <c r="Z129" i="68"/>
  <c r="X129" i="68"/>
  <c r="N129" i="68"/>
  <c r="L129" i="68"/>
  <c r="B129" i="68"/>
  <c r="Z128" i="68"/>
  <c r="X128" i="68"/>
  <c r="N128" i="68"/>
  <c r="L128" i="68"/>
  <c r="B128" i="68"/>
  <c r="Z127" i="68"/>
  <c r="X127" i="68"/>
  <c r="N127" i="68"/>
  <c r="L127" i="68"/>
  <c r="B127" i="68"/>
  <c r="Z126" i="68"/>
  <c r="X126" i="68"/>
  <c r="N126" i="68"/>
  <c r="L126" i="68"/>
  <c r="B126" i="68"/>
  <c r="Z125" i="68"/>
  <c r="X125" i="68"/>
  <c r="N125" i="68"/>
  <c r="L125" i="68"/>
  <c r="B125" i="68"/>
  <c r="Z124" i="68"/>
  <c r="X124" i="68"/>
  <c r="N124" i="68"/>
  <c r="L124" i="68"/>
  <c r="B124" i="68"/>
  <c r="Z123" i="68"/>
  <c r="X123" i="68"/>
  <c r="N123" i="68"/>
  <c r="L123" i="68"/>
  <c r="B123" i="68"/>
  <c r="Z122" i="68"/>
  <c r="X122" i="68"/>
  <c r="N122" i="68"/>
  <c r="L122" i="68"/>
  <c r="B122" i="68"/>
  <c r="Z121" i="68"/>
  <c r="X121" i="68"/>
  <c r="N121" i="68"/>
  <c r="L121" i="68"/>
  <c r="B121" i="68"/>
  <c r="Z120" i="68"/>
  <c r="X120" i="68"/>
  <c r="N120" i="68"/>
  <c r="L120" i="68"/>
  <c r="B120" i="68"/>
  <c r="Z119" i="68"/>
  <c r="X119" i="68"/>
  <c r="N119" i="68"/>
  <c r="L119" i="68"/>
  <c r="B119" i="68"/>
  <c r="Z118" i="68"/>
  <c r="X118" i="68"/>
  <c r="N118" i="68"/>
  <c r="L118" i="68"/>
  <c r="B118" i="68"/>
  <c r="Z117" i="68"/>
  <c r="X117" i="68"/>
  <c r="N117" i="68"/>
  <c r="L117" i="68"/>
  <c r="B117" i="68"/>
  <c r="Z116" i="68"/>
  <c r="X116" i="68"/>
  <c r="N116" i="68"/>
  <c r="L116" i="68"/>
  <c r="B116" i="68"/>
  <c r="Z115" i="68"/>
  <c r="X115" i="68"/>
  <c r="N115" i="68"/>
  <c r="L115" i="68"/>
  <c r="B115" i="68"/>
  <c r="Z114" i="68"/>
  <c r="X114" i="68"/>
  <c r="N114" i="68"/>
  <c r="L114" i="68"/>
  <c r="B114" i="68"/>
  <c r="Z113" i="68"/>
  <c r="X113" i="68"/>
  <c r="N113" i="68"/>
  <c r="L113" i="68"/>
  <c r="B113" i="68"/>
  <c r="Z112" i="68"/>
  <c r="X112" i="68"/>
  <c r="N112" i="68"/>
  <c r="L112" i="68"/>
  <c r="B112" i="68"/>
  <c r="Z111" i="68"/>
  <c r="X111" i="68"/>
  <c r="N111" i="68"/>
  <c r="L111" i="68"/>
  <c r="B111" i="68"/>
  <c r="X110" i="68"/>
  <c r="Z110" i="68" s="1"/>
  <c r="V110" i="68"/>
  <c r="T110" i="68"/>
  <c r="P110" i="68"/>
  <c r="L110" i="68"/>
  <c r="H110" i="68"/>
  <c r="D110" i="68"/>
  <c r="B110" i="68"/>
  <c r="Z109" i="68"/>
  <c r="X109" i="68"/>
  <c r="N109" i="68"/>
  <c r="L109" i="68"/>
  <c r="B109" i="68"/>
  <c r="V108" i="68"/>
  <c r="T108" i="68"/>
  <c r="P108" i="68"/>
  <c r="H108" i="68"/>
  <c r="D108" i="68"/>
  <c r="B108" i="68"/>
  <c r="X107" i="68"/>
  <c r="Z107" i="68" s="1"/>
  <c r="N107" i="68"/>
  <c r="L107" i="68"/>
  <c r="B107" i="68"/>
  <c r="T106" i="68"/>
  <c r="Z106" i="68" s="1"/>
  <c r="P106" i="68"/>
  <c r="X106" i="68" s="1"/>
  <c r="H106" i="68"/>
  <c r="D106" i="68"/>
  <c r="L106" i="68" s="1"/>
  <c r="N106" i="68" s="1"/>
  <c r="B106" i="68"/>
  <c r="Z105" i="68"/>
  <c r="X105" i="68"/>
  <c r="N105" i="68"/>
  <c r="L105" i="68"/>
  <c r="B105" i="68"/>
  <c r="X104" i="68"/>
  <c r="Z104" i="68" s="1"/>
  <c r="L104" i="68"/>
  <c r="N104" i="68" s="1"/>
  <c r="B104" i="68"/>
  <c r="T103" i="68"/>
  <c r="P103" i="68"/>
  <c r="X103" i="68" s="1"/>
  <c r="Z103" i="68" s="1"/>
  <c r="H103" i="68"/>
  <c r="D103" i="68"/>
  <c r="L103" i="68" s="1"/>
  <c r="B103" i="68"/>
  <c r="Z102" i="68"/>
  <c r="X102" i="68"/>
  <c r="N102" i="68"/>
  <c r="L102" i="68"/>
  <c r="B102" i="68"/>
  <c r="Z101" i="68"/>
  <c r="X101" i="68"/>
  <c r="T101" i="68"/>
  <c r="P101" i="68"/>
  <c r="N101" i="68"/>
  <c r="H101" i="68"/>
  <c r="D101" i="68"/>
  <c r="L101" i="68" s="1"/>
  <c r="B101" i="68"/>
  <c r="Z100" i="68"/>
  <c r="X100" i="68"/>
  <c r="L100" i="68"/>
  <c r="N100" i="68" s="1"/>
  <c r="B100" i="68"/>
  <c r="T99" i="68"/>
  <c r="P99" i="68"/>
  <c r="H99" i="68"/>
  <c r="D99" i="68"/>
  <c r="L99" i="68" s="1"/>
  <c r="N99" i="68" s="1"/>
  <c r="B99" i="68"/>
  <c r="Z98" i="68"/>
  <c r="X98" i="68"/>
  <c r="V98" i="68"/>
  <c r="N98" i="68"/>
  <c r="L98" i="68"/>
  <c r="B98" i="68"/>
  <c r="Z97" i="68"/>
  <c r="X97" i="68"/>
  <c r="N97" i="68"/>
  <c r="L97" i="68"/>
  <c r="B97" i="68"/>
  <c r="X96" i="68"/>
  <c r="Z96" i="68" s="1"/>
  <c r="L96" i="68"/>
  <c r="N96" i="68" s="1"/>
  <c r="B96" i="68"/>
  <c r="Z95" i="68"/>
  <c r="X95" i="68"/>
  <c r="N95" i="68"/>
  <c r="L95" i="68"/>
  <c r="B95" i="68"/>
  <c r="Z94" i="68"/>
  <c r="X94" i="68"/>
  <c r="V94" i="68"/>
  <c r="N94" i="68"/>
  <c r="L94" i="68"/>
  <c r="B94" i="68"/>
  <c r="Z93" i="68"/>
  <c r="X93" i="68"/>
  <c r="N93" i="68"/>
  <c r="L93" i="68"/>
  <c r="B93" i="68"/>
  <c r="Z92" i="68"/>
  <c r="X92" i="68"/>
  <c r="N92" i="68"/>
  <c r="L92" i="68"/>
  <c r="B92" i="68"/>
  <c r="Z91" i="68"/>
  <c r="X91" i="68"/>
  <c r="N91" i="68"/>
  <c r="L91" i="68"/>
  <c r="B91" i="68"/>
  <c r="Z90" i="68"/>
  <c r="X90" i="68"/>
  <c r="V90" i="68"/>
  <c r="N90" i="68"/>
  <c r="L90" i="68"/>
  <c r="B90" i="68"/>
  <c r="Z89" i="68"/>
  <c r="X89" i="68"/>
  <c r="N89" i="68"/>
  <c r="L89" i="68"/>
  <c r="B89" i="68"/>
  <c r="X88" i="68"/>
  <c r="T88" i="68"/>
  <c r="P88" i="68"/>
  <c r="L88" i="68"/>
  <c r="N88" i="68" s="1"/>
  <c r="H88" i="68"/>
  <c r="D88" i="68"/>
  <c r="B88" i="68"/>
  <c r="Z87" i="68"/>
  <c r="X87" i="68"/>
  <c r="N87" i="68"/>
  <c r="L87" i="68"/>
  <c r="B87" i="68"/>
  <c r="X86" i="68"/>
  <c r="Z86" i="68" s="1"/>
  <c r="N86" i="68"/>
  <c r="L86" i="68"/>
  <c r="B86" i="68"/>
  <c r="Z85" i="68"/>
  <c r="X85" i="68"/>
  <c r="N85" i="68"/>
  <c r="L85" i="68"/>
  <c r="B85" i="68"/>
  <c r="Z84" i="68"/>
  <c r="X84" i="68"/>
  <c r="N84" i="68"/>
  <c r="L84" i="68"/>
  <c r="B84" i="68"/>
  <c r="Z83" i="68"/>
  <c r="X83" i="68"/>
  <c r="L83" i="68"/>
  <c r="N83" i="68" s="1"/>
  <c r="B83" i="68"/>
  <c r="X82" i="68"/>
  <c r="Z82" i="68" s="1"/>
  <c r="N82" i="68"/>
  <c r="L82" i="68"/>
  <c r="B82" i="68"/>
  <c r="Z81" i="68"/>
  <c r="X81" i="68"/>
  <c r="N81" i="68"/>
  <c r="L81" i="68"/>
  <c r="B81" i="68"/>
  <c r="X80" i="68"/>
  <c r="Z80" i="68" s="1"/>
  <c r="N80" i="68"/>
  <c r="L80" i="68"/>
  <c r="B80" i="68"/>
  <c r="Z79" i="68"/>
  <c r="X79" i="68"/>
  <c r="L79" i="68"/>
  <c r="N79" i="68" s="1"/>
  <c r="B79" i="68"/>
  <c r="T78" i="68"/>
  <c r="P78" i="68"/>
  <c r="H78" i="68"/>
  <c r="D78" i="68"/>
  <c r="B78" i="68"/>
  <c r="T77" i="68"/>
  <c r="P77" i="68"/>
  <c r="X77" i="68" s="1"/>
  <c r="L77" i="68"/>
  <c r="H77" i="68"/>
  <c r="D77" i="68"/>
  <c r="Z73" i="68"/>
  <c r="X73" i="68"/>
  <c r="N73" i="68"/>
  <c r="L73" i="68"/>
  <c r="B73" i="68"/>
  <c r="Z72" i="68"/>
  <c r="X72" i="68"/>
  <c r="N72" i="68"/>
  <c r="L72" i="68"/>
  <c r="B72" i="68"/>
  <c r="Z71" i="68"/>
  <c r="X71" i="68"/>
  <c r="N71" i="68"/>
  <c r="L71" i="68"/>
  <c r="B71" i="68"/>
  <c r="Z70" i="68"/>
  <c r="X70" i="68"/>
  <c r="N70" i="68"/>
  <c r="L70" i="68"/>
  <c r="B70" i="68"/>
  <c r="Z69" i="68"/>
  <c r="X69" i="68"/>
  <c r="V69" i="68"/>
  <c r="N69" i="68"/>
  <c r="L69" i="68"/>
  <c r="B69" i="68"/>
  <c r="Z68" i="68"/>
  <c r="X68" i="68"/>
  <c r="N68" i="68"/>
  <c r="L68" i="68"/>
  <c r="B68" i="68"/>
  <c r="Z67" i="68"/>
  <c r="X67" i="68"/>
  <c r="V67" i="68"/>
  <c r="N67" i="68"/>
  <c r="L67" i="68"/>
  <c r="B67" i="68"/>
  <c r="Z66" i="68"/>
  <c r="X66" i="68"/>
  <c r="N66" i="68"/>
  <c r="L66" i="68"/>
  <c r="B66" i="68"/>
  <c r="Z65" i="68"/>
  <c r="X65" i="68"/>
  <c r="V65" i="68"/>
  <c r="N65" i="68"/>
  <c r="L65" i="68"/>
  <c r="B65" i="68"/>
  <c r="Z64" i="68"/>
  <c r="X64" i="68"/>
  <c r="N64" i="68"/>
  <c r="L64" i="68"/>
  <c r="B64" i="68"/>
  <c r="Z63" i="68"/>
  <c r="X63" i="68"/>
  <c r="V63" i="68"/>
  <c r="N63" i="68"/>
  <c r="L63" i="68"/>
  <c r="B63" i="68"/>
  <c r="Z62" i="68"/>
  <c r="X62" i="68"/>
  <c r="N62" i="68"/>
  <c r="L62" i="68"/>
  <c r="B62" i="68"/>
  <c r="Z61" i="68"/>
  <c r="X61" i="68"/>
  <c r="N61" i="68"/>
  <c r="L61" i="68"/>
  <c r="B61" i="68"/>
  <c r="Z60" i="68"/>
  <c r="X60" i="68"/>
  <c r="N60" i="68"/>
  <c r="L60" i="68"/>
  <c r="B60" i="68"/>
  <c r="Z59" i="68"/>
  <c r="X59" i="68"/>
  <c r="N59" i="68"/>
  <c r="L59" i="68"/>
  <c r="B59" i="68"/>
  <c r="Z58" i="68"/>
  <c r="X58" i="68"/>
  <c r="N58" i="68"/>
  <c r="L58" i="68"/>
  <c r="B58" i="68"/>
  <c r="Z57" i="68"/>
  <c r="X57" i="68"/>
  <c r="N57" i="68"/>
  <c r="L57" i="68"/>
  <c r="B57" i="68"/>
  <c r="Z56" i="68"/>
  <c r="X56" i="68"/>
  <c r="N56" i="68"/>
  <c r="L56" i="68"/>
  <c r="B56" i="68"/>
  <c r="Z55" i="68"/>
  <c r="X55" i="68"/>
  <c r="V55" i="68"/>
  <c r="N55" i="68"/>
  <c r="L55" i="68"/>
  <c r="B55" i="68"/>
  <c r="Z54" i="68"/>
  <c r="X54" i="68"/>
  <c r="V54" i="68"/>
  <c r="N54" i="68"/>
  <c r="L54" i="68"/>
  <c r="B54" i="68"/>
  <c r="Z53" i="68"/>
  <c r="X53" i="68"/>
  <c r="V53" i="68"/>
  <c r="L53" i="68"/>
  <c r="N53" i="68" s="1"/>
  <c r="B53" i="68"/>
  <c r="Z52" i="68"/>
  <c r="T52" i="68"/>
  <c r="P52" i="68"/>
  <c r="X52" i="68" s="1"/>
  <c r="N52" i="68"/>
  <c r="H52" i="68"/>
  <c r="D52" i="68"/>
  <c r="L52" i="68" s="1"/>
  <c r="Z50" i="68"/>
  <c r="P50" i="68"/>
  <c r="X50" i="68" s="1"/>
  <c r="N50" i="68"/>
  <c r="D50" i="68"/>
  <c r="L50" i="68" s="1"/>
  <c r="B50" i="68"/>
  <c r="Z49" i="68"/>
  <c r="X49" i="68"/>
  <c r="P49" i="68"/>
  <c r="N49" i="68"/>
  <c r="L49" i="68"/>
  <c r="D49" i="68"/>
  <c r="B49" i="68"/>
  <c r="Z48" i="68"/>
  <c r="X48" i="68"/>
  <c r="P48" i="68"/>
  <c r="N48" i="68"/>
  <c r="L48" i="68"/>
  <c r="D48" i="68"/>
  <c r="B48" i="68"/>
  <c r="Z47" i="68"/>
  <c r="X47" i="68"/>
  <c r="P47" i="68"/>
  <c r="N47" i="68"/>
  <c r="D47" i="68"/>
  <c r="L47" i="68" s="1"/>
  <c r="B47" i="68"/>
  <c r="Z46" i="68"/>
  <c r="X46" i="68"/>
  <c r="P46" i="68"/>
  <c r="N46" i="68"/>
  <c r="L46" i="68"/>
  <c r="D46" i="68"/>
  <c r="B46" i="68"/>
  <c r="Z45" i="68"/>
  <c r="X45" i="68"/>
  <c r="P45" i="68"/>
  <c r="N45" i="68"/>
  <c r="L45" i="68"/>
  <c r="D45" i="68"/>
  <c r="B45" i="68"/>
  <c r="Z44" i="68"/>
  <c r="P44" i="68"/>
  <c r="X44" i="68" s="1"/>
  <c r="N44" i="68"/>
  <c r="D44" i="68"/>
  <c r="L44" i="68" s="1"/>
  <c r="B44" i="68"/>
  <c r="Z43" i="68"/>
  <c r="X43" i="68"/>
  <c r="P43" i="68"/>
  <c r="N43" i="68"/>
  <c r="D43" i="68"/>
  <c r="L43" i="68" s="1"/>
  <c r="B43" i="68"/>
  <c r="Z42" i="68"/>
  <c r="P42" i="68"/>
  <c r="X42" i="68" s="1"/>
  <c r="N42" i="68"/>
  <c r="L42" i="68"/>
  <c r="D42" i="68"/>
  <c r="B42" i="68"/>
  <c r="Z41" i="68"/>
  <c r="P41" i="68"/>
  <c r="X41" i="68" s="1"/>
  <c r="N41" i="68"/>
  <c r="D41" i="68"/>
  <c r="L41" i="68" s="1"/>
  <c r="B41" i="68"/>
  <c r="Z40" i="68"/>
  <c r="P40" i="68"/>
  <c r="X40" i="68" s="1"/>
  <c r="N40" i="68"/>
  <c r="D40" i="68"/>
  <c r="L40" i="68" s="1"/>
  <c r="B40" i="68"/>
  <c r="Z39" i="68"/>
  <c r="X39" i="68"/>
  <c r="P39" i="68"/>
  <c r="N39" i="68"/>
  <c r="D39" i="68"/>
  <c r="L39" i="68" s="1"/>
  <c r="B39" i="68"/>
  <c r="Z38" i="68"/>
  <c r="P38" i="68"/>
  <c r="X38" i="68" s="1"/>
  <c r="N38" i="68"/>
  <c r="D38" i="68"/>
  <c r="L38" i="68" s="1"/>
  <c r="B38" i="68"/>
  <c r="Z37" i="68"/>
  <c r="X37" i="68"/>
  <c r="P37" i="68"/>
  <c r="N37" i="68"/>
  <c r="D37" i="68"/>
  <c r="L37" i="68" s="1"/>
  <c r="B37" i="68"/>
  <c r="Z36" i="68"/>
  <c r="X36" i="68"/>
  <c r="P36" i="68"/>
  <c r="N36" i="68"/>
  <c r="L36" i="68"/>
  <c r="D36" i="68"/>
  <c r="B36" i="68"/>
  <c r="Z35" i="68"/>
  <c r="P35" i="68"/>
  <c r="X35" i="68" s="1"/>
  <c r="N35" i="68"/>
  <c r="L35" i="68"/>
  <c r="D35" i="68"/>
  <c r="B35" i="68"/>
  <c r="Z34" i="68"/>
  <c r="P34" i="68"/>
  <c r="X34" i="68" s="1"/>
  <c r="N34" i="68"/>
  <c r="L34" i="68"/>
  <c r="D34" i="68"/>
  <c r="B34" i="68"/>
  <c r="Z33" i="68"/>
  <c r="X33" i="68"/>
  <c r="P33" i="68"/>
  <c r="N33" i="68"/>
  <c r="L33" i="68"/>
  <c r="D33" i="68"/>
  <c r="B33" i="68"/>
  <c r="Z32" i="68"/>
  <c r="X32" i="68"/>
  <c r="P32" i="68"/>
  <c r="L32" i="68"/>
  <c r="N32" i="68" s="1"/>
  <c r="D32" i="68"/>
  <c r="B32" i="68"/>
  <c r="Z31" i="68"/>
  <c r="X31" i="68"/>
  <c r="P31" i="68"/>
  <c r="N31" i="68"/>
  <c r="D31" i="68"/>
  <c r="L31" i="68" s="1"/>
  <c r="B31" i="68"/>
  <c r="Z30" i="68"/>
  <c r="X30" i="68"/>
  <c r="P30" i="68"/>
  <c r="N30" i="68"/>
  <c r="D30" i="68"/>
  <c r="L30" i="68" s="1"/>
  <c r="B30" i="68"/>
  <c r="Z29" i="68"/>
  <c r="P29" i="68"/>
  <c r="X29" i="68" s="1"/>
  <c r="N29" i="68"/>
  <c r="D29" i="68"/>
  <c r="L29" i="68" s="1"/>
  <c r="B29" i="68"/>
  <c r="Z28" i="68"/>
  <c r="X28" i="68"/>
  <c r="P28" i="68"/>
  <c r="N28" i="68"/>
  <c r="L28" i="68"/>
  <c r="D28" i="68"/>
  <c r="B28" i="68"/>
  <c r="Z27" i="68"/>
  <c r="P27" i="68"/>
  <c r="X27" i="68" s="1"/>
  <c r="N27" i="68"/>
  <c r="L27" i="68"/>
  <c r="D27" i="68"/>
  <c r="B27" i="68"/>
  <c r="Z26" i="68"/>
  <c r="P26" i="68"/>
  <c r="X26" i="68" s="1"/>
  <c r="N26" i="68"/>
  <c r="D26" i="68"/>
  <c r="L26" i="68" s="1"/>
  <c r="B26" i="68"/>
  <c r="Z25" i="68"/>
  <c r="X25" i="68"/>
  <c r="P25" i="68"/>
  <c r="N25" i="68"/>
  <c r="L25" i="68"/>
  <c r="D25" i="68"/>
  <c r="B25" i="68"/>
  <c r="Z24" i="68"/>
  <c r="X24" i="68"/>
  <c r="P24" i="68"/>
  <c r="N24" i="68"/>
  <c r="D24" i="68"/>
  <c r="L24" i="68" s="1"/>
  <c r="B24" i="68"/>
  <c r="Z23" i="68"/>
  <c r="X23" i="68"/>
  <c r="P23" i="68"/>
  <c r="N23" i="68"/>
  <c r="D23" i="68"/>
  <c r="L23" i="68" s="1"/>
  <c r="B23" i="68"/>
  <c r="Z22" i="68"/>
  <c r="X22" i="68"/>
  <c r="P22" i="68"/>
  <c r="N22" i="68"/>
  <c r="L22" i="68"/>
  <c r="D22" i="68"/>
  <c r="B22" i="68"/>
  <c r="Z21" i="68"/>
  <c r="P21" i="68"/>
  <c r="X21" i="68" s="1"/>
  <c r="N21" i="68"/>
  <c r="L21" i="68"/>
  <c r="D21" i="68"/>
  <c r="B21" i="68"/>
  <c r="Z20" i="68"/>
  <c r="P20" i="68"/>
  <c r="X20" i="68" s="1"/>
  <c r="N20" i="68"/>
  <c r="L20" i="68"/>
  <c r="D20" i="68"/>
  <c r="B20" i="68"/>
  <c r="Z19" i="68"/>
  <c r="X19" i="68"/>
  <c r="P19" i="68"/>
  <c r="N19" i="68"/>
  <c r="L19" i="68"/>
  <c r="D19" i="68"/>
  <c r="B19" i="68"/>
  <c r="Z18" i="68"/>
  <c r="X18" i="68"/>
  <c r="P18" i="68"/>
  <c r="N18" i="68"/>
  <c r="D18" i="68"/>
  <c r="L18" i="68" s="1"/>
  <c r="B18" i="68"/>
  <c r="Z17" i="68"/>
  <c r="P17" i="68"/>
  <c r="X17" i="68" s="1"/>
  <c r="N17" i="68"/>
  <c r="D17" i="68"/>
  <c r="L17" i="68" s="1"/>
  <c r="B17" i="68"/>
  <c r="Z16" i="68"/>
  <c r="X16" i="68"/>
  <c r="P16" i="68"/>
  <c r="N16" i="68"/>
  <c r="L16" i="68"/>
  <c r="D16" i="68"/>
  <c r="B16" i="68"/>
  <c r="Z15" i="68"/>
  <c r="P15" i="68"/>
  <c r="X15" i="68" s="1"/>
  <c r="N15" i="68"/>
  <c r="L15" i="68"/>
  <c r="D15" i="68"/>
  <c r="B15" i="68"/>
  <c r="Z14" i="68"/>
  <c r="P14" i="68"/>
  <c r="X14" i="68" s="1"/>
  <c r="N14" i="68"/>
  <c r="D14" i="68"/>
  <c r="L14" i="68" s="1"/>
  <c r="B14" i="68"/>
  <c r="X13" i="68"/>
  <c r="Z13" i="68" s="1"/>
  <c r="P13" i="68"/>
  <c r="P12" i="68" s="1"/>
  <c r="N13" i="68"/>
  <c r="L13" i="68"/>
  <c r="D13" i="68"/>
  <c r="B13" i="68"/>
  <c r="T12" i="68"/>
  <c r="V146" i="68" s="1"/>
  <c r="H12" i="68"/>
  <c r="J135" i="68" s="1"/>
  <c r="D6" i="68"/>
  <c r="D4" i="68"/>
  <c r="J72" i="67"/>
  <c r="F72" i="67"/>
  <c r="J69" i="67"/>
  <c r="F69" i="67"/>
  <c r="Z67" i="67"/>
  <c r="X67" i="67"/>
  <c r="N67" i="67"/>
  <c r="L67" i="67"/>
  <c r="Z63" i="67"/>
  <c r="X63" i="67"/>
  <c r="T63" i="67"/>
  <c r="P63" i="67"/>
  <c r="N63" i="67"/>
  <c r="L63" i="67"/>
  <c r="H63" i="67"/>
  <c r="D63" i="67"/>
  <c r="Z61" i="67"/>
  <c r="X61" i="67"/>
  <c r="N61" i="67"/>
  <c r="L61" i="67"/>
  <c r="B61" i="67"/>
  <c r="T60" i="67"/>
  <c r="P60" i="67"/>
  <c r="X60" i="67" s="1"/>
  <c r="H60" i="67"/>
  <c r="N60" i="67" s="1"/>
  <c r="D60" i="67"/>
  <c r="L60" i="67" s="1"/>
  <c r="B60" i="67"/>
  <c r="X59" i="67"/>
  <c r="Z59" i="67" s="1"/>
  <c r="N59" i="67"/>
  <c r="L59" i="67"/>
  <c r="B59" i="67"/>
  <c r="T58" i="67"/>
  <c r="P58" i="67"/>
  <c r="X58" i="67" s="1"/>
  <c r="Z58" i="67" s="1"/>
  <c r="N58" i="67"/>
  <c r="L58" i="67"/>
  <c r="H58" i="67"/>
  <c r="D58" i="67"/>
  <c r="B58" i="67"/>
  <c r="X57" i="67"/>
  <c r="Z57" i="67" s="1"/>
  <c r="N57" i="67"/>
  <c r="L57" i="67"/>
  <c r="J57" i="67"/>
  <c r="B57" i="67"/>
  <c r="X56" i="67"/>
  <c r="Z56" i="67" s="1"/>
  <c r="N56" i="67"/>
  <c r="L56" i="67"/>
  <c r="F56" i="67"/>
  <c r="B56" i="67"/>
  <c r="Z55" i="67"/>
  <c r="X55" i="67"/>
  <c r="N55" i="67"/>
  <c r="L55" i="67"/>
  <c r="B55" i="67"/>
  <c r="Z54" i="67"/>
  <c r="X54" i="67"/>
  <c r="N54" i="67"/>
  <c r="L54" i="67"/>
  <c r="B54" i="67"/>
  <c r="T53" i="67"/>
  <c r="Z53" i="67" s="1"/>
  <c r="R53" i="67"/>
  <c r="P53" i="67"/>
  <c r="X53" i="67" s="1"/>
  <c r="H53" i="67"/>
  <c r="D53" i="67"/>
  <c r="L53" i="67" s="1"/>
  <c r="N53" i="67" s="1"/>
  <c r="B53" i="67"/>
  <c r="Z52" i="67"/>
  <c r="X52" i="67"/>
  <c r="R52" i="67"/>
  <c r="N52" i="67"/>
  <c r="L52" i="67"/>
  <c r="B52" i="67"/>
  <c r="Z51" i="67"/>
  <c r="X51" i="67"/>
  <c r="N51" i="67"/>
  <c r="L51" i="67"/>
  <c r="J51" i="67"/>
  <c r="F51" i="67"/>
  <c r="B51" i="67"/>
  <c r="T50" i="67"/>
  <c r="P50" i="67"/>
  <c r="X50" i="67" s="1"/>
  <c r="H50" i="67"/>
  <c r="F50" i="67"/>
  <c r="D50" i="67"/>
  <c r="B50" i="67"/>
  <c r="Z49" i="67"/>
  <c r="X49" i="67"/>
  <c r="N49" i="67"/>
  <c r="L49" i="67"/>
  <c r="B49" i="67"/>
  <c r="Z48" i="67"/>
  <c r="X48" i="67"/>
  <c r="T48" i="67"/>
  <c r="P48" i="67"/>
  <c r="N48" i="67"/>
  <c r="H48" i="67"/>
  <c r="D48" i="67"/>
  <c r="L48" i="67" s="1"/>
  <c r="B48" i="67"/>
  <c r="Z47" i="67"/>
  <c r="X47" i="67"/>
  <c r="N47" i="67"/>
  <c r="L47" i="67"/>
  <c r="B47" i="67"/>
  <c r="X46" i="67"/>
  <c r="T46" i="67"/>
  <c r="Z46" i="67" s="1"/>
  <c r="P46" i="67"/>
  <c r="L46" i="67"/>
  <c r="N46" i="67" s="1"/>
  <c r="H46" i="67"/>
  <c r="D46" i="67"/>
  <c r="B46" i="67"/>
  <c r="Z45" i="67"/>
  <c r="X45" i="67"/>
  <c r="L45" i="67"/>
  <c r="N45" i="67" s="1"/>
  <c r="J45" i="67"/>
  <c r="B45" i="67"/>
  <c r="T44" i="67"/>
  <c r="R44" i="67"/>
  <c r="P44" i="67"/>
  <c r="X44" i="67" s="1"/>
  <c r="H44" i="67"/>
  <c r="N44" i="67" s="1"/>
  <c r="D44" i="67"/>
  <c r="L44" i="67" s="1"/>
  <c r="B44" i="67"/>
  <c r="X43" i="67"/>
  <c r="Z43" i="67" s="1"/>
  <c r="R43" i="67"/>
  <c r="N43" i="67"/>
  <c r="L43" i="67"/>
  <c r="B43" i="67"/>
  <c r="T42" i="67"/>
  <c r="P42" i="67"/>
  <c r="X42" i="67" s="1"/>
  <c r="Z42" i="67" s="1"/>
  <c r="N42" i="67"/>
  <c r="L42" i="67"/>
  <c r="H42" i="67"/>
  <c r="D42" i="67"/>
  <c r="B42" i="67"/>
  <c r="X41" i="67"/>
  <c r="Z41" i="67" s="1"/>
  <c r="N41" i="67"/>
  <c r="L41" i="67"/>
  <c r="J41" i="67"/>
  <c r="B41" i="67"/>
  <c r="X40" i="67"/>
  <c r="Z40" i="67" s="1"/>
  <c r="T40" i="67"/>
  <c r="P40" i="67"/>
  <c r="L40" i="67"/>
  <c r="J40" i="67"/>
  <c r="H40" i="67"/>
  <c r="N40" i="67" s="1"/>
  <c r="D40" i="67"/>
  <c r="B40" i="67"/>
  <c r="Z39" i="67"/>
  <c r="X39" i="67"/>
  <c r="N39" i="67"/>
  <c r="L39" i="67"/>
  <c r="J39" i="67"/>
  <c r="F39" i="67"/>
  <c r="B39" i="67"/>
  <c r="Z38" i="67"/>
  <c r="X38" i="67"/>
  <c r="N38" i="67"/>
  <c r="L38" i="67"/>
  <c r="B38" i="67"/>
  <c r="X37" i="67"/>
  <c r="Z37" i="67" s="1"/>
  <c r="N37" i="67"/>
  <c r="L37" i="67"/>
  <c r="J37" i="67"/>
  <c r="B37" i="67"/>
  <c r="Z36" i="67"/>
  <c r="X36" i="67"/>
  <c r="R36" i="67"/>
  <c r="N36" i="67"/>
  <c r="L36" i="67"/>
  <c r="B36" i="67"/>
  <c r="Z35" i="67"/>
  <c r="X35" i="67"/>
  <c r="N35" i="67"/>
  <c r="L35" i="67"/>
  <c r="J35" i="67"/>
  <c r="F35" i="67"/>
  <c r="B35" i="67"/>
  <c r="Z34" i="67"/>
  <c r="X34" i="67"/>
  <c r="N34" i="67"/>
  <c r="L34" i="67"/>
  <c r="B34" i="67"/>
  <c r="X33" i="67"/>
  <c r="Z33" i="67" s="1"/>
  <c r="L33" i="67"/>
  <c r="N33" i="67" s="1"/>
  <c r="J33" i="67"/>
  <c r="B33" i="67"/>
  <c r="Z32" i="67"/>
  <c r="X32" i="67"/>
  <c r="R32" i="67"/>
  <c r="N32" i="67"/>
  <c r="L32" i="67"/>
  <c r="B32" i="67"/>
  <c r="Z31" i="67"/>
  <c r="X31" i="67"/>
  <c r="L31" i="67"/>
  <c r="N31" i="67" s="1"/>
  <c r="J31" i="67"/>
  <c r="F31" i="67"/>
  <c r="B31" i="67"/>
  <c r="Z30" i="67"/>
  <c r="X30" i="67"/>
  <c r="N30" i="67"/>
  <c r="L30" i="67"/>
  <c r="B30" i="67"/>
  <c r="Z29" i="67"/>
  <c r="X29" i="67"/>
  <c r="T29" i="67"/>
  <c r="P29" i="67"/>
  <c r="N29" i="67"/>
  <c r="L29" i="67"/>
  <c r="H29" i="67"/>
  <c r="D29" i="67"/>
  <c r="B29" i="67"/>
  <c r="Z28" i="67"/>
  <c r="X28" i="67"/>
  <c r="N28" i="67"/>
  <c r="L28" i="67"/>
  <c r="J28" i="67"/>
  <c r="B28" i="67"/>
  <c r="X27" i="67"/>
  <c r="Z27" i="67" s="1"/>
  <c r="V27" i="67"/>
  <c r="R27" i="67"/>
  <c r="N27" i="67"/>
  <c r="L27" i="67"/>
  <c r="B27" i="67"/>
  <c r="Z26" i="67"/>
  <c r="X26" i="67"/>
  <c r="L26" i="67"/>
  <c r="N26" i="67" s="1"/>
  <c r="J26" i="67"/>
  <c r="F26" i="67"/>
  <c r="B26" i="67"/>
  <c r="Z25" i="67"/>
  <c r="X25" i="67"/>
  <c r="N25" i="67"/>
  <c r="L25" i="67"/>
  <c r="B25" i="67"/>
  <c r="Z24" i="67"/>
  <c r="X24" i="67"/>
  <c r="L24" i="67"/>
  <c r="N24" i="67" s="1"/>
  <c r="J24" i="67"/>
  <c r="B24" i="67"/>
  <c r="X23" i="67"/>
  <c r="Z23" i="67" s="1"/>
  <c r="V23" i="67"/>
  <c r="R23" i="67"/>
  <c r="N23" i="67"/>
  <c r="L23" i="67"/>
  <c r="B23" i="67"/>
  <c r="Z22" i="67"/>
  <c r="X22" i="67"/>
  <c r="L22" i="67"/>
  <c r="N22" i="67" s="1"/>
  <c r="J22" i="67"/>
  <c r="F22" i="67"/>
  <c r="B22" i="67"/>
  <c r="X21" i="67"/>
  <c r="Z21" i="67" s="1"/>
  <c r="L21" i="67"/>
  <c r="N21" i="67" s="1"/>
  <c r="B21" i="67"/>
  <c r="Z20" i="67"/>
  <c r="X20" i="67"/>
  <c r="L20" i="67"/>
  <c r="N20" i="67" s="1"/>
  <c r="J20" i="67"/>
  <c r="B20" i="67"/>
  <c r="V19" i="67"/>
  <c r="T19" i="67"/>
  <c r="P19" i="67"/>
  <c r="J19" i="67"/>
  <c r="H19" i="67"/>
  <c r="D19" i="67"/>
  <c r="B19" i="67"/>
  <c r="X18" i="67"/>
  <c r="V18" i="67"/>
  <c r="T18" i="67"/>
  <c r="P18" i="67"/>
  <c r="L18" i="67"/>
  <c r="N18" i="67" s="1"/>
  <c r="J18" i="67"/>
  <c r="H18" i="67"/>
  <c r="D18" i="67"/>
  <c r="J16" i="67"/>
  <c r="X14" i="67"/>
  <c r="V14" i="67"/>
  <c r="T14" i="67"/>
  <c r="Z14" i="67" s="1"/>
  <c r="P14" i="67"/>
  <c r="N14" i="67"/>
  <c r="L14" i="67"/>
  <c r="J14" i="67"/>
  <c r="H14" i="67"/>
  <c r="D14" i="67"/>
  <c r="X12" i="67"/>
  <c r="T12" i="67"/>
  <c r="P12" i="67"/>
  <c r="R65" i="67" s="1"/>
  <c r="H12" i="67"/>
  <c r="J59" i="67" s="1"/>
  <c r="D12" i="67"/>
  <c r="F52" i="67" s="1"/>
  <c r="D6" i="67"/>
  <c r="D4" i="67"/>
  <c r="Z114" i="63"/>
  <c r="X114" i="63"/>
  <c r="N114" i="63"/>
  <c r="L114" i="63"/>
  <c r="P110" i="63"/>
  <c r="X110" i="63" s="1"/>
  <c r="Z110" i="63" s="1"/>
  <c r="N110" i="63"/>
  <c r="D110" i="63"/>
  <c r="L110" i="63" s="1"/>
  <c r="B110" i="63"/>
  <c r="Z109" i="63"/>
  <c r="P109" i="63"/>
  <c r="X109" i="63" s="1"/>
  <c r="N109" i="63"/>
  <c r="L109" i="63"/>
  <c r="D109" i="63"/>
  <c r="D106" i="63" s="1"/>
  <c r="B109" i="63"/>
  <c r="P108" i="63"/>
  <c r="X108" i="63" s="1"/>
  <c r="Z108" i="63" s="1"/>
  <c r="L108" i="63"/>
  <c r="N108" i="63" s="1"/>
  <c r="J108" i="63"/>
  <c r="D108" i="63"/>
  <c r="B108" i="63"/>
  <c r="Z107" i="63"/>
  <c r="X107" i="63"/>
  <c r="P107" i="63"/>
  <c r="L107" i="63"/>
  <c r="N107" i="63" s="1"/>
  <c r="J107" i="63"/>
  <c r="D107" i="63"/>
  <c r="B107" i="63"/>
  <c r="T106" i="63"/>
  <c r="L106" i="63"/>
  <c r="J106" i="63"/>
  <c r="H106" i="63"/>
  <c r="X104" i="63"/>
  <c r="Z104" i="63" s="1"/>
  <c r="L104" i="63"/>
  <c r="N104" i="63" s="1"/>
  <c r="B104" i="63"/>
  <c r="T103" i="63"/>
  <c r="P103" i="63"/>
  <c r="X103" i="63" s="1"/>
  <c r="Z103" i="63" s="1"/>
  <c r="H103" i="63"/>
  <c r="D103" i="63"/>
  <c r="L103" i="63" s="1"/>
  <c r="B103" i="63"/>
  <c r="Z102" i="63"/>
  <c r="X102" i="63"/>
  <c r="N102" i="63"/>
  <c r="L102" i="63"/>
  <c r="B102" i="63"/>
  <c r="Z101" i="63"/>
  <c r="X101" i="63"/>
  <c r="V101" i="63"/>
  <c r="N101" i="63"/>
  <c r="L101" i="63"/>
  <c r="B101" i="63"/>
  <c r="Z100" i="63"/>
  <c r="X100" i="63"/>
  <c r="R100" i="63"/>
  <c r="N100" i="63"/>
  <c r="L100" i="63"/>
  <c r="B100" i="63"/>
  <c r="Z99" i="63"/>
  <c r="X99" i="63"/>
  <c r="T99" i="63"/>
  <c r="P99" i="63"/>
  <c r="N99" i="63"/>
  <c r="L99" i="63"/>
  <c r="J99" i="63"/>
  <c r="H99" i="63"/>
  <c r="D99" i="63"/>
  <c r="B99" i="63"/>
  <c r="Z98" i="63"/>
  <c r="X98" i="63"/>
  <c r="L98" i="63"/>
  <c r="N98" i="63" s="1"/>
  <c r="J98" i="63"/>
  <c r="F98" i="63"/>
  <c r="B98" i="63"/>
  <c r="T97" i="63"/>
  <c r="P97" i="63"/>
  <c r="J97" i="63"/>
  <c r="H97" i="63"/>
  <c r="F97" i="63"/>
  <c r="D97" i="63"/>
  <c r="B97" i="63"/>
  <c r="X96" i="63"/>
  <c r="Z96" i="63" s="1"/>
  <c r="N96" i="63"/>
  <c r="L96" i="63"/>
  <c r="F96" i="63"/>
  <c r="B96" i="63"/>
  <c r="T95" i="63"/>
  <c r="P95" i="63"/>
  <c r="X95" i="63" s="1"/>
  <c r="Z95" i="63" s="1"/>
  <c r="H95" i="63"/>
  <c r="F95" i="63"/>
  <c r="D95" i="63"/>
  <c r="L95" i="63" s="1"/>
  <c r="B95" i="63"/>
  <c r="X94" i="63"/>
  <c r="Z94" i="63" s="1"/>
  <c r="N94" i="63"/>
  <c r="L94" i="63"/>
  <c r="B94" i="63"/>
  <c r="X93" i="63"/>
  <c r="Z93" i="63" s="1"/>
  <c r="V93" i="63"/>
  <c r="L93" i="63"/>
  <c r="N93" i="63" s="1"/>
  <c r="B93" i="63"/>
  <c r="Z92" i="63"/>
  <c r="X92" i="63"/>
  <c r="N92" i="63"/>
  <c r="L92" i="63"/>
  <c r="B92" i="63"/>
  <c r="Z91" i="63"/>
  <c r="X91" i="63"/>
  <c r="N91" i="63"/>
  <c r="L91" i="63"/>
  <c r="J91" i="63"/>
  <c r="B91" i="63"/>
  <c r="Z90" i="63"/>
  <c r="X90" i="63"/>
  <c r="N90" i="63"/>
  <c r="L90" i="63"/>
  <c r="B90" i="63"/>
  <c r="Z89" i="63"/>
  <c r="X89" i="63"/>
  <c r="N89" i="63"/>
  <c r="L89" i="63"/>
  <c r="B89" i="63"/>
  <c r="Z88" i="63"/>
  <c r="X88" i="63"/>
  <c r="N88" i="63"/>
  <c r="L88" i="63"/>
  <c r="B88" i="63"/>
  <c r="Z87" i="63"/>
  <c r="X87" i="63"/>
  <c r="T87" i="63"/>
  <c r="P87" i="63"/>
  <c r="N87" i="63"/>
  <c r="L87" i="63"/>
  <c r="J87" i="63"/>
  <c r="H87" i="63"/>
  <c r="D87" i="63"/>
  <c r="B87" i="63"/>
  <c r="Z86" i="63"/>
  <c r="X86" i="63"/>
  <c r="N86" i="63"/>
  <c r="L86" i="63"/>
  <c r="J86" i="63"/>
  <c r="F86" i="63"/>
  <c r="B86" i="63"/>
  <c r="X85" i="63"/>
  <c r="Z85" i="63" s="1"/>
  <c r="N85" i="63"/>
  <c r="L85" i="63"/>
  <c r="B85" i="63"/>
  <c r="X84" i="63"/>
  <c r="Z84" i="63" s="1"/>
  <c r="T84" i="63"/>
  <c r="P84" i="63"/>
  <c r="H84" i="63"/>
  <c r="D84" i="63"/>
  <c r="L84" i="63" s="1"/>
  <c r="N84" i="63" s="1"/>
  <c r="B84" i="63"/>
  <c r="Z83" i="63"/>
  <c r="X83" i="63"/>
  <c r="N83" i="63"/>
  <c r="L83" i="63"/>
  <c r="B83" i="63"/>
  <c r="Z82" i="63"/>
  <c r="X82" i="63"/>
  <c r="R82" i="63"/>
  <c r="N82" i="63"/>
  <c r="L82" i="63"/>
  <c r="B82" i="63"/>
  <c r="Z81" i="63"/>
  <c r="X81" i="63"/>
  <c r="N81" i="63"/>
  <c r="L81" i="63"/>
  <c r="J81" i="63"/>
  <c r="B81" i="63"/>
  <c r="X80" i="63"/>
  <c r="Z80" i="63" s="1"/>
  <c r="T80" i="63"/>
  <c r="P80" i="63"/>
  <c r="J80" i="63"/>
  <c r="H80" i="63"/>
  <c r="D80" i="63"/>
  <c r="B80" i="63"/>
  <c r="Z79" i="63"/>
  <c r="X79" i="63"/>
  <c r="L79" i="63"/>
  <c r="N79" i="63" s="1"/>
  <c r="J79" i="63"/>
  <c r="B79" i="63"/>
  <c r="Z78" i="63"/>
  <c r="X78" i="63"/>
  <c r="N78" i="63"/>
  <c r="L78" i="63"/>
  <c r="B78" i="63"/>
  <c r="Z77" i="63"/>
  <c r="X77" i="63"/>
  <c r="V77" i="63"/>
  <c r="N77" i="63"/>
  <c r="L77" i="63"/>
  <c r="B77" i="63"/>
  <c r="X76" i="63"/>
  <c r="Z76" i="63" s="1"/>
  <c r="R76" i="63"/>
  <c r="N76" i="63"/>
  <c r="L76" i="63"/>
  <c r="B76" i="63"/>
  <c r="Z75" i="63"/>
  <c r="X75" i="63"/>
  <c r="T75" i="63"/>
  <c r="P75" i="63"/>
  <c r="L75" i="63"/>
  <c r="N75" i="63" s="1"/>
  <c r="J75" i="63"/>
  <c r="H75" i="63"/>
  <c r="D75" i="63"/>
  <c r="B75" i="63"/>
  <c r="Z74" i="63"/>
  <c r="X74" i="63"/>
  <c r="L74" i="63"/>
  <c r="N74" i="63" s="1"/>
  <c r="J74" i="63"/>
  <c r="F74" i="63"/>
  <c r="B74" i="63"/>
  <c r="T73" i="63"/>
  <c r="P73" i="63"/>
  <c r="J73" i="63"/>
  <c r="H73" i="63"/>
  <c r="F73" i="63"/>
  <c r="D73" i="63"/>
  <c r="B73" i="63"/>
  <c r="X72" i="63"/>
  <c r="Z72" i="63" s="1"/>
  <c r="L72" i="63"/>
  <c r="N72" i="63" s="1"/>
  <c r="B72" i="63"/>
  <c r="Z71" i="63"/>
  <c r="T71" i="63"/>
  <c r="P71" i="63"/>
  <c r="X71" i="63" s="1"/>
  <c r="H71" i="63"/>
  <c r="D71" i="63"/>
  <c r="L71" i="63" s="1"/>
  <c r="B71" i="63"/>
  <c r="Z70" i="63"/>
  <c r="X70" i="63"/>
  <c r="N70" i="63"/>
  <c r="L70" i="63"/>
  <c r="B70" i="63"/>
  <c r="Z69" i="63"/>
  <c r="X69" i="63"/>
  <c r="N69" i="63"/>
  <c r="L69" i="63"/>
  <c r="B69" i="63"/>
  <c r="T68" i="63"/>
  <c r="Z68" i="63" s="1"/>
  <c r="P68" i="63"/>
  <c r="X68" i="63" s="1"/>
  <c r="H68" i="63"/>
  <c r="N68" i="63" s="1"/>
  <c r="D68" i="63"/>
  <c r="L68" i="63" s="1"/>
  <c r="B68" i="63"/>
  <c r="X67" i="63"/>
  <c r="Z67" i="63" s="1"/>
  <c r="N67" i="63"/>
  <c r="L67" i="63"/>
  <c r="B67" i="63"/>
  <c r="T66" i="63"/>
  <c r="P66" i="63"/>
  <c r="X66" i="63" s="1"/>
  <c r="Z66" i="63" s="1"/>
  <c r="N66" i="63"/>
  <c r="L66" i="63"/>
  <c r="H66" i="63"/>
  <c r="D66" i="63"/>
  <c r="B66" i="63"/>
  <c r="Z65" i="63"/>
  <c r="X65" i="63"/>
  <c r="N65" i="63"/>
  <c r="L65" i="63"/>
  <c r="J65" i="63"/>
  <c r="B65" i="63"/>
  <c r="X64" i="63"/>
  <c r="Z64" i="63" s="1"/>
  <c r="T64" i="63"/>
  <c r="P64" i="63"/>
  <c r="J64" i="63"/>
  <c r="H64" i="63"/>
  <c r="D64" i="63"/>
  <c r="B64" i="63"/>
  <c r="Z63" i="63"/>
  <c r="X63" i="63"/>
  <c r="L63" i="63"/>
  <c r="N63" i="63" s="1"/>
  <c r="J63" i="63"/>
  <c r="B63" i="63"/>
  <c r="T62" i="63"/>
  <c r="Z62" i="63" s="1"/>
  <c r="P62" i="63"/>
  <c r="X62" i="63" s="1"/>
  <c r="H62" i="63"/>
  <c r="F62" i="63"/>
  <c r="D62" i="63"/>
  <c r="B62" i="63"/>
  <c r="Z61" i="63"/>
  <c r="X61" i="63"/>
  <c r="N61" i="63"/>
  <c r="L61" i="63"/>
  <c r="B61" i="63"/>
  <c r="Z60" i="63"/>
  <c r="X60" i="63"/>
  <c r="T60" i="63"/>
  <c r="P60" i="63"/>
  <c r="N60" i="63"/>
  <c r="H60" i="63"/>
  <c r="D60" i="63"/>
  <c r="L60" i="63" s="1"/>
  <c r="B60" i="63"/>
  <c r="Z59" i="63"/>
  <c r="X59" i="63"/>
  <c r="N59" i="63"/>
  <c r="L59" i="63"/>
  <c r="B59" i="63"/>
  <c r="T58" i="63"/>
  <c r="P58" i="63"/>
  <c r="L58" i="63"/>
  <c r="N58" i="63" s="1"/>
  <c r="H58" i="63"/>
  <c r="D58" i="63"/>
  <c r="B58" i="63"/>
  <c r="Z57" i="63"/>
  <c r="X57" i="63"/>
  <c r="N57" i="63"/>
  <c r="L57" i="63"/>
  <c r="B57" i="63"/>
  <c r="X56" i="63"/>
  <c r="Z56" i="63" s="1"/>
  <c r="R56" i="63"/>
  <c r="L56" i="63"/>
  <c r="N56" i="63" s="1"/>
  <c r="B56" i="63"/>
  <c r="Z55" i="63"/>
  <c r="X55" i="63"/>
  <c r="T55" i="63"/>
  <c r="P55" i="63"/>
  <c r="N55" i="63"/>
  <c r="L55" i="63"/>
  <c r="J55" i="63"/>
  <c r="H55" i="63"/>
  <c r="D55" i="63"/>
  <c r="B55" i="63"/>
  <c r="Z54" i="63"/>
  <c r="X54" i="63"/>
  <c r="N54" i="63"/>
  <c r="L54" i="63"/>
  <c r="J54" i="63"/>
  <c r="B54" i="63"/>
  <c r="X53" i="63"/>
  <c r="Z53" i="63" s="1"/>
  <c r="N53" i="63"/>
  <c r="L53" i="63"/>
  <c r="B53" i="63"/>
  <c r="X52" i="63"/>
  <c r="Z52" i="63" s="1"/>
  <c r="T52" i="63"/>
  <c r="P52" i="63"/>
  <c r="H52" i="63"/>
  <c r="D52" i="63"/>
  <c r="L52" i="63" s="1"/>
  <c r="N52" i="63" s="1"/>
  <c r="B52" i="63"/>
  <c r="Z51" i="63"/>
  <c r="X51" i="63"/>
  <c r="N51" i="63"/>
  <c r="L51" i="63"/>
  <c r="B51" i="63"/>
  <c r="X50" i="63"/>
  <c r="Z50" i="63" s="1"/>
  <c r="L50" i="63"/>
  <c r="N50" i="63" s="1"/>
  <c r="B50" i="63"/>
  <c r="Z49" i="63"/>
  <c r="X49" i="63"/>
  <c r="N49" i="63"/>
  <c r="L49" i="63"/>
  <c r="J49" i="63"/>
  <c r="B49" i="63"/>
  <c r="X48" i="63"/>
  <c r="Z48" i="63" s="1"/>
  <c r="L48" i="63"/>
  <c r="N48" i="63" s="1"/>
  <c r="B48" i="63"/>
  <c r="Z47" i="63"/>
  <c r="T47" i="63"/>
  <c r="P47" i="63"/>
  <c r="X47" i="63" s="1"/>
  <c r="H47" i="63"/>
  <c r="F47" i="63"/>
  <c r="D47" i="63"/>
  <c r="L47" i="63" s="1"/>
  <c r="N47" i="63" s="1"/>
  <c r="B47" i="63"/>
  <c r="X46" i="63"/>
  <c r="Z46" i="63" s="1"/>
  <c r="N46" i="63"/>
  <c r="L46" i="63"/>
  <c r="B46" i="63"/>
  <c r="Z45" i="63"/>
  <c r="X45" i="63"/>
  <c r="V45" i="63"/>
  <c r="T45" i="63"/>
  <c r="P45" i="63"/>
  <c r="N45" i="63"/>
  <c r="L45" i="63"/>
  <c r="H45" i="63"/>
  <c r="D45" i="63"/>
  <c r="B45" i="63"/>
  <c r="Z44" i="63"/>
  <c r="X44" i="63"/>
  <c r="N44" i="63"/>
  <c r="L44" i="63"/>
  <c r="B44" i="63"/>
  <c r="X43" i="63"/>
  <c r="Z43" i="63" s="1"/>
  <c r="R43" i="63"/>
  <c r="N43" i="63"/>
  <c r="L43" i="63"/>
  <c r="B43" i="63"/>
  <c r="T42" i="63"/>
  <c r="P42" i="63"/>
  <c r="X42" i="63" s="1"/>
  <c r="Z42" i="63" s="1"/>
  <c r="L42" i="63"/>
  <c r="N42" i="63" s="1"/>
  <c r="H42" i="63"/>
  <c r="D42" i="63"/>
  <c r="B42" i="63"/>
  <c r="Z41" i="63"/>
  <c r="X41" i="63"/>
  <c r="N41" i="63"/>
  <c r="L41" i="63"/>
  <c r="J41" i="63"/>
  <c r="B41" i="63"/>
  <c r="X40" i="63"/>
  <c r="Z40" i="63" s="1"/>
  <c r="T40" i="63"/>
  <c r="P40" i="63"/>
  <c r="L40" i="63"/>
  <c r="J40" i="63"/>
  <c r="H40" i="63"/>
  <c r="D40" i="63"/>
  <c r="B40" i="63"/>
  <c r="Z39" i="63"/>
  <c r="X39" i="63"/>
  <c r="N39" i="63"/>
  <c r="L39" i="63"/>
  <c r="J39" i="63"/>
  <c r="B39" i="63"/>
  <c r="Z38" i="63"/>
  <c r="X38" i="63"/>
  <c r="N38" i="63"/>
  <c r="L38" i="63"/>
  <c r="B38" i="63"/>
  <c r="Z37" i="63"/>
  <c r="X37" i="63"/>
  <c r="V37" i="63"/>
  <c r="N37" i="63"/>
  <c r="L37" i="63"/>
  <c r="J37" i="63"/>
  <c r="B37" i="63"/>
  <c r="X36" i="63"/>
  <c r="Z36" i="63" s="1"/>
  <c r="R36" i="63"/>
  <c r="L36" i="63"/>
  <c r="N36" i="63" s="1"/>
  <c r="B36" i="63"/>
  <c r="Z35" i="63"/>
  <c r="X35" i="63"/>
  <c r="N35" i="63"/>
  <c r="L35" i="63"/>
  <c r="J35" i="63"/>
  <c r="B35" i="63"/>
  <c r="Z34" i="63"/>
  <c r="X34" i="63"/>
  <c r="N34" i="63"/>
  <c r="L34" i="63"/>
  <c r="B34" i="63"/>
  <c r="Z33" i="63"/>
  <c r="X33" i="63"/>
  <c r="V33" i="63"/>
  <c r="L33" i="63"/>
  <c r="N33" i="63" s="1"/>
  <c r="J33" i="63"/>
  <c r="B33" i="63"/>
  <c r="Z32" i="63"/>
  <c r="X32" i="63"/>
  <c r="R32" i="63"/>
  <c r="N32" i="63"/>
  <c r="L32" i="63"/>
  <c r="B32" i="63"/>
  <c r="Z31" i="63"/>
  <c r="X31" i="63"/>
  <c r="L31" i="63"/>
  <c r="N31" i="63" s="1"/>
  <c r="J31" i="63"/>
  <c r="B31" i="63"/>
  <c r="X30" i="63"/>
  <c r="Z30" i="63" s="1"/>
  <c r="N30" i="63"/>
  <c r="L30" i="63"/>
  <c r="B30" i="63"/>
  <c r="X29" i="63"/>
  <c r="Z29" i="63" s="1"/>
  <c r="V29" i="63"/>
  <c r="T29" i="63"/>
  <c r="P29" i="63"/>
  <c r="N29" i="63"/>
  <c r="L29" i="63"/>
  <c r="H29" i="63"/>
  <c r="D29" i="63"/>
  <c r="B29" i="63"/>
  <c r="Z28" i="63"/>
  <c r="X28" i="63"/>
  <c r="L28" i="63"/>
  <c r="N28" i="63" s="1"/>
  <c r="J28" i="63"/>
  <c r="B28" i="63"/>
  <c r="X27" i="63"/>
  <c r="Z27" i="63" s="1"/>
  <c r="V27" i="63"/>
  <c r="R27" i="63"/>
  <c r="N27" i="63"/>
  <c r="L27" i="63"/>
  <c r="B27" i="63"/>
  <c r="Z26" i="63"/>
  <c r="X26" i="63"/>
  <c r="L26" i="63"/>
  <c r="N26" i="63" s="1"/>
  <c r="J26" i="63"/>
  <c r="F26" i="63"/>
  <c r="B26" i="63"/>
  <c r="Z25" i="63"/>
  <c r="X25" i="63"/>
  <c r="V25" i="63"/>
  <c r="N25" i="63"/>
  <c r="L25" i="63"/>
  <c r="B25" i="63"/>
  <c r="X24" i="63"/>
  <c r="Z24" i="63" s="1"/>
  <c r="L24" i="63"/>
  <c r="N24" i="63" s="1"/>
  <c r="J24" i="63"/>
  <c r="B24" i="63"/>
  <c r="X23" i="63"/>
  <c r="Z23" i="63" s="1"/>
  <c r="R23" i="63"/>
  <c r="N23" i="63"/>
  <c r="L23" i="63"/>
  <c r="B23" i="63"/>
  <c r="Z22" i="63"/>
  <c r="X22" i="63"/>
  <c r="L22" i="63"/>
  <c r="N22" i="63" s="1"/>
  <c r="J22" i="63"/>
  <c r="B22" i="63"/>
  <c r="X21" i="63"/>
  <c r="Z21" i="63" s="1"/>
  <c r="N21" i="63"/>
  <c r="L21" i="63"/>
  <c r="B21" i="63"/>
  <c r="X20" i="63"/>
  <c r="Z20" i="63" s="1"/>
  <c r="L20" i="63"/>
  <c r="N20" i="63" s="1"/>
  <c r="J20" i="63"/>
  <c r="B20" i="63"/>
  <c r="V19" i="63"/>
  <c r="T19" i="63"/>
  <c r="R19" i="63"/>
  <c r="P19" i="63"/>
  <c r="J19" i="63"/>
  <c r="H19" i="63"/>
  <c r="D19" i="63"/>
  <c r="B19" i="63"/>
  <c r="V18" i="63"/>
  <c r="T18" i="63"/>
  <c r="P18" i="63"/>
  <c r="L18" i="63"/>
  <c r="J18" i="63"/>
  <c r="H18" i="63"/>
  <c r="N18" i="63" s="1"/>
  <c r="D18" i="63"/>
  <c r="V16" i="63"/>
  <c r="J16" i="63"/>
  <c r="X14" i="63"/>
  <c r="V14" i="63"/>
  <c r="T14" i="63"/>
  <c r="Z14" i="63" s="1"/>
  <c r="P14" i="63"/>
  <c r="L14" i="63"/>
  <c r="J14" i="63"/>
  <c r="H14" i="63"/>
  <c r="N14" i="63" s="1"/>
  <c r="D14" i="63"/>
  <c r="X12" i="63"/>
  <c r="T12" i="63"/>
  <c r="P12" i="63"/>
  <c r="R50" i="63" s="1"/>
  <c r="H12" i="63"/>
  <c r="J110" i="63" s="1"/>
  <c r="D12" i="63"/>
  <c r="F103" i="63" s="1"/>
  <c r="D6" i="63"/>
  <c r="D4" i="63"/>
  <c r="Z64" i="61"/>
  <c r="X64" i="61"/>
  <c r="N64" i="61"/>
  <c r="L64" i="61"/>
  <c r="X60" i="61"/>
  <c r="T60" i="61"/>
  <c r="Z60" i="61" s="1"/>
  <c r="P60" i="61"/>
  <c r="H60" i="61"/>
  <c r="N60" i="61" s="1"/>
  <c r="D60" i="61"/>
  <c r="X58" i="61"/>
  <c r="Z58" i="61" s="1"/>
  <c r="L58" i="61"/>
  <c r="N58" i="61" s="1"/>
  <c r="F58" i="61"/>
  <c r="B58" i="61"/>
  <c r="T57" i="61"/>
  <c r="P57" i="61"/>
  <c r="X57" i="61" s="1"/>
  <c r="Z57" i="61" s="1"/>
  <c r="N57" i="61"/>
  <c r="H57" i="61"/>
  <c r="D57" i="61"/>
  <c r="L57" i="61" s="1"/>
  <c r="B57" i="61"/>
  <c r="X56" i="61"/>
  <c r="Z56" i="61" s="1"/>
  <c r="R56" i="61"/>
  <c r="N56" i="61"/>
  <c r="L56" i="61"/>
  <c r="B56" i="61"/>
  <c r="Z55" i="61"/>
  <c r="X55" i="61"/>
  <c r="T55" i="61"/>
  <c r="P55" i="61"/>
  <c r="N55" i="61"/>
  <c r="L55" i="61"/>
  <c r="H55" i="61"/>
  <c r="D55" i="61"/>
  <c r="B55" i="61"/>
  <c r="X54" i="61"/>
  <c r="Z54" i="61" s="1"/>
  <c r="L54" i="61"/>
  <c r="N54" i="61" s="1"/>
  <c r="J54" i="61"/>
  <c r="B54" i="61"/>
  <c r="T53" i="61"/>
  <c r="P53" i="61"/>
  <c r="J53" i="61"/>
  <c r="H53" i="61"/>
  <c r="D53" i="61"/>
  <c r="B53" i="61"/>
  <c r="Z52" i="61"/>
  <c r="X52" i="61"/>
  <c r="N52" i="61"/>
  <c r="L52" i="61"/>
  <c r="F52" i="61"/>
  <c r="B52" i="61"/>
  <c r="Z51" i="61"/>
  <c r="X51" i="61"/>
  <c r="N51" i="61"/>
  <c r="L51" i="61"/>
  <c r="J51" i="61"/>
  <c r="B51" i="61"/>
  <c r="T50" i="61"/>
  <c r="P50" i="61"/>
  <c r="L50" i="61"/>
  <c r="J50" i="61"/>
  <c r="H50" i="61"/>
  <c r="D50" i="61"/>
  <c r="B50" i="61"/>
  <c r="X49" i="61"/>
  <c r="Z49" i="61" s="1"/>
  <c r="N49" i="61"/>
  <c r="L49" i="61"/>
  <c r="B49" i="61"/>
  <c r="T48" i="61"/>
  <c r="P48" i="61"/>
  <c r="L48" i="61"/>
  <c r="H48" i="61"/>
  <c r="D48" i="61"/>
  <c r="B48" i="61"/>
  <c r="Z47" i="61"/>
  <c r="X47" i="61"/>
  <c r="R47" i="61"/>
  <c r="N47" i="61"/>
  <c r="L47" i="61"/>
  <c r="B47" i="61"/>
  <c r="Z46" i="61"/>
  <c r="X46" i="61"/>
  <c r="T46" i="61"/>
  <c r="P46" i="61"/>
  <c r="N46" i="61"/>
  <c r="H46" i="61"/>
  <c r="F46" i="61"/>
  <c r="D46" i="61"/>
  <c r="L46" i="61" s="1"/>
  <c r="B46" i="61"/>
  <c r="Z45" i="61"/>
  <c r="X45" i="61"/>
  <c r="L45" i="61"/>
  <c r="N45" i="61" s="1"/>
  <c r="B45" i="61"/>
  <c r="T44" i="61"/>
  <c r="P44" i="61"/>
  <c r="X44" i="61" s="1"/>
  <c r="H44" i="61"/>
  <c r="D44" i="61"/>
  <c r="L44" i="61" s="1"/>
  <c r="B44" i="61"/>
  <c r="X43" i="61"/>
  <c r="Z43" i="61" s="1"/>
  <c r="N43" i="61"/>
  <c r="L43" i="61"/>
  <c r="J43" i="61"/>
  <c r="F43" i="61"/>
  <c r="B43" i="61"/>
  <c r="T42" i="61"/>
  <c r="R42" i="61"/>
  <c r="P42" i="61"/>
  <c r="H42" i="61"/>
  <c r="D42" i="61"/>
  <c r="B42" i="61"/>
  <c r="Z41" i="61"/>
  <c r="X41" i="61"/>
  <c r="N41" i="61"/>
  <c r="L41" i="61"/>
  <c r="B41" i="61"/>
  <c r="T40" i="61"/>
  <c r="R40" i="61"/>
  <c r="P40" i="61"/>
  <c r="X40" i="61" s="1"/>
  <c r="Z40" i="61" s="1"/>
  <c r="H40" i="61"/>
  <c r="N40" i="61" s="1"/>
  <c r="D40" i="61"/>
  <c r="L40" i="61" s="1"/>
  <c r="B40" i="61"/>
  <c r="Z39" i="61"/>
  <c r="X39" i="61"/>
  <c r="N39" i="61"/>
  <c r="L39" i="61"/>
  <c r="J39" i="61"/>
  <c r="B39" i="61"/>
  <c r="Z38" i="61"/>
  <c r="X38" i="61"/>
  <c r="R38" i="61"/>
  <c r="N38" i="61"/>
  <c r="L38" i="61"/>
  <c r="J38" i="61"/>
  <c r="B38" i="61"/>
  <c r="Z37" i="61"/>
  <c r="X37" i="61"/>
  <c r="L37" i="61"/>
  <c r="N37" i="61" s="1"/>
  <c r="B37" i="61"/>
  <c r="X36" i="61"/>
  <c r="Z36" i="61" s="1"/>
  <c r="N36" i="61"/>
  <c r="L36" i="61"/>
  <c r="F36" i="61"/>
  <c r="B36" i="61"/>
  <c r="Z35" i="61"/>
  <c r="X35" i="61"/>
  <c r="R35" i="61"/>
  <c r="N35" i="61"/>
  <c r="L35" i="61"/>
  <c r="J35" i="61"/>
  <c r="B35" i="61"/>
  <c r="Z34" i="61"/>
  <c r="X34" i="61"/>
  <c r="V34" i="61"/>
  <c r="N34" i="61"/>
  <c r="L34" i="61"/>
  <c r="B34" i="61"/>
  <c r="Z33" i="61"/>
  <c r="X33" i="61"/>
  <c r="L33" i="61"/>
  <c r="N33" i="61" s="1"/>
  <c r="J33" i="61"/>
  <c r="B33" i="61"/>
  <c r="Z32" i="61"/>
  <c r="X32" i="61"/>
  <c r="R32" i="61"/>
  <c r="N32" i="61"/>
  <c r="L32" i="61"/>
  <c r="B32" i="61"/>
  <c r="Z31" i="61"/>
  <c r="X31" i="61"/>
  <c r="N31" i="61"/>
  <c r="L31" i="61"/>
  <c r="B31" i="61"/>
  <c r="X30" i="61"/>
  <c r="Z30" i="61" s="1"/>
  <c r="R30" i="61"/>
  <c r="L30" i="61"/>
  <c r="N30" i="61" s="1"/>
  <c r="F30" i="61"/>
  <c r="B30" i="61"/>
  <c r="T29" i="61"/>
  <c r="P29" i="61"/>
  <c r="X29" i="61" s="1"/>
  <c r="Z29" i="61" s="1"/>
  <c r="J29" i="61"/>
  <c r="H29" i="61"/>
  <c r="D29" i="61"/>
  <c r="L29" i="61" s="1"/>
  <c r="B29" i="61"/>
  <c r="Z28" i="61"/>
  <c r="X28" i="61"/>
  <c r="N28" i="61"/>
  <c r="L28" i="61"/>
  <c r="B28" i="61"/>
  <c r="X27" i="61"/>
  <c r="Z27" i="61" s="1"/>
  <c r="V27" i="61"/>
  <c r="N27" i="61"/>
  <c r="L27" i="61"/>
  <c r="J27" i="61"/>
  <c r="B27" i="61"/>
  <c r="X26" i="61"/>
  <c r="Z26" i="61" s="1"/>
  <c r="L26" i="61"/>
  <c r="N26" i="61" s="1"/>
  <c r="J26" i="61"/>
  <c r="B26" i="61"/>
  <c r="Z25" i="61"/>
  <c r="X25" i="61"/>
  <c r="N25" i="61"/>
  <c r="L25" i="61"/>
  <c r="J25" i="61"/>
  <c r="B25" i="61"/>
  <c r="Z24" i="61"/>
  <c r="X24" i="61"/>
  <c r="L24" i="61"/>
  <c r="N24" i="61" s="1"/>
  <c r="B24" i="61"/>
  <c r="Z23" i="61"/>
  <c r="X23" i="61"/>
  <c r="R23" i="61"/>
  <c r="N23" i="61"/>
  <c r="L23" i="61"/>
  <c r="J23" i="61"/>
  <c r="B23" i="61"/>
  <c r="X22" i="61"/>
  <c r="Z22" i="61" s="1"/>
  <c r="L22" i="61"/>
  <c r="N22" i="61" s="1"/>
  <c r="J22" i="61"/>
  <c r="B22" i="61"/>
  <c r="Z21" i="61"/>
  <c r="X21" i="61"/>
  <c r="L21" i="61"/>
  <c r="N21" i="61" s="1"/>
  <c r="J21" i="61"/>
  <c r="B21" i="61"/>
  <c r="Z20" i="61"/>
  <c r="X20" i="61"/>
  <c r="L20" i="61"/>
  <c r="N20" i="61" s="1"/>
  <c r="B20" i="61"/>
  <c r="T19" i="61"/>
  <c r="P19" i="61"/>
  <c r="J19" i="61"/>
  <c r="H19" i="61"/>
  <c r="D19" i="61"/>
  <c r="L19" i="61" s="1"/>
  <c r="N19" i="61" s="1"/>
  <c r="B19" i="61"/>
  <c r="X18" i="61"/>
  <c r="V18" i="61"/>
  <c r="T18" i="61"/>
  <c r="P18" i="61"/>
  <c r="L18" i="61"/>
  <c r="H18" i="61"/>
  <c r="N18" i="61" s="1"/>
  <c r="D18" i="61"/>
  <c r="X14" i="61"/>
  <c r="T14" i="61"/>
  <c r="Z14" i="61" s="1"/>
  <c r="P14" i="61"/>
  <c r="P16" i="61" s="1"/>
  <c r="L14" i="61"/>
  <c r="H14" i="61"/>
  <c r="N14" i="61" s="1"/>
  <c r="D14" i="61"/>
  <c r="T12" i="61"/>
  <c r="V16" i="61" s="1"/>
  <c r="P12" i="61"/>
  <c r="H12" i="61"/>
  <c r="J45" i="61" s="1"/>
  <c r="D12" i="61"/>
  <c r="F54" i="61" s="1"/>
  <c r="D6" i="61"/>
  <c r="D4" i="61"/>
  <c r="Z64" i="60"/>
  <c r="X64" i="60"/>
  <c r="N64" i="60"/>
  <c r="L64" i="60"/>
  <c r="J62" i="60"/>
  <c r="X60" i="60"/>
  <c r="T60" i="60"/>
  <c r="Z60" i="60" s="1"/>
  <c r="P60" i="60"/>
  <c r="L60" i="60"/>
  <c r="J60" i="60"/>
  <c r="H60" i="60"/>
  <c r="N60" i="60" s="1"/>
  <c r="D60" i="60"/>
  <c r="Z58" i="60"/>
  <c r="X58" i="60"/>
  <c r="N58" i="60"/>
  <c r="L58" i="60"/>
  <c r="F58" i="60"/>
  <c r="B58" i="60"/>
  <c r="Z57" i="60"/>
  <c r="T57" i="60"/>
  <c r="X57" i="60" s="1"/>
  <c r="P57" i="60"/>
  <c r="N57" i="60"/>
  <c r="H57" i="60"/>
  <c r="F57" i="60"/>
  <c r="D57" i="60"/>
  <c r="L57" i="60" s="1"/>
  <c r="B57" i="60"/>
  <c r="X56" i="60"/>
  <c r="Z56" i="60" s="1"/>
  <c r="L56" i="60"/>
  <c r="N56" i="60" s="1"/>
  <c r="J56" i="60"/>
  <c r="B56" i="60"/>
  <c r="X55" i="60"/>
  <c r="Z55" i="60" s="1"/>
  <c r="T55" i="60"/>
  <c r="P55" i="60"/>
  <c r="H55" i="60"/>
  <c r="D55" i="60"/>
  <c r="L55" i="60" s="1"/>
  <c r="N55" i="60" s="1"/>
  <c r="B55" i="60"/>
  <c r="Z54" i="60"/>
  <c r="X54" i="60"/>
  <c r="L54" i="60"/>
  <c r="N54" i="60" s="1"/>
  <c r="B54" i="60"/>
  <c r="Z53" i="60"/>
  <c r="X53" i="60"/>
  <c r="V53" i="60"/>
  <c r="R53" i="60"/>
  <c r="N53" i="60"/>
  <c r="L53" i="60"/>
  <c r="B53" i="60"/>
  <c r="V52" i="60"/>
  <c r="T52" i="60"/>
  <c r="Z52" i="60" s="1"/>
  <c r="P52" i="60"/>
  <c r="X52" i="60" s="1"/>
  <c r="N52" i="60"/>
  <c r="H52" i="60"/>
  <c r="D52" i="60"/>
  <c r="L52" i="60" s="1"/>
  <c r="B52" i="60"/>
  <c r="X51" i="60"/>
  <c r="Z51" i="60" s="1"/>
  <c r="V51" i="60"/>
  <c r="L51" i="60"/>
  <c r="N51" i="60" s="1"/>
  <c r="B51" i="60"/>
  <c r="X50" i="60"/>
  <c r="T50" i="60"/>
  <c r="Z50" i="60" s="1"/>
  <c r="P50" i="60"/>
  <c r="L50" i="60"/>
  <c r="J50" i="60"/>
  <c r="H50" i="60"/>
  <c r="D50" i="60"/>
  <c r="B50" i="60"/>
  <c r="Z49" i="60"/>
  <c r="X49" i="60"/>
  <c r="N49" i="60"/>
  <c r="L49" i="60"/>
  <c r="J49" i="60"/>
  <c r="F49" i="60"/>
  <c r="B49" i="60"/>
  <c r="X48" i="60"/>
  <c r="Z48" i="60" s="1"/>
  <c r="L48" i="60"/>
  <c r="N48" i="60" s="1"/>
  <c r="J48" i="60"/>
  <c r="B48" i="60"/>
  <c r="Z47" i="60"/>
  <c r="X47" i="60"/>
  <c r="V47" i="60"/>
  <c r="N47" i="60"/>
  <c r="L47" i="60"/>
  <c r="J47" i="60"/>
  <c r="B47" i="60"/>
  <c r="T46" i="60"/>
  <c r="P46" i="60"/>
  <c r="H46" i="60"/>
  <c r="D46" i="60"/>
  <c r="B46" i="60"/>
  <c r="Z45" i="60"/>
  <c r="X45" i="60"/>
  <c r="V45" i="60"/>
  <c r="N45" i="60"/>
  <c r="L45" i="60"/>
  <c r="J45" i="60"/>
  <c r="B45" i="60"/>
  <c r="V44" i="60"/>
  <c r="T44" i="60"/>
  <c r="P44" i="60"/>
  <c r="X44" i="60" s="1"/>
  <c r="N44" i="60"/>
  <c r="H44" i="60"/>
  <c r="D44" i="60"/>
  <c r="L44" i="60" s="1"/>
  <c r="B44" i="60"/>
  <c r="X43" i="60"/>
  <c r="Z43" i="60" s="1"/>
  <c r="V43" i="60"/>
  <c r="N43" i="60"/>
  <c r="L43" i="60"/>
  <c r="J43" i="60"/>
  <c r="B43" i="60"/>
  <c r="X42" i="60"/>
  <c r="T42" i="60"/>
  <c r="Z42" i="60" s="1"/>
  <c r="P42" i="60"/>
  <c r="L42" i="60"/>
  <c r="J42" i="60"/>
  <c r="H42" i="60"/>
  <c r="D42" i="60"/>
  <c r="B42" i="60"/>
  <c r="Z41" i="60"/>
  <c r="X41" i="60"/>
  <c r="V41" i="60"/>
  <c r="N41" i="60"/>
  <c r="L41" i="60"/>
  <c r="J41" i="60"/>
  <c r="F41" i="60"/>
  <c r="B41" i="60"/>
  <c r="T40" i="60"/>
  <c r="P40" i="60"/>
  <c r="H40" i="60"/>
  <c r="F40" i="60"/>
  <c r="D40" i="60"/>
  <c r="L40" i="60" s="1"/>
  <c r="B40" i="60"/>
  <c r="Z39" i="60"/>
  <c r="X39" i="60"/>
  <c r="V39" i="60"/>
  <c r="N39" i="60"/>
  <c r="L39" i="60"/>
  <c r="J39" i="60"/>
  <c r="B39" i="60"/>
  <c r="Z38" i="60"/>
  <c r="X38" i="60"/>
  <c r="N38" i="60"/>
  <c r="L38" i="60"/>
  <c r="B38" i="60"/>
  <c r="Z37" i="60"/>
  <c r="X37" i="60"/>
  <c r="V37" i="60"/>
  <c r="N37" i="60"/>
  <c r="L37" i="60"/>
  <c r="J37" i="60"/>
  <c r="B37" i="60"/>
  <c r="Z36" i="60"/>
  <c r="X36" i="60"/>
  <c r="V36" i="60"/>
  <c r="N36" i="60"/>
  <c r="L36" i="60"/>
  <c r="J36" i="60"/>
  <c r="B36" i="60"/>
  <c r="Z35" i="60"/>
  <c r="X35" i="60"/>
  <c r="V35" i="60"/>
  <c r="N35" i="60"/>
  <c r="L35" i="60"/>
  <c r="J35" i="60"/>
  <c r="B35" i="60"/>
  <c r="Z34" i="60"/>
  <c r="X34" i="60"/>
  <c r="N34" i="60"/>
  <c r="L34" i="60"/>
  <c r="B34" i="60"/>
  <c r="Z33" i="60"/>
  <c r="X33" i="60"/>
  <c r="V33" i="60"/>
  <c r="N33" i="60"/>
  <c r="L33" i="60"/>
  <c r="J33" i="60"/>
  <c r="B33" i="60"/>
  <c r="Z32" i="60"/>
  <c r="X32" i="60"/>
  <c r="V32" i="60"/>
  <c r="N32" i="60"/>
  <c r="L32" i="60"/>
  <c r="J32" i="60"/>
  <c r="B32" i="60"/>
  <c r="Z31" i="60"/>
  <c r="X31" i="60"/>
  <c r="V31" i="60"/>
  <c r="L31" i="60"/>
  <c r="N31" i="60" s="1"/>
  <c r="J31" i="60"/>
  <c r="B31" i="60"/>
  <c r="Z30" i="60"/>
  <c r="X30" i="60"/>
  <c r="N30" i="60"/>
  <c r="L30" i="60"/>
  <c r="B30" i="60"/>
  <c r="V29" i="60"/>
  <c r="T29" i="60"/>
  <c r="P29" i="60"/>
  <c r="J29" i="60"/>
  <c r="H29" i="60"/>
  <c r="D29" i="60"/>
  <c r="L29" i="60" s="1"/>
  <c r="N29" i="60" s="1"/>
  <c r="B29" i="60"/>
  <c r="X28" i="60"/>
  <c r="Z28" i="60" s="1"/>
  <c r="V28" i="60"/>
  <c r="L28" i="60"/>
  <c r="N28" i="60" s="1"/>
  <c r="F28" i="60"/>
  <c r="B28" i="60"/>
  <c r="X27" i="60"/>
  <c r="Z27" i="60" s="1"/>
  <c r="V27" i="60"/>
  <c r="N27" i="60"/>
  <c r="L27" i="60"/>
  <c r="J27" i="60"/>
  <c r="B27" i="60"/>
  <c r="X26" i="60"/>
  <c r="Z26" i="60" s="1"/>
  <c r="N26" i="60"/>
  <c r="L26" i="60"/>
  <c r="F26" i="60"/>
  <c r="B26" i="60"/>
  <c r="Z25" i="60"/>
  <c r="X25" i="60"/>
  <c r="V25" i="60"/>
  <c r="N25" i="60"/>
  <c r="L25" i="60"/>
  <c r="J25" i="60"/>
  <c r="F25" i="60"/>
  <c r="B25" i="60"/>
  <c r="X24" i="60"/>
  <c r="Z24" i="60" s="1"/>
  <c r="V24" i="60"/>
  <c r="L24" i="60"/>
  <c r="N24" i="60" s="1"/>
  <c r="F24" i="60"/>
  <c r="B24" i="60"/>
  <c r="X23" i="60"/>
  <c r="Z23" i="60" s="1"/>
  <c r="V23" i="60"/>
  <c r="N23" i="60"/>
  <c r="L23" i="60"/>
  <c r="J23" i="60"/>
  <c r="B23" i="60"/>
  <c r="X22" i="60"/>
  <c r="Z22" i="60" s="1"/>
  <c r="N22" i="60"/>
  <c r="L22" i="60"/>
  <c r="F22" i="60"/>
  <c r="B22" i="60"/>
  <c r="Z21" i="60"/>
  <c r="X21" i="60"/>
  <c r="V21" i="60"/>
  <c r="N21" i="60"/>
  <c r="L21" i="60"/>
  <c r="J21" i="60"/>
  <c r="F21" i="60"/>
  <c r="B21" i="60"/>
  <c r="X20" i="60"/>
  <c r="Z20" i="60" s="1"/>
  <c r="V20" i="60"/>
  <c r="L20" i="60"/>
  <c r="N20" i="60" s="1"/>
  <c r="F20" i="60"/>
  <c r="B20" i="60"/>
  <c r="V19" i="60"/>
  <c r="T19" i="60"/>
  <c r="P19" i="60"/>
  <c r="X19" i="60" s="1"/>
  <c r="Z19" i="60" s="1"/>
  <c r="J19" i="60"/>
  <c r="H19" i="60"/>
  <c r="F19" i="60"/>
  <c r="D19" i="60"/>
  <c r="L19" i="60" s="1"/>
  <c r="N19" i="60" s="1"/>
  <c r="B19" i="60"/>
  <c r="T18" i="60"/>
  <c r="P18" i="60"/>
  <c r="X18" i="60" s="1"/>
  <c r="H18" i="60"/>
  <c r="N18" i="60" s="1"/>
  <c r="D18" i="60"/>
  <c r="L18" i="60" s="1"/>
  <c r="T14" i="60"/>
  <c r="Z14" i="60" s="1"/>
  <c r="P14" i="60"/>
  <c r="H14" i="60"/>
  <c r="N14" i="60" s="1"/>
  <c r="D14" i="60"/>
  <c r="L14" i="60" s="1"/>
  <c r="Z12" i="60"/>
  <c r="T12" i="60"/>
  <c r="V54" i="60" s="1"/>
  <c r="P12" i="60"/>
  <c r="R69" i="60" s="1"/>
  <c r="N12" i="60"/>
  <c r="L12" i="60"/>
  <c r="H12" i="60"/>
  <c r="J64" i="60" s="1"/>
  <c r="D12" i="60"/>
  <c r="F62" i="60" s="1"/>
  <c r="D6" i="60"/>
  <c r="D4" i="60"/>
  <c r="Z76" i="59"/>
  <c r="X76" i="59"/>
  <c r="N76" i="59"/>
  <c r="L76" i="59"/>
  <c r="J76" i="59"/>
  <c r="T72" i="59"/>
  <c r="Z72" i="59" s="1"/>
  <c r="P72" i="59"/>
  <c r="X72" i="59" s="1"/>
  <c r="H72" i="59"/>
  <c r="N72" i="59" s="1"/>
  <c r="D72" i="59"/>
  <c r="L72" i="59" s="1"/>
  <c r="Z70" i="59"/>
  <c r="X70" i="59"/>
  <c r="N70" i="59"/>
  <c r="L70" i="59"/>
  <c r="J70" i="59"/>
  <c r="B70" i="59"/>
  <c r="X69" i="59"/>
  <c r="Z69" i="59" s="1"/>
  <c r="N69" i="59"/>
  <c r="L69" i="59"/>
  <c r="J69" i="59"/>
  <c r="B69" i="59"/>
  <c r="T68" i="59"/>
  <c r="P68" i="59"/>
  <c r="X68" i="59" s="1"/>
  <c r="H68" i="59"/>
  <c r="N68" i="59" s="1"/>
  <c r="D68" i="59"/>
  <c r="L68" i="59" s="1"/>
  <c r="B68" i="59"/>
  <c r="Z67" i="59"/>
  <c r="X67" i="59"/>
  <c r="V67" i="59"/>
  <c r="N67" i="59"/>
  <c r="L67" i="59"/>
  <c r="B67" i="59"/>
  <c r="T66" i="59"/>
  <c r="P66" i="59"/>
  <c r="X66" i="59" s="1"/>
  <c r="N66" i="59"/>
  <c r="H66" i="59"/>
  <c r="D66" i="59"/>
  <c r="L66" i="59" s="1"/>
  <c r="B66" i="59"/>
  <c r="X65" i="59"/>
  <c r="Z65" i="59" s="1"/>
  <c r="L65" i="59"/>
  <c r="N65" i="59" s="1"/>
  <c r="B65" i="59"/>
  <c r="X64" i="59"/>
  <c r="Z64" i="59" s="1"/>
  <c r="N64" i="59"/>
  <c r="L64" i="59"/>
  <c r="F64" i="59"/>
  <c r="B64" i="59"/>
  <c r="T63" i="59"/>
  <c r="P63" i="59"/>
  <c r="X63" i="59" s="1"/>
  <c r="Z63" i="59" s="1"/>
  <c r="H63" i="59"/>
  <c r="F63" i="59"/>
  <c r="D63" i="59"/>
  <c r="L63" i="59" s="1"/>
  <c r="N63" i="59" s="1"/>
  <c r="B63" i="59"/>
  <c r="X62" i="59"/>
  <c r="Z62" i="59" s="1"/>
  <c r="N62" i="59"/>
  <c r="L62" i="59"/>
  <c r="J62" i="59"/>
  <c r="B62" i="59"/>
  <c r="Z61" i="59"/>
  <c r="X61" i="59"/>
  <c r="N61" i="59"/>
  <c r="L61" i="59"/>
  <c r="J61" i="59"/>
  <c r="B61" i="59"/>
  <c r="T60" i="59"/>
  <c r="P60" i="59"/>
  <c r="X60" i="59" s="1"/>
  <c r="H60" i="59"/>
  <c r="D60" i="59"/>
  <c r="L60" i="59" s="1"/>
  <c r="B60" i="59"/>
  <c r="Z59" i="59"/>
  <c r="X59" i="59"/>
  <c r="V59" i="59"/>
  <c r="N59" i="59"/>
  <c r="L59" i="59"/>
  <c r="B59" i="59"/>
  <c r="T58" i="59"/>
  <c r="P58" i="59"/>
  <c r="X58" i="59" s="1"/>
  <c r="H58" i="59"/>
  <c r="D58" i="59"/>
  <c r="L58" i="59" s="1"/>
  <c r="N58" i="59" s="1"/>
  <c r="B58" i="59"/>
  <c r="Z57" i="59"/>
  <c r="X57" i="59"/>
  <c r="N57" i="59"/>
  <c r="L57" i="59"/>
  <c r="B57" i="59"/>
  <c r="X56" i="59"/>
  <c r="Z56" i="59" s="1"/>
  <c r="N56" i="59"/>
  <c r="L56" i="59"/>
  <c r="F56" i="59"/>
  <c r="B56" i="59"/>
  <c r="Z55" i="59"/>
  <c r="X55" i="59"/>
  <c r="N55" i="59"/>
  <c r="L55" i="59"/>
  <c r="B55" i="59"/>
  <c r="X54" i="59"/>
  <c r="Z54" i="59" s="1"/>
  <c r="V54" i="59"/>
  <c r="L54" i="59"/>
  <c r="N54" i="59" s="1"/>
  <c r="B54" i="59"/>
  <c r="T53" i="59"/>
  <c r="P53" i="59"/>
  <c r="X53" i="59" s="1"/>
  <c r="Z53" i="59" s="1"/>
  <c r="H53" i="59"/>
  <c r="D53" i="59"/>
  <c r="L53" i="59" s="1"/>
  <c r="N53" i="59" s="1"/>
  <c r="B53" i="59"/>
  <c r="Z52" i="59"/>
  <c r="X52" i="59"/>
  <c r="N52" i="59"/>
  <c r="L52" i="59"/>
  <c r="B52" i="59"/>
  <c r="Z51" i="59"/>
  <c r="T51" i="59"/>
  <c r="X51" i="59" s="1"/>
  <c r="P51" i="59"/>
  <c r="N51" i="59"/>
  <c r="L51" i="59"/>
  <c r="J51" i="59"/>
  <c r="H51" i="59"/>
  <c r="D51" i="59"/>
  <c r="B51" i="59"/>
  <c r="X50" i="59"/>
  <c r="Z50" i="59" s="1"/>
  <c r="V50" i="59"/>
  <c r="L50" i="59"/>
  <c r="N50" i="59" s="1"/>
  <c r="J50" i="59"/>
  <c r="B50" i="59"/>
  <c r="V49" i="59"/>
  <c r="T49" i="59"/>
  <c r="P49" i="59"/>
  <c r="X49" i="59" s="1"/>
  <c r="Z49" i="59" s="1"/>
  <c r="J49" i="59"/>
  <c r="H49" i="59"/>
  <c r="D49" i="59"/>
  <c r="B49" i="59"/>
  <c r="X48" i="59"/>
  <c r="Z48" i="59" s="1"/>
  <c r="N48" i="59"/>
  <c r="L48" i="59"/>
  <c r="F48" i="59"/>
  <c r="B48" i="59"/>
  <c r="T47" i="59"/>
  <c r="P47" i="59"/>
  <c r="X47" i="59" s="1"/>
  <c r="Z47" i="59" s="1"/>
  <c r="H47" i="59"/>
  <c r="F47" i="59"/>
  <c r="D47" i="59"/>
  <c r="L47" i="59" s="1"/>
  <c r="N47" i="59" s="1"/>
  <c r="B47" i="59"/>
  <c r="X46" i="59"/>
  <c r="Z46" i="59" s="1"/>
  <c r="L46" i="59"/>
  <c r="N46" i="59" s="1"/>
  <c r="J46" i="59"/>
  <c r="B46" i="59"/>
  <c r="Z45" i="59"/>
  <c r="X45" i="59"/>
  <c r="N45" i="59"/>
  <c r="L45" i="59"/>
  <c r="J45" i="59"/>
  <c r="B45" i="59"/>
  <c r="T44" i="59"/>
  <c r="P44" i="59"/>
  <c r="H44" i="59"/>
  <c r="D44" i="59"/>
  <c r="L44" i="59" s="1"/>
  <c r="B44" i="59"/>
  <c r="Z43" i="59"/>
  <c r="X43" i="59"/>
  <c r="V43" i="59"/>
  <c r="N43" i="59"/>
  <c r="L43" i="59"/>
  <c r="J43" i="59"/>
  <c r="B43" i="59"/>
  <c r="V42" i="59"/>
  <c r="T42" i="59"/>
  <c r="Z42" i="59" s="1"/>
  <c r="P42" i="59"/>
  <c r="X42" i="59" s="1"/>
  <c r="N42" i="59"/>
  <c r="H42" i="59"/>
  <c r="D42" i="59"/>
  <c r="L42" i="59" s="1"/>
  <c r="B42" i="59"/>
  <c r="Z41" i="59"/>
  <c r="X41" i="59"/>
  <c r="N41" i="59"/>
  <c r="L41" i="59"/>
  <c r="J41" i="59"/>
  <c r="B41" i="59"/>
  <c r="Z40" i="59"/>
  <c r="X40" i="59"/>
  <c r="N40" i="59"/>
  <c r="L40" i="59"/>
  <c r="B40" i="59"/>
  <c r="Z39" i="59"/>
  <c r="X39" i="59"/>
  <c r="N39" i="59"/>
  <c r="L39" i="59"/>
  <c r="J39" i="59"/>
  <c r="B39" i="59"/>
  <c r="X38" i="59"/>
  <c r="Z38" i="59" s="1"/>
  <c r="V38" i="59"/>
  <c r="N38" i="59"/>
  <c r="L38" i="59"/>
  <c r="B38" i="59"/>
  <c r="Z37" i="59"/>
  <c r="X37" i="59"/>
  <c r="N37" i="59"/>
  <c r="L37" i="59"/>
  <c r="J37" i="59"/>
  <c r="B37" i="59"/>
  <c r="Z36" i="59"/>
  <c r="X36" i="59"/>
  <c r="N36" i="59"/>
  <c r="L36" i="59"/>
  <c r="B36" i="59"/>
  <c r="Z35" i="59"/>
  <c r="X35" i="59"/>
  <c r="N35" i="59"/>
  <c r="L35" i="59"/>
  <c r="J35" i="59"/>
  <c r="B35" i="59"/>
  <c r="Z34" i="59"/>
  <c r="X34" i="59"/>
  <c r="V34" i="59"/>
  <c r="N34" i="59"/>
  <c r="L34" i="59"/>
  <c r="B34" i="59"/>
  <c r="X33" i="59"/>
  <c r="Z33" i="59" s="1"/>
  <c r="L33" i="59"/>
  <c r="N33" i="59" s="1"/>
  <c r="J33" i="59"/>
  <c r="B33" i="59"/>
  <c r="Z32" i="59"/>
  <c r="X32" i="59"/>
  <c r="N32" i="59"/>
  <c r="L32" i="59"/>
  <c r="B32" i="59"/>
  <c r="T31" i="59"/>
  <c r="P31" i="59"/>
  <c r="X31" i="59" s="1"/>
  <c r="Z31" i="59" s="1"/>
  <c r="J31" i="59"/>
  <c r="H31" i="59"/>
  <c r="D31" i="59"/>
  <c r="L31" i="59" s="1"/>
  <c r="N31" i="59" s="1"/>
  <c r="B31" i="59"/>
  <c r="Z30" i="59"/>
  <c r="X30" i="59"/>
  <c r="N30" i="59"/>
  <c r="L30" i="59"/>
  <c r="J30" i="59"/>
  <c r="B30" i="59"/>
  <c r="Z29" i="59"/>
  <c r="X29" i="59"/>
  <c r="V29" i="59"/>
  <c r="N29" i="59"/>
  <c r="L29" i="59"/>
  <c r="J29" i="59"/>
  <c r="B29" i="59"/>
  <c r="Z28" i="59"/>
  <c r="X28" i="59"/>
  <c r="N28" i="59"/>
  <c r="L28" i="59"/>
  <c r="B28" i="59"/>
  <c r="Z27" i="59"/>
  <c r="X27" i="59"/>
  <c r="V27" i="59"/>
  <c r="N27" i="59"/>
  <c r="L27" i="59"/>
  <c r="J27" i="59"/>
  <c r="B27" i="59"/>
  <c r="Z26" i="59"/>
  <c r="X26" i="59"/>
  <c r="N26" i="59"/>
  <c r="L26" i="59"/>
  <c r="J26" i="59"/>
  <c r="B26" i="59"/>
  <c r="Z25" i="59"/>
  <c r="X25" i="59"/>
  <c r="V25" i="59"/>
  <c r="N25" i="59"/>
  <c r="L25" i="59"/>
  <c r="J25" i="59"/>
  <c r="B25" i="59"/>
  <c r="Z24" i="59"/>
  <c r="X24" i="59"/>
  <c r="N24" i="59"/>
  <c r="L24" i="59"/>
  <c r="B24" i="59"/>
  <c r="Z23" i="59"/>
  <c r="X23" i="59"/>
  <c r="V23" i="59"/>
  <c r="N23" i="59"/>
  <c r="L23" i="59"/>
  <c r="J23" i="59"/>
  <c r="B23" i="59"/>
  <c r="X22" i="59"/>
  <c r="Z22" i="59" s="1"/>
  <c r="L22" i="59"/>
  <c r="N22" i="59" s="1"/>
  <c r="J22" i="59"/>
  <c r="B22" i="59"/>
  <c r="Z21" i="59"/>
  <c r="X21" i="59"/>
  <c r="V21" i="59"/>
  <c r="N21" i="59"/>
  <c r="L21" i="59"/>
  <c r="J21" i="59"/>
  <c r="B21" i="59"/>
  <c r="T20" i="59"/>
  <c r="P20" i="59"/>
  <c r="X20" i="59" s="1"/>
  <c r="H20" i="59"/>
  <c r="D20" i="59"/>
  <c r="L20" i="59" s="1"/>
  <c r="B20" i="59"/>
  <c r="T19" i="59"/>
  <c r="P19" i="59"/>
  <c r="J19" i="59"/>
  <c r="H19" i="59"/>
  <c r="D19" i="59"/>
  <c r="L19" i="59" s="1"/>
  <c r="N19" i="59" s="1"/>
  <c r="J17" i="59"/>
  <c r="V15" i="59"/>
  <c r="T15" i="59"/>
  <c r="P15" i="59"/>
  <c r="N15" i="59"/>
  <c r="J15" i="59"/>
  <c r="H15" i="59"/>
  <c r="H17" i="59" s="1"/>
  <c r="N17" i="59" s="1"/>
  <c r="D15" i="59"/>
  <c r="L15" i="59" s="1"/>
  <c r="P13" i="59"/>
  <c r="N13" i="59"/>
  <c r="L13" i="59"/>
  <c r="D13" i="59"/>
  <c r="B13" i="59"/>
  <c r="T12" i="59"/>
  <c r="V63" i="59" s="1"/>
  <c r="N12" i="59"/>
  <c r="H12" i="59"/>
  <c r="J81" i="59" s="1"/>
  <c r="D12" i="59"/>
  <c r="F74" i="59" s="1"/>
  <c r="D6" i="59"/>
  <c r="D4" i="59"/>
  <c r="F85" i="58"/>
  <c r="F82" i="58"/>
  <c r="Z80" i="58"/>
  <c r="X80" i="58"/>
  <c r="N80" i="58"/>
  <c r="L80" i="58"/>
  <c r="V78" i="58"/>
  <c r="X76" i="58"/>
  <c r="V76" i="58"/>
  <c r="T76" i="58"/>
  <c r="Z76" i="58" s="1"/>
  <c r="P76" i="58"/>
  <c r="L76" i="58"/>
  <c r="H76" i="58"/>
  <c r="N76" i="58" s="1"/>
  <c r="D76" i="58"/>
  <c r="X74" i="58"/>
  <c r="Z74" i="58" s="1"/>
  <c r="V74" i="58"/>
  <c r="N74" i="58"/>
  <c r="L74" i="58"/>
  <c r="F74" i="58"/>
  <c r="B74" i="58"/>
  <c r="T73" i="58"/>
  <c r="P73" i="58"/>
  <c r="X73" i="58" s="1"/>
  <c r="Z73" i="58" s="1"/>
  <c r="N73" i="58"/>
  <c r="H73" i="58"/>
  <c r="F73" i="58"/>
  <c r="D73" i="58"/>
  <c r="L73" i="58" s="1"/>
  <c r="B73" i="58"/>
  <c r="Z72" i="58"/>
  <c r="X72" i="58"/>
  <c r="N72" i="58"/>
  <c r="L72" i="58"/>
  <c r="B72" i="58"/>
  <c r="T71" i="58"/>
  <c r="X71" i="58" s="1"/>
  <c r="Z71" i="58" s="1"/>
  <c r="P71" i="58"/>
  <c r="N71" i="58"/>
  <c r="L71" i="58"/>
  <c r="H71" i="58"/>
  <c r="D71" i="58"/>
  <c r="B71" i="58"/>
  <c r="X70" i="58"/>
  <c r="Z70" i="58" s="1"/>
  <c r="V70" i="58"/>
  <c r="L70" i="58"/>
  <c r="N70" i="58" s="1"/>
  <c r="J70" i="58"/>
  <c r="B70" i="58"/>
  <c r="V69" i="58"/>
  <c r="T69" i="58"/>
  <c r="P69" i="58"/>
  <c r="X69" i="58" s="1"/>
  <c r="J69" i="58"/>
  <c r="H69" i="58"/>
  <c r="D69" i="58"/>
  <c r="L69" i="58" s="1"/>
  <c r="B69" i="58"/>
  <c r="Z68" i="58"/>
  <c r="X68" i="58"/>
  <c r="N68" i="58"/>
  <c r="L68" i="58"/>
  <c r="F68" i="58"/>
  <c r="B68" i="58"/>
  <c r="Z67" i="58"/>
  <c r="X67" i="58"/>
  <c r="N67" i="58"/>
  <c r="L67" i="58"/>
  <c r="B67" i="58"/>
  <c r="X66" i="58"/>
  <c r="Z66" i="58" s="1"/>
  <c r="V66" i="58"/>
  <c r="L66" i="58"/>
  <c r="N66" i="58" s="1"/>
  <c r="F66" i="58"/>
  <c r="B66" i="58"/>
  <c r="Z65" i="58"/>
  <c r="X65" i="58"/>
  <c r="N65" i="58"/>
  <c r="L65" i="58"/>
  <c r="B65" i="58"/>
  <c r="X64" i="58"/>
  <c r="T64" i="58"/>
  <c r="Z64" i="58" s="1"/>
  <c r="P64" i="58"/>
  <c r="L64" i="58"/>
  <c r="J64" i="58"/>
  <c r="H64" i="58"/>
  <c r="D64" i="58"/>
  <c r="B64" i="58"/>
  <c r="Z63" i="58"/>
  <c r="X63" i="58"/>
  <c r="N63" i="58"/>
  <c r="L63" i="58"/>
  <c r="J63" i="58"/>
  <c r="F63" i="58"/>
  <c r="B63" i="58"/>
  <c r="T62" i="58"/>
  <c r="P62" i="58"/>
  <c r="H62" i="58"/>
  <c r="N62" i="58" s="1"/>
  <c r="F62" i="58"/>
  <c r="D62" i="58"/>
  <c r="L62" i="58" s="1"/>
  <c r="B62" i="58"/>
  <c r="Z61" i="58"/>
  <c r="X61" i="58"/>
  <c r="V61" i="58"/>
  <c r="N61" i="58"/>
  <c r="L61" i="58"/>
  <c r="B61" i="58"/>
  <c r="Z60" i="58"/>
  <c r="X60" i="58"/>
  <c r="L60" i="58"/>
  <c r="N60" i="58" s="1"/>
  <c r="B60" i="58"/>
  <c r="V59" i="58"/>
  <c r="T59" i="58"/>
  <c r="P59" i="58"/>
  <c r="J59" i="58"/>
  <c r="H59" i="58"/>
  <c r="D59" i="58"/>
  <c r="L59" i="58" s="1"/>
  <c r="N59" i="58" s="1"/>
  <c r="B59" i="58"/>
  <c r="X58" i="58"/>
  <c r="Z58" i="58" s="1"/>
  <c r="V58" i="58"/>
  <c r="N58" i="58"/>
  <c r="L58" i="58"/>
  <c r="F58" i="58"/>
  <c r="B58" i="58"/>
  <c r="X57" i="58"/>
  <c r="Z57" i="58" s="1"/>
  <c r="L57" i="58"/>
  <c r="N57" i="58" s="1"/>
  <c r="B57" i="58"/>
  <c r="Z56" i="58"/>
  <c r="X56" i="58"/>
  <c r="N56" i="58"/>
  <c r="L56" i="58"/>
  <c r="F56" i="58"/>
  <c r="B56" i="58"/>
  <c r="T55" i="58"/>
  <c r="P55" i="58"/>
  <c r="X55" i="58" s="1"/>
  <c r="Z55" i="58" s="1"/>
  <c r="H55" i="58"/>
  <c r="F55" i="58"/>
  <c r="D55" i="58"/>
  <c r="L55" i="58" s="1"/>
  <c r="N55" i="58" s="1"/>
  <c r="B55" i="58"/>
  <c r="X54" i="58"/>
  <c r="Z54" i="58" s="1"/>
  <c r="L54" i="58"/>
  <c r="N54" i="58" s="1"/>
  <c r="B54" i="58"/>
  <c r="X53" i="58"/>
  <c r="Z53" i="58" s="1"/>
  <c r="T53" i="58"/>
  <c r="P53" i="58"/>
  <c r="H53" i="58"/>
  <c r="L53" i="58" s="1"/>
  <c r="N53" i="58" s="1"/>
  <c r="D53" i="58"/>
  <c r="B53" i="58"/>
  <c r="Z52" i="58"/>
  <c r="X52" i="58"/>
  <c r="L52" i="58"/>
  <c r="N52" i="58" s="1"/>
  <c r="B52" i="58"/>
  <c r="V51" i="58"/>
  <c r="T51" i="58"/>
  <c r="P51" i="58"/>
  <c r="X51" i="58" s="1"/>
  <c r="J51" i="58"/>
  <c r="H51" i="58"/>
  <c r="D51" i="58"/>
  <c r="L51" i="58" s="1"/>
  <c r="N51" i="58" s="1"/>
  <c r="B51" i="58"/>
  <c r="X50" i="58"/>
  <c r="Z50" i="58" s="1"/>
  <c r="V50" i="58"/>
  <c r="L50" i="58"/>
  <c r="N50" i="58" s="1"/>
  <c r="F50" i="58"/>
  <c r="B50" i="58"/>
  <c r="T49" i="58"/>
  <c r="P49" i="58"/>
  <c r="X49" i="58" s="1"/>
  <c r="Z49" i="58" s="1"/>
  <c r="H49" i="58"/>
  <c r="F49" i="58"/>
  <c r="D49" i="58"/>
  <c r="L49" i="58" s="1"/>
  <c r="N49" i="58" s="1"/>
  <c r="B49" i="58"/>
  <c r="Z48" i="58"/>
  <c r="X48" i="58"/>
  <c r="N48" i="58"/>
  <c r="L48" i="58"/>
  <c r="B48" i="58"/>
  <c r="T47" i="58"/>
  <c r="X47" i="58" s="1"/>
  <c r="Z47" i="58" s="1"/>
  <c r="P47" i="58"/>
  <c r="L47" i="58"/>
  <c r="N47" i="58" s="1"/>
  <c r="H47" i="58"/>
  <c r="D47" i="58"/>
  <c r="B47" i="58"/>
  <c r="X46" i="58"/>
  <c r="Z46" i="58" s="1"/>
  <c r="V46" i="58"/>
  <c r="L46" i="58"/>
  <c r="N46" i="58" s="1"/>
  <c r="J46" i="58"/>
  <c r="B46" i="58"/>
  <c r="V45" i="58"/>
  <c r="T45" i="58"/>
  <c r="Z45" i="58" s="1"/>
  <c r="P45" i="58"/>
  <c r="X45" i="58" s="1"/>
  <c r="J45" i="58"/>
  <c r="H45" i="58"/>
  <c r="D45" i="58"/>
  <c r="B45" i="58"/>
  <c r="X44" i="58"/>
  <c r="Z44" i="58" s="1"/>
  <c r="N44" i="58"/>
  <c r="L44" i="58"/>
  <c r="F44" i="58"/>
  <c r="B44" i="58"/>
  <c r="T43" i="58"/>
  <c r="P43" i="58"/>
  <c r="X43" i="58" s="1"/>
  <c r="Z43" i="58" s="1"/>
  <c r="H43" i="58"/>
  <c r="F43" i="58"/>
  <c r="D43" i="58"/>
  <c r="L43" i="58" s="1"/>
  <c r="N43" i="58" s="1"/>
  <c r="B43" i="58"/>
  <c r="X42" i="58"/>
  <c r="Z42" i="58" s="1"/>
  <c r="L42" i="58"/>
  <c r="N42" i="58" s="1"/>
  <c r="B42" i="58"/>
  <c r="X41" i="58"/>
  <c r="Z41" i="58" s="1"/>
  <c r="V41" i="58"/>
  <c r="T41" i="58"/>
  <c r="P41" i="58"/>
  <c r="N41" i="58"/>
  <c r="H41" i="58"/>
  <c r="L41" i="58" s="1"/>
  <c r="D41" i="58"/>
  <c r="B41" i="58"/>
  <c r="Z40" i="58"/>
  <c r="X40" i="58"/>
  <c r="N40" i="58"/>
  <c r="L40" i="58"/>
  <c r="B40" i="58"/>
  <c r="Z39" i="58"/>
  <c r="X39" i="58"/>
  <c r="V39" i="58"/>
  <c r="N39" i="58"/>
  <c r="L39" i="58"/>
  <c r="B39" i="58"/>
  <c r="Z38" i="58"/>
  <c r="X38" i="58"/>
  <c r="V38" i="58"/>
  <c r="N38" i="58"/>
  <c r="L38" i="58"/>
  <c r="J38" i="58"/>
  <c r="F38" i="58"/>
  <c r="B38" i="58"/>
  <c r="Z37" i="58"/>
  <c r="X37" i="58"/>
  <c r="V37" i="58"/>
  <c r="N37" i="58"/>
  <c r="L37" i="58"/>
  <c r="B37" i="58"/>
  <c r="Z36" i="58"/>
  <c r="X36" i="58"/>
  <c r="N36" i="58"/>
  <c r="L36" i="58"/>
  <c r="B36" i="58"/>
  <c r="Z35" i="58"/>
  <c r="X35" i="58"/>
  <c r="V35" i="58"/>
  <c r="N35" i="58"/>
  <c r="L35" i="58"/>
  <c r="B35" i="58"/>
  <c r="X34" i="58"/>
  <c r="Z34" i="58" s="1"/>
  <c r="V34" i="58"/>
  <c r="L34" i="58"/>
  <c r="N34" i="58" s="1"/>
  <c r="J34" i="58"/>
  <c r="F34" i="58"/>
  <c r="B34" i="58"/>
  <c r="Z33" i="58"/>
  <c r="X33" i="58"/>
  <c r="V33" i="58"/>
  <c r="N33" i="58"/>
  <c r="L33" i="58"/>
  <c r="B33" i="58"/>
  <c r="Z32" i="58"/>
  <c r="X32" i="58"/>
  <c r="N32" i="58"/>
  <c r="L32" i="58"/>
  <c r="B32" i="58"/>
  <c r="Z31" i="58"/>
  <c r="X31" i="58"/>
  <c r="V31" i="58"/>
  <c r="N31" i="58"/>
  <c r="L31" i="58"/>
  <c r="B31" i="58"/>
  <c r="V30" i="58"/>
  <c r="T30" i="58"/>
  <c r="P30" i="58"/>
  <c r="X30" i="58" s="1"/>
  <c r="Z30" i="58" s="1"/>
  <c r="N30" i="58"/>
  <c r="H30" i="58"/>
  <c r="D30" i="58"/>
  <c r="L30" i="58" s="1"/>
  <c r="B30" i="58"/>
  <c r="X29" i="58"/>
  <c r="Z29" i="58" s="1"/>
  <c r="N29" i="58"/>
  <c r="L29" i="58"/>
  <c r="B29" i="58"/>
  <c r="X28" i="58"/>
  <c r="Z28" i="58" s="1"/>
  <c r="V28" i="58"/>
  <c r="N28" i="58"/>
  <c r="L28" i="58"/>
  <c r="F28" i="58"/>
  <c r="B28" i="58"/>
  <c r="Z27" i="58"/>
  <c r="X27" i="58"/>
  <c r="V27" i="58"/>
  <c r="N27" i="58"/>
  <c r="L27" i="58"/>
  <c r="F27" i="58"/>
  <c r="B27" i="58"/>
  <c r="Z26" i="58"/>
  <c r="X26" i="58"/>
  <c r="V26" i="58"/>
  <c r="N26" i="58"/>
  <c r="L26" i="58"/>
  <c r="F26" i="58"/>
  <c r="B26" i="58"/>
  <c r="X25" i="58"/>
  <c r="Z25" i="58" s="1"/>
  <c r="N25" i="58"/>
  <c r="L25" i="58"/>
  <c r="B25" i="58"/>
  <c r="X24" i="58"/>
  <c r="Z24" i="58" s="1"/>
  <c r="V24" i="58"/>
  <c r="N24" i="58"/>
  <c r="L24" i="58"/>
  <c r="F24" i="58"/>
  <c r="B24" i="58"/>
  <c r="Z23" i="58"/>
  <c r="X23" i="58"/>
  <c r="V23" i="58"/>
  <c r="N23" i="58"/>
  <c r="L23" i="58"/>
  <c r="F23" i="58"/>
  <c r="B23" i="58"/>
  <c r="X22" i="58"/>
  <c r="Z22" i="58" s="1"/>
  <c r="V22" i="58"/>
  <c r="L22" i="58"/>
  <c r="N22" i="58" s="1"/>
  <c r="F22" i="58"/>
  <c r="B22" i="58"/>
  <c r="X21" i="58"/>
  <c r="Z21" i="58" s="1"/>
  <c r="V21" i="58"/>
  <c r="L21" i="58"/>
  <c r="N21" i="58" s="1"/>
  <c r="B21" i="58"/>
  <c r="X20" i="58"/>
  <c r="Z20" i="58" s="1"/>
  <c r="V20" i="58"/>
  <c r="N20" i="58"/>
  <c r="L20" i="58"/>
  <c r="F20" i="58"/>
  <c r="B20" i="58"/>
  <c r="V19" i="58"/>
  <c r="T19" i="58"/>
  <c r="P19" i="58"/>
  <c r="X19" i="58" s="1"/>
  <c r="Z19" i="58" s="1"/>
  <c r="H19" i="58"/>
  <c r="F19" i="58"/>
  <c r="D19" i="58"/>
  <c r="L19" i="58" s="1"/>
  <c r="N19" i="58" s="1"/>
  <c r="B19" i="58"/>
  <c r="T18" i="58"/>
  <c r="P18" i="58"/>
  <c r="X18" i="58" s="1"/>
  <c r="H18" i="58"/>
  <c r="F18" i="58"/>
  <c r="D18" i="58"/>
  <c r="H16" i="58"/>
  <c r="F16" i="58"/>
  <c r="T14" i="58"/>
  <c r="Z14" i="58" s="1"/>
  <c r="P14" i="58"/>
  <c r="H14" i="58"/>
  <c r="N14" i="58" s="1"/>
  <c r="F14" i="58"/>
  <c r="D14" i="58"/>
  <c r="L14" i="58" s="1"/>
  <c r="Z12" i="58"/>
  <c r="T12" i="58"/>
  <c r="V60" i="58" s="1"/>
  <c r="P12" i="58"/>
  <c r="H12" i="58"/>
  <c r="J72" i="58" s="1"/>
  <c r="D12" i="58"/>
  <c r="F65" i="58" s="1"/>
  <c r="D6" i="58"/>
  <c r="D4" i="58"/>
  <c r="Z80" i="57"/>
  <c r="X80" i="57"/>
  <c r="N80" i="57"/>
  <c r="L80" i="57"/>
  <c r="T76" i="57"/>
  <c r="Z76" i="57" s="1"/>
  <c r="P76" i="57"/>
  <c r="X76" i="57" s="1"/>
  <c r="H76" i="57"/>
  <c r="N76" i="57" s="1"/>
  <c r="D76" i="57"/>
  <c r="L76" i="57" s="1"/>
  <c r="Z74" i="57"/>
  <c r="X74" i="57"/>
  <c r="N74" i="57"/>
  <c r="L74" i="57"/>
  <c r="B74" i="57"/>
  <c r="Z73" i="57"/>
  <c r="T73" i="57"/>
  <c r="X73" i="57" s="1"/>
  <c r="P73" i="57"/>
  <c r="L73" i="57"/>
  <c r="N73" i="57" s="1"/>
  <c r="H73" i="57"/>
  <c r="D73" i="57"/>
  <c r="B73" i="57"/>
  <c r="X72" i="57"/>
  <c r="Z72" i="57" s="1"/>
  <c r="L72" i="57"/>
  <c r="N72" i="57" s="1"/>
  <c r="J72" i="57"/>
  <c r="B72" i="57"/>
  <c r="V71" i="57"/>
  <c r="T71" i="57"/>
  <c r="P71" i="57"/>
  <c r="X71" i="57" s="1"/>
  <c r="H71" i="57"/>
  <c r="D71" i="57"/>
  <c r="L71" i="57" s="1"/>
  <c r="B71" i="57"/>
  <c r="Z70" i="57"/>
  <c r="X70" i="57"/>
  <c r="N70" i="57"/>
  <c r="L70" i="57"/>
  <c r="B70" i="57"/>
  <c r="Z69" i="57"/>
  <c r="X69" i="57"/>
  <c r="N69" i="57"/>
  <c r="L69" i="57"/>
  <c r="B69" i="57"/>
  <c r="X68" i="57"/>
  <c r="V68" i="57"/>
  <c r="T68" i="57"/>
  <c r="P68" i="57"/>
  <c r="L68" i="57"/>
  <c r="H68" i="57"/>
  <c r="D68" i="57"/>
  <c r="B68" i="57"/>
  <c r="Z67" i="57"/>
  <c r="X67" i="57"/>
  <c r="N67" i="57"/>
  <c r="L67" i="57"/>
  <c r="J67" i="57"/>
  <c r="B67" i="57"/>
  <c r="T66" i="57"/>
  <c r="Z66" i="57" s="1"/>
  <c r="P66" i="57"/>
  <c r="X66" i="57" s="1"/>
  <c r="H66" i="57"/>
  <c r="N66" i="57" s="1"/>
  <c r="D66" i="57"/>
  <c r="L66" i="57" s="1"/>
  <c r="B66" i="57"/>
  <c r="Z65" i="57"/>
  <c r="X65" i="57"/>
  <c r="N65" i="57"/>
  <c r="L65" i="57"/>
  <c r="B65" i="57"/>
  <c r="T64" i="57"/>
  <c r="P64" i="57"/>
  <c r="X64" i="57" s="1"/>
  <c r="Z64" i="57" s="1"/>
  <c r="N64" i="57"/>
  <c r="H64" i="57"/>
  <c r="D64" i="57"/>
  <c r="L64" i="57" s="1"/>
  <c r="B64" i="57"/>
  <c r="Z63" i="57"/>
  <c r="X63" i="57"/>
  <c r="N63" i="57"/>
  <c r="L63" i="57"/>
  <c r="B63" i="57"/>
  <c r="X62" i="57"/>
  <c r="Z62" i="57" s="1"/>
  <c r="N62" i="57"/>
  <c r="L62" i="57"/>
  <c r="B62" i="57"/>
  <c r="Z61" i="57"/>
  <c r="X61" i="57"/>
  <c r="N61" i="57"/>
  <c r="L61" i="57"/>
  <c r="B61" i="57"/>
  <c r="X60" i="57"/>
  <c r="V60" i="57"/>
  <c r="T60" i="57"/>
  <c r="P60" i="57"/>
  <c r="L60" i="57"/>
  <c r="H60" i="57"/>
  <c r="D60" i="57"/>
  <c r="B60" i="57"/>
  <c r="Z59" i="57"/>
  <c r="X59" i="57"/>
  <c r="N59" i="57"/>
  <c r="L59" i="57"/>
  <c r="J59" i="57"/>
  <c r="B59" i="57"/>
  <c r="T58" i="57"/>
  <c r="P58" i="57"/>
  <c r="X58" i="57" s="1"/>
  <c r="H58" i="57"/>
  <c r="D58" i="57"/>
  <c r="L58" i="57" s="1"/>
  <c r="B58" i="57"/>
  <c r="Z57" i="57"/>
  <c r="X57" i="57"/>
  <c r="N57" i="57"/>
  <c r="L57" i="57"/>
  <c r="B57" i="57"/>
  <c r="Z56" i="57"/>
  <c r="X56" i="57"/>
  <c r="N56" i="57"/>
  <c r="L56" i="57"/>
  <c r="B56" i="57"/>
  <c r="Z55" i="57"/>
  <c r="X55" i="57"/>
  <c r="N55" i="57"/>
  <c r="L55" i="57"/>
  <c r="B55" i="57"/>
  <c r="Z54" i="57"/>
  <c r="T54" i="57"/>
  <c r="P54" i="57"/>
  <c r="X54" i="57" s="1"/>
  <c r="H54" i="57"/>
  <c r="N54" i="57" s="1"/>
  <c r="D54" i="57"/>
  <c r="L54" i="57" s="1"/>
  <c r="B54" i="57"/>
  <c r="Z53" i="57"/>
  <c r="X53" i="57"/>
  <c r="N53" i="57"/>
  <c r="L53" i="57"/>
  <c r="B53" i="57"/>
  <c r="X52" i="57"/>
  <c r="T52" i="57"/>
  <c r="Z52" i="57" s="1"/>
  <c r="P52" i="57"/>
  <c r="L52" i="57"/>
  <c r="H52" i="57"/>
  <c r="D52" i="57"/>
  <c r="B52" i="57"/>
  <c r="X51" i="57"/>
  <c r="Z51" i="57" s="1"/>
  <c r="N51" i="57"/>
  <c r="L51" i="57"/>
  <c r="B51" i="57"/>
  <c r="T50" i="57"/>
  <c r="P50" i="57"/>
  <c r="X50" i="57" s="1"/>
  <c r="H50" i="57"/>
  <c r="D50" i="57"/>
  <c r="L50" i="57" s="1"/>
  <c r="B50" i="57"/>
  <c r="Z49" i="57"/>
  <c r="X49" i="57"/>
  <c r="V49" i="57"/>
  <c r="N49" i="57"/>
  <c r="L49" i="57"/>
  <c r="B49" i="57"/>
  <c r="T48" i="57"/>
  <c r="P48" i="57"/>
  <c r="X48" i="57" s="1"/>
  <c r="N48" i="57"/>
  <c r="H48" i="57"/>
  <c r="D48" i="57"/>
  <c r="L48" i="57" s="1"/>
  <c r="B48" i="57"/>
  <c r="X47" i="57"/>
  <c r="Z47" i="57" s="1"/>
  <c r="N47" i="57"/>
  <c r="L47" i="57"/>
  <c r="B47" i="57"/>
  <c r="X46" i="57"/>
  <c r="T46" i="57"/>
  <c r="Z46" i="57" s="1"/>
  <c r="P46" i="57"/>
  <c r="L46" i="57"/>
  <c r="H46" i="57"/>
  <c r="D46" i="57"/>
  <c r="B46" i="57"/>
  <c r="Z45" i="57"/>
  <c r="X45" i="57"/>
  <c r="N45" i="57"/>
  <c r="L45" i="57"/>
  <c r="B45" i="57"/>
  <c r="T44" i="57"/>
  <c r="P44" i="57"/>
  <c r="H44" i="57"/>
  <c r="D44" i="57"/>
  <c r="L44" i="57" s="1"/>
  <c r="B44" i="57"/>
  <c r="Z43" i="57"/>
  <c r="X43" i="57"/>
  <c r="L43" i="57"/>
  <c r="N43" i="57" s="1"/>
  <c r="B43" i="57"/>
  <c r="Z42" i="57"/>
  <c r="T42" i="57"/>
  <c r="P42" i="57"/>
  <c r="X42" i="57" s="1"/>
  <c r="H42" i="57"/>
  <c r="N42" i="57" s="1"/>
  <c r="D42" i="57"/>
  <c r="L42" i="57" s="1"/>
  <c r="B42" i="57"/>
  <c r="Z41" i="57"/>
  <c r="X41" i="57"/>
  <c r="N41" i="57"/>
  <c r="L41" i="57"/>
  <c r="B41" i="57"/>
  <c r="X40" i="57"/>
  <c r="T40" i="57"/>
  <c r="Z40" i="57" s="1"/>
  <c r="P40" i="57"/>
  <c r="L40" i="57"/>
  <c r="H40" i="57"/>
  <c r="N40" i="57" s="1"/>
  <c r="D40" i="57"/>
  <c r="B40" i="57"/>
  <c r="Z39" i="57"/>
  <c r="X39" i="57"/>
  <c r="N39" i="57"/>
  <c r="L39" i="57"/>
  <c r="J39" i="57"/>
  <c r="B39" i="57"/>
  <c r="Z38" i="57"/>
  <c r="X38" i="57"/>
  <c r="N38" i="57"/>
  <c r="L38" i="57"/>
  <c r="B38" i="57"/>
  <c r="Z37" i="57"/>
  <c r="X37" i="57"/>
  <c r="N37" i="57"/>
  <c r="L37" i="57"/>
  <c r="J37" i="57"/>
  <c r="F37" i="57"/>
  <c r="B37" i="57"/>
  <c r="X36" i="57"/>
  <c r="Z36" i="57" s="1"/>
  <c r="L36" i="57"/>
  <c r="N36" i="57" s="1"/>
  <c r="J36" i="57"/>
  <c r="B36" i="57"/>
  <c r="Z35" i="57"/>
  <c r="X35" i="57"/>
  <c r="N35" i="57"/>
  <c r="L35" i="57"/>
  <c r="J35" i="57"/>
  <c r="B35" i="57"/>
  <c r="Z34" i="57"/>
  <c r="X34" i="57"/>
  <c r="N34" i="57"/>
  <c r="L34" i="57"/>
  <c r="B34" i="57"/>
  <c r="Z33" i="57"/>
  <c r="X33" i="57"/>
  <c r="N33" i="57"/>
  <c r="L33" i="57"/>
  <c r="J33" i="57"/>
  <c r="B33" i="57"/>
  <c r="Z32" i="57"/>
  <c r="X32" i="57"/>
  <c r="N32" i="57"/>
  <c r="L32" i="57"/>
  <c r="B32" i="57"/>
  <c r="X31" i="57"/>
  <c r="Z31" i="57" s="1"/>
  <c r="L31" i="57"/>
  <c r="N31" i="57" s="1"/>
  <c r="J31" i="57"/>
  <c r="B31" i="57"/>
  <c r="Z30" i="57"/>
  <c r="X30" i="57"/>
  <c r="N30" i="57"/>
  <c r="L30" i="57"/>
  <c r="B30" i="57"/>
  <c r="T29" i="57"/>
  <c r="P29" i="57"/>
  <c r="N29" i="57"/>
  <c r="L29" i="57"/>
  <c r="J29" i="57"/>
  <c r="H29" i="57"/>
  <c r="D29" i="57"/>
  <c r="B29" i="57"/>
  <c r="X28" i="57"/>
  <c r="Z28" i="57" s="1"/>
  <c r="L28" i="57"/>
  <c r="N28" i="57" s="1"/>
  <c r="J28" i="57"/>
  <c r="F28" i="57"/>
  <c r="B28" i="57"/>
  <c r="X27" i="57"/>
  <c r="Z27" i="57" s="1"/>
  <c r="L27" i="57"/>
  <c r="N27" i="57" s="1"/>
  <c r="B27" i="57"/>
  <c r="Z26" i="57"/>
  <c r="X26" i="57"/>
  <c r="L26" i="57"/>
  <c r="N26" i="57" s="1"/>
  <c r="B26" i="57"/>
  <c r="Z25" i="57"/>
  <c r="X25" i="57"/>
  <c r="N25" i="57"/>
  <c r="L25" i="57"/>
  <c r="F25" i="57"/>
  <c r="B25" i="57"/>
  <c r="X24" i="57"/>
  <c r="Z24" i="57" s="1"/>
  <c r="L24" i="57"/>
  <c r="N24" i="57" s="1"/>
  <c r="J24" i="57"/>
  <c r="F24" i="57"/>
  <c r="B24" i="57"/>
  <c r="X23" i="57"/>
  <c r="Z23" i="57" s="1"/>
  <c r="L23" i="57"/>
  <c r="N23" i="57" s="1"/>
  <c r="B23" i="57"/>
  <c r="Z22" i="57"/>
  <c r="X22" i="57"/>
  <c r="N22" i="57"/>
  <c r="L22" i="57"/>
  <c r="F22" i="57"/>
  <c r="B22" i="57"/>
  <c r="X21" i="57"/>
  <c r="Z21" i="57" s="1"/>
  <c r="L21" i="57"/>
  <c r="N21" i="57" s="1"/>
  <c r="F21" i="57"/>
  <c r="B21" i="57"/>
  <c r="X20" i="57"/>
  <c r="Z20" i="57" s="1"/>
  <c r="L20" i="57"/>
  <c r="N20" i="57" s="1"/>
  <c r="J20" i="57"/>
  <c r="B20" i="57"/>
  <c r="X19" i="57"/>
  <c r="T19" i="57"/>
  <c r="Z19" i="57" s="1"/>
  <c r="R19" i="57"/>
  <c r="P19" i="57"/>
  <c r="J19" i="57"/>
  <c r="H19" i="57"/>
  <c r="F19" i="57"/>
  <c r="D19" i="57"/>
  <c r="L19" i="57" s="1"/>
  <c r="B19" i="57"/>
  <c r="T18" i="57"/>
  <c r="P18" i="57"/>
  <c r="J18" i="57"/>
  <c r="H18" i="57"/>
  <c r="D18" i="57"/>
  <c r="J16" i="57"/>
  <c r="T14" i="57"/>
  <c r="T16" i="57" s="1"/>
  <c r="P14" i="57"/>
  <c r="J14" i="57"/>
  <c r="H14" i="57"/>
  <c r="D14" i="57"/>
  <c r="T12" i="57"/>
  <c r="V43" i="57" s="1"/>
  <c r="P12" i="57"/>
  <c r="N12" i="57"/>
  <c r="H12" i="57"/>
  <c r="J56" i="57" s="1"/>
  <c r="D12" i="57"/>
  <c r="F70" i="57" s="1"/>
  <c r="D6" i="57"/>
  <c r="D4" i="57"/>
  <c r="Z84" i="56"/>
  <c r="X84" i="56"/>
  <c r="N84" i="56"/>
  <c r="L84" i="56"/>
  <c r="J84" i="56"/>
  <c r="F82" i="56"/>
  <c r="T80" i="56"/>
  <c r="P80" i="56"/>
  <c r="H80" i="56"/>
  <c r="F80" i="56"/>
  <c r="D80" i="56"/>
  <c r="X78" i="56"/>
  <c r="Z78" i="56" s="1"/>
  <c r="R78" i="56"/>
  <c r="N78" i="56"/>
  <c r="L78" i="56"/>
  <c r="B78" i="56"/>
  <c r="X77" i="56"/>
  <c r="Z77" i="56" s="1"/>
  <c r="N77" i="56"/>
  <c r="L77" i="56"/>
  <c r="J77" i="56"/>
  <c r="B77" i="56"/>
  <c r="T76" i="56"/>
  <c r="R76" i="56"/>
  <c r="P76" i="56"/>
  <c r="H76" i="56"/>
  <c r="D76" i="56"/>
  <c r="B76" i="56"/>
  <c r="X75" i="56"/>
  <c r="Z75" i="56" s="1"/>
  <c r="R75" i="56"/>
  <c r="N75" i="56"/>
  <c r="L75" i="56"/>
  <c r="B75" i="56"/>
  <c r="T74" i="56"/>
  <c r="Z74" i="56" s="1"/>
  <c r="P74" i="56"/>
  <c r="X74" i="56" s="1"/>
  <c r="N74" i="56"/>
  <c r="H74" i="56"/>
  <c r="D74" i="56"/>
  <c r="L74" i="56" s="1"/>
  <c r="B74" i="56"/>
  <c r="Z73" i="56"/>
  <c r="X73" i="56"/>
  <c r="N73" i="56"/>
  <c r="L73" i="56"/>
  <c r="B73" i="56"/>
  <c r="X72" i="56"/>
  <c r="T72" i="56"/>
  <c r="Z72" i="56" s="1"/>
  <c r="P72" i="56"/>
  <c r="L72" i="56"/>
  <c r="N72" i="56" s="1"/>
  <c r="J72" i="56"/>
  <c r="H72" i="56"/>
  <c r="D72" i="56"/>
  <c r="B72" i="56"/>
  <c r="Z71" i="56"/>
  <c r="X71" i="56"/>
  <c r="N71" i="56"/>
  <c r="L71" i="56"/>
  <c r="J71" i="56"/>
  <c r="F71" i="56"/>
  <c r="B71" i="56"/>
  <c r="Z70" i="56"/>
  <c r="X70" i="56"/>
  <c r="R70" i="56"/>
  <c r="N70" i="56"/>
  <c r="L70" i="56"/>
  <c r="B70" i="56"/>
  <c r="Z69" i="56"/>
  <c r="X69" i="56"/>
  <c r="N69" i="56"/>
  <c r="L69" i="56"/>
  <c r="J69" i="56"/>
  <c r="B69" i="56"/>
  <c r="X68" i="56"/>
  <c r="Z68" i="56" s="1"/>
  <c r="R68" i="56"/>
  <c r="N68" i="56"/>
  <c r="L68" i="56"/>
  <c r="B68" i="56"/>
  <c r="Z67" i="56"/>
  <c r="T67" i="56"/>
  <c r="P67" i="56"/>
  <c r="X67" i="56" s="1"/>
  <c r="L67" i="56"/>
  <c r="N67" i="56" s="1"/>
  <c r="H67" i="56"/>
  <c r="D67" i="56"/>
  <c r="B67" i="56"/>
  <c r="X66" i="56"/>
  <c r="Z66" i="56" s="1"/>
  <c r="N66" i="56"/>
  <c r="L66" i="56"/>
  <c r="J66" i="56"/>
  <c r="B66" i="56"/>
  <c r="Z65" i="56"/>
  <c r="X65" i="56"/>
  <c r="T65" i="56"/>
  <c r="P65" i="56"/>
  <c r="J65" i="56"/>
  <c r="H65" i="56"/>
  <c r="D65" i="56"/>
  <c r="B65" i="56"/>
  <c r="Z64" i="56"/>
  <c r="X64" i="56"/>
  <c r="N64" i="56"/>
  <c r="L64" i="56"/>
  <c r="J64" i="56"/>
  <c r="F64" i="56"/>
  <c r="B64" i="56"/>
  <c r="Z63" i="56"/>
  <c r="X63" i="56"/>
  <c r="N63" i="56"/>
  <c r="L63" i="56"/>
  <c r="B63" i="56"/>
  <c r="Z62" i="56"/>
  <c r="X62" i="56"/>
  <c r="N62" i="56"/>
  <c r="L62" i="56"/>
  <c r="F62" i="56"/>
  <c r="B62" i="56"/>
  <c r="T61" i="56"/>
  <c r="Z61" i="56" s="1"/>
  <c r="R61" i="56"/>
  <c r="P61" i="56"/>
  <c r="X61" i="56" s="1"/>
  <c r="J61" i="56"/>
  <c r="H61" i="56"/>
  <c r="F61" i="56"/>
  <c r="D61" i="56"/>
  <c r="L61" i="56" s="1"/>
  <c r="B61" i="56"/>
  <c r="X60" i="56"/>
  <c r="Z60" i="56" s="1"/>
  <c r="R60" i="56"/>
  <c r="N60" i="56"/>
  <c r="L60" i="56"/>
  <c r="B60" i="56"/>
  <c r="Z59" i="56"/>
  <c r="X59" i="56"/>
  <c r="N59" i="56"/>
  <c r="L59" i="56"/>
  <c r="J59" i="56"/>
  <c r="B59" i="56"/>
  <c r="X58" i="56"/>
  <c r="Z58" i="56" s="1"/>
  <c r="R58" i="56"/>
  <c r="N58" i="56"/>
  <c r="L58" i="56"/>
  <c r="B58" i="56"/>
  <c r="Z57" i="56"/>
  <c r="X57" i="56"/>
  <c r="T57" i="56"/>
  <c r="R57" i="56"/>
  <c r="P57" i="56"/>
  <c r="N57" i="56"/>
  <c r="H57" i="56"/>
  <c r="D57" i="56"/>
  <c r="L57" i="56" s="1"/>
  <c r="B57" i="56"/>
  <c r="Z56" i="56"/>
  <c r="X56" i="56"/>
  <c r="R56" i="56"/>
  <c r="L56" i="56"/>
  <c r="N56" i="56" s="1"/>
  <c r="B56" i="56"/>
  <c r="T55" i="56"/>
  <c r="P55" i="56"/>
  <c r="N55" i="56"/>
  <c r="L55" i="56"/>
  <c r="J55" i="56"/>
  <c r="H55" i="56"/>
  <c r="D55" i="56"/>
  <c r="B55" i="56"/>
  <c r="X54" i="56"/>
  <c r="Z54" i="56" s="1"/>
  <c r="L54" i="56"/>
  <c r="N54" i="56" s="1"/>
  <c r="F54" i="56"/>
  <c r="B54" i="56"/>
  <c r="T53" i="56"/>
  <c r="Z53" i="56" s="1"/>
  <c r="R53" i="56"/>
  <c r="P53" i="56"/>
  <c r="X53" i="56" s="1"/>
  <c r="J53" i="56"/>
  <c r="H53" i="56"/>
  <c r="F53" i="56"/>
  <c r="D53" i="56"/>
  <c r="L53" i="56" s="1"/>
  <c r="B53" i="56"/>
  <c r="Z52" i="56"/>
  <c r="X52" i="56"/>
  <c r="R52" i="56"/>
  <c r="N52" i="56"/>
  <c r="L52" i="56"/>
  <c r="B52" i="56"/>
  <c r="Z51" i="56"/>
  <c r="T51" i="56"/>
  <c r="P51" i="56"/>
  <c r="X51" i="56" s="1"/>
  <c r="N51" i="56"/>
  <c r="L51" i="56"/>
  <c r="H51" i="56"/>
  <c r="D51" i="56"/>
  <c r="B51" i="56"/>
  <c r="X50" i="56"/>
  <c r="Z50" i="56" s="1"/>
  <c r="L50" i="56"/>
  <c r="N50" i="56" s="1"/>
  <c r="J50" i="56"/>
  <c r="B50" i="56"/>
  <c r="Z49" i="56"/>
  <c r="X49" i="56"/>
  <c r="T49" i="56"/>
  <c r="P49" i="56"/>
  <c r="J49" i="56"/>
  <c r="H49" i="56"/>
  <c r="D49" i="56"/>
  <c r="B49" i="56"/>
  <c r="X48" i="56"/>
  <c r="Z48" i="56" s="1"/>
  <c r="L48" i="56"/>
  <c r="N48" i="56" s="1"/>
  <c r="J48" i="56"/>
  <c r="F48" i="56"/>
  <c r="B48" i="56"/>
  <c r="T47" i="56"/>
  <c r="R47" i="56"/>
  <c r="P47" i="56"/>
  <c r="X47" i="56" s="1"/>
  <c r="H47" i="56"/>
  <c r="N47" i="56" s="1"/>
  <c r="F47" i="56"/>
  <c r="D47" i="56"/>
  <c r="L47" i="56" s="1"/>
  <c r="B47" i="56"/>
  <c r="X46" i="56"/>
  <c r="Z46" i="56" s="1"/>
  <c r="R46" i="56"/>
  <c r="L46" i="56"/>
  <c r="N46" i="56" s="1"/>
  <c r="B46" i="56"/>
  <c r="Z45" i="56"/>
  <c r="X45" i="56"/>
  <c r="N45" i="56"/>
  <c r="L45" i="56"/>
  <c r="J45" i="56"/>
  <c r="B45" i="56"/>
  <c r="T44" i="56"/>
  <c r="R44" i="56"/>
  <c r="P44" i="56"/>
  <c r="H44" i="56"/>
  <c r="D44" i="56"/>
  <c r="B44" i="56"/>
  <c r="X43" i="56"/>
  <c r="Z43" i="56" s="1"/>
  <c r="R43" i="56"/>
  <c r="N43" i="56"/>
  <c r="L43" i="56"/>
  <c r="J43" i="56"/>
  <c r="B43" i="56"/>
  <c r="T42" i="56"/>
  <c r="R42" i="56"/>
  <c r="P42" i="56"/>
  <c r="X42" i="56" s="1"/>
  <c r="H42" i="56"/>
  <c r="D42" i="56"/>
  <c r="L42" i="56" s="1"/>
  <c r="N42" i="56" s="1"/>
  <c r="B42" i="56"/>
  <c r="Z41" i="56"/>
  <c r="X41" i="56"/>
  <c r="R41" i="56"/>
  <c r="N41" i="56"/>
  <c r="L41" i="56"/>
  <c r="B41" i="56"/>
  <c r="X40" i="56"/>
  <c r="T40" i="56"/>
  <c r="Z40" i="56" s="1"/>
  <c r="P40" i="56"/>
  <c r="L40" i="56"/>
  <c r="N40" i="56" s="1"/>
  <c r="J40" i="56"/>
  <c r="H40" i="56"/>
  <c r="D40" i="56"/>
  <c r="B40" i="56"/>
  <c r="Z39" i="56"/>
  <c r="X39" i="56"/>
  <c r="N39" i="56"/>
  <c r="L39" i="56"/>
  <c r="J39" i="56"/>
  <c r="F39" i="56"/>
  <c r="B39" i="56"/>
  <c r="Z38" i="56"/>
  <c r="X38" i="56"/>
  <c r="R38" i="56"/>
  <c r="N38" i="56"/>
  <c r="L38" i="56"/>
  <c r="B38" i="56"/>
  <c r="Z37" i="56"/>
  <c r="X37" i="56"/>
  <c r="N37" i="56"/>
  <c r="L37" i="56"/>
  <c r="J37" i="56"/>
  <c r="B37" i="56"/>
  <c r="X36" i="56"/>
  <c r="Z36" i="56" s="1"/>
  <c r="R36" i="56"/>
  <c r="N36" i="56"/>
  <c r="L36" i="56"/>
  <c r="B36" i="56"/>
  <c r="Z35" i="56"/>
  <c r="X35" i="56"/>
  <c r="N35" i="56"/>
  <c r="L35" i="56"/>
  <c r="J35" i="56"/>
  <c r="F35" i="56"/>
  <c r="B35" i="56"/>
  <c r="Z34" i="56"/>
  <c r="X34" i="56"/>
  <c r="R34" i="56"/>
  <c r="N34" i="56"/>
  <c r="L34" i="56"/>
  <c r="B34" i="56"/>
  <c r="Z33" i="56"/>
  <c r="X33" i="56"/>
  <c r="N33" i="56"/>
  <c r="L33" i="56"/>
  <c r="J33" i="56"/>
  <c r="B33" i="56"/>
  <c r="Z32" i="56"/>
  <c r="X32" i="56"/>
  <c r="R32" i="56"/>
  <c r="N32" i="56"/>
  <c r="L32" i="56"/>
  <c r="B32" i="56"/>
  <c r="Z31" i="56"/>
  <c r="X31" i="56"/>
  <c r="L31" i="56"/>
  <c r="N31" i="56" s="1"/>
  <c r="J31" i="56"/>
  <c r="F31" i="56"/>
  <c r="B31" i="56"/>
  <c r="X30" i="56"/>
  <c r="Z30" i="56" s="1"/>
  <c r="R30" i="56"/>
  <c r="L30" i="56"/>
  <c r="N30" i="56" s="1"/>
  <c r="B30" i="56"/>
  <c r="Z29" i="56"/>
  <c r="X29" i="56"/>
  <c r="T29" i="56"/>
  <c r="R29" i="56"/>
  <c r="P29" i="56"/>
  <c r="J29" i="56"/>
  <c r="H29" i="56"/>
  <c r="D29" i="56"/>
  <c r="L29" i="56" s="1"/>
  <c r="N29" i="56" s="1"/>
  <c r="B29" i="56"/>
  <c r="Z28" i="56"/>
  <c r="X28" i="56"/>
  <c r="R28" i="56"/>
  <c r="N28" i="56"/>
  <c r="L28" i="56"/>
  <c r="B28" i="56"/>
  <c r="X27" i="56"/>
  <c r="Z27" i="56" s="1"/>
  <c r="R27" i="56"/>
  <c r="N27" i="56"/>
  <c r="L27" i="56"/>
  <c r="J27" i="56"/>
  <c r="B27" i="56"/>
  <c r="X26" i="56"/>
  <c r="Z26" i="56" s="1"/>
  <c r="L26" i="56"/>
  <c r="N26" i="56" s="1"/>
  <c r="J26" i="56"/>
  <c r="B26" i="56"/>
  <c r="Z25" i="56"/>
  <c r="X25" i="56"/>
  <c r="N25" i="56"/>
  <c r="L25" i="56"/>
  <c r="B25" i="56"/>
  <c r="Z24" i="56"/>
  <c r="X24" i="56"/>
  <c r="R24" i="56"/>
  <c r="L24" i="56"/>
  <c r="N24" i="56" s="1"/>
  <c r="B24" i="56"/>
  <c r="X23" i="56"/>
  <c r="Z23" i="56" s="1"/>
  <c r="R23" i="56"/>
  <c r="N23" i="56"/>
  <c r="L23" i="56"/>
  <c r="J23" i="56"/>
  <c r="B23" i="56"/>
  <c r="X22" i="56"/>
  <c r="Z22" i="56" s="1"/>
  <c r="L22" i="56"/>
  <c r="N22" i="56" s="1"/>
  <c r="J22" i="56"/>
  <c r="B22" i="56"/>
  <c r="Z21" i="56"/>
  <c r="X21" i="56"/>
  <c r="N21" i="56"/>
  <c r="L21" i="56"/>
  <c r="B21" i="56"/>
  <c r="Z20" i="56"/>
  <c r="X20" i="56"/>
  <c r="R20" i="56"/>
  <c r="L20" i="56"/>
  <c r="N20" i="56" s="1"/>
  <c r="B20" i="56"/>
  <c r="V19" i="56"/>
  <c r="T19" i="56"/>
  <c r="P19" i="56"/>
  <c r="N19" i="56"/>
  <c r="L19" i="56"/>
  <c r="J19" i="56"/>
  <c r="H19" i="56"/>
  <c r="D19" i="56"/>
  <c r="B19" i="56"/>
  <c r="X18" i="56"/>
  <c r="Z18" i="56" s="1"/>
  <c r="V18" i="56"/>
  <c r="T18" i="56"/>
  <c r="P18" i="56"/>
  <c r="L18" i="56"/>
  <c r="H18" i="56"/>
  <c r="D18" i="56"/>
  <c r="Z14" i="56"/>
  <c r="X14" i="56"/>
  <c r="V14" i="56"/>
  <c r="T14" i="56"/>
  <c r="P14" i="56"/>
  <c r="P16" i="56" s="1"/>
  <c r="P82" i="56" s="1"/>
  <c r="L14" i="56"/>
  <c r="H14" i="56"/>
  <c r="N14" i="56" s="1"/>
  <c r="D14" i="56"/>
  <c r="T12" i="56"/>
  <c r="V27" i="56" s="1"/>
  <c r="P12" i="56"/>
  <c r="R77" i="56" s="1"/>
  <c r="H12" i="56"/>
  <c r="J89" i="56" s="1"/>
  <c r="D12" i="56"/>
  <c r="D6" i="56"/>
  <c r="D4" i="56"/>
  <c r="V41" i="55"/>
  <c r="R41" i="55"/>
  <c r="V38" i="55"/>
  <c r="R38" i="55"/>
  <c r="Z36" i="55"/>
  <c r="X36" i="55"/>
  <c r="V36" i="55"/>
  <c r="R36" i="55"/>
  <c r="N36" i="55"/>
  <c r="L36" i="55"/>
  <c r="J34" i="55"/>
  <c r="X32" i="55"/>
  <c r="T32" i="55"/>
  <c r="Z32" i="55" s="1"/>
  <c r="P32" i="55"/>
  <c r="N32" i="55"/>
  <c r="L32" i="55"/>
  <c r="J32" i="55"/>
  <c r="H32" i="55"/>
  <c r="D32" i="55"/>
  <c r="X30" i="55"/>
  <c r="Z30" i="55" s="1"/>
  <c r="N30" i="55"/>
  <c r="L30" i="55"/>
  <c r="J30" i="55"/>
  <c r="F30" i="55"/>
  <c r="B30" i="55"/>
  <c r="Z29" i="55"/>
  <c r="X29" i="55"/>
  <c r="V29" i="55"/>
  <c r="N29" i="55"/>
  <c r="L29" i="55"/>
  <c r="J29" i="55"/>
  <c r="B29" i="55"/>
  <c r="X28" i="55"/>
  <c r="Z28" i="55" s="1"/>
  <c r="V28" i="55"/>
  <c r="T28" i="55"/>
  <c r="P28" i="55"/>
  <c r="L28" i="55"/>
  <c r="H28" i="55"/>
  <c r="N28" i="55" s="1"/>
  <c r="D28" i="55"/>
  <c r="B28" i="55"/>
  <c r="X27" i="55"/>
  <c r="Z27" i="55" s="1"/>
  <c r="V27" i="55"/>
  <c r="N27" i="55"/>
  <c r="L27" i="55"/>
  <c r="J27" i="55"/>
  <c r="B27" i="55"/>
  <c r="V26" i="55"/>
  <c r="T26" i="55"/>
  <c r="R26" i="55"/>
  <c r="P26" i="55"/>
  <c r="H26" i="55"/>
  <c r="D26" i="55"/>
  <c r="B26" i="55"/>
  <c r="X25" i="55"/>
  <c r="Z25" i="55" s="1"/>
  <c r="V25" i="55"/>
  <c r="R25" i="55"/>
  <c r="N25" i="55"/>
  <c r="L25" i="55"/>
  <c r="J25" i="55"/>
  <c r="B25" i="55"/>
  <c r="T24" i="55"/>
  <c r="P24" i="55"/>
  <c r="X24" i="55" s="1"/>
  <c r="H24" i="55"/>
  <c r="D24" i="55"/>
  <c r="L24" i="55" s="1"/>
  <c r="N24" i="55" s="1"/>
  <c r="B24" i="55"/>
  <c r="Z23" i="55"/>
  <c r="X23" i="55"/>
  <c r="V23" i="55"/>
  <c r="N23" i="55"/>
  <c r="L23" i="55"/>
  <c r="J23" i="55"/>
  <c r="B23" i="55"/>
  <c r="X22" i="55"/>
  <c r="T22" i="55"/>
  <c r="P22" i="55"/>
  <c r="L22" i="55"/>
  <c r="N22" i="55" s="1"/>
  <c r="J22" i="55"/>
  <c r="H22" i="55"/>
  <c r="D22" i="55"/>
  <c r="B22" i="55"/>
  <c r="Z21" i="55"/>
  <c r="X21" i="55"/>
  <c r="V21" i="55"/>
  <c r="L21" i="55"/>
  <c r="N21" i="55" s="1"/>
  <c r="J21" i="55"/>
  <c r="F21" i="55"/>
  <c r="B21" i="55"/>
  <c r="Z20" i="55"/>
  <c r="X20" i="55"/>
  <c r="V20" i="55"/>
  <c r="R20" i="55"/>
  <c r="N20" i="55"/>
  <c r="L20" i="55"/>
  <c r="B20" i="55"/>
  <c r="Z19" i="55"/>
  <c r="X19" i="55"/>
  <c r="V19" i="55"/>
  <c r="T19" i="55"/>
  <c r="P19" i="55"/>
  <c r="J19" i="55"/>
  <c r="H19" i="55"/>
  <c r="D19" i="55"/>
  <c r="L19" i="55" s="1"/>
  <c r="N19" i="55" s="1"/>
  <c r="B19" i="55"/>
  <c r="T18" i="55"/>
  <c r="P18" i="55"/>
  <c r="X18" i="55" s="1"/>
  <c r="Z18" i="55" s="1"/>
  <c r="H18" i="55"/>
  <c r="F18" i="55"/>
  <c r="D18" i="55"/>
  <c r="L18" i="55" s="1"/>
  <c r="P16" i="55"/>
  <c r="F16" i="55"/>
  <c r="D16" i="55"/>
  <c r="Z14" i="55"/>
  <c r="T14" i="55"/>
  <c r="T16" i="55" s="1"/>
  <c r="P14" i="55"/>
  <c r="X14" i="55" s="1"/>
  <c r="H14" i="55"/>
  <c r="N14" i="55" s="1"/>
  <c r="F14" i="55"/>
  <c r="D14" i="55"/>
  <c r="L14" i="55" s="1"/>
  <c r="Z12" i="55"/>
  <c r="T12" i="55"/>
  <c r="V18" i="55" s="1"/>
  <c r="P12" i="55"/>
  <c r="R28" i="55" s="1"/>
  <c r="N12" i="55"/>
  <c r="L12" i="55"/>
  <c r="H12" i="55"/>
  <c r="J36" i="55" s="1"/>
  <c r="D12" i="55"/>
  <c r="F34" i="55" s="1"/>
  <c r="D6" i="55"/>
  <c r="D4" i="55"/>
  <c r="V31" i="54"/>
  <c r="X29" i="54"/>
  <c r="Z29" i="54" s="1"/>
  <c r="V29" i="54"/>
  <c r="T29" i="54"/>
  <c r="P29" i="54"/>
  <c r="L29" i="54"/>
  <c r="H29" i="54"/>
  <c r="D29" i="54"/>
  <c r="X28" i="54"/>
  <c r="Z28" i="54" s="1"/>
  <c r="V28" i="54"/>
  <c r="T28" i="54"/>
  <c r="P28" i="54"/>
  <c r="L28" i="54"/>
  <c r="H28" i="54"/>
  <c r="N28" i="54" s="1"/>
  <c r="D28" i="54"/>
  <c r="V26" i="54"/>
  <c r="Z24" i="54"/>
  <c r="X24" i="54"/>
  <c r="V24" i="54"/>
  <c r="N24" i="54"/>
  <c r="L24" i="54"/>
  <c r="F24" i="54"/>
  <c r="R22" i="54"/>
  <c r="P22" i="54"/>
  <c r="T20" i="54"/>
  <c r="Z20" i="54" s="1"/>
  <c r="R20" i="54"/>
  <c r="P20" i="54"/>
  <c r="X20" i="54" s="1"/>
  <c r="N20" i="54"/>
  <c r="H20" i="54"/>
  <c r="D20" i="54"/>
  <c r="L20" i="54" s="1"/>
  <c r="T18" i="54"/>
  <c r="Z18" i="54" s="1"/>
  <c r="R18" i="54"/>
  <c r="P18" i="54"/>
  <c r="X18" i="54" s="1"/>
  <c r="N18" i="54"/>
  <c r="H18" i="54"/>
  <c r="D18" i="54"/>
  <c r="L18" i="54" s="1"/>
  <c r="R16" i="54"/>
  <c r="P16" i="54"/>
  <c r="D16" i="54"/>
  <c r="T14" i="54"/>
  <c r="Z14" i="54" s="1"/>
  <c r="R14" i="54"/>
  <c r="P14" i="54"/>
  <c r="X14" i="54" s="1"/>
  <c r="N14" i="54"/>
  <c r="H14" i="54"/>
  <c r="D14" i="54"/>
  <c r="L14" i="54" s="1"/>
  <c r="X12" i="54"/>
  <c r="T12" i="54"/>
  <c r="Z12" i="54" s="1"/>
  <c r="P12" i="54"/>
  <c r="R31" i="54" s="1"/>
  <c r="L12" i="54"/>
  <c r="H12" i="54"/>
  <c r="D12" i="54"/>
  <c r="F22" i="54" s="1"/>
  <c r="D6" i="54"/>
  <c r="D4" i="54"/>
  <c r="X127" i="51"/>
  <c r="Z127" i="51" s="1"/>
  <c r="L127" i="51"/>
  <c r="N127" i="51" s="1"/>
  <c r="T125" i="51"/>
  <c r="X123" i="51"/>
  <c r="Z123" i="51" s="1"/>
  <c r="P123" i="51"/>
  <c r="D123" i="51"/>
  <c r="L123" i="51" s="1"/>
  <c r="N123" i="51" s="1"/>
  <c r="B123" i="51"/>
  <c r="Z122" i="51"/>
  <c r="P122" i="51"/>
  <c r="N122" i="51"/>
  <c r="D122" i="51"/>
  <c r="L122" i="51" s="1"/>
  <c r="B122" i="51"/>
  <c r="Z121" i="51"/>
  <c r="X121" i="51"/>
  <c r="P121" i="51"/>
  <c r="N121" i="51"/>
  <c r="D121" i="51"/>
  <c r="L121" i="51" s="1"/>
  <c r="B121" i="51"/>
  <c r="Z120" i="51"/>
  <c r="X120" i="51"/>
  <c r="P120" i="51"/>
  <c r="N120" i="51"/>
  <c r="L120" i="51"/>
  <c r="D120" i="51"/>
  <c r="B120" i="51"/>
  <c r="T119" i="51"/>
  <c r="H119" i="51"/>
  <c r="Z117" i="51"/>
  <c r="X117" i="51"/>
  <c r="N117" i="51"/>
  <c r="L117" i="51"/>
  <c r="B117" i="51"/>
  <c r="T116" i="51"/>
  <c r="Z116" i="51" s="1"/>
  <c r="P116" i="51"/>
  <c r="X116" i="51" s="1"/>
  <c r="N116" i="51"/>
  <c r="H116" i="51"/>
  <c r="D116" i="51"/>
  <c r="L116" i="51" s="1"/>
  <c r="B116" i="51"/>
  <c r="X115" i="51"/>
  <c r="Z115" i="51" s="1"/>
  <c r="N115" i="51"/>
  <c r="L115" i="51"/>
  <c r="B115" i="51"/>
  <c r="T114" i="51"/>
  <c r="P114" i="51"/>
  <c r="X114" i="51" s="1"/>
  <c r="Z114" i="51" s="1"/>
  <c r="L114" i="51"/>
  <c r="N114" i="51" s="1"/>
  <c r="H114" i="51"/>
  <c r="D114" i="51"/>
  <c r="B114" i="51"/>
  <c r="Z113" i="51"/>
  <c r="X113" i="51"/>
  <c r="N113" i="51"/>
  <c r="L113" i="51"/>
  <c r="B113" i="51"/>
  <c r="Z112" i="51"/>
  <c r="X112" i="51"/>
  <c r="N112" i="51"/>
  <c r="L112" i="51"/>
  <c r="B112" i="51"/>
  <c r="Z111" i="51"/>
  <c r="T111" i="51"/>
  <c r="P111" i="51"/>
  <c r="X111" i="51" s="1"/>
  <c r="H111" i="51"/>
  <c r="D111" i="51"/>
  <c r="L111" i="51" s="1"/>
  <c r="B111" i="51"/>
  <c r="Z110" i="51"/>
  <c r="X110" i="51"/>
  <c r="N110" i="51"/>
  <c r="L110" i="51"/>
  <c r="B110" i="51"/>
  <c r="X109" i="51"/>
  <c r="Z109" i="51" s="1"/>
  <c r="V109" i="51"/>
  <c r="L109" i="51"/>
  <c r="N109" i="51" s="1"/>
  <c r="B109" i="51"/>
  <c r="T108" i="51"/>
  <c r="P108" i="51"/>
  <c r="X108" i="51" s="1"/>
  <c r="H108" i="51"/>
  <c r="D108" i="51"/>
  <c r="L108" i="51" s="1"/>
  <c r="B108" i="51"/>
  <c r="Z107" i="51"/>
  <c r="X107" i="51"/>
  <c r="N107" i="51"/>
  <c r="L107" i="51"/>
  <c r="B107" i="51"/>
  <c r="Z106" i="51"/>
  <c r="T106" i="51"/>
  <c r="P106" i="51"/>
  <c r="X106" i="51" s="1"/>
  <c r="N106" i="51"/>
  <c r="L106" i="51"/>
  <c r="H106" i="51"/>
  <c r="D106" i="51"/>
  <c r="B106" i="51"/>
  <c r="Z105" i="51"/>
  <c r="X105" i="51"/>
  <c r="N105" i="51"/>
  <c r="L105" i="51"/>
  <c r="B105" i="51"/>
  <c r="Z104" i="51"/>
  <c r="T104" i="51"/>
  <c r="X104" i="51" s="1"/>
  <c r="P104" i="51"/>
  <c r="H104" i="51"/>
  <c r="D104" i="51"/>
  <c r="B104" i="51"/>
  <c r="Z103" i="51"/>
  <c r="X103" i="51"/>
  <c r="N103" i="51"/>
  <c r="L103" i="51"/>
  <c r="B103" i="51"/>
  <c r="Z102" i="51"/>
  <c r="X102" i="51"/>
  <c r="N102" i="51"/>
  <c r="L102" i="51"/>
  <c r="B102" i="51"/>
  <c r="Z101" i="51"/>
  <c r="X101" i="51"/>
  <c r="N101" i="51"/>
  <c r="L101" i="51"/>
  <c r="B101" i="51"/>
  <c r="Z100" i="51"/>
  <c r="X100" i="51"/>
  <c r="N100" i="51"/>
  <c r="L100" i="51"/>
  <c r="B100" i="51"/>
  <c r="Z99" i="51"/>
  <c r="X99" i="51"/>
  <c r="N99" i="51"/>
  <c r="L99" i="51"/>
  <c r="B99" i="51"/>
  <c r="Z98" i="51"/>
  <c r="X98" i="51"/>
  <c r="N98" i="51"/>
  <c r="L98" i="51"/>
  <c r="B98" i="51"/>
  <c r="Z97" i="51"/>
  <c r="X97" i="51"/>
  <c r="N97" i="51"/>
  <c r="L97" i="51"/>
  <c r="B97" i="51"/>
  <c r="Z96" i="51"/>
  <c r="X96" i="51"/>
  <c r="L96" i="51"/>
  <c r="N96" i="51" s="1"/>
  <c r="B96" i="51"/>
  <c r="X95" i="51"/>
  <c r="T95" i="51"/>
  <c r="P95" i="51"/>
  <c r="L95" i="51"/>
  <c r="N95" i="51" s="1"/>
  <c r="H95" i="51"/>
  <c r="D95" i="51"/>
  <c r="B95" i="51"/>
  <c r="Z94" i="51"/>
  <c r="X94" i="51"/>
  <c r="N94" i="51"/>
  <c r="L94" i="51"/>
  <c r="B94" i="51"/>
  <c r="T93" i="51"/>
  <c r="P93" i="51"/>
  <c r="H93" i="51"/>
  <c r="D93" i="51"/>
  <c r="B93" i="51"/>
  <c r="Z92" i="51"/>
  <c r="X92" i="51"/>
  <c r="N92" i="51"/>
  <c r="L92" i="51"/>
  <c r="B92" i="51"/>
  <c r="Z91" i="51"/>
  <c r="T91" i="51"/>
  <c r="P91" i="51"/>
  <c r="X91" i="51" s="1"/>
  <c r="H91" i="51"/>
  <c r="D91" i="51"/>
  <c r="L91" i="51" s="1"/>
  <c r="B91" i="51"/>
  <c r="X90" i="51"/>
  <c r="Z90" i="51" s="1"/>
  <c r="N90" i="51"/>
  <c r="L90" i="51"/>
  <c r="B90" i="51"/>
  <c r="X89" i="51"/>
  <c r="Z89" i="51" s="1"/>
  <c r="T89" i="51"/>
  <c r="P89" i="51"/>
  <c r="L89" i="51"/>
  <c r="H89" i="51"/>
  <c r="D89" i="51"/>
  <c r="B89" i="51"/>
  <c r="Z88" i="51"/>
  <c r="X88" i="51"/>
  <c r="N88" i="51"/>
  <c r="L88" i="51"/>
  <c r="B88" i="51"/>
  <c r="T87" i="51"/>
  <c r="P87" i="51"/>
  <c r="H87" i="51"/>
  <c r="D87" i="51"/>
  <c r="B87" i="51"/>
  <c r="Z86" i="51"/>
  <c r="X86" i="51"/>
  <c r="N86" i="51"/>
  <c r="L86" i="51"/>
  <c r="B86" i="51"/>
  <c r="T85" i="51"/>
  <c r="Z85" i="51" s="1"/>
  <c r="P85" i="51"/>
  <c r="X85" i="51" s="1"/>
  <c r="N85" i="51"/>
  <c r="H85" i="51"/>
  <c r="D85" i="51"/>
  <c r="L85" i="51" s="1"/>
  <c r="B85" i="51"/>
  <c r="Z84" i="51"/>
  <c r="X84" i="51"/>
  <c r="N84" i="51"/>
  <c r="L84" i="51"/>
  <c r="B84" i="51"/>
  <c r="X83" i="51"/>
  <c r="T83" i="51"/>
  <c r="P83" i="51"/>
  <c r="H83" i="51"/>
  <c r="D83" i="51"/>
  <c r="L83" i="51" s="1"/>
  <c r="N83" i="51" s="1"/>
  <c r="B83" i="51"/>
  <c r="Z82" i="51"/>
  <c r="X82" i="51"/>
  <c r="N82" i="51"/>
  <c r="L82" i="51"/>
  <c r="B82" i="51"/>
  <c r="Z81" i="51"/>
  <c r="X81" i="51"/>
  <c r="N81" i="51"/>
  <c r="L81" i="51"/>
  <c r="B81" i="51"/>
  <c r="X80" i="51"/>
  <c r="Z80" i="51" s="1"/>
  <c r="N80" i="51"/>
  <c r="L80" i="51"/>
  <c r="B80" i="51"/>
  <c r="X79" i="51"/>
  <c r="Z79" i="51" s="1"/>
  <c r="V79" i="51"/>
  <c r="N79" i="51"/>
  <c r="L79" i="51"/>
  <c r="B79" i="51"/>
  <c r="Z78" i="51"/>
  <c r="X78" i="51"/>
  <c r="N78" i="51"/>
  <c r="L78" i="51"/>
  <c r="B78" i="51"/>
  <c r="Z77" i="51"/>
  <c r="X77" i="51"/>
  <c r="N77" i="51"/>
  <c r="L77" i="51"/>
  <c r="B77" i="51"/>
  <c r="Z76" i="51"/>
  <c r="X76" i="51"/>
  <c r="N76" i="51"/>
  <c r="L76" i="51"/>
  <c r="B76" i="51"/>
  <c r="Z75" i="51"/>
  <c r="X75" i="51"/>
  <c r="N75" i="51"/>
  <c r="L75" i="51"/>
  <c r="B75" i="51"/>
  <c r="Z74" i="51"/>
  <c r="X74" i="51"/>
  <c r="N74" i="51"/>
  <c r="L74" i="51"/>
  <c r="B74" i="51"/>
  <c r="X73" i="51"/>
  <c r="Z73" i="51" s="1"/>
  <c r="L73" i="51"/>
  <c r="N73" i="51" s="1"/>
  <c r="B73" i="51"/>
  <c r="Z72" i="51"/>
  <c r="X72" i="51"/>
  <c r="T72" i="51"/>
  <c r="P72" i="51"/>
  <c r="H72" i="51"/>
  <c r="D72" i="51"/>
  <c r="L72" i="51" s="1"/>
  <c r="N72" i="51" s="1"/>
  <c r="B72" i="51"/>
  <c r="Z71" i="51"/>
  <c r="X71" i="51"/>
  <c r="N71" i="51"/>
  <c r="L71" i="51"/>
  <c r="B71" i="51"/>
  <c r="Z70" i="51"/>
  <c r="X70" i="51"/>
  <c r="N70" i="51"/>
  <c r="L70" i="51"/>
  <c r="B70" i="51"/>
  <c r="X69" i="51"/>
  <c r="Z69" i="51" s="1"/>
  <c r="N69" i="51"/>
  <c r="L69" i="51"/>
  <c r="B69" i="51"/>
  <c r="Z68" i="51"/>
  <c r="X68" i="51"/>
  <c r="N68" i="51"/>
  <c r="L68" i="51"/>
  <c r="J68" i="51"/>
  <c r="B68" i="51"/>
  <c r="Z67" i="51"/>
  <c r="X67" i="51"/>
  <c r="N67" i="51"/>
  <c r="L67" i="51"/>
  <c r="B67" i="51"/>
  <c r="Z66" i="51"/>
  <c r="X66" i="51"/>
  <c r="V66" i="51"/>
  <c r="N66" i="51"/>
  <c r="L66" i="51"/>
  <c r="B66" i="51"/>
  <c r="X65" i="51"/>
  <c r="Z65" i="51" s="1"/>
  <c r="L65" i="51"/>
  <c r="N65" i="51" s="1"/>
  <c r="B65" i="51"/>
  <c r="Z64" i="51"/>
  <c r="X64" i="51"/>
  <c r="N64" i="51"/>
  <c r="L64" i="51"/>
  <c r="B64" i="51"/>
  <c r="Z63" i="51"/>
  <c r="X63" i="51"/>
  <c r="L63" i="51"/>
  <c r="N63" i="51" s="1"/>
  <c r="B63" i="51"/>
  <c r="Z62" i="51"/>
  <c r="X62" i="51"/>
  <c r="L62" i="51"/>
  <c r="N62" i="51" s="1"/>
  <c r="B62" i="51"/>
  <c r="T61" i="51"/>
  <c r="P61" i="51"/>
  <c r="X61" i="51" s="1"/>
  <c r="H61" i="51"/>
  <c r="D61" i="51"/>
  <c r="B61" i="51"/>
  <c r="T60" i="51"/>
  <c r="P60" i="51"/>
  <c r="X60" i="51" s="1"/>
  <c r="H60" i="51"/>
  <c r="D60" i="51"/>
  <c r="L60" i="51" s="1"/>
  <c r="T58" i="51"/>
  <c r="Z56" i="51"/>
  <c r="X56" i="51"/>
  <c r="N56" i="51"/>
  <c r="L56" i="51"/>
  <c r="B56" i="51"/>
  <c r="Z55" i="51"/>
  <c r="X55" i="51"/>
  <c r="N55" i="51"/>
  <c r="L55" i="51"/>
  <c r="B55" i="51"/>
  <c r="Z54" i="51"/>
  <c r="X54" i="51"/>
  <c r="N54" i="51"/>
  <c r="L54" i="51"/>
  <c r="B54" i="51"/>
  <c r="Z53" i="51"/>
  <c r="X53" i="51"/>
  <c r="N53" i="51"/>
  <c r="L53" i="51"/>
  <c r="B53" i="51"/>
  <c r="Z52" i="51"/>
  <c r="X52" i="51"/>
  <c r="V52" i="51"/>
  <c r="N52" i="51"/>
  <c r="L52" i="51"/>
  <c r="B52" i="51"/>
  <c r="Z51" i="51"/>
  <c r="X51" i="51"/>
  <c r="N51" i="51"/>
  <c r="L51" i="5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N48" i="51"/>
  <c r="L48" i="51"/>
  <c r="B48" i="51"/>
  <c r="Z47" i="51"/>
  <c r="X47" i="51"/>
  <c r="N47" i="51"/>
  <c r="L47" i="51"/>
  <c r="B47" i="51"/>
  <c r="Z46" i="51"/>
  <c r="X46" i="51"/>
  <c r="N46" i="51"/>
  <c r="L46" i="51"/>
  <c r="B46" i="51"/>
  <c r="Z45" i="51"/>
  <c r="X45" i="51"/>
  <c r="N45" i="51"/>
  <c r="L45" i="51"/>
  <c r="B45" i="51"/>
  <c r="Z44" i="51"/>
  <c r="X44" i="51"/>
  <c r="N44" i="51"/>
  <c r="L44" i="51"/>
  <c r="B44" i="51"/>
  <c r="Z43" i="51"/>
  <c r="X43" i="51"/>
  <c r="N43" i="51"/>
  <c r="L43" i="51"/>
  <c r="B43" i="51"/>
  <c r="Z42" i="51"/>
  <c r="X42" i="51"/>
  <c r="V42" i="51"/>
  <c r="N42" i="51"/>
  <c r="L42" i="51"/>
  <c r="B42" i="51"/>
  <c r="Z41" i="51"/>
  <c r="X41" i="51"/>
  <c r="L41" i="51"/>
  <c r="N41" i="51" s="1"/>
  <c r="B41" i="51"/>
  <c r="Z40" i="51"/>
  <c r="V40" i="51"/>
  <c r="T40" i="51"/>
  <c r="P40" i="51"/>
  <c r="X40" i="51" s="1"/>
  <c r="H40" i="51"/>
  <c r="N40" i="51" s="1"/>
  <c r="D40" i="51"/>
  <c r="L40" i="51" s="1"/>
  <c r="Z38" i="51"/>
  <c r="P38" i="51"/>
  <c r="X38" i="51" s="1"/>
  <c r="N38" i="51"/>
  <c r="L38" i="51"/>
  <c r="D38" i="51"/>
  <c r="B38" i="51"/>
  <c r="Z37" i="51"/>
  <c r="X37" i="51"/>
  <c r="P37" i="51"/>
  <c r="N37" i="51"/>
  <c r="D37" i="51"/>
  <c r="L37" i="51" s="1"/>
  <c r="B37" i="51"/>
  <c r="Z36" i="51"/>
  <c r="P36" i="51"/>
  <c r="X36" i="51" s="1"/>
  <c r="N36" i="51"/>
  <c r="D36" i="51"/>
  <c r="L36" i="51" s="1"/>
  <c r="B36" i="51"/>
  <c r="Z35" i="51"/>
  <c r="P35" i="51"/>
  <c r="X35" i="51" s="1"/>
  <c r="N35" i="51"/>
  <c r="D35" i="51"/>
  <c r="L35" i="51" s="1"/>
  <c r="B35" i="51"/>
  <c r="Z34" i="51"/>
  <c r="X34" i="51"/>
  <c r="P34" i="51"/>
  <c r="N34" i="51"/>
  <c r="L34" i="51"/>
  <c r="D34" i="51"/>
  <c r="B34" i="51"/>
  <c r="Z33" i="51"/>
  <c r="X33" i="51"/>
  <c r="P33" i="51"/>
  <c r="N33" i="51"/>
  <c r="L33" i="51"/>
  <c r="D33" i="51"/>
  <c r="B33" i="51"/>
  <c r="Z32" i="51"/>
  <c r="P32" i="51"/>
  <c r="X32" i="51" s="1"/>
  <c r="N32" i="51"/>
  <c r="D32" i="51"/>
  <c r="L32" i="51" s="1"/>
  <c r="B32" i="51"/>
  <c r="Z31" i="51"/>
  <c r="P31" i="51"/>
  <c r="X31" i="51" s="1"/>
  <c r="N31" i="51"/>
  <c r="L31" i="51"/>
  <c r="D31" i="51"/>
  <c r="B31" i="51"/>
  <c r="Z30" i="51"/>
  <c r="P30" i="51"/>
  <c r="X30" i="51" s="1"/>
  <c r="N30" i="51"/>
  <c r="L30" i="51"/>
  <c r="D30" i="51"/>
  <c r="B30" i="51"/>
  <c r="Z29" i="51"/>
  <c r="P29" i="51"/>
  <c r="X29" i="51" s="1"/>
  <c r="N29" i="51"/>
  <c r="D29" i="51"/>
  <c r="L29" i="51" s="1"/>
  <c r="B29" i="51"/>
  <c r="Z28" i="51"/>
  <c r="X28" i="51"/>
  <c r="P28" i="51"/>
  <c r="N28" i="51"/>
  <c r="D28" i="51"/>
  <c r="L28" i="51" s="1"/>
  <c r="B28" i="51"/>
  <c r="Z27" i="51"/>
  <c r="P27" i="51"/>
  <c r="X27" i="51" s="1"/>
  <c r="N27" i="51"/>
  <c r="D27" i="51"/>
  <c r="L27" i="51" s="1"/>
  <c r="B27" i="51"/>
  <c r="Z26" i="51"/>
  <c r="P26" i="51"/>
  <c r="X26" i="51" s="1"/>
  <c r="N26" i="51"/>
  <c r="D26" i="51"/>
  <c r="L26" i="51" s="1"/>
  <c r="B26" i="51"/>
  <c r="Z25" i="51"/>
  <c r="X25" i="51"/>
  <c r="P25" i="51"/>
  <c r="N25" i="51"/>
  <c r="D25" i="51"/>
  <c r="L25" i="51" s="1"/>
  <c r="B25" i="51"/>
  <c r="Z24" i="51"/>
  <c r="X24" i="51"/>
  <c r="P24" i="51"/>
  <c r="N24" i="51"/>
  <c r="D24" i="51"/>
  <c r="L24" i="51" s="1"/>
  <c r="B24" i="51"/>
  <c r="Z23" i="51"/>
  <c r="X23" i="51"/>
  <c r="P23" i="51"/>
  <c r="N23" i="51"/>
  <c r="D23" i="51"/>
  <c r="L23" i="51" s="1"/>
  <c r="B23" i="51"/>
  <c r="Z22" i="51"/>
  <c r="X22" i="51"/>
  <c r="P22" i="51"/>
  <c r="N22" i="51"/>
  <c r="D22" i="51"/>
  <c r="L22" i="51" s="1"/>
  <c r="B22" i="51"/>
  <c r="Z21" i="51"/>
  <c r="X21" i="51"/>
  <c r="P21" i="51"/>
  <c r="N21" i="51"/>
  <c r="L21" i="51"/>
  <c r="D21" i="51"/>
  <c r="B21" i="51"/>
  <c r="Z20" i="51"/>
  <c r="P20" i="51"/>
  <c r="X20" i="51" s="1"/>
  <c r="N20" i="51"/>
  <c r="D20" i="51"/>
  <c r="L20" i="51" s="1"/>
  <c r="B20" i="51"/>
  <c r="Z19" i="51"/>
  <c r="P19" i="51"/>
  <c r="X19" i="51" s="1"/>
  <c r="N19" i="51"/>
  <c r="L19" i="51"/>
  <c r="D19" i="51"/>
  <c r="B19" i="51"/>
  <c r="Z18" i="51"/>
  <c r="P18" i="51"/>
  <c r="X18" i="51" s="1"/>
  <c r="N18" i="51"/>
  <c r="L18" i="51"/>
  <c r="D18" i="51"/>
  <c r="B18" i="51"/>
  <c r="Z17" i="51"/>
  <c r="X17" i="51"/>
  <c r="P17" i="51"/>
  <c r="N17" i="51"/>
  <c r="D17" i="51"/>
  <c r="L17" i="51" s="1"/>
  <c r="B17" i="51"/>
  <c r="Z16" i="51"/>
  <c r="P16" i="51"/>
  <c r="X16" i="51" s="1"/>
  <c r="N16" i="51"/>
  <c r="D16" i="51"/>
  <c r="L16" i="51" s="1"/>
  <c r="B16" i="51"/>
  <c r="Z15" i="51"/>
  <c r="P15" i="51"/>
  <c r="X15" i="51" s="1"/>
  <c r="N15" i="51"/>
  <c r="D15" i="51"/>
  <c r="L15" i="51" s="1"/>
  <c r="B15" i="51"/>
  <c r="Z14" i="51"/>
  <c r="P14" i="51"/>
  <c r="X14" i="51" s="1"/>
  <c r="N14" i="51"/>
  <c r="D14" i="51"/>
  <c r="B14" i="51"/>
  <c r="X13" i="51"/>
  <c r="Z13" i="51" s="1"/>
  <c r="P13" i="51"/>
  <c r="D13" i="51"/>
  <c r="L13" i="51" s="1"/>
  <c r="N13" i="51" s="1"/>
  <c r="B13" i="51"/>
  <c r="T12" i="51"/>
  <c r="V58" i="51" s="1"/>
  <c r="H12" i="51"/>
  <c r="J54" i="51" s="1"/>
  <c r="D4" i="51"/>
  <c r="Z78" i="48"/>
  <c r="X78" i="48"/>
  <c r="N78" i="48"/>
  <c r="L78" i="48"/>
  <c r="J78" i="48"/>
  <c r="P74" i="48"/>
  <c r="X74" i="48" s="1"/>
  <c r="Z74" i="48" s="1"/>
  <c r="L74" i="48"/>
  <c r="N74" i="48" s="1"/>
  <c r="D74" i="48"/>
  <c r="B74" i="48"/>
  <c r="T73" i="48"/>
  <c r="P73" i="48"/>
  <c r="X73" i="48" s="1"/>
  <c r="Z73" i="48" s="1"/>
  <c r="H73" i="48"/>
  <c r="D73" i="48"/>
  <c r="L73" i="48" s="1"/>
  <c r="Z71" i="48"/>
  <c r="X71" i="48"/>
  <c r="N71" i="48"/>
  <c r="L71" i="48"/>
  <c r="B71" i="48"/>
  <c r="V70" i="48"/>
  <c r="T70" i="48"/>
  <c r="P70" i="48"/>
  <c r="X70" i="48" s="1"/>
  <c r="N70" i="48"/>
  <c r="J70" i="48"/>
  <c r="H70" i="48"/>
  <c r="D70" i="48"/>
  <c r="L70" i="48" s="1"/>
  <c r="B70" i="48"/>
  <c r="X69" i="48"/>
  <c r="Z69" i="48" s="1"/>
  <c r="V69" i="48"/>
  <c r="L69" i="48"/>
  <c r="N69" i="48" s="1"/>
  <c r="B69" i="48"/>
  <c r="T68" i="48"/>
  <c r="P68" i="48"/>
  <c r="X68" i="48" s="1"/>
  <c r="Z68" i="48" s="1"/>
  <c r="N68" i="48"/>
  <c r="L68" i="48"/>
  <c r="H68" i="48"/>
  <c r="D68" i="48"/>
  <c r="B68" i="48"/>
  <c r="Z67" i="48"/>
  <c r="X67" i="48"/>
  <c r="R67" i="48"/>
  <c r="N67" i="48"/>
  <c r="L67" i="48"/>
  <c r="B67" i="48"/>
  <c r="Z66" i="48"/>
  <c r="X66" i="48"/>
  <c r="N66" i="48"/>
  <c r="L66" i="48"/>
  <c r="J66" i="48"/>
  <c r="B66" i="48"/>
  <c r="X65" i="48"/>
  <c r="Z65" i="48" s="1"/>
  <c r="R65" i="48"/>
  <c r="L65" i="48"/>
  <c r="N65" i="48" s="1"/>
  <c r="B65" i="48"/>
  <c r="X64" i="48"/>
  <c r="Z64" i="48" s="1"/>
  <c r="T64" i="48"/>
  <c r="P64" i="48"/>
  <c r="H64" i="48"/>
  <c r="D64" i="48"/>
  <c r="L64" i="48" s="1"/>
  <c r="N64" i="48" s="1"/>
  <c r="B64" i="48"/>
  <c r="Z63" i="48"/>
  <c r="X63" i="48"/>
  <c r="N63" i="48"/>
  <c r="L63" i="48"/>
  <c r="B63" i="48"/>
  <c r="T62" i="48"/>
  <c r="P62" i="48"/>
  <c r="N62" i="48"/>
  <c r="J62" i="48"/>
  <c r="H62" i="48"/>
  <c r="D62" i="48"/>
  <c r="L62" i="48" s="1"/>
  <c r="B62" i="48"/>
  <c r="Z61" i="48"/>
  <c r="X61" i="48"/>
  <c r="V61" i="48"/>
  <c r="N61" i="48"/>
  <c r="L61" i="48"/>
  <c r="B61" i="48"/>
  <c r="Z60" i="48"/>
  <c r="X60" i="48"/>
  <c r="N60" i="48"/>
  <c r="L60" i="48"/>
  <c r="B60" i="48"/>
  <c r="X59" i="48"/>
  <c r="Z59" i="48" s="1"/>
  <c r="N59" i="48"/>
  <c r="L59" i="48"/>
  <c r="B59" i="48"/>
  <c r="Z58" i="48"/>
  <c r="X58" i="48"/>
  <c r="N58" i="48"/>
  <c r="L58" i="48"/>
  <c r="B58" i="48"/>
  <c r="X57" i="48"/>
  <c r="V57" i="48"/>
  <c r="T57" i="48"/>
  <c r="Z57" i="48" s="1"/>
  <c r="P57" i="48"/>
  <c r="L57" i="48"/>
  <c r="H57" i="48"/>
  <c r="N57" i="48" s="1"/>
  <c r="D57" i="48"/>
  <c r="B57" i="48"/>
  <c r="Z56" i="48"/>
  <c r="X56" i="48"/>
  <c r="N56" i="48"/>
  <c r="L56" i="48"/>
  <c r="J56" i="48"/>
  <c r="B56" i="48"/>
  <c r="T55" i="48"/>
  <c r="R55" i="48"/>
  <c r="P55" i="48"/>
  <c r="X55" i="48" s="1"/>
  <c r="H55" i="48"/>
  <c r="D55" i="48"/>
  <c r="B55" i="48"/>
  <c r="Z54" i="48"/>
  <c r="X54" i="48"/>
  <c r="V54" i="48"/>
  <c r="R54" i="48"/>
  <c r="N54" i="48"/>
  <c r="L54" i="48"/>
  <c r="B54" i="48"/>
  <c r="T53" i="48"/>
  <c r="P53" i="48"/>
  <c r="X53" i="48" s="1"/>
  <c r="N53" i="48"/>
  <c r="H53" i="48"/>
  <c r="D53" i="48"/>
  <c r="L53" i="48" s="1"/>
  <c r="B53" i="48"/>
  <c r="X52" i="48"/>
  <c r="Z52" i="48" s="1"/>
  <c r="N52" i="48"/>
  <c r="L52" i="48"/>
  <c r="B52" i="48"/>
  <c r="X51" i="48"/>
  <c r="T51" i="48"/>
  <c r="Z51" i="48" s="1"/>
  <c r="R51" i="48"/>
  <c r="P51" i="48"/>
  <c r="L51" i="48"/>
  <c r="J51" i="48"/>
  <c r="H51" i="48"/>
  <c r="D51" i="48"/>
  <c r="B51" i="48"/>
  <c r="Z50" i="48"/>
  <c r="X50" i="48"/>
  <c r="R50" i="48"/>
  <c r="N50" i="48"/>
  <c r="L50" i="48"/>
  <c r="J50" i="48"/>
  <c r="B50" i="48"/>
  <c r="T49" i="48"/>
  <c r="P49" i="48"/>
  <c r="H49" i="48"/>
  <c r="D49" i="48"/>
  <c r="L49" i="48" s="1"/>
  <c r="B49" i="48"/>
  <c r="Z48" i="48"/>
  <c r="X48" i="48"/>
  <c r="V48" i="48"/>
  <c r="L48" i="48"/>
  <c r="N48" i="48" s="1"/>
  <c r="B48" i="48"/>
  <c r="Z47" i="48"/>
  <c r="T47" i="48"/>
  <c r="P47" i="48"/>
  <c r="X47" i="48" s="1"/>
  <c r="H47" i="48"/>
  <c r="N47" i="48" s="1"/>
  <c r="D47" i="48"/>
  <c r="L47" i="48" s="1"/>
  <c r="B47" i="48"/>
  <c r="Z46" i="48"/>
  <c r="X46" i="48"/>
  <c r="N46" i="48"/>
  <c r="L46" i="48"/>
  <c r="B46" i="48"/>
  <c r="X45" i="48"/>
  <c r="V45" i="48"/>
  <c r="T45" i="48"/>
  <c r="P45" i="48"/>
  <c r="L45" i="48"/>
  <c r="H45" i="48"/>
  <c r="N45" i="48" s="1"/>
  <c r="D45" i="48"/>
  <c r="B45" i="48"/>
  <c r="X44" i="48"/>
  <c r="Z44" i="48" s="1"/>
  <c r="N44" i="48"/>
  <c r="L44" i="48"/>
  <c r="J44" i="48"/>
  <c r="B44" i="48"/>
  <c r="T43" i="48"/>
  <c r="R43" i="48"/>
  <c r="P43" i="48"/>
  <c r="H43" i="48"/>
  <c r="D43" i="48"/>
  <c r="B43" i="48"/>
  <c r="Z42" i="48"/>
  <c r="X42" i="48"/>
  <c r="V42" i="48"/>
  <c r="R42" i="48"/>
  <c r="N42" i="48"/>
  <c r="L42" i="48"/>
  <c r="B42" i="48"/>
  <c r="T41" i="48"/>
  <c r="P41" i="48"/>
  <c r="X41" i="48" s="1"/>
  <c r="N41" i="48"/>
  <c r="H41" i="48"/>
  <c r="D41" i="48"/>
  <c r="L41" i="48" s="1"/>
  <c r="B41" i="48"/>
  <c r="Z40" i="48"/>
  <c r="X40" i="48"/>
  <c r="N40" i="48"/>
  <c r="L40" i="48"/>
  <c r="B40" i="48"/>
  <c r="Z39" i="48"/>
  <c r="X39" i="48"/>
  <c r="N39" i="48"/>
  <c r="L39" i="48"/>
  <c r="B39" i="48"/>
  <c r="Z38" i="48"/>
  <c r="X38" i="48"/>
  <c r="N38" i="48"/>
  <c r="L38" i="48"/>
  <c r="B38" i="48"/>
  <c r="X37" i="48"/>
  <c r="Z37" i="48" s="1"/>
  <c r="V37" i="48"/>
  <c r="L37" i="48"/>
  <c r="N37" i="48" s="1"/>
  <c r="B37" i="48"/>
  <c r="Z36" i="48"/>
  <c r="X36" i="48"/>
  <c r="N36" i="48"/>
  <c r="L36" i="48"/>
  <c r="B36" i="48"/>
  <c r="Z35" i="48"/>
  <c r="X35" i="48"/>
  <c r="N35" i="48"/>
  <c r="L35" i="48"/>
  <c r="B35" i="48"/>
  <c r="Z34" i="48"/>
  <c r="X34" i="48"/>
  <c r="N34" i="48"/>
  <c r="L34" i="48"/>
  <c r="B34" i="48"/>
  <c r="Z33" i="48"/>
  <c r="X33" i="48"/>
  <c r="V33" i="48"/>
  <c r="N33" i="48"/>
  <c r="L33" i="48"/>
  <c r="B33" i="48"/>
  <c r="X32" i="48"/>
  <c r="Z32" i="48" s="1"/>
  <c r="N32" i="48"/>
  <c r="L32" i="48"/>
  <c r="B32" i="48"/>
  <c r="Z31" i="48"/>
  <c r="X31" i="48"/>
  <c r="N31" i="48"/>
  <c r="L31" i="48"/>
  <c r="B31" i="48"/>
  <c r="Z30" i="48"/>
  <c r="X30" i="48"/>
  <c r="T30" i="48"/>
  <c r="R30" i="48"/>
  <c r="P30" i="48"/>
  <c r="H30" i="48"/>
  <c r="D30" i="48"/>
  <c r="L30" i="48" s="1"/>
  <c r="N30" i="48" s="1"/>
  <c r="B30" i="48"/>
  <c r="X29" i="48"/>
  <c r="Z29" i="48" s="1"/>
  <c r="R29" i="48"/>
  <c r="L29" i="48"/>
  <c r="N29" i="48" s="1"/>
  <c r="J29" i="48"/>
  <c r="B29" i="48"/>
  <c r="X28" i="48"/>
  <c r="Z28" i="48" s="1"/>
  <c r="N28" i="48"/>
  <c r="L28" i="48"/>
  <c r="J28" i="48"/>
  <c r="B28" i="48"/>
  <c r="Z27" i="48"/>
  <c r="X27" i="48"/>
  <c r="R27" i="48"/>
  <c r="N27" i="48"/>
  <c r="L27" i="48"/>
  <c r="B27" i="48"/>
  <c r="Z26" i="48"/>
  <c r="X26" i="48"/>
  <c r="R26" i="48"/>
  <c r="N26" i="48"/>
  <c r="L26" i="48"/>
  <c r="J26" i="48"/>
  <c r="B26" i="48"/>
  <c r="X25" i="48"/>
  <c r="Z25" i="48" s="1"/>
  <c r="R25" i="48"/>
  <c r="L25" i="48"/>
  <c r="N25" i="48" s="1"/>
  <c r="J25" i="48"/>
  <c r="B25" i="48"/>
  <c r="Z24" i="48"/>
  <c r="X24" i="48"/>
  <c r="N24" i="48"/>
  <c r="L24" i="48"/>
  <c r="J24" i="48"/>
  <c r="B24" i="48"/>
  <c r="Z23" i="48"/>
  <c r="X23" i="48"/>
  <c r="R23" i="48"/>
  <c r="N23" i="48"/>
  <c r="L23" i="48"/>
  <c r="B23" i="48"/>
  <c r="Z22" i="48"/>
  <c r="X22" i="48"/>
  <c r="R22" i="48"/>
  <c r="N22" i="48"/>
  <c r="L22" i="48"/>
  <c r="J22" i="48"/>
  <c r="B22" i="48"/>
  <c r="X21" i="48"/>
  <c r="Z21" i="48" s="1"/>
  <c r="R21" i="48"/>
  <c r="L21" i="48"/>
  <c r="N21" i="48" s="1"/>
  <c r="J21" i="48"/>
  <c r="B21" i="48"/>
  <c r="X20" i="48"/>
  <c r="Z20" i="48" s="1"/>
  <c r="T20" i="48"/>
  <c r="R20" i="48"/>
  <c r="P20" i="48"/>
  <c r="H20" i="48"/>
  <c r="D20" i="48"/>
  <c r="L20" i="48" s="1"/>
  <c r="N20" i="48" s="1"/>
  <c r="B20" i="48"/>
  <c r="T19" i="48"/>
  <c r="P19" i="48"/>
  <c r="X19" i="48" s="1"/>
  <c r="Z19" i="48" s="1"/>
  <c r="J19" i="48"/>
  <c r="H19" i="48"/>
  <c r="N19" i="48" s="1"/>
  <c r="D19" i="48"/>
  <c r="L19" i="48" s="1"/>
  <c r="Z15" i="48"/>
  <c r="T15" i="48"/>
  <c r="P15" i="48"/>
  <c r="J15" i="48"/>
  <c r="H15" i="48"/>
  <c r="N15" i="48" s="1"/>
  <c r="D15" i="48"/>
  <c r="L15" i="48" s="1"/>
  <c r="Z13" i="48"/>
  <c r="X13" i="48"/>
  <c r="P13" i="48"/>
  <c r="D13" i="48"/>
  <c r="B13" i="48"/>
  <c r="X12" i="48"/>
  <c r="T12" i="48"/>
  <c r="V73" i="48" s="1"/>
  <c r="P12" i="48"/>
  <c r="R57" i="48" s="1"/>
  <c r="H12" i="48"/>
  <c r="J67" i="48" s="1"/>
  <c r="D4" i="48"/>
  <c r="X108" i="45"/>
  <c r="Z108" i="45" s="1"/>
  <c r="L108" i="45"/>
  <c r="N108" i="45" s="1"/>
  <c r="J108" i="45"/>
  <c r="T104" i="45"/>
  <c r="P104" i="45"/>
  <c r="H104" i="45"/>
  <c r="D104" i="45"/>
  <c r="X102" i="45"/>
  <c r="Z102" i="45" s="1"/>
  <c r="L102" i="45"/>
  <c r="N102" i="45" s="1"/>
  <c r="B102" i="45"/>
  <c r="X101" i="45"/>
  <c r="Z101" i="45" s="1"/>
  <c r="N101" i="45"/>
  <c r="L101" i="45"/>
  <c r="J101" i="45"/>
  <c r="B101" i="45"/>
  <c r="T100" i="45"/>
  <c r="P100" i="45"/>
  <c r="H100" i="45"/>
  <c r="D100" i="45"/>
  <c r="B100" i="45"/>
  <c r="Z99" i="45"/>
  <c r="X99" i="45"/>
  <c r="V99" i="45"/>
  <c r="N99" i="45"/>
  <c r="L99" i="45"/>
  <c r="B99" i="45"/>
  <c r="T98" i="45"/>
  <c r="P98" i="45"/>
  <c r="X98" i="45" s="1"/>
  <c r="N98" i="45"/>
  <c r="H98" i="45"/>
  <c r="D98" i="45"/>
  <c r="L98" i="45" s="1"/>
  <c r="B98" i="45"/>
  <c r="X97" i="45"/>
  <c r="Z97" i="45" s="1"/>
  <c r="L97" i="45"/>
  <c r="N97" i="45" s="1"/>
  <c r="B97" i="45"/>
  <c r="X96" i="45"/>
  <c r="T96" i="45"/>
  <c r="Z96" i="45" s="1"/>
  <c r="P96" i="45"/>
  <c r="L96" i="45"/>
  <c r="J96" i="45"/>
  <c r="H96" i="45"/>
  <c r="N96" i="45" s="1"/>
  <c r="D96" i="45"/>
  <c r="B96" i="45"/>
  <c r="Z95" i="45"/>
  <c r="X95" i="45"/>
  <c r="N95" i="45"/>
  <c r="L95" i="45"/>
  <c r="J95" i="45"/>
  <c r="B95" i="45"/>
  <c r="X94" i="45"/>
  <c r="Z94" i="45" s="1"/>
  <c r="N94" i="45"/>
  <c r="L94" i="45"/>
  <c r="B94" i="45"/>
  <c r="Z93" i="45"/>
  <c r="X93" i="45"/>
  <c r="N93" i="45"/>
  <c r="L93" i="45"/>
  <c r="J93" i="45"/>
  <c r="B93" i="45"/>
  <c r="Z92" i="45"/>
  <c r="X92" i="45"/>
  <c r="N92" i="45"/>
  <c r="L92" i="45"/>
  <c r="B92" i="45"/>
  <c r="Z91" i="45"/>
  <c r="X91" i="45"/>
  <c r="N91" i="45"/>
  <c r="L91" i="45"/>
  <c r="J91" i="45"/>
  <c r="B91" i="45"/>
  <c r="X90" i="45"/>
  <c r="Z90" i="45" s="1"/>
  <c r="L90" i="45"/>
  <c r="N90" i="45" s="1"/>
  <c r="B90" i="45"/>
  <c r="X89" i="45"/>
  <c r="Z89" i="45" s="1"/>
  <c r="N89" i="45"/>
  <c r="L89" i="45"/>
  <c r="J89" i="45"/>
  <c r="B89" i="45"/>
  <c r="Z88" i="45"/>
  <c r="X88" i="45"/>
  <c r="N88" i="45"/>
  <c r="L88" i="45"/>
  <c r="B88" i="45"/>
  <c r="Z87" i="45"/>
  <c r="X87" i="45"/>
  <c r="N87" i="45"/>
  <c r="L87" i="45"/>
  <c r="J87" i="45"/>
  <c r="B87" i="45"/>
  <c r="X86" i="45"/>
  <c r="Z86" i="45" s="1"/>
  <c r="N86" i="45"/>
  <c r="L86" i="45"/>
  <c r="B86" i="45"/>
  <c r="X85" i="45"/>
  <c r="Z85" i="45" s="1"/>
  <c r="T85" i="45"/>
  <c r="P85" i="45"/>
  <c r="H85" i="45"/>
  <c r="D85" i="45"/>
  <c r="L85" i="45" s="1"/>
  <c r="N85" i="45" s="1"/>
  <c r="B85" i="45"/>
  <c r="Z84" i="45"/>
  <c r="X84" i="45"/>
  <c r="L84" i="45"/>
  <c r="N84" i="45" s="1"/>
  <c r="B84" i="45"/>
  <c r="Z83" i="45"/>
  <c r="X83" i="45"/>
  <c r="V83" i="45"/>
  <c r="N83" i="45"/>
  <c r="L83" i="45"/>
  <c r="B83" i="45"/>
  <c r="X82" i="45"/>
  <c r="Z82" i="45" s="1"/>
  <c r="L82" i="45"/>
  <c r="N82" i="45" s="1"/>
  <c r="J82" i="45"/>
  <c r="B82" i="45"/>
  <c r="Z81" i="45"/>
  <c r="X81" i="45"/>
  <c r="V81" i="45"/>
  <c r="L81" i="45"/>
  <c r="N81" i="45" s="1"/>
  <c r="B81" i="45"/>
  <c r="T80" i="45"/>
  <c r="P80" i="45"/>
  <c r="X80" i="45" s="1"/>
  <c r="Z80" i="45" s="1"/>
  <c r="H80" i="45"/>
  <c r="D80" i="45"/>
  <c r="L80" i="45" s="1"/>
  <c r="B80" i="45"/>
  <c r="Z79" i="45"/>
  <c r="X79" i="45"/>
  <c r="N79" i="45"/>
  <c r="L79" i="45"/>
  <c r="B79" i="45"/>
  <c r="X78" i="45"/>
  <c r="Z78" i="45" s="1"/>
  <c r="V78" i="45"/>
  <c r="L78" i="45"/>
  <c r="N78" i="45" s="1"/>
  <c r="B78" i="45"/>
  <c r="X77" i="45"/>
  <c r="Z77" i="45" s="1"/>
  <c r="N77" i="45"/>
  <c r="L77" i="45"/>
  <c r="B77" i="45"/>
  <c r="X76" i="45"/>
  <c r="Z76" i="45" s="1"/>
  <c r="N76" i="45"/>
  <c r="L76" i="45"/>
  <c r="B76" i="45"/>
  <c r="Z75" i="45"/>
  <c r="X75" i="45"/>
  <c r="T75" i="45"/>
  <c r="P75" i="45"/>
  <c r="H75" i="45"/>
  <c r="N75" i="45" s="1"/>
  <c r="D75" i="45"/>
  <c r="L75" i="45" s="1"/>
  <c r="B75" i="45"/>
  <c r="X74" i="45"/>
  <c r="Z74" i="45" s="1"/>
  <c r="L74" i="45"/>
  <c r="N74" i="45" s="1"/>
  <c r="B74" i="45"/>
  <c r="Z73" i="45"/>
  <c r="X73" i="45"/>
  <c r="T73" i="45"/>
  <c r="P73" i="45"/>
  <c r="N73" i="45"/>
  <c r="H73" i="45"/>
  <c r="D73" i="45"/>
  <c r="L73" i="45" s="1"/>
  <c r="B73" i="45"/>
  <c r="Z72" i="45"/>
  <c r="X72" i="45"/>
  <c r="L72" i="45"/>
  <c r="N72" i="45" s="1"/>
  <c r="B72" i="45"/>
  <c r="V71" i="45"/>
  <c r="T71" i="45"/>
  <c r="P71" i="45"/>
  <c r="J71" i="45"/>
  <c r="H71" i="45"/>
  <c r="D71" i="45"/>
  <c r="L71" i="45" s="1"/>
  <c r="N71" i="45" s="1"/>
  <c r="B71" i="45"/>
  <c r="X70" i="45"/>
  <c r="Z70" i="45" s="1"/>
  <c r="V70" i="45"/>
  <c r="L70" i="45"/>
  <c r="N70" i="45" s="1"/>
  <c r="B70" i="45"/>
  <c r="T69" i="45"/>
  <c r="P69" i="45"/>
  <c r="X69" i="45" s="1"/>
  <c r="N69" i="45"/>
  <c r="L69" i="45"/>
  <c r="H69" i="45"/>
  <c r="D69" i="45"/>
  <c r="B69" i="45"/>
  <c r="Z68" i="45"/>
  <c r="X68" i="45"/>
  <c r="N68" i="45"/>
  <c r="L68" i="45"/>
  <c r="B68" i="45"/>
  <c r="Z67" i="45"/>
  <c r="T67" i="45"/>
  <c r="P67" i="45"/>
  <c r="X67" i="45" s="1"/>
  <c r="L67" i="45"/>
  <c r="N67" i="45" s="1"/>
  <c r="H67" i="45"/>
  <c r="D67" i="45"/>
  <c r="B67" i="45"/>
  <c r="X66" i="45"/>
  <c r="Z66" i="45" s="1"/>
  <c r="L66" i="45"/>
  <c r="N66" i="45" s="1"/>
  <c r="J66" i="45"/>
  <c r="B66" i="45"/>
  <c r="V65" i="45"/>
  <c r="T65" i="45"/>
  <c r="P65" i="45"/>
  <c r="X65" i="45" s="1"/>
  <c r="Z65" i="45" s="1"/>
  <c r="H65" i="45"/>
  <c r="D65" i="45"/>
  <c r="B65" i="45"/>
  <c r="X64" i="45"/>
  <c r="Z64" i="45" s="1"/>
  <c r="N64" i="45"/>
  <c r="L64" i="45"/>
  <c r="B64" i="45"/>
  <c r="Z63" i="45"/>
  <c r="X63" i="45"/>
  <c r="T63" i="45"/>
  <c r="P63" i="45"/>
  <c r="H63" i="45"/>
  <c r="D63" i="45"/>
  <c r="L63" i="45" s="1"/>
  <c r="B63" i="45"/>
  <c r="X62" i="45"/>
  <c r="Z62" i="45" s="1"/>
  <c r="N62" i="45"/>
  <c r="L62" i="45"/>
  <c r="B62" i="45"/>
  <c r="Z61" i="45"/>
  <c r="X61" i="45"/>
  <c r="N61" i="45"/>
  <c r="L61" i="45"/>
  <c r="J61" i="45"/>
  <c r="B61" i="45"/>
  <c r="T60" i="45"/>
  <c r="P60" i="45"/>
  <c r="H60" i="45"/>
  <c r="D60" i="45"/>
  <c r="B60" i="45"/>
  <c r="Z59" i="45"/>
  <c r="X59" i="45"/>
  <c r="V59" i="45"/>
  <c r="N59" i="45"/>
  <c r="L59" i="45"/>
  <c r="B59" i="45"/>
  <c r="T58" i="45"/>
  <c r="Z58" i="45" s="1"/>
  <c r="P58" i="45"/>
  <c r="X58" i="45" s="1"/>
  <c r="N58" i="45"/>
  <c r="H58" i="45"/>
  <c r="D58" i="45"/>
  <c r="L58" i="45" s="1"/>
  <c r="B58" i="45"/>
  <c r="X57" i="45"/>
  <c r="Z57" i="45" s="1"/>
  <c r="N57" i="45"/>
  <c r="L57" i="45"/>
  <c r="B57" i="45"/>
  <c r="X56" i="45"/>
  <c r="T56" i="45"/>
  <c r="P56" i="45"/>
  <c r="L56" i="45"/>
  <c r="N56" i="45" s="1"/>
  <c r="J56" i="45"/>
  <c r="H56" i="45"/>
  <c r="D56" i="45"/>
  <c r="B56" i="45"/>
  <c r="Z55" i="45"/>
  <c r="X55" i="45"/>
  <c r="N55" i="45"/>
  <c r="L55" i="45"/>
  <c r="J55" i="45"/>
  <c r="B55" i="45"/>
  <c r="X54" i="45"/>
  <c r="Z54" i="45" s="1"/>
  <c r="L54" i="45"/>
  <c r="N54" i="45" s="1"/>
  <c r="B54" i="45"/>
  <c r="Z53" i="45"/>
  <c r="X53" i="45"/>
  <c r="T53" i="45"/>
  <c r="P53" i="45"/>
  <c r="N53" i="45"/>
  <c r="H53" i="45"/>
  <c r="D53" i="45"/>
  <c r="L53" i="45" s="1"/>
  <c r="B53" i="45"/>
  <c r="Z52" i="45"/>
  <c r="X52" i="45"/>
  <c r="L52" i="45"/>
  <c r="N52" i="45" s="1"/>
  <c r="B52" i="45"/>
  <c r="V51" i="45"/>
  <c r="T51" i="45"/>
  <c r="P51" i="45"/>
  <c r="J51" i="45"/>
  <c r="H51" i="45"/>
  <c r="D51" i="45"/>
  <c r="L51" i="45" s="1"/>
  <c r="N51" i="45" s="1"/>
  <c r="B51" i="45"/>
  <c r="Z50" i="45"/>
  <c r="X50" i="45"/>
  <c r="V50" i="45"/>
  <c r="N50" i="45"/>
  <c r="L50" i="45"/>
  <c r="B50" i="45"/>
  <c r="Z49" i="45"/>
  <c r="X49" i="45"/>
  <c r="N49" i="45"/>
  <c r="L49" i="45"/>
  <c r="B49" i="45"/>
  <c r="X48" i="45"/>
  <c r="Z48" i="45" s="1"/>
  <c r="N48" i="45"/>
  <c r="L48" i="45"/>
  <c r="B48" i="45"/>
  <c r="Z47" i="45"/>
  <c r="X47" i="45"/>
  <c r="N47" i="45"/>
  <c r="L47" i="45"/>
  <c r="B47" i="45"/>
  <c r="Z46" i="45"/>
  <c r="X46" i="45"/>
  <c r="V46" i="45"/>
  <c r="N46" i="45"/>
  <c r="L46" i="45"/>
  <c r="B46" i="45"/>
  <c r="X45" i="45"/>
  <c r="Z45" i="45" s="1"/>
  <c r="L45" i="45"/>
  <c r="N45" i="45" s="1"/>
  <c r="B45" i="45"/>
  <c r="X44" i="45"/>
  <c r="Z44" i="45" s="1"/>
  <c r="N44" i="45"/>
  <c r="L44" i="45"/>
  <c r="B44" i="45"/>
  <c r="Z43" i="45"/>
  <c r="X43" i="45"/>
  <c r="N43" i="45"/>
  <c r="L43" i="45"/>
  <c r="B43" i="45"/>
  <c r="X42" i="45"/>
  <c r="Z42" i="45" s="1"/>
  <c r="V42" i="45"/>
  <c r="L42" i="45"/>
  <c r="N42" i="45" s="1"/>
  <c r="B42" i="45"/>
  <c r="Z41" i="45"/>
  <c r="X41" i="45"/>
  <c r="N41" i="45"/>
  <c r="L41" i="45"/>
  <c r="B41" i="45"/>
  <c r="X40" i="45"/>
  <c r="T40" i="45"/>
  <c r="P40" i="45"/>
  <c r="L40" i="45"/>
  <c r="N40" i="45" s="1"/>
  <c r="J40" i="45"/>
  <c r="H40" i="45"/>
  <c r="D40" i="45"/>
  <c r="B40" i="45"/>
  <c r="Z39" i="45"/>
  <c r="X39" i="45"/>
  <c r="N39" i="45"/>
  <c r="L39" i="45"/>
  <c r="J39" i="45"/>
  <c r="B39" i="45"/>
  <c r="X38" i="45"/>
  <c r="Z38" i="45" s="1"/>
  <c r="L38" i="45"/>
  <c r="N38" i="45" s="1"/>
  <c r="J38" i="45"/>
  <c r="B38" i="45"/>
  <c r="X37" i="45"/>
  <c r="Z37" i="45" s="1"/>
  <c r="N37" i="45"/>
  <c r="L37" i="45"/>
  <c r="J37" i="45"/>
  <c r="B37" i="45"/>
  <c r="Z36" i="45"/>
  <c r="X36" i="45"/>
  <c r="N36" i="45"/>
  <c r="L36" i="45"/>
  <c r="B36" i="45"/>
  <c r="Z35" i="45"/>
  <c r="X35" i="45"/>
  <c r="N35" i="45"/>
  <c r="L35" i="45"/>
  <c r="J35" i="45"/>
  <c r="B35" i="45"/>
  <c r="X34" i="45"/>
  <c r="Z34" i="45" s="1"/>
  <c r="N34" i="45"/>
  <c r="L34" i="45"/>
  <c r="J34" i="45"/>
  <c r="B34" i="45"/>
  <c r="X33" i="45"/>
  <c r="Z33" i="45" s="1"/>
  <c r="N33" i="45"/>
  <c r="L33" i="45"/>
  <c r="J33" i="45"/>
  <c r="B33" i="45"/>
  <c r="Z32" i="45"/>
  <c r="X32" i="45"/>
  <c r="N32" i="45"/>
  <c r="L32" i="45"/>
  <c r="B32" i="45"/>
  <c r="Z31" i="45"/>
  <c r="X31" i="45"/>
  <c r="N31" i="45"/>
  <c r="L31" i="45"/>
  <c r="J31" i="45"/>
  <c r="B31" i="45"/>
  <c r="X30" i="45"/>
  <c r="Z30" i="45" s="1"/>
  <c r="L30" i="45"/>
  <c r="N30" i="45" s="1"/>
  <c r="J30" i="45"/>
  <c r="B30" i="45"/>
  <c r="X29" i="45"/>
  <c r="Z29" i="45" s="1"/>
  <c r="T29" i="45"/>
  <c r="P29" i="45"/>
  <c r="N29" i="45"/>
  <c r="H29" i="45"/>
  <c r="D29" i="45"/>
  <c r="L29" i="45" s="1"/>
  <c r="B29" i="45"/>
  <c r="T28" i="45"/>
  <c r="P28" i="45"/>
  <c r="X28" i="45" s="1"/>
  <c r="Z28" i="45" s="1"/>
  <c r="J28" i="45"/>
  <c r="H28" i="45"/>
  <c r="D28" i="45"/>
  <c r="L28" i="45" s="1"/>
  <c r="T26" i="45"/>
  <c r="Z24" i="45"/>
  <c r="X24" i="45"/>
  <c r="N24" i="45"/>
  <c r="L24" i="45"/>
  <c r="B24" i="45"/>
  <c r="Z23" i="45"/>
  <c r="X23" i="45"/>
  <c r="V23" i="45"/>
  <c r="N23" i="45"/>
  <c r="L23" i="45"/>
  <c r="J23" i="45"/>
  <c r="B23" i="45"/>
  <c r="X22" i="45"/>
  <c r="Z22" i="45" s="1"/>
  <c r="V22" i="45"/>
  <c r="L22" i="45"/>
  <c r="N22" i="45" s="1"/>
  <c r="J22" i="45"/>
  <c r="B22" i="45"/>
  <c r="V21" i="45"/>
  <c r="T21" i="45"/>
  <c r="P21" i="45"/>
  <c r="X21" i="45" s="1"/>
  <c r="Z21" i="45" s="1"/>
  <c r="J21" i="45"/>
  <c r="H21" i="45"/>
  <c r="D21" i="45"/>
  <c r="L21" i="45" s="1"/>
  <c r="Z19" i="45"/>
  <c r="P19" i="45"/>
  <c r="X19" i="45" s="1"/>
  <c r="N19" i="45"/>
  <c r="D19" i="45"/>
  <c r="L19" i="45" s="1"/>
  <c r="B19" i="45"/>
  <c r="Z18" i="45"/>
  <c r="P18" i="45"/>
  <c r="X18" i="45" s="1"/>
  <c r="N18" i="45"/>
  <c r="D18" i="45"/>
  <c r="L18" i="45" s="1"/>
  <c r="B18" i="45"/>
  <c r="Z17" i="45"/>
  <c r="P17" i="45"/>
  <c r="X17" i="45" s="1"/>
  <c r="N17" i="45"/>
  <c r="L17" i="45"/>
  <c r="D17" i="45"/>
  <c r="B17" i="45"/>
  <c r="Z16" i="45"/>
  <c r="P16" i="45"/>
  <c r="X16" i="45" s="1"/>
  <c r="N16" i="45"/>
  <c r="D16" i="45"/>
  <c r="B16" i="45"/>
  <c r="X15" i="45"/>
  <c r="Z15" i="45" s="1"/>
  <c r="P15" i="45"/>
  <c r="D15" i="45"/>
  <c r="L15" i="45" s="1"/>
  <c r="N15" i="45" s="1"/>
  <c r="B15" i="45"/>
  <c r="Z14" i="45"/>
  <c r="X14" i="45"/>
  <c r="P14" i="45"/>
  <c r="N14" i="45"/>
  <c r="L14" i="45"/>
  <c r="D14" i="45"/>
  <c r="B14" i="45"/>
  <c r="Z13" i="45"/>
  <c r="P13" i="45"/>
  <c r="N13" i="45"/>
  <c r="D13" i="45"/>
  <c r="L13" i="45" s="1"/>
  <c r="B13" i="45"/>
  <c r="T12" i="45"/>
  <c r="V84" i="45" s="1"/>
  <c r="H12" i="45"/>
  <c r="D4" i="45"/>
  <c r="Z139" i="42"/>
  <c r="X139" i="42"/>
  <c r="N139" i="42"/>
  <c r="L139" i="42"/>
  <c r="Z135" i="42"/>
  <c r="X135" i="42"/>
  <c r="V135" i="42"/>
  <c r="R135" i="42"/>
  <c r="P135" i="42"/>
  <c r="N135" i="42"/>
  <c r="L135" i="42"/>
  <c r="D135" i="42"/>
  <c r="B135" i="42"/>
  <c r="Z134" i="42"/>
  <c r="P134" i="42"/>
  <c r="X134" i="42" s="1"/>
  <c r="N134" i="42"/>
  <c r="D134" i="42"/>
  <c r="L134" i="42" s="1"/>
  <c r="B134" i="42"/>
  <c r="P133" i="42"/>
  <c r="N133" i="42"/>
  <c r="L133" i="42"/>
  <c r="D133" i="42"/>
  <c r="B133" i="42"/>
  <c r="P132" i="42"/>
  <c r="X132" i="42" s="1"/>
  <c r="Z132" i="42" s="1"/>
  <c r="L132" i="42"/>
  <c r="N132" i="42" s="1"/>
  <c r="D132" i="42"/>
  <c r="D131" i="42" s="1"/>
  <c r="B132" i="42"/>
  <c r="T131" i="42"/>
  <c r="L131" i="42"/>
  <c r="N131" i="42" s="1"/>
  <c r="H131" i="42"/>
  <c r="Z129" i="42"/>
  <c r="X129" i="42"/>
  <c r="L129" i="42"/>
  <c r="N129" i="42" s="1"/>
  <c r="J129" i="42"/>
  <c r="B129" i="42"/>
  <c r="T128" i="42"/>
  <c r="P128" i="42"/>
  <c r="H128" i="42"/>
  <c r="D128" i="42"/>
  <c r="L128" i="42" s="1"/>
  <c r="B128" i="42"/>
  <c r="Z127" i="42"/>
  <c r="X127" i="42"/>
  <c r="N127" i="42"/>
  <c r="L127" i="42"/>
  <c r="B127" i="42"/>
  <c r="Z126" i="42"/>
  <c r="X126" i="42"/>
  <c r="N126" i="42"/>
  <c r="L126" i="42"/>
  <c r="B126" i="42"/>
  <c r="X125" i="42"/>
  <c r="Z125" i="42" s="1"/>
  <c r="V125" i="42"/>
  <c r="N125" i="42"/>
  <c r="L125" i="42"/>
  <c r="B125" i="42"/>
  <c r="T124" i="42"/>
  <c r="P124" i="42"/>
  <c r="X124" i="42" s="1"/>
  <c r="Z124" i="42" s="1"/>
  <c r="N124" i="42"/>
  <c r="H124" i="42"/>
  <c r="D124" i="42"/>
  <c r="L124" i="42" s="1"/>
  <c r="B124" i="42"/>
  <c r="X123" i="42"/>
  <c r="Z123" i="42" s="1"/>
  <c r="N123" i="42"/>
  <c r="L123" i="42"/>
  <c r="B123" i="42"/>
  <c r="X122" i="42"/>
  <c r="Z122" i="42" s="1"/>
  <c r="T122" i="42"/>
  <c r="P122" i="42"/>
  <c r="L122" i="42"/>
  <c r="N122" i="42" s="1"/>
  <c r="J122" i="42"/>
  <c r="H122" i="42"/>
  <c r="D122" i="42"/>
  <c r="B122" i="42"/>
  <c r="Z121" i="42"/>
  <c r="X121" i="42"/>
  <c r="L121" i="42"/>
  <c r="N121" i="42" s="1"/>
  <c r="J121" i="42"/>
  <c r="B121" i="42"/>
  <c r="X120" i="42"/>
  <c r="Z120" i="42" s="1"/>
  <c r="N120" i="42"/>
  <c r="L120" i="42"/>
  <c r="B120" i="42"/>
  <c r="X119" i="42"/>
  <c r="Z119" i="42" s="1"/>
  <c r="T119" i="42"/>
  <c r="P119" i="42"/>
  <c r="H119" i="42"/>
  <c r="D119" i="42"/>
  <c r="L119" i="42" s="1"/>
  <c r="N119" i="42" s="1"/>
  <c r="B119" i="42"/>
  <c r="Z118" i="42"/>
  <c r="X118" i="42"/>
  <c r="N118" i="42"/>
  <c r="L118" i="42"/>
  <c r="B118" i="42"/>
  <c r="X117" i="42"/>
  <c r="Z117" i="42" s="1"/>
  <c r="V117" i="42"/>
  <c r="R117" i="42"/>
  <c r="N117" i="42"/>
  <c r="L117" i="42"/>
  <c r="B117" i="42"/>
  <c r="Z116" i="42"/>
  <c r="X116" i="42"/>
  <c r="N116" i="42"/>
  <c r="L116" i="42"/>
  <c r="J116" i="42"/>
  <c r="B116" i="42"/>
  <c r="Z115" i="42"/>
  <c r="X115" i="42"/>
  <c r="V115" i="42"/>
  <c r="L115" i="42"/>
  <c r="N115" i="42" s="1"/>
  <c r="B115" i="42"/>
  <c r="Z114" i="42"/>
  <c r="X114" i="42"/>
  <c r="L114" i="42"/>
  <c r="N114" i="42" s="1"/>
  <c r="B114" i="42"/>
  <c r="X113" i="42"/>
  <c r="Z113" i="42" s="1"/>
  <c r="V113" i="42"/>
  <c r="N113" i="42"/>
  <c r="L113" i="42"/>
  <c r="B113" i="42"/>
  <c r="Z112" i="42"/>
  <c r="X112" i="42"/>
  <c r="L112" i="42"/>
  <c r="N112" i="42" s="1"/>
  <c r="J112" i="42"/>
  <c r="B112" i="42"/>
  <c r="Z111" i="42"/>
  <c r="X111" i="42"/>
  <c r="V111" i="42"/>
  <c r="L111" i="42"/>
  <c r="N111" i="42" s="1"/>
  <c r="B111" i="42"/>
  <c r="Z110" i="42"/>
  <c r="X110" i="42"/>
  <c r="L110" i="42"/>
  <c r="N110" i="42" s="1"/>
  <c r="B110" i="42"/>
  <c r="Z109" i="42"/>
  <c r="X109" i="42"/>
  <c r="V109" i="42"/>
  <c r="N109" i="42"/>
  <c r="L109" i="42"/>
  <c r="B109" i="42"/>
  <c r="Z108" i="42"/>
  <c r="X108" i="42"/>
  <c r="L108" i="42"/>
  <c r="N108" i="42" s="1"/>
  <c r="J108" i="42"/>
  <c r="B108" i="42"/>
  <c r="V107" i="42"/>
  <c r="T107" i="42"/>
  <c r="P107" i="42"/>
  <c r="X107" i="42" s="1"/>
  <c r="Z107" i="42" s="1"/>
  <c r="H107" i="42"/>
  <c r="D107" i="42"/>
  <c r="B107" i="42"/>
  <c r="X106" i="42"/>
  <c r="Z106" i="42" s="1"/>
  <c r="N106" i="42"/>
  <c r="L106" i="42"/>
  <c r="B106" i="42"/>
  <c r="Z105" i="42"/>
  <c r="X105" i="42"/>
  <c r="N105" i="42"/>
  <c r="L105" i="42"/>
  <c r="B105" i="42"/>
  <c r="X104" i="42"/>
  <c r="Z104" i="42" s="1"/>
  <c r="V104" i="42"/>
  <c r="T104" i="42"/>
  <c r="P104" i="42"/>
  <c r="L104" i="42"/>
  <c r="N104" i="42" s="1"/>
  <c r="H104" i="42"/>
  <c r="D104" i="42"/>
  <c r="B104" i="42"/>
  <c r="X103" i="42"/>
  <c r="Z103" i="42" s="1"/>
  <c r="N103" i="42"/>
  <c r="L103" i="42"/>
  <c r="J103" i="42"/>
  <c r="B103" i="42"/>
  <c r="Z102" i="42"/>
  <c r="X102" i="42"/>
  <c r="R102" i="42"/>
  <c r="N102" i="42"/>
  <c r="L102" i="42"/>
  <c r="B102" i="42"/>
  <c r="Z101" i="42"/>
  <c r="X101" i="42"/>
  <c r="L101" i="42"/>
  <c r="N101" i="42" s="1"/>
  <c r="J101" i="42"/>
  <c r="B101" i="42"/>
  <c r="X100" i="42"/>
  <c r="Z100" i="42" s="1"/>
  <c r="N100" i="42"/>
  <c r="L100" i="42"/>
  <c r="B100" i="42"/>
  <c r="X99" i="42"/>
  <c r="Z99" i="42" s="1"/>
  <c r="N99" i="42"/>
  <c r="L99" i="42"/>
  <c r="J99" i="42"/>
  <c r="B99" i="42"/>
  <c r="T98" i="42"/>
  <c r="P98" i="42"/>
  <c r="H98" i="42"/>
  <c r="D98" i="42"/>
  <c r="B98" i="42"/>
  <c r="X97" i="42"/>
  <c r="Z97" i="42" s="1"/>
  <c r="V97" i="42"/>
  <c r="N97" i="42"/>
  <c r="L97" i="42"/>
  <c r="B97" i="42"/>
  <c r="Z96" i="42"/>
  <c r="X96" i="42"/>
  <c r="L96" i="42"/>
  <c r="N96" i="42" s="1"/>
  <c r="J96" i="42"/>
  <c r="B96" i="42"/>
  <c r="Z95" i="42"/>
  <c r="X95" i="42"/>
  <c r="V95" i="42"/>
  <c r="L95" i="42"/>
  <c r="N95" i="42" s="1"/>
  <c r="B95" i="42"/>
  <c r="Z94" i="42"/>
  <c r="X94" i="42"/>
  <c r="N94" i="42"/>
  <c r="L94" i="42"/>
  <c r="B94" i="42"/>
  <c r="V93" i="42"/>
  <c r="T93" i="42"/>
  <c r="P93" i="42"/>
  <c r="J93" i="42"/>
  <c r="H93" i="42"/>
  <c r="D93" i="42"/>
  <c r="L93" i="42" s="1"/>
  <c r="N93" i="42" s="1"/>
  <c r="B93" i="42"/>
  <c r="X92" i="42"/>
  <c r="Z92" i="42" s="1"/>
  <c r="V92" i="42"/>
  <c r="L92" i="42"/>
  <c r="N92" i="42" s="1"/>
  <c r="B92" i="42"/>
  <c r="X91" i="42"/>
  <c r="Z91" i="42" s="1"/>
  <c r="N91" i="42"/>
  <c r="L91" i="42"/>
  <c r="B91" i="42"/>
  <c r="X90" i="42"/>
  <c r="Z90" i="42" s="1"/>
  <c r="N90" i="42"/>
  <c r="L90" i="42"/>
  <c r="J90" i="42"/>
  <c r="B90" i="42"/>
  <c r="Z89" i="42"/>
  <c r="X89" i="42"/>
  <c r="N89" i="42"/>
  <c r="L89" i="42"/>
  <c r="B89" i="42"/>
  <c r="X88" i="42"/>
  <c r="Z88" i="42" s="1"/>
  <c r="V88" i="42"/>
  <c r="T88" i="42"/>
  <c r="P88" i="42"/>
  <c r="L88" i="42"/>
  <c r="N88" i="42" s="1"/>
  <c r="H88" i="42"/>
  <c r="D88" i="42"/>
  <c r="B88" i="42"/>
  <c r="X87" i="42"/>
  <c r="Z87" i="42" s="1"/>
  <c r="N87" i="42"/>
  <c r="L87" i="42"/>
  <c r="J87" i="42"/>
  <c r="B87" i="42"/>
  <c r="T86" i="42"/>
  <c r="P86" i="42"/>
  <c r="X86" i="42" s="1"/>
  <c r="H86" i="42"/>
  <c r="D86" i="42"/>
  <c r="B86" i="42"/>
  <c r="Z85" i="42"/>
  <c r="X85" i="42"/>
  <c r="V85" i="42"/>
  <c r="R85" i="42"/>
  <c r="N85" i="42"/>
  <c r="L85" i="42"/>
  <c r="B85" i="42"/>
  <c r="T84" i="42"/>
  <c r="Z84" i="42" s="1"/>
  <c r="P84" i="42"/>
  <c r="X84" i="42" s="1"/>
  <c r="N84" i="42"/>
  <c r="H84" i="42"/>
  <c r="D84" i="42"/>
  <c r="L84" i="42" s="1"/>
  <c r="B84" i="42"/>
  <c r="X83" i="42"/>
  <c r="Z83" i="42" s="1"/>
  <c r="L83" i="42"/>
  <c r="N83" i="42" s="1"/>
  <c r="B83" i="42"/>
  <c r="X82" i="42"/>
  <c r="T82" i="42"/>
  <c r="Z82" i="42" s="1"/>
  <c r="P82" i="42"/>
  <c r="L82" i="42"/>
  <c r="N82" i="42" s="1"/>
  <c r="J82" i="42"/>
  <c r="H82" i="42"/>
  <c r="D82" i="42"/>
  <c r="B82" i="42"/>
  <c r="Z81" i="42"/>
  <c r="X81" i="42"/>
  <c r="L81" i="42"/>
  <c r="N81" i="42" s="1"/>
  <c r="J81" i="42"/>
  <c r="B81" i="42"/>
  <c r="T80" i="42"/>
  <c r="P80" i="42"/>
  <c r="H80" i="42"/>
  <c r="D80" i="42"/>
  <c r="L80" i="42" s="1"/>
  <c r="B80" i="42"/>
  <c r="Z79" i="42"/>
  <c r="X79" i="42"/>
  <c r="V79" i="42"/>
  <c r="L79" i="42"/>
  <c r="N79" i="42" s="1"/>
  <c r="B79" i="42"/>
  <c r="Z78" i="42"/>
  <c r="X78" i="42"/>
  <c r="N78" i="42"/>
  <c r="L78" i="42"/>
  <c r="B78" i="42"/>
  <c r="V77" i="42"/>
  <c r="T77" i="42"/>
  <c r="P77" i="42"/>
  <c r="J77" i="42"/>
  <c r="H77" i="42"/>
  <c r="D77" i="42"/>
  <c r="L77" i="42" s="1"/>
  <c r="N77" i="42" s="1"/>
  <c r="B77" i="42"/>
  <c r="Z76" i="42"/>
  <c r="X76" i="42"/>
  <c r="V76" i="42"/>
  <c r="N76" i="42"/>
  <c r="L76" i="42"/>
  <c r="B76" i="42"/>
  <c r="T75" i="42"/>
  <c r="Z75" i="42" s="1"/>
  <c r="P75" i="42"/>
  <c r="X75" i="42" s="1"/>
  <c r="N75" i="42"/>
  <c r="H75" i="42"/>
  <c r="D75" i="42"/>
  <c r="L75" i="42" s="1"/>
  <c r="B75" i="42"/>
  <c r="Z74" i="42"/>
  <c r="X74" i="42"/>
  <c r="V74" i="42"/>
  <c r="N74" i="42"/>
  <c r="L74" i="42"/>
  <c r="B74" i="42"/>
  <c r="T73" i="42"/>
  <c r="P73" i="42"/>
  <c r="X73" i="42" s="1"/>
  <c r="Z73" i="42" s="1"/>
  <c r="N73" i="42"/>
  <c r="L73" i="42"/>
  <c r="H73" i="42"/>
  <c r="D73" i="42"/>
  <c r="B73" i="42"/>
  <c r="Z72" i="42"/>
  <c r="X72" i="42"/>
  <c r="L72" i="42"/>
  <c r="N72" i="42" s="1"/>
  <c r="J72" i="42"/>
  <c r="B72" i="42"/>
  <c r="V71" i="42"/>
  <c r="T71" i="42"/>
  <c r="P71" i="42"/>
  <c r="X71" i="42" s="1"/>
  <c r="Z71" i="42" s="1"/>
  <c r="H71" i="42"/>
  <c r="D71" i="42"/>
  <c r="B71" i="42"/>
  <c r="X70" i="42"/>
  <c r="Z70" i="42" s="1"/>
  <c r="N70" i="42"/>
  <c r="L70" i="42"/>
  <c r="J70" i="42"/>
  <c r="B70" i="42"/>
  <c r="T69" i="42"/>
  <c r="P69" i="42"/>
  <c r="X69" i="42" s="1"/>
  <c r="Z69" i="42" s="1"/>
  <c r="H69" i="42"/>
  <c r="N69" i="42" s="1"/>
  <c r="D69" i="42"/>
  <c r="L69" i="42" s="1"/>
  <c r="B69" i="42"/>
  <c r="Z68" i="42"/>
  <c r="X68" i="42"/>
  <c r="N68" i="42"/>
  <c r="L68" i="42"/>
  <c r="B68" i="42"/>
  <c r="Z67" i="42"/>
  <c r="X67" i="42"/>
  <c r="T67" i="42"/>
  <c r="P67" i="42"/>
  <c r="N67" i="42"/>
  <c r="H67" i="42"/>
  <c r="D67" i="42"/>
  <c r="L67" i="42" s="1"/>
  <c r="B67" i="42"/>
  <c r="Z66" i="42"/>
  <c r="X66" i="42"/>
  <c r="L66" i="42"/>
  <c r="N66" i="42" s="1"/>
  <c r="B66" i="42"/>
  <c r="X65" i="42"/>
  <c r="Z65" i="42" s="1"/>
  <c r="V65" i="42"/>
  <c r="N65" i="42"/>
  <c r="L65" i="42"/>
  <c r="B65" i="42"/>
  <c r="Z64" i="42"/>
  <c r="X64" i="42"/>
  <c r="L64" i="42"/>
  <c r="N64" i="42" s="1"/>
  <c r="J64" i="42"/>
  <c r="B64" i="42"/>
  <c r="Z63" i="42"/>
  <c r="X63" i="42"/>
  <c r="V63" i="42"/>
  <c r="L63" i="42"/>
  <c r="N63" i="42" s="1"/>
  <c r="B63" i="42"/>
  <c r="Z62" i="42"/>
  <c r="T62" i="42"/>
  <c r="P62" i="42"/>
  <c r="X62" i="42" s="1"/>
  <c r="H62" i="42"/>
  <c r="N62" i="42" s="1"/>
  <c r="D62" i="42"/>
  <c r="L62" i="42" s="1"/>
  <c r="B62" i="42"/>
  <c r="Z61" i="42"/>
  <c r="X61" i="42"/>
  <c r="N61" i="42"/>
  <c r="L61" i="42"/>
  <c r="B61" i="42"/>
  <c r="X60" i="42"/>
  <c r="Z60" i="42" s="1"/>
  <c r="V60" i="42"/>
  <c r="T60" i="42"/>
  <c r="P60" i="42"/>
  <c r="L60" i="42"/>
  <c r="N60" i="42" s="1"/>
  <c r="H60" i="42"/>
  <c r="D60" i="42"/>
  <c r="B60" i="42"/>
  <c r="Z59" i="42"/>
  <c r="X59" i="42"/>
  <c r="N59" i="42"/>
  <c r="L59" i="42"/>
  <c r="J59" i="42"/>
  <c r="B59" i="42"/>
  <c r="T58" i="42"/>
  <c r="P58" i="42"/>
  <c r="X58" i="42" s="1"/>
  <c r="H58" i="42"/>
  <c r="D58" i="42"/>
  <c r="B58" i="42"/>
  <c r="X57" i="42"/>
  <c r="Z57" i="42" s="1"/>
  <c r="V57" i="42"/>
  <c r="N57" i="42"/>
  <c r="L57" i="42"/>
  <c r="B57" i="42"/>
  <c r="T56" i="42"/>
  <c r="P56" i="42"/>
  <c r="X56" i="42" s="1"/>
  <c r="N56" i="42"/>
  <c r="H56" i="42"/>
  <c r="D56" i="42"/>
  <c r="L56" i="42" s="1"/>
  <c r="B56" i="42"/>
  <c r="Z55" i="42"/>
  <c r="X55" i="42"/>
  <c r="N55" i="42"/>
  <c r="L55" i="42"/>
  <c r="B55" i="42"/>
  <c r="Z54" i="42"/>
  <c r="X54" i="42"/>
  <c r="N54" i="42"/>
  <c r="L54" i="42"/>
  <c r="J54" i="42"/>
  <c r="B54" i="42"/>
  <c r="Z53" i="42"/>
  <c r="X53" i="42"/>
  <c r="N53" i="42"/>
  <c r="L53" i="42"/>
  <c r="B53" i="42"/>
  <c r="X52" i="42"/>
  <c r="Z52" i="42" s="1"/>
  <c r="V52" i="42"/>
  <c r="L52" i="42"/>
  <c r="N52" i="42" s="1"/>
  <c r="B52" i="42"/>
  <c r="Z51" i="42"/>
  <c r="X51" i="42"/>
  <c r="N51" i="42"/>
  <c r="L51" i="42"/>
  <c r="B51" i="42"/>
  <c r="X50" i="42"/>
  <c r="Z50" i="42" s="1"/>
  <c r="N50" i="42"/>
  <c r="L50" i="42"/>
  <c r="J50" i="42"/>
  <c r="B50" i="42"/>
  <c r="Z49" i="42"/>
  <c r="X49" i="42"/>
  <c r="N49" i="42"/>
  <c r="L49" i="42"/>
  <c r="B49" i="42"/>
  <c r="Z48" i="42"/>
  <c r="X48" i="42"/>
  <c r="V48" i="42"/>
  <c r="N48" i="42"/>
  <c r="L48" i="42"/>
  <c r="B48" i="42"/>
  <c r="X47" i="42"/>
  <c r="Z47" i="42" s="1"/>
  <c r="L47" i="42"/>
  <c r="N47" i="42" s="1"/>
  <c r="B47" i="42"/>
  <c r="X46" i="42"/>
  <c r="Z46" i="42" s="1"/>
  <c r="N46" i="42"/>
  <c r="L46" i="42"/>
  <c r="J46" i="42"/>
  <c r="B46" i="42"/>
  <c r="T45" i="42"/>
  <c r="P45" i="42"/>
  <c r="X45" i="42" s="1"/>
  <c r="Z45" i="42" s="1"/>
  <c r="H45" i="42"/>
  <c r="D45" i="42"/>
  <c r="L45" i="42" s="1"/>
  <c r="B45" i="42"/>
  <c r="X44" i="42"/>
  <c r="Z44" i="42" s="1"/>
  <c r="N44" i="42"/>
  <c r="L44" i="42"/>
  <c r="B44" i="42"/>
  <c r="X43" i="42"/>
  <c r="Z43" i="42" s="1"/>
  <c r="N43" i="42"/>
  <c r="L43" i="42"/>
  <c r="J43" i="42"/>
  <c r="B43" i="42"/>
  <c r="Z42" i="42"/>
  <c r="X42" i="42"/>
  <c r="V42" i="42"/>
  <c r="N42" i="42"/>
  <c r="L42" i="42"/>
  <c r="B42" i="42"/>
  <c r="Z41" i="42"/>
  <c r="X41" i="42"/>
  <c r="N41" i="42"/>
  <c r="L41" i="42"/>
  <c r="J41" i="42"/>
  <c r="B41" i="42"/>
  <c r="X40" i="42"/>
  <c r="Z40" i="42" s="1"/>
  <c r="N40" i="42"/>
  <c r="L40" i="42"/>
  <c r="B40" i="42"/>
  <c r="Z39" i="42"/>
  <c r="X39" i="42"/>
  <c r="N39" i="42"/>
  <c r="L39" i="42"/>
  <c r="J39" i="42"/>
  <c r="B39" i="42"/>
  <c r="Z38" i="42"/>
  <c r="X38" i="42"/>
  <c r="V38" i="42"/>
  <c r="R38" i="42"/>
  <c r="N38" i="42"/>
  <c r="L38" i="42"/>
  <c r="B38" i="42"/>
  <c r="Z37" i="42"/>
  <c r="X37" i="42"/>
  <c r="L37" i="42"/>
  <c r="N37" i="42" s="1"/>
  <c r="J37" i="42"/>
  <c r="B37" i="42"/>
  <c r="X36" i="42"/>
  <c r="Z36" i="42" s="1"/>
  <c r="N36" i="42"/>
  <c r="L36" i="42"/>
  <c r="B36" i="42"/>
  <c r="Z35" i="42"/>
  <c r="X35" i="42"/>
  <c r="N35" i="42"/>
  <c r="L35" i="42"/>
  <c r="J35" i="42"/>
  <c r="B35" i="42"/>
  <c r="T34" i="42"/>
  <c r="P34" i="42"/>
  <c r="H34" i="42"/>
  <c r="D34" i="42"/>
  <c r="B34" i="42"/>
  <c r="V33" i="42"/>
  <c r="T33" i="42"/>
  <c r="P33" i="42"/>
  <c r="J33" i="42"/>
  <c r="H33" i="42"/>
  <c r="N33" i="42" s="1"/>
  <c r="D33" i="42"/>
  <c r="L33" i="42" s="1"/>
  <c r="V31" i="42"/>
  <c r="T31" i="42"/>
  <c r="T137" i="42" s="1"/>
  <c r="Z29" i="42"/>
  <c r="X29" i="42"/>
  <c r="V29" i="42"/>
  <c r="R29" i="42"/>
  <c r="N29" i="42"/>
  <c r="L29" i="42"/>
  <c r="B29" i="42"/>
  <c r="Z28" i="42"/>
  <c r="X28" i="42"/>
  <c r="V28" i="42"/>
  <c r="N28" i="42"/>
  <c r="L28" i="42"/>
  <c r="J28" i="42"/>
  <c r="B28" i="42"/>
  <c r="Z27" i="42"/>
  <c r="X27" i="42"/>
  <c r="V27" i="42"/>
  <c r="L27" i="42"/>
  <c r="N27" i="42" s="1"/>
  <c r="B27" i="42"/>
  <c r="Z26" i="42"/>
  <c r="T26" i="42"/>
  <c r="P26" i="42"/>
  <c r="X26" i="42" s="1"/>
  <c r="J26" i="42"/>
  <c r="H26" i="42"/>
  <c r="D26" i="42"/>
  <c r="L26" i="42" s="1"/>
  <c r="N26" i="42" s="1"/>
  <c r="Z24" i="42"/>
  <c r="P24" i="42"/>
  <c r="X24" i="42" s="1"/>
  <c r="N24" i="42"/>
  <c r="D24" i="42"/>
  <c r="L24" i="42" s="1"/>
  <c r="B24" i="42"/>
  <c r="Z23" i="42"/>
  <c r="X23" i="42"/>
  <c r="P23" i="42"/>
  <c r="N23" i="42"/>
  <c r="L23" i="42"/>
  <c r="D23" i="42"/>
  <c r="B23" i="42"/>
  <c r="Z22" i="42"/>
  <c r="X22" i="42"/>
  <c r="P22" i="42"/>
  <c r="N22" i="42"/>
  <c r="L22" i="42"/>
  <c r="D22" i="42"/>
  <c r="B22" i="42"/>
  <c r="Z21" i="42"/>
  <c r="P21" i="42"/>
  <c r="X21" i="42" s="1"/>
  <c r="N21" i="42"/>
  <c r="D21" i="42"/>
  <c r="L21" i="42" s="1"/>
  <c r="B21" i="42"/>
  <c r="Z20" i="42"/>
  <c r="X20" i="42"/>
  <c r="P20" i="42"/>
  <c r="N20" i="42"/>
  <c r="L20" i="42"/>
  <c r="D20" i="42"/>
  <c r="B20" i="42"/>
  <c r="X19" i="42"/>
  <c r="Z19" i="42" s="1"/>
  <c r="P19" i="42"/>
  <c r="N19" i="42"/>
  <c r="L19" i="42"/>
  <c r="D19" i="42"/>
  <c r="B19" i="42"/>
  <c r="Z18" i="42"/>
  <c r="P18" i="42"/>
  <c r="X18" i="42" s="1"/>
  <c r="N18" i="42"/>
  <c r="D18" i="42"/>
  <c r="L18" i="42" s="1"/>
  <c r="B18" i="42"/>
  <c r="Z17" i="42"/>
  <c r="X17" i="42"/>
  <c r="P17" i="42"/>
  <c r="N17" i="42"/>
  <c r="L17" i="42"/>
  <c r="D17" i="42"/>
  <c r="B17" i="42"/>
  <c r="Z16" i="42"/>
  <c r="P16" i="42"/>
  <c r="X16" i="42" s="1"/>
  <c r="N16" i="42"/>
  <c r="L16" i="42"/>
  <c r="D16" i="42"/>
  <c r="B16" i="42"/>
  <c r="Z15" i="42"/>
  <c r="P15" i="42"/>
  <c r="X15" i="42" s="1"/>
  <c r="N15" i="42"/>
  <c r="D15" i="42"/>
  <c r="L15" i="42" s="1"/>
  <c r="B15" i="42"/>
  <c r="Z14" i="42"/>
  <c r="X14" i="42"/>
  <c r="P14" i="42"/>
  <c r="P12" i="42" s="1"/>
  <c r="N14" i="42"/>
  <c r="L14" i="42"/>
  <c r="D14" i="42"/>
  <c r="B14" i="42"/>
  <c r="Z13" i="42"/>
  <c r="X13" i="42"/>
  <c r="P13" i="42"/>
  <c r="D13" i="42"/>
  <c r="B13" i="42"/>
  <c r="T12" i="42"/>
  <c r="V126" i="42" s="1"/>
  <c r="H12" i="42"/>
  <c r="J133" i="42" s="1"/>
  <c r="D4" i="42"/>
  <c r="X150" i="39"/>
  <c r="Z150" i="39" s="1"/>
  <c r="L150" i="39"/>
  <c r="N150" i="39" s="1"/>
  <c r="T148" i="39"/>
  <c r="Z146" i="39"/>
  <c r="P146" i="39"/>
  <c r="X146" i="39" s="1"/>
  <c r="N146" i="39"/>
  <c r="D146" i="39"/>
  <c r="L146" i="39" s="1"/>
  <c r="B146" i="39"/>
  <c r="Z145" i="39"/>
  <c r="P145" i="39"/>
  <c r="N145" i="39"/>
  <c r="L145" i="39"/>
  <c r="D145" i="39"/>
  <c r="B145" i="39"/>
  <c r="Z144" i="39"/>
  <c r="X144" i="39"/>
  <c r="P144" i="39"/>
  <c r="L144" i="39"/>
  <c r="N144" i="39" s="1"/>
  <c r="D144" i="39"/>
  <c r="B144" i="39"/>
  <c r="X143" i="39"/>
  <c r="Z143" i="39" s="1"/>
  <c r="P143" i="39"/>
  <c r="L143" i="39"/>
  <c r="N143" i="39" s="1"/>
  <c r="D143" i="39"/>
  <c r="B143" i="39"/>
  <c r="T142" i="39"/>
  <c r="L142" i="39"/>
  <c r="H142" i="39"/>
  <c r="D142" i="39"/>
  <c r="X140" i="39"/>
  <c r="Z140" i="39" s="1"/>
  <c r="L140" i="39"/>
  <c r="N140" i="39" s="1"/>
  <c r="B140" i="39"/>
  <c r="Z139" i="39"/>
  <c r="T139" i="39"/>
  <c r="P139" i="39"/>
  <c r="X139" i="39" s="1"/>
  <c r="H139" i="39"/>
  <c r="D139" i="39"/>
  <c r="L139" i="39" s="1"/>
  <c r="N139" i="39" s="1"/>
  <c r="B139" i="39"/>
  <c r="Z138" i="39"/>
  <c r="X138" i="39"/>
  <c r="N138" i="39"/>
  <c r="L138" i="39"/>
  <c r="B138" i="39"/>
  <c r="Z137" i="39"/>
  <c r="X137" i="39"/>
  <c r="N137" i="39"/>
  <c r="L137" i="39"/>
  <c r="B137" i="39"/>
  <c r="X136" i="39"/>
  <c r="Z136" i="39" s="1"/>
  <c r="L136" i="39"/>
  <c r="N136" i="39" s="1"/>
  <c r="B136" i="39"/>
  <c r="X135" i="39"/>
  <c r="Z135" i="39" s="1"/>
  <c r="T135" i="39"/>
  <c r="P135" i="39"/>
  <c r="N135" i="39"/>
  <c r="L135" i="39"/>
  <c r="H135" i="39"/>
  <c r="D135" i="39"/>
  <c r="B135" i="39"/>
  <c r="Z134" i="39"/>
  <c r="X134" i="39"/>
  <c r="L134" i="39"/>
  <c r="N134" i="39" s="1"/>
  <c r="B134" i="39"/>
  <c r="T133" i="39"/>
  <c r="P133" i="39"/>
  <c r="H133" i="39"/>
  <c r="D133" i="39"/>
  <c r="B133" i="39"/>
  <c r="X132" i="39"/>
  <c r="Z132" i="39" s="1"/>
  <c r="L132" i="39"/>
  <c r="N132" i="39" s="1"/>
  <c r="B132" i="39"/>
  <c r="Z131" i="39"/>
  <c r="X131" i="39"/>
  <c r="L131" i="39"/>
  <c r="N131" i="39" s="1"/>
  <c r="B131" i="39"/>
  <c r="X130" i="39"/>
  <c r="T130" i="39"/>
  <c r="P130" i="39"/>
  <c r="H130" i="39"/>
  <c r="N130" i="39" s="1"/>
  <c r="D130" i="39"/>
  <c r="L130" i="39" s="1"/>
  <c r="B130" i="39"/>
  <c r="Z129" i="39"/>
  <c r="X129" i="39"/>
  <c r="N129" i="39"/>
  <c r="L129" i="39"/>
  <c r="B129" i="39"/>
  <c r="X128" i="39"/>
  <c r="Z128" i="39" s="1"/>
  <c r="N128" i="39"/>
  <c r="L128" i="39"/>
  <c r="B128" i="39"/>
  <c r="X127" i="39"/>
  <c r="Z127" i="39" s="1"/>
  <c r="N127" i="39"/>
  <c r="L127" i="39"/>
  <c r="J127" i="39"/>
  <c r="B127" i="39"/>
  <c r="X126" i="39"/>
  <c r="Z126" i="39" s="1"/>
  <c r="N126" i="39"/>
  <c r="L126" i="39"/>
  <c r="B126" i="39"/>
  <c r="X125" i="39"/>
  <c r="Z125" i="39" s="1"/>
  <c r="V125" i="39"/>
  <c r="N125" i="39"/>
  <c r="L125" i="39"/>
  <c r="B125" i="39"/>
  <c r="X124" i="39"/>
  <c r="Z124" i="39" s="1"/>
  <c r="N124" i="39"/>
  <c r="L124" i="39"/>
  <c r="B124" i="39"/>
  <c r="X123" i="39"/>
  <c r="Z123" i="39" s="1"/>
  <c r="N123" i="39"/>
  <c r="L123" i="39"/>
  <c r="B123" i="39"/>
  <c r="X122" i="39"/>
  <c r="Z122" i="39" s="1"/>
  <c r="N122" i="39"/>
  <c r="L122" i="39"/>
  <c r="B122" i="39"/>
  <c r="X121" i="39"/>
  <c r="Z121" i="39" s="1"/>
  <c r="N121" i="39"/>
  <c r="L121" i="39"/>
  <c r="B121" i="39"/>
  <c r="Z120" i="39"/>
  <c r="X120" i="39"/>
  <c r="N120" i="39"/>
  <c r="L120" i="39"/>
  <c r="B120" i="39"/>
  <c r="X119" i="39"/>
  <c r="Z119" i="39" s="1"/>
  <c r="N119" i="39"/>
  <c r="L119" i="39"/>
  <c r="B119" i="39"/>
  <c r="T118" i="39"/>
  <c r="Z118" i="39" s="1"/>
  <c r="P118" i="39"/>
  <c r="X118" i="39" s="1"/>
  <c r="H118" i="39"/>
  <c r="D118" i="39"/>
  <c r="B118" i="39"/>
  <c r="Z117" i="39"/>
  <c r="X117" i="39"/>
  <c r="N117" i="39"/>
  <c r="L117" i="39"/>
  <c r="B117" i="39"/>
  <c r="Z116" i="39"/>
  <c r="X116" i="39"/>
  <c r="N116" i="39"/>
  <c r="L116" i="39"/>
  <c r="B116" i="39"/>
  <c r="T115" i="39"/>
  <c r="P115" i="39"/>
  <c r="H115" i="39"/>
  <c r="D115" i="39"/>
  <c r="B115" i="39"/>
  <c r="X114" i="39"/>
  <c r="Z114" i="39" s="1"/>
  <c r="L114" i="39"/>
  <c r="N114" i="39" s="1"/>
  <c r="B114" i="39"/>
  <c r="Z113" i="39"/>
  <c r="X113" i="39"/>
  <c r="N113" i="39"/>
  <c r="L113" i="39"/>
  <c r="B113" i="39"/>
  <c r="X112" i="39"/>
  <c r="Z112" i="39" s="1"/>
  <c r="L112" i="39"/>
  <c r="N112" i="39" s="1"/>
  <c r="B112" i="39"/>
  <c r="Z111" i="39"/>
  <c r="X111" i="39"/>
  <c r="L111" i="39"/>
  <c r="N111" i="39" s="1"/>
  <c r="B111" i="39"/>
  <c r="X110" i="39"/>
  <c r="Z110" i="39" s="1"/>
  <c r="L110" i="39"/>
  <c r="N110" i="39" s="1"/>
  <c r="B110" i="39"/>
  <c r="Z109" i="39"/>
  <c r="X109" i="39"/>
  <c r="N109" i="39"/>
  <c r="L109" i="39"/>
  <c r="B109" i="39"/>
  <c r="V108" i="39"/>
  <c r="T108" i="39"/>
  <c r="Z108" i="39" s="1"/>
  <c r="P108" i="39"/>
  <c r="X108" i="39" s="1"/>
  <c r="L108" i="39"/>
  <c r="J108" i="39"/>
  <c r="H108" i="39"/>
  <c r="D108" i="39"/>
  <c r="B108" i="39"/>
  <c r="X107" i="39"/>
  <c r="Z107" i="39" s="1"/>
  <c r="N107" i="39"/>
  <c r="L107" i="39"/>
  <c r="B107" i="39"/>
  <c r="X106" i="39"/>
  <c r="Z106" i="39" s="1"/>
  <c r="N106" i="39"/>
  <c r="L106" i="39"/>
  <c r="B106" i="39"/>
  <c r="X105" i="39"/>
  <c r="Z105" i="39" s="1"/>
  <c r="N105" i="39"/>
  <c r="L105" i="39"/>
  <c r="B105" i="39"/>
  <c r="X104" i="39"/>
  <c r="Z104" i="39" s="1"/>
  <c r="N104" i="39"/>
  <c r="L104" i="39"/>
  <c r="B104" i="39"/>
  <c r="X103" i="39"/>
  <c r="T103" i="39"/>
  <c r="Z103" i="39" s="1"/>
  <c r="P103" i="39"/>
  <c r="N103" i="39"/>
  <c r="L103" i="39"/>
  <c r="H103" i="39"/>
  <c r="D103" i="39"/>
  <c r="B103" i="39"/>
  <c r="Z102" i="39"/>
  <c r="X102" i="39"/>
  <c r="L102" i="39"/>
  <c r="N102" i="39" s="1"/>
  <c r="B102" i="39"/>
  <c r="Z101" i="39"/>
  <c r="X101" i="39"/>
  <c r="N101" i="39"/>
  <c r="L101" i="39"/>
  <c r="B101" i="39"/>
  <c r="X100" i="39"/>
  <c r="Z100" i="39" s="1"/>
  <c r="N100" i="39"/>
  <c r="L100" i="39"/>
  <c r="B100" i="39"/>
  <c r="Z99" i="39"/>
  <c r="X99" i="39"/>
  <c r="N99" i="39"/>
  <c r="L99" i="39"/>
  <c r="B99" i="39"/>
  <c r="Z98" i="39"/>
  <c r="T98" i="39"/>
  <c r="P98" i="39"/>
  <c r="X98" i="39" s="1"/>
  <c r="N98" i="39"/>
  <c r="L98" i="39"/>
  <c r="H98" i="39"/>
  <c r="D98" i="39"/>
  <c r="B98" i="39"/>
  <c r="Z97" i="39"/>
  <c r="X97" i="39"/>
  <c r="L97" i="39"/>
  <c r="N97" i="39" s="1"/>
  <c r="J97" i="39"/>
  <c r="B97" i="39"/>
  <c r="T96" i="39"/>
  <c r="Z96" i="39" s="1"/>
  <c r="P96" i="39"/>
  <c r="X96" i="39" s="1"/>
  <c r="L96" i="39"/>
  <c r="H96" i="39"/>
  <c r="D96" i="39"/>
  <c r="B96" i="39"/>
  <c r="Z95" i="39"/>
  <c r="X95" i="39"/>
  <c r="N95" i="39"/>
  <c r="L95" i="39"/>
  <c r="B95" i="39"/>
  <c r="T94" i="39"/>
  <c r="Z94" i="39" s="1"/>
  <c r="P94" i="39"/>
  <c r="X94" i="39" s="1"/>
  <c r="H94" i="39"/>
  <c r="N94" i="39" s="1"/>
  <c r="D94" i="39"/>
  <c r="B94" i="39"/>
  <c r="Z93" i="39"/>
  <c r="X93" i="39"/>
  <c r="N93" i="39"/>
  <c r="L93" i="39"/>
  <c r="B93" i="39"/>
  <c r="Z92" i="39"/>
  <c r="X92" i="39"/>
  <c r="T92" i="39"/>
  <c r="P92" i="39"/>
  <c r="N92" i="39"/>
  <c r="H92" i="39"/>
  <c r="D92" i="39"/>
  <c r="L92" i="39" s="1"/>
  <c r="B92" i="39"/>
  <c r="Z91" i="39"/>
  <c r="X91" i="39"/>
  <c r="L91" i="39"/>
  <c r="N91" i="39" s="1"/>
  <c r="B91" i="39"/>
  <c r="T90" i="39"/>
  <c r="P90" i="39"/>
  <c r="H90" i="39"/>
  <c r="D90" i="39"/>
  <c r="L90" i="39" s="1"/>
  <c r="B90" i="39"/>
  <c r="X89" i="39"/>
  <c r="Z89" i="39" s="1"/>
  <c r="N89" i="39"/>
  <c r="L89" i="39"/>
  <c r="B89" i="39"/>
  <c r="T88" i="39"/>
  <c r="P88" i="39"/>
  <c r="X88" i="39" s="1"/>
  <c r="H88" i="39"/>
  <c r="N88" i="39" s="1"/>
  <c r="D88" i="39"/>
  <c r="L88" i="39" s="1"/>
  <c r="B88" i="39"/>
  <c r="Z87" i="39"/>
  <c r="X87" i="39"/>
  <c r="N87" i="39"/>
  <c r="L87" i="39"/>
  <c r="B87" i="39"/>
  <c r="Z86" i="39"/>
  <c r="X86" i="39"/>
  <c r="N86" i="39"/>
  <c r="L86" i="39"/>
  <c r="J86" i="39"/>
  <c r="B86" i="39"/>
  <c r="T85" i="39"/>
  <c r="P85" i="39"/>
  <c r="H85" i="39"/>
  <c r="D85" i="39"/>
  <c r="B85" i="39"/>
  <c r="Z84" i="39"/>
  <c r="X84" i="39"/>
  <c r="N84" i="39"/>
  <c r="L84" i="39"/>
  <c r="B84" i="39"/>
  <c r="Z83" i="39"/>
  <c r="X83" i="39"/>
  <c r="N83" i="39"/>
  <c r="L83" i="39"/>
  <c r="B83" i="39"/>
  <c r="X82" i="39"/>
  <c r="V82" i="39"/>
  <c r="T82" i="39"/>
  <c r="Z82" i="39" s="1"/>
  <c r="P82" i="39"/>
  <c r="H82" i="39"/>
  <c r="N82" i="39" s="1"/>
  <c r="D82" i="39"/>
  <c r="L82" i="39" s="1"/>
  <c r="B82" i="39"/>
  <c r="Z81" i="39"/>
  <c r="X81" i="39"/>
  <c r="N81" i="39"/>
  <c r="L81" i="39"/>
  <c r="B81" i="39"/>
  <c r="T80" i="39"/>
  <c r="P80" i="39"/>
  <c r="X80" i="39" s="1"/>
  <c r="H80" i="39"/>
  <c r="N80" i="39" s="1"/>
  <c r="D80" i="39"/>
  <c r="L80" i="39" s="1"/>
  <c r="B80" i="39"/>
  <c r="Z79" i="39"/>
  <c r="X79" i="39"/>
  <c r="V79" i="39"/>
  <c r="N79" i="39"/>
  <c r="L79" i="39"/>
  <c r="B79" i="39"/>
  <c r="T78" i="39"/>
  <c r="P78" i="39"/>
  <c r="X78" i="39" s="1"/>
  <c r="N78" i="39"/>
  <c r="L78" i="39"/>
  <c r="H78" i="39"/>
  <c r="D78" i="39"/>
  <c r="B78" i="39"/>
  <c r="Z77" i="39"/>
  <c r="X77" i="39"/>
  <c r="V77" i="39"/>
  <c r="N77" i="39"/>
  <c r="L77" i="39"/>
  <c r="J77" i="39"/>
  <c r="B77" i="39"/>
  <c r="T76" i="39"/>
  <c r="P76" i="39"/>
  <c r="X76" i="39" s="1"/>
  <c r="L76" i="39"/>
  <c r="J76" i="39"/>
  <c r="H76" i="39"/>
  <c r="N76" i="39" s="1"/>
  <c r="D76" i="39"/>
  <c r="B76" i="39"/>
  <c r="Z75" i="39"/>
  <c r="X75" i="39"/>
  <c r="N75" i="39"/>
  <c r="L75" i="39"/>
  <c r="B75" i="39"/>
  <c r="T74" i="39"/>
  <c r="Z74" i="39" s="1"/>
  <c r="P74" i="39"/>
  <c r="X74" i="39" s="1"/>
  <c r="H74" i="39"/>
  <c r="N74" i="39" s="1"/>
  <c r="D74" i="39"/>
  <c r="L74" i="39" s="1"/>
  <c r="B74" i="39"/>
  <c r="Z73" i="39"/>
  <c r="X73" i="39"/>
  <c r="N73" i="39"/>
  <c r="L73" i="39"/>
  <c r="J73" i="39"/>
  <c r="B73" i="39"/>
  <c r="X72" i="39"/>
  <c r="Z72" i="39" s="1"/>
  <c r="L72" i="39"/>
  <c r="N72" i="39" s="1"/>
  <c r="B72" i="39"/>
  <c r="Z71" i="39"/>
  <c r="X71" i="39"/>
  <c r="N71" i="39"/>
  <c r="L71" i="39"/>
  <c r="B71" i="39"/>
  <c r="Z70" i="39"/>
  <c r="X70" i="39"/>
  <c r="L70" i="39"/>
  <c r="N70" i="39" s="1"/>
  <c r="B70" i="39"/>
  <c r="V69" i="39"/>
  <c r="T69" i="39"/>
  <c r="P69" i="39"/>
  <c r="X69" i="39" s="1"/>
  <c r="Z69" i="39" s="1"/>
  <c r="H69" i="39"/>
  <c r="D69" i="39"/>
  <c r="B69" i="39"/>
  <c r="X68" i="39"/>
  <c r="Z68" i="39" s="1"/>
  <c r="L68" i="39"/>
  <c r="N68" i="39" s="1"/>
  <c r="B68" i="39"/>
  <c r="Z67" i="39"/>
  <c r="T67" i="39"/>
  <c r="P67" i="39"/>
  <c r="X67" i="39" s="1"/>
  <c r="L67" i="39"/>
  <c r="N67" i="39" s="1"/>
  <c r="H67" i="39"/>
  <c r="D67" i="39"/>
  <c r="B67" i="39"/>
  <c r="X66" i="39"/>
  <c r="Z66" i="39" s="1"/>
  <c r="L66" i="39"/>
  <c r="N66" i="39" s="1"/>
  <c r="B66" i="39"/>
  <c r="X65" i="39"/>
  <c r="T65" i="39"/>
  <c r="Z65" i="39" s="1"/>
  <c r="P65" i="39"/>
  <c r="L65" i="39"/>
  <c r="N65" i="39" s="1"/>
  <c r="J65" i="39"/>
  <c r="H65" i="39"/>
  <c r="D65" i="39"/>
  <c r="B65" i="39"/>
  <c r="Z64" i="39"/>
  <c r="X64" i="39"/>
  <c r="L64" i="39"/>
  <c r="N64" i="39" s="1"/>
  <c r="B64" i="39"/>
  <c r="T63" i="39"/>
  <c r="Z63" i="39" s="1"/>
  <c r="P63" i="39"/>
  <c r="X63" i="39" s="1"/>
  <c r="H63" i="39"/>
  <c r="D63" i="39"/>
  <c r="B63" i="39"/>
  <c r="Z62" i="39"/>
  <c r="X62" i="39"/>
  <c r="N62" i="39"/>
  <c r="L62" i="39"/>
  <c r="B62" i="39"/>
  <c r="Z61" i="39"/>
  <c r="X61" i="39"/>
  <c r="N61" i="39"/>
  <c r="L61" i="39"/>
  <c r="B61" i="39"/>
  <c r="X60" i="39"/>
  <c r="Z60" i="39" s="1"/>
  <c r="N60" i="39"/>
  <c r="L60" i="39"/>
  <c r="B60" i="39"/>
  <c r="Z59" i="39"/>
  <c r="X59" i="39"/>
  <c r="L59" i="39"/>
  <c r="N59" i="39" s="1"/>
  <c r="B59" i="39"/>
  <c r="Z58" i="39"/>
  <c r="X58" i="39"/>
  <c r="V58" i="39"/>
  <c r="N58" i="39"/>
  <c r="L58" i="39"/>
  <c r="B58" i="39"/>
  <c r="Z57" i="39"/>
  <c r="X57" i="39"/>
  <c r="N57" i="39"/>
  <c r="L57" i="39"/>
  <c r="J57" i="39"/>
  <c r="B57" i="39"/>
  <c r="X56" i="39"/>
  <c r="Z56" i="39" s="1"/>
  <c r="L56" i="39"/>
  <c r="N56" i="39" s="1"/>
  <c r="B56" i="39"/>
  <c r="Z55" i="39"/>
  <c r="X55" i="39"/>
  <c r="N55" i="39"/>
  <c r="L55" i="39"/>
  <c r="J55" i="39"/>
  <c r="B55" i="39"/>
  <c r="Z54" i="39"/>
  <c r="X54" i="39"/>
  <c r="V54" i="39"/>
  <c r="N54" i="39"/>
  <c r="L54" i="39"/>
  <c r="B54" i="39"/>
  <c r="Z53" i="39"/>
  <c r="X53" i="39"/>
  <c r="V53" i="39"/>
  <c r="N53" i="39"/>
  <c r="L53" i="39"/>
  <c r="J53" i="39"/>
  <c r="B53" i="39"/>
  <c r="T52" i="39"/>
  <c r="P52" i="39"/>
  <c r="X52" i="39" s="1"/>
  <c r="H52" i="39"/>
  <c r="D52" i="39"/>
  <c r="B52" i="39"/>
  <c r="Z51" i="39"/>
  <c r="X51" i="39"/>
  <c r="V51" i="39"/>
  <c r="L51" i="39"/>
  <c r="N51" i="39" s="1"/>
  <c r="B51" i="39"/>
  <c r="Z50" i="39"/>
  <c r="X50" i="39"/>
  <c r="L50" i="39"/>
  <c r="N50" i="39" s="1"/>
  <c r="B50" i="39"/>
  <c r="Z49" i="39"/>
  <c r="X49" i="39"/>
  <c r="V49" i="39"/>
  <c r="N49" i="39"/>
  <c r="L49" i="39"/>
  <c r="B49" i="39"/>
  <c r="Z48" i="39"/>
  <c r="X48" i="39"/>
  <c r="V48" i="39"/>
  <c r="N48" i="39"/>
  <c r="L48" i="39"/>
  <c r="J48" i="39"/>
  <c r="B48" i="39"/>
  <c r="Z47" i="39"/>
  <c r="X47" i="39"/>
  <c r="V47" i="39"/>
  <c r="N47" i="39"/>
  <c r="L47" i="39"/>
  <c r="B47" i="39"/>
  <c r="Z46" i="39"/>
  <c r="X46" i="39"/>
  <c r="V46" i="39"/>
  <c r="L46" i="39"/>
  <c r="N46" i="39" s="1"/>
  <c r="B46" i="39"/>
  <c r="Z45" i="39"/>
  <c r="X45" i="39"/>
  <c r="V45" i="39"/>
  <c r="N45" i="39"/>
  <c r="L45" i="39"/>
  <c r="B45" i="39"/>
  <c r="X44" i="39"/>
  <c r="Z44" i="39" s="1"/>
  <c r="V44" i="39"/>
  <c r="L44" i="39"/>
  <c r="N44" i="39" s="1"/>
  <c r="J44" i="39"/>
  <c r="B44" i="39"/>
  <c r="Z43" i="39"/>
  <c r="X43" i="39"/>
  <c r="V43" i="39"/>
  <c r="L43" i="39"/>
  <c r="N43" i="39" s="1"/>
  <c r="B43" i="39"/>
  <c r="Z42" i="39"/>
  <c r="X42" i="39"/>
  <c r="V42" i="39"/>
  <c r="L42" i="39"/>
  <c r="N42" i="39" s="1"/>
  <c r="B42" i="39"/>
  <c r="V41" i="39"/>
  <c r="T41" i="39"/>
  <c r="P41" i="39"/>
  <c r="J41" i="39"/>
  <c r="H41" i="39"/>
  <c r="D41" i="39"/>
  <c r="L41" i="39" s="1"/>
  <c r="N41" i="39" s="1"/>
  <c r="B41" i="39"/>
  <c r="X40" i="39"/>
  <c r="V40" i="39"/>
  <c r="T40" i="39"/>
  <c r="Z40" i="39" s="1"/>
  <c r="P40" i="39"/>
  <c r="L40" i="39"/>
  <c r="H40" i="39"/>
  <c r="N40" i="39" s="1"/>
  <c r="D40" i="39"/>
  <c r="V38" i="39"/>
  <c r="T38" i="39"/>
  <c r="Z36" i="39"/>
  <c r="X36" i="39"/>
  <c r="V36" i="39"/>
  <c r="N36" i="39"/>
  <c r="L36" i="39"/>
  <c r="B36" i="39"/>
  <c r="Z35" i="39"/>
  <c r="X35" i="39"/>
  <c r="V35" i="39"/>
  <c r="N35" i="39"/>
  <c r="L35" i="39"/>
  <c r="B35" i="39"/>
  <c r="X34" i="39"/>
  <c r="Z34" i="39" s="1"/>
  <c r="N34" i="39"/>
  <c r="L34" i="39"/>
  <c r="B34" i="39"/>
  <c r="Z33" i="39"/>
  <c r="X33" i="39"/>
  <c r="V33" i="39"/>
  <c r="T33" i="39"/>
  <c r="P33" i="39"/>
  <c r="H33" i="39"/>
  <c r="D33" i="39"/>
  <c r="L33" i="39" s="1"/>
  <c r="N33" i="39" s="1"/>
  <c r="Z31" i="39"/>
  <c r="P31" i="39"/>
  <c r="X31" i="39" s="1"/>
  <c r="N31" i="39"/>
  <c r="L31" i="39"/>
  <c r="D31" i="39"/>
  <c r="B31" i="39"/>
  <c r="Z30" i="39"/>
  <c r="X30" i="39"/>
  <c r="P30" i="39"/>
  <c r="N30" i="39"/>
  <c r="L30" i="39"/>
  <c r="D30" i="39"/>
  <c r="B30" i="39"/>
  <c r="Z29" i="39"/>
  <c r="P29" i="39"/>
  <c r="X29" i="39" s="1"/>
  <c r="N29" i="39"/>
  <c r="D29" i="39"/>
  <c r="L29" i="39" s="1"/>
  <c r="B29" i="39"/>
  <c r="Z28" i="39"/>
  <c r="P28" i="39"/>
  <c r="X28" i="39" s="1"/>
  <c r="N28" i="39"/>
  <c r="D28" i="39"/>
  <c r="L28" i="39" s="1"/>
  <c r="B28" i="39"/>
  <c r="Z27" i="39"/>
  <c r="P27" i="39"/>
  <c r="X27" i="39" s="1"/>
  <c r="N27" i="39"/>
  <c r="L27" i="39"/>
  <c r="D27" i="39"/>
  <c r="B27" i="39"/>
  <c r="Z26" i="39"/>
  <c r="X26" i="39"/>
  <c r="P26" i="39"/>
  <c r="N26" i="39"/>
  <c r="D26" i="39"/>
  <c r="L26" i="39" s="1"/>
  <c r="B26" i="39"/>
  <c r="Z25" i="39"/>
  <c r="X25" i="39"/>
  <c r="P25" i="39"/>
  <c r="N25" i="39"/>
  <c r="D25" i="39"/>
  <c r="L25" i="39" s="1"/>
  <c r="B25" i="39"/>
  <c r="Z24" i="39"/>
  <c r="X24" i="39"/>
  <c r="P24" i="39"/>
  <c r="N24" i="39"/>
  <c r="D24" i="39"/>
  <c r="L24" i="39" s="1"/>
  <c r="B24" i="39"/>
  <c r="Z23" i="39"/>
  <c r="P23" i="39"/>
  <c r="X23" i="39" s="1"/>
  <c r="N23" i="39"/>
  <c r="L23" i="39"/>
  <c r="D23" i="39"/>
  <c r="B23" i="39"/>
  <c r="Z22" i="39"/>
  <c r="X22" i="39"/>
  <c r="P22" i="39"/>
  <c r="N22" i="39"/>
  <c r="L22" i="39"/>
  <c r="D22" i="39"/>
  <c r="B22" i="39"/>
  <c r="X21" i="39"/>
  <c r="Z21" i="39" s="1"/>
  <c r="P21" i="39"/>
  <c r="L21" i="39"/>
  <c r="N21" i="39" s="1"/>
  <c r="D21" i="39"/>
  <c r="B21" i="39"/>
  <c r="Z20" i="39"/>
  <c r="P20" i="39"/>
  <c r="X20" i="39" s="1"/>
  <c r="N20" i="39"/>
  <c r="D20" i="39"/>
  <c r="L20" i="39" s="1"/>
  <c r="B20" i="39"/>
  <c r="Z19" i="39"/>
  <c r="P19" i="39"/>
  <c r="X19" i="39" s="1"/>
  <c r="N19" i="39"/>
  <c r="L19" i="39"/>
  <c r="D19" i="39"/>
  <c r="B19" i="39"/>
  <c r="Z18" i="39"/>
  <c r="X18" i="39"/>
  <c r="P18" i="39"/>
  <c r="N18" i="39"/>
  <c r="L18" i="39"/>
  <c r="D18" i="39"/>
  <c r="B18" i="39"/>
  <c r="Z17" i="39"/>
  <c r="P17" i="39"/>
  <c r="X17" i="39" s="1"/>
  <c r="N17" i="39"/>
  <c r="D17" i="39"/>
  <c r="L17" i="39" s="1"/>
  <c r="B17" i="39"/>
  <c r="Z16" i="39"/>
  <c r="X16" i="39"/>
  <c r="P16" i="39"/>
  <c r="N16" i="39"/>
  <c r="D16" i="39"/>
  <c r="L16" i="39" s="1"/>
  <c r="B16" i="39"/>
  <c r="Z15" i="39"/>
  <c r="P15" i="39"/>
  <c r="X15" i="39" s="1"/>
  <c r="N15" i="39"/>
  <c r="L15" i="39"/>
  <c r="D15" i="39"/>
  <c r="B15" i="39"/>
  <c r="Z14" i="39"/>
  <c r="X14" i="39"/>
  <c r="P14" i="39"/>
  <c r="N14" i="39"/>
  <c r="D14" i="39"/>
  <c r="L14" i="39" s="1"/>
  <c r="B14" i="39"/>
  <c r="X13" i="39"/>
  <c r="Z13" i="39" s="1"/>
  <c r="P13" i="39"/>
  <c r="D13" i="39"/>
  <c r="B13" i="39"/>
  <c r="T12" i="39"/>
  <c r="V142" i="39" s="1"/>
  <c r="H12" i="39"/>
  <c r="J142" i="39" s="1"/>
  <c r="D4" i="39"/>
  <c r="Z144" i="36"/>
  <c r="X144" i="36"/>
  <c r="N144" i="36"/>
  <c r="L144" i="36"/>
  <c r="Z140" i="36"/>
  <c r="V140" i="36"/>
  <c r="P140" i="36"/>
  <c r="X140" i="36" s="1"/>
  <c r="N140" i="36"/>
  <c r="L140" i="36"/>
  <c r="D140" i="36"/>
  <c r="B140" i="36"/>
  <c r="Z139" i="36"/>
  <c r="P139" i="36"/>
  <c r="X139" i="36" s="1"/>
  <c r="N139" i="36"/>
  <c r="D139" i="36"/>
  <c r="L139" i="36" s="1"/>
  <c r="B139" i="36"/>
  <c r="P138" i="36"/>
  <c r="N138" i="36"/>
  <c r="L138" i="36"/>
  <c r="D138" i="36"/>
  <c r="B138" i="36"/>
  <c r="X137" i="36"/>
  <c r="Z137" i="36" s="1"/>
  <c r="P137" i="36"/>
  <c r="N137" i="36"/>
  <c r="L137" i="36"/>
  <c r="D137" i="36"/>
  <c r="D136" i="36" s="1"/>
  <c r="B137" i="36"/>
  <c r="T136" i="36"/>
  <c r="L136" i="36"/>
  <c r="N136" i="36" s="1"/>
  <c r="H136" i="36"/>
  <c r="Z134" i="36"/>
  <c r="X134" i="36"/>
  <c r="N134" i="36"/>
  <c r="L134" i="36"/>
  <c r="J134" i="36"/>
  <c r="B134" i="36"/>
  <c r="T133" i="36"/>
  <c r="P133" i="36"/>
  <c r="X133" i="36" s="1"/>
  <c r="H133" i="36"/>
  <c r="F133" i="36"/>
  <c r="D133" i="36"/>
  <c r="B133" i="36"/>
  <c r="Z132" i="36"/>
  <c r="X132" i="36"/>
  <c r="V132" i="36"/>
  <c r="L132" i="36"/>
  <c r="N132" i="36" s="1"/>
  <c r="B132" i="36"/>
  <c r="Z131" i="36"/>
  <c r="X131" i="36"/>
  <c r="N131" i="36"/>
  <c r="L131" i="36"/>
  <c r="B131" i="36"/>
  <c r="Z130" i="36"/>
  <c r="X130" i="36"/>
  <c r="V130" i="36"/>
  <c r="N130" i="36"/>
  <c r="L130" i="36"/>
  <c r="B130" i="36"/>
  <c r="T129" i="36"/>
  <c r="Z129" i="36" s="1"/>
  <c r="P129" i="36"/>
  <c r="X129" i="36" s="1"/>
  <c r="H129" i="36"/>
  <c r="D129" i="36"/>
  <c r="L129" i="36" s="1"/>
  <c r="N129" i="36" s="1"/>
  <c r="B129" i="36"/>
  <c r="X128" i="36"/>
  <c r="Z128" i="36" s="1"/>
  <c r="L128" i="36"/>
  <c r="N128" i="36" s="1"/>
  <c r="B128" i="36"/>
  <c r="X127" i="36"/>
  <c r="T127" i="36"/>
  <c r="Z127" i="36" s="1"/>
  <c r="P127" i="36"/>
  <c r="L127" i="36"/>
  <c r="J127" i="36"/>
  <c r="H127" i="36"/>
  <c r="N127" i="36" s="1"/>
  <c r="D127" i="36"/>
  <c r="B127" i="36"/>
  <c r="Z126" i="36"/>
  <c r="X126" i="36"/>
  <c r="N126" i="36"/>
  <c r="L126" i="36"/>
  <c r="J126" i="36"/>
  <c r="B126" i="36"/>
  <c r="X125" i="36"/>
  <c r="Z125" i="36" s="1"/>
  <c r="L125" i="36"/>
  <c r="N125" i="36" s="1"/>
  <c r="B125" i="36"/>
  <c r="Z124" i="36"/>
  <c r="X124" i="36"/>
  <c r="T124" i="36"/>
  <c r="P124" i="36"/>
  <c r="H124" i="36"/>
  <c r="D124" i="36"/>
  <c r="L124" i="36" s="1"/>
  <c r="N124" i="36" s="1"/>
  <c r="B124" i="36"/>
  <c r="Z123" i="36"/>
  <c r="X123" i="36"/>
  <c r="L123" i="36"/>
  <c r="N123" i="36" s="1"/>
  <c r="B123" i="36"/>
  <c r="Z122" i="36"/>
  <c r="X122" i="36"/>
  <c r="V122" i="36"/>
  <c r="N122" i="36"/>
  <c r="L122" i="36"/>
  <c r="B122" i="36"/>
  <c r="X121" i="36"/>
  <c r="Z121" i="36" s="1"/>
  <c r="N121" i="36"/>
  <c r="L121" i="36"/>
  <c r="J121" i="36"/>
  <c r="B121" i="36"/>
  <c r="Z120" i="36"/>
  <c r="X120" i="36"/>
  <c r="V120" i="36"/>
  <c r="L120" i="36"/>
  <c r="N120" i="36" s="1"/>
  <c r="B120" i="36"/>
  <c r="Z119" i="36"/>
  <c r="X119" i="36"/>
  <c r="L119" i="36"/>
  <c r="N119" i="36" s="1"/>
  <c r="B119" i="36"/>
  <c r="Z118" i="36"/>
  <c r="X118" i="36"/>
  <c r="V118" i="36"/>
  <c r="N118" i="36"/>
  <c r="L118" i="36"/>
  <c r="B118" i="36"/>
  <c r="X117" i="36"/>
  <c r="Z117" i="36" s="1"/>
  <c r="L117" i="36"/>
  <c r="N117" i="36" s="1"/>
  <c r="J117" i="36"/>
  <c r="B117" i="36"/>
  <c r="Z116" i="36"/>
  <c r="X116" i="36"/>
  <c r="V116" i="36"/>
  <c r="L116" i="36"/>
  <c r="N116" i="36" s="1"/>
  <c r="B116" i="36"/>
  <c r="Z115" i="36"/>
  <c r="X115" i="36"/>
  <c r="L115" i="36"/>
  <c r="N115" i="36" s="1"/>
  <c r="B115" i="36"/>
  <c r="Z114" i="36"/>
  <c r="X114" i="36"/>
  <c r="V114" i="36"/>
  <c r="N114" i="36"/>
  <c r="L114" i="36"/>
  <c r="B114" i="36"/>
  <c r="X113" i="36"/>
  <c r="Z113" i="36" s="1"/>
  <c r="L113" i="36"/>
  <c r="N113" i="36" s="1"/>
  <c r="J113" i="36"/>
  <c r="B113" i="36"/>
  <c r="V112" i="36"/>
  <c r="T112" i="36"/>
  <c r="P112" i="36"/>
  <c r="X112" i="36" s="1"/>
  <c r="Z112" i="36" s="1"/>
  <c r="J112" i="36"/>
  <c r="H112" i="36"/>
  <c r="D112" i="36"/>
  <c r="L112" i="36" s="1"/>
  <c r="B112" i="36"/>
  <c r="X111" i="36"/>
  <c r="Z111" i="36" s="1"/>
  <c r="N111" i="36"/>
  <c r="L111" i="36"/>
  <c r="F111" i="36"/>
  <c r="B111" i="36"/>
  <c r="Z110" i="36"/>
  <c r="X110" i="36"/>
  <c r="N110" i="36"/>
  <c r="L110" i="36"/>
  <c r="B110" i="36"/>
  <c r="X109" i="36"/>
  <c r="V109" i="36"/>
  <c r="T109" i="36"/>
  <c r="P109" i="36"/>
  <c r="L109" i="36"/>
  <c r="H109" i="36"/>
  <c r="N109" i="36" s="1"/>
  <c r="D109" i="36"/>
  <c r="B109" i="36"/>
  <c r="Z108" i="36"/>
  <c r="X108" i="36"/>
  <c r="N108" i="36"/>
  <c r="L108" i="36"/>
  <c r="B108" i="36"/>
  <c r="Z107" i="36"/>
  <c r="X107" i="36"/>
  <c r="N107" i="36"/>
  <c r="L107" i="36"/>
  <c r="B107" i="36"/>
  <c r="Z106" i="36"/>
  <c r="X106" i="36"/>
  <c r="N106" i="36"/>
  <c r="L106" i="36"/>
  <c r="J106" i="36"/>
  <c r="B106" i="36"/>
  <c r="X105" i="36"/>
  <c r="Z105" i="36" s="1"/>
  <c r="L105" i="36"/>
  <c r="N105" i="36" s="1"/>
  <c r="B105" i="36"/>
  <c r="Z104" i="36"/>
  <c r="X104" i="36"/>
  <c r="N104" i="36"/>
  <c r="L104" i="36"/>
  <c r="B104" i="36"/>
  <c r="T103" i="36"/>
  <c r="P103" i="36"/>
  <c r="H103" i="36"/>
  <c r="D103" i="36"/>
  <c r="L103" i="36" s="1"/>
  <c r="B103" i="36"/>
  <c r="Z102" i="36"/>
  <c r="X102" i="36"/>
  <c r="V102" i="36"/>
  <c r="N102" i="36"/>
  <c r="L102" i="36"/>
  <c r="B102" i="36"/>
  <c r="X101" i="36"/>
  <c r="Z101" i="36" s="1"/>
  <c r="L101" i="36"/>
  <c r="N101" i="36" s="1"/>
  <c r="J101" i="36"/>
  <c r="B101" i="36"/>
  <c r="Z100" i="36"/>
  <c r="X100" i="36"/>
  <c r="V100" i="36"/>
  <c r="L100" i="36"/>
  <c r="N100" i="36" s="1"/>
  <c r="B100" i="36"/>
  <c r="Z99" i="36"/>
  <c r="X99" i="36"/>
  <c r="N99" i="36"/>
  <c r="L99" i="36"/>
  <c r="B99" i="36"/>
  <c r="T98" i="36"/>
  <c r="P98" i="36"/>
  <c r="X98" i="36" s="1"/>
  <c r="H98" i="36"/>
  <c r="D98" i="36"/>
  <c r="L98" i="36" s="1"/>
  <c r="N98" i="36" s="1"/>
  <c r="B98" i="36"/>
  <c r="X97" i="36"/>
  <c r="Z97" i="36" s="1"/>
  <c r="V97" i="36"/>
  <c r="L97" i="36"/>
  <c r="N97" i="36" s="1"/>
  <c r="B97" i="36"/>
  <c r="X96" i="36"/>
  <c r="Z96" i="36" s="1"/>
  <c r="N96" i="36"/>
  <c r="L96" i="36"/>
  <c r="B96" i="36"/>
  <c r="X95" i="36"/>
  <c r="Z95" i="36" s="1"/>
  <c r="N95" i="36"/>
  <c r="L95" i="36"/>
  <c r="B95" i="36"/>
  <c r="Z94" i="36"/>
  <c r="X94" i="36"/>
  <c r="N94" i="36"/>
  <c r="L94" i="36"/>
  <c r="B94" i="36"/>
  <c r="X93" i="36"/>
  <c r="V93" i="36"/>
  <c r="T93" i="36"/>
  <c r="Z93" i="36" s="1"/>
  <c r="P93" i="36"/>
  <c r="L93" i="36"/>
  <c r="H93" i="36"/>
  <c r="N93" i="36" s="1"/>
  <c r="D93" i="36"/>
  <c r="B93" i="36"/>
  <c r="X92" i="36"/>
  <c r="Z92" i="36" s="1"/>
  <c r="N92" i="36"/>
  <c r="L92" i="36"/>
  <c r="B92" i="36"/>
  <c r="T91" i="36"/>
  <c r="P91" i="36"/>
  <c r="H91" i="36"/>
  <c r="N91" i="36" s="1"/>
  <c r="D91" i="36"/>
  <c r="L91" i="36" s="1"/>
  <c r="B91" i="36"/>
  <c r="Z90" i="36"/>
  <c r="X90" i="36"/>
  <c r="V90" i="36"/>
  <c r="N90" i="36"/>
  <c r="L90" i="36"/>
  <c r="B90" i="36"/>
  <c r="T89" i="36"/>
  <c r="P89" i="36"/>
  <c r="X89" i="36" s="1"/>
  <c r="N89" i="36"/>
  <c r="H89" i="36"/>
  <c r="D89" i="36"/>
  <c r="L89" i="36" s="1"/>
  <c r="B89" i="36"/>
  <c r="Z88" i="36"/>
  <c r="X88" i="36"/>
  <c r="N88" i="36"/>
  <c r="L88" i="36"/>
  <c r="B88" i="36"/>
  <c r="X87" i="36"/>
  <c r="T87" i="36"/>
  <c r="Z87" i="36" s="1"/>
  <c r="P87" i="36"/>
  <c r="L87" i="36"/>
  <c r="J87" i="36"/>
  <c r="H87" i="36"/>
  <c r="N87" i="36" s="1"/>
  <c r="D87" i="36"/>
  <c r="B87" i="36"/>
  <c r="Z86" i="36"/>
  <c r="X86" i="36"/>
  <c r="N86" i="36"/>
  <c r="L86" i="36"/>
  <c r="J86" i="36"/>
  <c r="F86" i="36"/>
  <c r="B86" i="36"/>
  <c r="T85" i="36"/>
  <c r="Z85" i="36" s="1"/>
  <c r="P85" i="36"/>
  <c r="X85" i="36" s="1"/>
  <c r="H85" i="36"/>
  <c r="D85" i="36"/>
  <c r="B85" i="36"/>
  <c r="Z84" i="36"/>
  <c r="X84" i="36"/>
  <c r="V84" i="36"/>
  <c r="L84" i="36"/>
  <c r="N84" i="36" s="1"/>
  <c r="B84" i="36"/>
  <c r="Z83" i="36"/>
  <c r="T83" i="36"/>
  <c r="P83" i="36"/>
  <c r="X83" i="36" s="1"/>
  <c r="H83" i="36"/>
  <c r="D83" i="36"/>
  <c r="L83" i="36" s="1"/>
  <c r="B83" i="36"/>
  <c r="Z82" i="36"/>
  <c r="X82" i="36"/>
  <c r="N82" i="36"/>
  <c r="L82" i="36"/>
  <c r="B82" i="36"/>
  <c r="X81" i="36"/>
  <c r="Z81" i="36" s="1"/>
  <c r="V81" i="36"/>
  <c r="N81" i="36"/>
  <c r="L81" i="36"/>
  <c r="B81" i="36"/>
  <c r="T80" i="36"/>
  <c r="P80" i="36"/>
  <c r="X80" i="36" s="1"/>
  <c r="Z80" i="36" s="1"/>
  <c r="N80" i="36"/>
  <c r="L80" i="36"/>
  <c r="H80" i="36"/>
  <c r="D80" i="36"/>
  <c r="B80" i="36"/>
  <c r="Z79" i="36"/>
  <c r="X79" i="36"/>
  <c r="N79" i="36"/>
  <c r="L79" i="36"/>
  <c r="B79" i="36"/>
  <c r="T78" i="36"/>
  <c r="P78" i="36"/>
  <c r="X78" i="36" s="1"/>
  <c r="Z78" i="36" s="1"/>
  <c r="N78" i="36"/>
  <c r="L78" i="36"/>
  <c r="H78" i="36"/>
  <c r="D78" i="36"/>
  <c r="B78" i="36"/>
  <c r="X77" i="36"/>
  <c r="Z77" i="36" s="1"/>
  <c r="L77" i="36"/>
  <c r="N77" i="36" s="1"/>
  <c r="J77" i="36"/>
  <c r="B77" i="36"/>
  <c r="V76" i="36"/>
  <c r="T76" i="36"/>
  <c r="P76" i="36"/>
  <c r="X76" i="36" s="1"/>
  <c r="Z76" i="36" s="1"/>
  <c r="J76" i="36"/>
  <c r="H76" i="36"/>
  <c r="D76" i="36"/>
  <c r="L76" i="36" s="1"/>
  <c r="B76" i="36"/>
  <c r="X75" i="36"/>
  <c r="Z75" i="36" s="1"/>
  <c r="N75" i="36"/>
  <c r="L75" i="36"/>
  <c r="B75" i="36"/>
  <c r="Z74" i="36"/>
  <c r="X74" i="36"/>
  <c r="T74" i="36"/>
  <c r="P74" i="36"/>
  <c r="H74" i="36"/>
  <c r="D74" i="36"/>
  <c r="L74" i="36" s="1"/>
  <c r="N74" i="36" s="1"/>
  <c r="B74" i="36"/>
  <c r="X73" i="36"/>
  <c r="Z73" i="36" s="1"/>
  <c r="N73" i="36"/>
  <c r="L73" i="36"/>
  <c r="B73" i="36"/>
  <c r="X72" i="36"/>
  <c r="Z72" i="36" s="1"/>
  <c r="N72" i="36"/>
  <c r="L72" i="36"/>
  <c r="B72" i="36"/>
  <c r="T71" i="36"/>
  <c r="P71" i="36"/>
  <c r="H71" i="36"/>
  <c r="N71" i="36" s="1"/>
  <c r="D71" i="36"/>
  <c r="L71" i="36" s="1"/>
  <c r="B71" i="36"/>
  <c r="Z70" i="36"/>
  <c r="X70" i="36"/>
  <c r="V70" i="36"/>
  <c r="N70" i="36"/>
  <c r="L70" i="36"/>
  <c r="B70" i="36"/>
  <c r="T69" i="36"/>
  <c r="Z69" i="36" s="1"/>
  <c r="P69" i="36"/>
  <c r="X69" i="36" s="1"/>
  <c r="N69" i="36"/>
  <c r="H69" i="36"/>
  <c r="D69" i="36"/>
  <c r="L69" i="36" s="1"/>
  <c r="B69" i="36"/>
  <c r="X68" i="36"/>
  <c r="Z68" i="36" s="1"/>
  <c r="N68" i="36"/>
  <c r="L68" i="36"/>
  <c r="B68" i="36"/>
  <c r="X67" i="36"/>
  <c r="Z67" i="36" s="1"/>
  <c r="N67" i="36"/>
  <c r="L67" i="36"/>
  <c r="F67" i="36"/>
  <c r="B67" i="36"/>
  <c r="Z66" i="36"/>
  <c r="X66" i="36"/>
  <c r="N66" i="36"/>
  <c r="L66" i="36"/>
  <c r="B66" i="36"/>
  <c r="X65" i="36"/>
  <c r="Z65" i="36" s="1"/>
  <c r="V65" i="36"/>
  <c r="L65" i="36"/>
  <c r="N65" i="36" s="1"/>
  <c r="B65" i="36"/>
  <c r="T64" i="36"/>
  <c r="P64" i="36"/>
  <c r="X64" i="36" s="1"/>
  <c r="Z64" i="36" s="1"/>
  <c r="N64" i="36"/>
  <c r="L64" i="36"/>
  <c r="H64" i="36"/>
  <c r="D64" i="36"/>
  <c r="B64" i="36"/>
  <c r="Z63" i="36"/>
  <c r="X63" i="36"/>
  <c r="N63" i="36"/>
  <c r="L63" i="36"/>
  <c r="B63" i="36"/>
  <c r="T62" i="36"/>
  <c r="P62" i="36"/>
  <c r="X62" i="36" s="1"/>
  <c r="Z62" i="36" s="1"/>
  <c r="L62" i="36"/>
  <c r="N62" i="36" s="1"/>
  <c r="H62" i="36"/>
  <c r="D62" i="36"/>
  <c r="B62" i="36"/>
  <c r="X61" i="36"/>
  <c r="Z61" i="36" s="1"/>
  <c r="V61" i="36"/>
  <c r="L61" i="36"/>
  <c r="N61" i="36" s="1"/>
  <c r="J61" i="36"/>
  <c r="B61" i="36"/>
  <c r="Z60" i="36"/>
  <c r="X60" i="36"/>
  <c r="V60" i="36"/>
  <c r="L60" i="36"/>
  <c r="N60" i="36" s="1"/>
  <c r="B60" i="36"/>
  <c r="Z59" i="36"/>
  <c r="T59" i="36"/>
  <c r="P59" i="36"/>
  <c r="X59" i="36" s="1"/>
  <c r="H59" i="36"/>
  <c r="D59" i="36"/>
  <c r="L59" i="36" s="1"/>
  <c r="B59" i="36"/>
  <c r="Z58" i="36"/>
  <c r="X58" i="36"/>
  <c r="N58" i="36"/>
  <c r="L58" i="36"/>
  <c r="B58" i="36"/>
  <c r="X57" i="36"/>
  <c r="V57" i="36"/>
  <c r="T57" i="36"/>
  <c r="Z57" i="36" s="1"/>
  <c r="P57" i="36"/>
  <c r="L57" i="36"/>
  <c r="H57" i="36"/>
  <c r="N57" i="36" s="1"/>
  <c r="D57" i="36"/>
  <c r="B57" i="36"/>
  <c r="Z56" i="36"/>
  <c r="X56" i="36"/>
  <c r="N56" i="36"/>
  <c r="L56" i="36"/>
  <c r="B56" i="36"/>
  <c r="Z55" i="36"/>
  <c r="X55" i="36"/>
  <c r="N55" i="36"/>
  <c r="L55" i="36"/>
  <c r="B55" i="36"/>
  <c r="Z54" i="36"/>
  <c r="X54" i="36"/>
  <c r="N54" i="36"/>
  <c r="L54" i="36"/>
  <c r="J54" i="36"/>
  <c r="B54" i="36"/>
  <c r="X53" i="36"/>
  <c r="Z53" i="36" s="1"/>
  <c r="L53" i="36"/>
  <c r="N53" i="36" s="1"/>
  <c r="B53" i="36"/>
  <c r="Z52" i="36"/>
  <c r="X52" i="36"/>
  <c r="N52" i="36"/>
  <c r="L52" i="36"/>
  <c r="B52" i="36"/>
  <c r="Z51" i="36"/>
  <c r="X51" i="36"/>
  <c r="N51" i="36"/>
  <c r="L51" i="36"/>
  <c r="B51" i="36"/>
  <c r="Z50" i="36"/>
  <c r="X50" i="36"/>
  <c r="N50" i="36"/>
  <c r="L50" i="36"/>
  <c r="J50" i="36"/>
  <c r="B50" i="36"/>
  <c r="Z49" i="36"/>
  <c r="X49" i="36"/>
  <c r="N49" i="36"/>
  <c r="L49" i="36"/>
  <c r="B49" i="36"/>
  <c r="X48" i="36"/>
  <c r="Z48" i="36" s="1"/>
  <c r="N48" i="36"/>
  <c r="L48" i="36"/>
  <c r="B48" i="36"/>
  <c r="Z47" i="36"/>
  <c r="X47" i="36"/>
  <c r="N47" i="36"/>
  <c r="L47" i="36"/>
  <c r="B47" i="36"/>
  <c r="T46" i="36"/>
  <c r="P46" i="36"/>
  <c r="X46" i="36" s="1"/>
  <c r="Z46" i="36" s="1"/>
  <c r="L46" i="36"/>
  <c r="N46" i="36" s="1"/>
  <c r="H46" i="36"/>
  <c r="D46" i="36"/>
  <c r="B46" i="36"/>
  <c r="X45" i="36"/>
  <c r="Z45" i="36" s="1"/>
  <c r="V45" i="36"/>
  <c r="L45" i="36"/>
  <c r="N45" i="36" s="1"/>
  <c r="J45" i="36"/>
  <c r="B45" i="36"/>
  <c r="Z44" i="36"/>
  <c r="X44" i="36"/>
  <c r="V44" i="36"/>
  <c r="L44" i="36"/>
  <c r="N44" i="36" s="1"/>
  <c r="B44" i="36"/>
  <c r="Z43" i="36"/>
  <c r="X43" i="36"/>
  <c r="L43" i="36"/>
  <c r="N43" i="36" s="1"/>
  <c r="B43" i="36"/>
  <c r="Z42" i="36"/>
  <c r="X42" i="36"/>
  <c r="V42" i="36"/>
  <c r="N42" i="36"/>
  <c r="L42" i="36"/>
  <c r="B42" i="36"/>
  <c r="X41" i="36"/>
  <c r="Z41" i="36" s="1"/>
  <c r="V41" i="36"/>
  <c r="N41" i="36"/>
  <c r="L41" i="36"/>
  <c r="J41" i="36"/>
  <c r="B41" i="36"/>
  <c r="Z40" i="36"/>
  <c r="X40" i="36"/>
  <c r="V40" i="36"/>
  <c r="L40" i="36"/>
  <c r="N40" i="36" s="1"/>
  <c r="B40" i="36"/>
  <c r="Z39" i="36"/>
  <c r="X39" i="36"/>
  <c r="L39" i="36"/>
  <c r="N39" i="36" s="1"/>
  <c r="B39" i="36"/>
  <c r="Z38" i="36"/>
  <c r="X38" i="36"/>
  <c r="V38" i="36"/>
  <c r="N38" i="36"/>
  <c r="L38" i="36"/>
  <c r="B38" i="36"/>
  <c r="X37" i="36"/>
  <c r="Z37" i="36" s="1"/>
  <c r="V37" i="36"/>
  <c r="L37" i="36"/>
  <c r="N37" i="36" s="1"/>
  <c r="J37" i="36"/>
  <c r="B37" i="36"/>
  <c r="Z36" i="36"/>
  <c r="X36" i="36"/>
  <c r="V36" i="36"/>
  <c r="L36" i="36"/>
  <c r="N36" i="36" s="1"/>
  <c r="B36" i="36"/>
  <c r="T35" i="36"/>
  <c r="P35" i="36"/>
  <c r="X35" i="36" s="1"/>
  <c r="Z35" i="36" s="1"/>
  <c r="H35" i="36"/>
  <c r="D35" i="36"/>
  <c r="L35" i="36" s="1"/>
  <c r="B35" i="36"/>
  <c r="Z34" i="36"/>
  <c r="X34" i="36"/>
  <c r="T34" i="36"/>
  <c r="P34" i="36"/>
  <c r="H34" i="36"/>
  <c r="N34" i="36" s="1"/>
  <c r="D34" i="36"/>
  <c r="L34" i="36" s="1"/>
  <c r="Z30" i="36"/>
  <c r="X30" i="36"/>
  <c r="N30" i="36"/>
  <c r="L30" i="36"/>
  <c r="B30" i="36"/>
  <c r="Z29" i="36"/>
  <c r="X29" i="36"/>
  <c r="V29" i="36"/>
  <c r="N29" i="36"/>
  <c r="L29" i="36"/>
  <c r="B29" i="36"/>
  <c r="X28" i="36"/>
  <c r="Z28" i="36" s="1"/>
  <c r="L28" i="36"/>
  <c r="N28" i="36" s="1"/>
  <c r="B28" i="36"/>
  <c r="X27" i="36"/>
  <c r="T27" i="36"/>
  <c r="Z27" i="36" s="1"/>
  <c r="P27" i="36"/>
  <c r="L27" i="36"/>
  <c r="N27" i="36" s="1"/>
  <c r="J27" i="36"/>
  <c r="H27" i="36"/>
  <c r="D27" i="36"/>
  <c r="Z25" i="36"/>
  <c r="X25" i="36"/>
  <c r="P25" i="36"/>
  <c r="N25" i="36"/>
  <c r="L25" i="36"/>
  <c r="D25" i="36"/>
  <c r="B25" i="36"/>
  <c r="Z24" i="36"/>
  <c r="X24" i="36"/>
  <c r="P24" i="36"/>
  <c r="N24" i="36"/>
  <c r="L24" i="36"/>
  <c r="D24" i="36"/>
  <c r="B24" i="36"/>
  <c r="Z23" i="36"/>
  <c r="P23" i="36"/>
  <c r="X23" i="36" s="1"/>
  <c r="N23" i="36"/>
  <c r="D23" i="36"/>
  <c r="L23" i="36" s="1"/>
  <c r="B23" i="36"/>
  <c r="Z22" i="36"/>
  <c r="P22" i="36"/>
  <c r="X22" i="36" s="1"/>
  <c r="N22" i="36"/>
  <c r="L22" i="36"/>
  <c r="D22" i="36"/>
  <c r="B22" i="36"/>
  <c r="Z21" i="36"/>
  <c r="P21" i="36"/>
  <c r="X21" i="36" s="1"/>
  <c r="N21" i="36"/>
  <c r="L21" i="36"/>
  <c r="D21" i="36"/>
  <c r="B21" i="36"/>
  <c r="Z20" i="36"/>
  <c r="P20" i="36"/>
  <c r="X20" i="36" s="1"/>
  <c r="N20" i="36"/>
  <c r="D20" i="36"/>
  <c r="L20" i="36" s="1"/>
  <c r="B20" i="36"/>
  <c r="P19" i="36"/>
  <c r="X19" i="36" s="1"/>
  <c r="Z19" i="36" s="1"/>
  <c r="L19" i="36"/>
  <c r="N19" i="36" s="1"/>
  <c r="D19" i="36"/>
  <c r="B19" i="36"/>
  <c r="Z18" i="36"/>
  <c r="P18" i="36"/>
  <c r="X18" i="36" s="1"/>
  <c r="N18" i="36"/>
  <c r="D18" i="36"/>
  <c r="L18" i="36" s="1"/>
  <c r="B18" i="36"/>
  <c r="Z17" i="36"/>
  <c r="P17" i="36"/>
  <c r="X17" i="36" s="1"/>
  <c r="N17" i="36"/>
  <c r="D17" i="36"/>
  <c r="L17" i="36" s="1"/>
  <c r="B17" i="36"/>
  <c r="Z16" i="36"/>
  <c r="X16" i="36"/>
  <c r="P16" i="36"/>
  <c r="N16" i="36"/>
  <c r="L16" i="36"/>
  <c r="D16" i="36"/>
  <c r="B16" i="36"/>
  <c r="Z15" i="36"/>
  <c r="X15" i="36"/>
  <c r="P15" i="36"/>
  <c r="N15" i="36"/>
  <c r="D15" i="36"/>
  <c r="L15" i="36" s="1"/>
  <c r="B15" i="36"/>
  <c r="Z14" i="36"/>
  <c r="P14" i="36"/>
  <c r="N14" i="36"/>
  <c r="L14" i="36"/>
  <c r="D14" i="36"/>
  <c r="B14" i="36"/>
  <c r="X13" i="36"/>
  <c r="Z13" i="36" s="1"/>
  <c r="P13" i="36"/>
  <c r="L13" i="36"/>
  <c r="N13" i="36" s="1"/>
  <c r="D13" i="36"/>
  <c r="D12" i="36" s="1"/>
  <c r="B13" i="36"/>
  <c r="T12" i="36"/>
  <c r="V131" i="36" s="1"/>
  <c r="H12" i="36"/>
  <c r="J138" i="36" s="1"/>
  <c r="D4" i="36"/>
  <c r="X114" i="33"/>
  <c r="Z114" i="33" s="1"/>
  <c r="N114" i="33"/>
  <c r="L114" i="33"/>
  <c r="Z110" i="33"/>
  <c r="P110" i="33"/>
  <c r="X110" i="33" s="1"/>
  <c r="N110" i="33"/>
  <c r="L110" i="33"/>
  <c r="D110" i="33"/>
  <c r="B110" i="33"/>
  <c r="P109" i="33"/>
  <c r="X109" i="33" s="1"/>
  <c r="Z109" i="33" s="1"/>
  <c r="L109" i="33"/>
  <c r="N109" i="33" s="1"/>
  <c r="J109" i="33"/>
  <c r="D109" i="33"/>
  <c r="B109" i="33"/>
  <c r="X108" i="33"/>
  <c r="Z108" i="33" s="1"/>
  <c r="P108" i="33"/>
  <c r="L108" i="33"/>
  <c r="N108" i="33" s="1"/>
  <c r="J108" i="33"/>
  <c r="D108" i="33"/>
  <c r="B108" i="33"/>
  <c r="P107" i="33"/>
  <c r="X107" i="33" s="1"/>
  <c r="Z107" i="33" s="1"/>
  <c r="N107" i="33"/>
  <c r="D107" i="33"/>
  <c r="L107" i="33" s="1"/>
  <c r="B107" i="33"/>
  <c r="Z106" i="33"/>
  <c r="X106" i="33"/>
  <c r="P106" i="33"/>
  <c r="N106" i="33"/>
  <c r="D106" i="33"/>
  <c r="B106" i="33"/>
  <c r="Z105" i="33"/>
  <c r="P105" i="33"/>
  <c r="X105" i="33" s="1"/>
  <c r="N105" i="33"/>
  <c r="D105" i="33"/>
  <c r="L105" i="33" s="1"/>
  <c r="B105" i="33"/>
  <c r="Z104" i="33"/>
  <c r="X104" i="33"/>
  <c r="P104" i="33"/>
  <c r="N104" i="33"/>
  <c r="D104" i="33"/>
  <c r="L104" i="33" s="1"/>
  <c r="B104" i="33"/>
  <c r="T103" i="33"/>
  <c r="H103" i="33"/>
  <c r="Z101" i="33"/>
  <c r="X101" i="33"/>
  <c r="N101" i="33"/>
  <c r="L101" i="33"/>
  <c r="J101" i="33"/>
  <c r="B101" i="33"/>
  <c r="T100" i="33"/>
  <c r="Z100" i="33" s="1"/>
  <c r="P100" i="33"/>
  <c r="X100" i="33" s="1"/>
  <c r="H100" i="33"/>
  <c r="N100" i="33" s="1"/>
  <c r="D100" i="33"/>
  <c r="L100" i="33" s="1"/>
  <c r="B100" i="33"/>
  <c r="Z99" i="33"/>
  <c r="X99" i="33"/>
  <c r="N99" i="33"/>
  <c r="L99" i="33"/>
  <c r="B99" i="33"/>
  <c r="X98" i="33"/>
  <c r="Z98" i="33" s="1"/>
  <c r="L98" i="33"/>
  <c r="N98" i="33" s="1"/>
  <c r="J98" i="33"/>
  <c r="B98" i="33"/>
  <c r="T97" i="33"/>
  <c r="P97" i="33"/>
  <c r="X97" i="33" s="1"/>
  <c r="Z97" i="33" s="1"/>
  <c r="J97" i="33"/>
  <c r="H97" i="33"/>
  <c r="D97" i="33"/>
  <c r="B97" i="33"/>
  <c r="X96" i="33"/>
  <c r="Z96" i="33" s="1"/>
  <c r="N96" i="33"/>
  <c r="L96" i="33"/>
  <c r="B96" i="33"/>
  <c r="Z95" i="33"/>
  <c r="X95" i="33"/>
  <c r="N95" i="33"/>
  <c r="L95" i="33"/>
  <c r="B95" i="33"/>
  <c r="X94" i="33"/>
  <c r="Z94" i="33" s="1"/>
  <c r="N94" i="33"/>
  <c r="L94" i="33"/>
  <c r="B94" i="33"/>
  <c r="Z93" i="33"/>
  <c r="X93" i="33"/>
  <c r="N93" i="33"/>
  <c r="L93" i="33"/>
  <c r="B93" i="33"/>
  <c r="Z92" i="33"/>
  <c r="X92" i="33"/>
  <c r="N92" i="33"/>
  <c r="L92" i="33"/>
  <c r="B92" i="33"/>
  <c r="X91" i="33"/>
  <c r="Z91" i="33" s="1"/>
  <c r="T91" i="33"/>
  <c r="P91" i="33"/>
  <c r="H91" i="33"/>
  <c r="N91" i="33" s="1"/>
  <c r="D91" i="33"/>
  <c r="L91" i="33" s="1"/>
  <c r="B91" i="33"/>
  <c r="Z90" i="33"/>
  <c r="X90" i="33"/>
  <c r="N90" i="33"/>
  <c r="L90" i="33"/>
  <c r="B90" i="33"/>
  <c r="X89" i="33"/>
  <c r="Z89" i="33" s="1"/>
  <c r="N89" i="33"/>
  <c r="L89" i="33"/>
  <c r="J89" i="33"/>
  <c r="B89" i="33"/>
  <c r="T88" i="33"/>
  <c r="P88" i="33"/>
  <c r="X88" i="33" s="1"/>
  <c r="H88" i="33"/>
  <c r="D88" i="33"/>
  <c r="L88" i="33" s="1"/>
  <c r="B88" i="33"/>
  <c r="Z87" i="33"/>
  <c r="X87" i="33"/>
  <c r="V87" i="33"/>
  <c r="N87" i="33"/>
  <c r="L87" i="33"/>
  <c r="B87" i="33"/>
  <c r="X86" i="33"/>
  <c r="Z86" i="33" s="1"/>
  <c r="L86" i="33"/>
  <c r="N86" i="33" s="1"/>
  <c r="J86" i="33"/>
  <c r="B86" i="33"/>
  <c r="T85" i="33"/>
  <c r="P85" i="33"/>
  <c r="X85" i="33" s="1"/>
  <c r="Z85" i="33" s="1"/>
  <c r="H85" i="33"/>
  <c r="D85" i="33"/>
  <c r="B85" i="33"/>
  <c r="Z84" i="33"/>
  <c r="X84" i="33"/>
  <c r="N84" i="33"/>
  <c r="L84" i="33"/>
  <c r="B84" i="33"/>
  <c r="Z83" i="33"/>
  <c r="X83" i="33"/>
  <c r="N83" i="33"/>
  <c r="L83" i="33"/>
  <c r="B83" i="33"/>
  <c r="X82" i="33"/>
  <c r="Z82" i="33" s="1"/>
  <c r="L82" i="33"/>
  <c r="N82" i="33" s="1"/>
  <c r="B82" i="33"/>
  <c r="T81" i="33"/>
  <c r="Z81" i="33" s="1"/>
  <c r="P81" i="33"/>
  <c r="X81" i="33" s="1"/>
  <c r="L81" i="33"/>
  <c r="N81" i="33" s="1"/>
  <c r="H81" i="33"/>
  <c r="D81" i="33"/>
  <c r="B81" i="33"/>
  <c r="Z80" i="33"/>
  <c r="X80" i="33"/>
  <c r="N80" i="33"/>
  <c r="L80" i="33"/>
  <c r="B80" i="33"/>
  <c r="T79" i="33"/>
  <c r="P79" i="33"/>
  <c r="X79" i="33" s="1"/>
  <c r="Z79" i="33" s="1"/>
  <c r="N79" i="33"/>
  <c r="L79" i="33"/>
  <c r="H79" i="33"/>
  <c r="D79" i="33"/>
  <c r="B79" i="33"/>
  <c r="Z78" i="33"/>
  <c r="X78" i="33"/>
  <c r="N78" i="33"/>
  <c r="L78" i="33"/>
  <c r="J78" i="33"/>
  <c r="B78" i="33"/>
  <c r="Z77" i="33"/>
  <c r="X77" i="33"/>
  <c r="L77" i="33"/>
  <c r="N77" i="33" s="1"/>
  <c r="B77" i="33"/>
  <c r="Z76" i="33"/>
  <c r="T76" i="33"/>
  <c r="P76" i="33"/>
  <c r="X76" i="33" s="1"/>
  <c r="H76" i="33"/>
  <c r="N76" i="33" s="1"/>
  <c r="D76" i="33"/>
  <c r="L76" i="33" s="1"/>
  <c r="B76" i="33"/>
  <c r="X75" i="33"/>
  <c r="Z75" i="33" s="1"/>
  <c r="N75" i="33"/>
  <c r="L75" i="33"/>
  <c r="B75" i="33"/>
  <c r="X74" i="33"/>
  <c r="Z74" i="33" s="1"/>
  <c r="T74" i="33"/>
  <c r="P74" i="33"/>
  <c r="L74" i="33"/>
  <c r="H74" i="33"/>
  <c r="N74" i="33" s="1"/>
  <c r="D74" i="33"/>
  <c r="B74" i="33"/>
  <c r="X73" i="33"/>
  <c r="Z73" i="33" s="1"/>
  <c r="N73" i="33"/>
  <c r="L73" i="33"/>
  <c r="J73" i="33"/>
  <c r="B73" i="33"/>
  <c r="T72" i="33"/>
  <c r="P72" i="33"/>
  <c r="H72" i="33"/>
  <c r="D72" i="33"/>
  <c r="B72" i="33"/>
  <c r="X71" i="33"/>
  <c r="Z71" i="33" s="1"/>
  <c r="V71" i="33"/>
  <c r="L71" i="33"/>
  <c r="N71" i="33" s="1"/>
  <c r="B71" i="33"/>
  <c r="T70" i="33"/>
  <c r="Z70" i="33" s="1"/>
  <c r="P70" i="33"/>
  <c r="X70" i="33" s="1"/>
  <c r="N70" i="33"/>
  <c r="H70" i="33"/>
  <c r="D70" i="33"/>
  <c r="L70" i="33" s="1"/>
  <c r="B70" i="33"/>
  <c r="Z69" i="33"/>
  <c r="X69" i="33"/>
  <c r="N69" i="33"/>
  <c r="L69" i="33"/>
  <c r="B69" i="33"/>
  <c r="X68" i="33"/>
  <c r="T68" i="33"/>
  <c r="Z68" i="33" s="1"/>
  <c r="P68" i="33"/>
  <c r="N68" i="33"/>
  <c r="L68" i="33"/>
  <c r="J68" i="33"/>
  <c r="H68" i="33"/>
  <c r="D68" i="33"/>
  <c r="B68" i="33"/>
  <c r="Z67" i="33"/>
  <c r="X67" i="33"/>
  <c r="L67" i="33"/>
  <c r="N67" i="33" s="1"/>
  <c r="J67" i="33"/>
  <c r="B67" i="33"/>
  <c r="T66" i="33"/>
  <c r="P66" i="33"/>
  <c r="H66" i="33"/>
  <c r="D66" i="33"/>
  <c r="B66" i="33"/>
  <c r="Z65" i="33"/>
  <c r="X65" i="33"/>
  <c r="N65" i="33"/>
  <c r="L65" i="33"/>
  <c r="B65" i="33"/>
  <c r="Z64" i="33"/>
  <c r="X64" i="33"/>
  <c r="N64" i="33"/>
  <c r="L64" i="33"/>
  <c r="B64" i="33"/>
  <c r="X63" i="33"/>
  <c r="Z63" i="33" s="1"/>
  <c r="V63" i="33"/>
  <c r="N63" i="33"/>
  <c r="L63" i="33"/>
  <c r="B63" i="33"/>
  <c r="X62" i="33"/>
  <c r="Z62" i="33" s="1"/>
  <c r="L62" i="33"/>
  <c r="N62" i="33" s="1"/>
  <c r="J62" i="33"/>
  <c r="B62" i="33"/>
  <c r="Z61" i="33"/>
  <c r="X61" i="33"/>
  <c r="V61" i="33"/>
  <c r="N61" i="33"/>
  <c r="L61" i="33"/>
  <c r="B61" i="33"/>
  <c r="Z60" i="33"/>
  <c r="X60" i="33"/>
  <c r="N60" i="33"/>
  <c r="L60" i="33"/>
  <c r="B60" i="33"/>
  <c r="X59" i="33"/>
  <c r="Z59" i="33" s="1"/>
  <c r="L59" i="33"/>
  <c r="N59" i="33" s="1"/>
  <c r="B59" i="33"/>
  <c r="Z58" i="33"/>
  <c r="X58" i="33"/>
  <c r="N58" i="33"/>
  <c r="L58" i="33"/>
  <c r="J58" i="33"/>
  <c r="B58" i="33"/>
  <c r="Z57" i="33"/>
  <c r="X57" i="33"/>
  <c r="L57" i="33"/>
  <c r="N57" i="33" s="1"/>
  <c r="B57" i="33"/>
  <c r="Z56" i="33"/>
  <c r="X56" i="33"/>
  <c r="L56" i="33"/>
  <c r="N56" i="33" s="1"/>
  <c r="B56" i="33"/>
  <c r="T55" i="33"/>
  <c r="P55" i="33"/>
  <c r="J55" i="33"/>
  <c r="H55" i="33"/>
  <c r="D55" i="33"/>
  <c r="L55" i="33" s="1"/>
  <c r="N55" i="33" s="1"/>
  <c r="B55" i="33"/>
  <c r="X54" i="33"/>
  <c r="Z54" i="33" s="1"/>
  <c r="V54" i="33"/>
  <c r="N54" i="33"/>
  <c r="L54" i="33"/>
  <c r="B54" i="33"/>
  <c r="X53" i="33"/>
  <c r="Z53" i="33" s="1"/>
  <c r="N53" i="33"/>
  <c r="L53" i="33"/>
  <c r="B53" i="33"/>
  <c r="X52" i="33"/>
  <c r="Z52" i="33" s="1"/>
  <c r="N52" i="33"/>
  <c r="L52" i="33"/>
  <c r="B52" i="33"/>
  <c r="Z51" i="33"/>
  <c r="X51" i="33"/>
  <c r="N51" i="33"/>
  <c r="L51" i="33"/>
  <c r="B51" i="33"/>
  <c r="X50" i="33"/>
  <c r="Z50" i="33" s="1"/>
  <c r="V50" i="33"/>
  <c r="N50" i="33"/>
  <c r="L50" i="33"/>
  <c r="B50" i="33"/>
  <c r="X49" i="33"/>
  <c r="Z49" i="33" s="1"/>
  <c r="L49" i="33"/>
  <c r="N49" i="33" s="1"/>
  <c r="B49" i="33"/>
  <c r="X48" i="33"/>
  <c r="Z48" i="33" s="1"/>
  <c r="N48" i="33"/>
  <c r="L48" i="33"/>
  <c r="B48" i="33"/>
  <c r="X47" i="33"/>
  <c r="Z47" i="33" s="1"/>
  <c r="N47" i="33"/>
  <c r="L47" i="33"/>
  <c r="B47" i="33"/>
  <c r="X46" i="33"/>
  <c r="Z46" i="33" s="1"/>
  <c r="L46" i="33"/>
  <c r="N46" i="33" s="1"/>
  <c r="B46" i="33"/>
  <c r="T45" i="33"/>
  <c r="P45" i="33"/>
  <c r="X45" i="33" s="1"/>
  <c r="L45" i="33"/>
  <c r="N45" i="33" s="1"/>
  <c r="H45" i="33"/>
  <c r="D45" i="33"/>
  <c r="B45" i="33"/>
  <c r="T44" i="33"/>
  <c r="P44" i="33"/>
  <c r="H44" i="33"/>
  <c r="D44" i="33"/>
  <c r="T42" i="33"/>
  <c r="H42" i="33"/>
  <c r="Z40" i="33"/>
  <c r="X40" i="33"/>
  <c r="N40" i="33"/>
  <c r="L40" i="33"/>
  <c r="B40" i="33"/>
  <c r="Z39" i="33"/>
  <c r="X39" i="33"/>
  <c r="N39" i="33"/>
  <c r="L39" i="33"/>
  <c r="J39" i="33"/>
  <c r="B39" i="33"/>
  <c r="Z38" i="33"/>
  <c r="X38" i="33"/>
  <c r="N38" i="33"/>
  <c r="L38" i="33"/>
  <c r="J38" i="33"/>
  <c r="B38" i="33"/>
  <c r="Z37" i="33"/>
  <c r="X37" i="33"/>
  <c r="N37" i="33"/>
  <c r="L37" i="33"/>
  <c r="J37" i="33"/>
  <c r="B37" i="33"/>
  <c r="Z36" i="33"/>
  <c r="X36" i="33"/>
  <c r="N36" i="33"/>
  <c r="L36" i="33"/>
  <c r="B36" i="33"/>
  <c r="Z35" i="33"/>
  <c r="X35" i="33"/>
  <c r="N35" i="33"/>
  <c r="L35" i="33"/>
  <c r="J35" i="33"/>
  <c r="B35" i="33"/>
  <c r="T34" i="33"/>
  <c r="P34" i="33"/>
  <c r="X34" i="33" s="1"/>
  <c r="H34" i="33"/>
  <c r="D34" i="33"/>
  <c r="L34" i="33" s="1"/>
  <c r="Z32" i="33"/>
  <c r="X32" i="33"/>
  <c r="P32" i="33"/>
  <c r="N32" i="33"/>
  <c r="D32" i="33"/>
  <c r="L32" i="33" s="1"/>
  <c r="B32" i="33"/>
  <c r="Z31" i="33"/>
  <c r="P31" i="33"/>
  <c r="X31" i="33" s="1"/>
  <c r="N31" i="33"/>
  <c r="L31" i="33"/>
  <c r="D31" i="33"/>
  <c r="B31" i="33"/>
  <c r="Z30" i="33"/>
  <c r="X30" i="33"/>
  <c r="P30" i="33"/>
  <c r="N30" i="33"/>
  <c r="L30" i="33"/>
  <c r="D30" i="33"/>
  <c r="B30" i="33"/>
  <c r="Z29" i="33"/>
  <c r="X29" i="33"/>
  <c r="P29" i="33"/>
  <c r="N29" i="33"/>
  <c r="L29" i="33"/>
  <c r="D29" i="33"/>
  <c r="B29" i="33"/>
  <c r="Z28" i="33"/>
  <c r="P28" i="33"/>
  <c r="X28" i="33" s="1"/>
  <c r="N28" i="33"/>
  <c r="D28" i="33"/>
  <c r="B28" i="33"/>
  <c r="Z27" i="33"/>
  <c r="P27" i="33"/>
  <c r="X27" i="33" s="1"/>
  <c r="N27" i="33"/>
  <c r="L27" i="33"/>
  <c r="D27" i="33"/>
  <c r="B27" i="33"/>
  <c r="Z26" i="33"/>
  <c r="P26" i="33"/>
  <c r="X26" i="33" s="1"/>
  <c r="N26" i="33"/>
  <c r="L26" i="33"/>
  <c r="D26" i="33"/>
  <c r="B26" i="33"/>
  <c r="Z25" i="33"/>
  <c r="P25" i="33"/>
  <c r="X25" i="33" s="1"/>
  <c r="N25" i="33"/>
  <c r="D25" i="33"/>
  <c r="L25" i="33" s="1"/>
  <c r="B25" i="33"/>
  <c r="Z24" i="33"/>
  <c r="X24" i="33"/>
  <c r="P24" i="33"/>
  <c r="N24" i="33"/>
  <c r="D24" i="33"/>
  <c r="L24" i="33" s="1"/>
  <c r="B24" i="33"/>
  <c r="Z23" i="33"/>
  <c r="P23" i="33"/>
  <c r="X23" i="33" s="1"/>
  <c r="N23" i="33"/>
  <c r="D23" i="33"/>
  <c r="L23" i="33" s="1"/>
  <c r="B23" i="33"/>
  <c r="Z22" i="33"/>
  <c r="X22" i="33"/>
  <c r="P22" i="33"/>
  <c r="N22" i="33"/>
  <c r="D22" i="33"/>
  <c r="L22" i="33" s="1"/>
  <c r="B22" i="33"/>
  <c r="X21" i="33"/>
  <c r="Z21" i="33" s="1"/>
  <c r="P21" i="33"/>
  <c r="D21" i="33"/>
  <c r="L21" i="33" s="1"/>
  <c r="N21" i="33" s="1"/>
  <c r="B21" i="33"/>
  <c r="Z20" i="33"/>
  <c r="X20" i="33"/>
  <c r="P20" i="33"/>
  <c r="N20" i="33"/>
  <c r="D20" i="33"/>
  <c r="L20" i="33" s="1"/>
  <c r="B20" i="33"/>
  <c r="Z19" i="33"/>
  <c r="P19" i="33"/>
  <c r="X19" i="33" s="1"/>
  <c r="N19" i="33"/>
  <c r="L19" i="33"/>
  <c r="D19" i="33"/>
  <c r="B19" i="33"/>
  <c r="Z18" i="33"/>
  <c r="X18" i="33"/>
  <c r="P18" i="33"/>
  <c r="N18" i="33"/>
  <c r="L18" i="33"/>
  <c r="D18" i="33"/>
  <c r="B18" i="33"/>
  <c r="Z17" i="33"/>
  <c r="X17" i="33"/>
  <c r="P17" i="33"/>
  <c r="N17" i="33"/>
  <c r="L17" i="33"/>
  <c r="D17" i="33"/>
  <c r="B17" i="33"/>
  <c r="Z16" i="33"/>
  <c r="P16" i="33"/>
  <c r="X16" i="33" s="1"/>
  <c r="N16" i="33"/>
  <c r="D16" i="33"/>
  <c r="L16" i="33" s="1"/>
  <c r="B16" i="33"/>
  <c r="Z15" i="33"/>
  <c r="P15" i="33"/>
  <c r="X15" i="33" s="1"/>
  <c r="N15" i="33"/>
  <c r="L15" i="33"/>
  <c r="D15" i="33"/>
  <c r="B15" i="33"/>
  <c r="Z14" i="33"/>
  <c r="P14" i="33"/>
  <c r="X14" i="33" s="1"/>
  <c r="N14" i="33"/>
  <c r="L14" i="33"/>
  <c r="D14" i="33"/>
  <c r="B14" i="33"/>
  <c r="P13" i="33"/>
  <c r="D13" i="33"/>
  <c r="L13" i="33" s="1"/>
  <c r="N13" i="33" s="1"/>
  <c r="B13" i="33"/>
  <c r="T12" i="33"/>
  <c r="V99" i="33" s="1"/>
  <c r="H12" i="33"/>
  <c r="D4" i="33"/>
  <c r="X171" i="30"/>
  <c r="Z171" i="30" s="1"/>
  <c r="N171" i="30"/>
  <c r="L171" i="30"/>
  <c r="P167" i="30"/>
  <c r="X167" i="30" s="1"/>
  <c r="Z167" i="30" s="1"/>
  <c r="L167" i="30"/>
  <c r="N167" i="30" s="1"/>
  <c r="J167" i="30"/>
  <c r="D167" i="30"/>
  <c r="B167" i="30"/>
  <c r="X166" i="30"/>
  <c r="Z166" i="30" s="1"/>
  <c r="P166" i="30"/>
  <c r="P164" i="30" s="1"/>
  <c r="J166" i="30"/>
  <c r="D166" i="30"/>
  <c r="L166" i="30" s="1"/>
  <c r="N166" i="30" s="1"/>
  <c r="B166" i="30"/>
  <c r="P165" i="30"/>
  <c r="X165" i="30" s="1"/>
  <c r="Z165" i="30" s="1"/>
  <c r="D165" i="30"/>
  <c r="B165" i="30"/>
  <c r="T164" i="30"/>
  <c r="H164" i="30"/>
  <c r="Z162" i="30"/>
  <c r="X162" i="30"/>
  <c r="L162" i="30"/>
  <c r="N162" i="30" s="1"/>
  <c r="B162" i="30"/>
  <c r="X161" i="30"/>
  <c r="Z161" i="30" s="1"/>
  <c r="T161" i="30"/>
  <c r="P161" i="30"/>
  <c r="N161" i="30"/>
  <c r="H161" i="30"/>
  <c r="D161" i="30"/>
  <c r="L161" i="30" s="1"/>
  <c r="B161" i="30"/>
  <c r="Z160" i="30"/>
  <c r="X160" i="30"/>
  <c r="L160" i="30"/>
  <c r="N160" i="30" s="1"/>
  <c r="B160" i="30"/>
  <c r="Z159" i="30"/>
  <c r="X159" i="30"/>
  <c r="V159" i="30"/>
  <c r="N159" i="30"/>
  <c r="L159" i="30"/>
  <c r="B159" i="30"/>
  <c r="T158" i="30"/>
  <c r="Z158" i="30" s="1"/>
  <c r="P158" i="30"/>
  <c r="X158" i="30" s="1"/>
  <c r="N158" i="30"/>
  <c r="H158" i="30"/>
  <c r="D158" i="30"/>
  <c r="L158" i="30" s="1"/>
  <c r="B158" i="30"/>
  <c r="X157" i="30"/>
  <c r="Z157" i="30" s="1"/>
  <c r="N157" i="30"/>
  <c r="L157" i="30"/>
  <c r="B157" i="30"/>
  <c r="X156" i="30"/>
  <c r="T156" i="30"/>
  <c r="P156" i="30"/>
  <c r="L156" i="30"/>
  <c r="H156" i="30"/>
  <c r="N156" i="30" s="1"/>
  <c r="D156" i="30"/>
  <c r="B156" i="30"/>
  <c r="Z155" i="30"/>
  <c r="X155" i="30"/>
  <c r="L155" i="30"/>
  <c r="N155" i="30" s="1"/>
  <c r="B155" i="30"/>
  <c r="X154" i="30"/>
  <c r="Z154" i="30" s="1"/>
  <c r="L154" i="30"/>
  <c r="N154" i="30" s="1"/>
  <c r="B154" i="30"/>
  <c r="X153" i="30"/>
  <c r="Z153" i="30" s="1"/>
  <c r="T153" i="30"/>
  <c r="P153" i="30"/>
  <c r="H153" i="30"/>
  <c r="D153" i="30"/>
  <c r="L153" i="30" s="1"/>
  <c r="N153" i="30" s="1"/>
  <c r="B153" i="30"/>
  <c r="Z152" i="30"/>
  <c r="X152" i="30"/>
  <c r="N152" i="30"/>
  <c r="L152" i="30"/>
  <c r="B152" i="30"/>
  <c r="X151" i="30"/>
  <c r="Z151" i="30" s="1"/>
  <c r="V151" i="30"/>
  <c r="N151" i="30"/>
  <c r="L151" i="30"/>
  <c r="B151" i="30"/>
  <c r="Z150" i="30"/>
  <c r="X150" i="30"/>
  <c r="N150" i="30"/>
  <c r="L150" i="30"/>
  <c r="B150" i="30"/>
  <c r="Z149" i="30"/>
  <c r="X149" i="30"/>
  <c r="V149" i="30"/>
  <c r="L149" i="30"/>
  <c r="N149" i="30" s="1"/>
  <c r="B149" i="30"/>
  <c r="Z148" i="30"/>
  <c r="X148" i="30"/>
  <c r="L148" i="30"/>
  <c r="N148" i="30" s="1"/>
  <c r="B148" i="30"/>
  <c r="X147" i="30"/>
  <c r="Z147" i="30" s="1"/>
  <c r="L147" i="30"/>
  <c r="N147" i="30" s="1"/>
  <c r="B147" i="30"/>
  <c r="T146" i="30"/>
  <c r="Z146" i="30" s="1"/>
  <c r="P146" i="30"/>
  <c r="X146" i="30" s="1"/>
  <c r="N146" i="30"/>
  <c r="H146" i="30"/>
  <c r="D146" i="30"/>
  <c r="L146" i="30" s="1"/>
  <c r="B146" i="30"/>
  <c r="X145" i="30"/>
  <c r="Z145" i="30" s="1"/>
  <c r="N145" i="30"/>
  <c r="L145" i="30"/>
  <c r="B145" i="30"/>
  <c r="X144" i="30"/>
  <c r="Z144" i="30" s="1"/>
  <c r="N144" i="30"/>
  <c r="L144" i="30"/>
  <c r="B144" i="30"/>
  <c r="X143" i="30"/>
  <c r="Z143" i="30" s="1"/>
  <c r="T143" i="30"/>
  <c r="P143" i="30"/>
  <c r="H143" i="30"/>
  <c r="D143" i="30"/>
  <c r="L143" i="30" s="1"/>
  <c r="N143" i="30" s="1"/>
  <c r="B143" i="30"/>
  <c r="Z142" i="30"/>
  <c r="X142" i="30"/>
  <c r="L142" i="30"/>
  <c r="N142" i="30" s="1"/>
  <c r="B142" i="30"/>
  <c r="X141" i="30"/>
  <c r="Z141" i="30" s="1"/>
  <c r="N141" i="30"/>
  <c r="L141" i="30"/>
  <c r="B141" i="30"/>
  <c r="Z140" i="30"/>
  <c r="X140" i="30"/>
  <c r="N140" i="30"/>
  <c r="L140" i="30"/>
  <c r="B140" i="30"/>
  <c r="Z139" i="30"/>
  <c r="T139" i="30"/>
  <c r="P139" i="30"/>
  <c r="X139" i="30" s="1"/>
  <c r="N139" i="30"/>
  <c r="L139" i="30"/>
  <c r="H139" i="30"/>
  <c r="D139" i="30"/>
  <c r="B139" i="30"/>
  <c r="X138" i="30"/>
  <c r="Z138" i="30" s="1"/>
  <c r="L138" i="30"/>
  <c r="N138" i="30" s="1"/>
  <c r="B138" i="30"/>
  <c r="X137" i="30"/>
  <c r="Z137" i="30" s="1"/>
  <c r="V137" i="30"/>
  <c r="L137" i="30"/>
  <c r="N137" i="30" s="1"/>
  <c r="B137" i="30"/>
  <c r="Z136" i="30"/>
  <c r="X136" i="30"/>
  <c r="L136" i="30"/>
  <c r="N136" i="30" s="1"/>
  <c r="B136" i="30"/>
  <c r="V135" i="30"/>
  <c r="T135" i="30"/>
  <c r="P135" i="30"/>
  <c r="X135" i="30" s="1"/>
  <c r="H135" i="30"/>
  <c r="D135" i="30"/>
  <c r="L135" i="30" s="1"/>
  <c r="N135" i="30" s="1"/>
  <c r="B135" i="30"/>
  <c r="X134" i="30"/>
  <c r="Z134" i="30" s="1"/>
  <c r="N134" i="30"/>
  <c r="L134" i="30"/>
  <c r="B134" i="30"/>
  <c r="X133" i="30"/>
  <c r="Z133" i="30" s="1"/>
  <c r="N133" i="30"/>
  <c r="L133" i="30"/>
  <c r="B133" i="30"/>
  <c r="X132" i="30"/>
  <c r="T132" i="30"/>
  <c r="P132" i="30"/>
  <c r="L132" i="30"/>
  <c r="N132" i="30" s="1"/>
  <c r="H132" i="30"/>
  <c r="D132" i="30"/>
  <c r="B132" i="30"/>
  <c r="Z131" i="30"/>
  <c r="X131" i="30"/>
  <c r="L131" i="30"/>
  <c r="N131" i="30" s="1"/>
  <c r="B131" i="30"/>
  <c r="T130" i="30"/>
  <c r="P130" i="30"/>
  <c r="H130" i="30"/>
  <c r="D130" i="30"/>
  <c r="L130" i="30" s="1"/>
  <c r="B130" i="30"/>
  <c r="Z129" i="30"/>
  <c r="X129" i="30"/>
  <c r="N129" i="30"/>
  <c r="L129" i="30"/>
  <c r="B129" i="30"/>
  <c r="Z128" i="30"/>
  <c r="T128" i="30"/>
  <c r="P128" i="30"/>
  <c r="X128" i="30" s="1"/>
  <c r="N128" i="30"/>
  <c r="H128" i="30"/>
  <c r="D128" i="30"/>
  <c r="L128" i="30" s="1"/>
  <c r="B128" i="30"/>
  <c r="Z127" i="30"/>
  <c r="X127" i="30"/>
  <c r="N127" i="30"/>
  <c r="L127" i="30"/>
  <c r="B127" i="30"/>
  <c r="Z126" i="30"/>
  <c r="X126" i="30"/>
  <c r="N126" i="30"/>
  <c r="L126" i="30"/>
  <c r="B126" i="30"/>
  <c r="Z125" i="30"/>
  <c r="X125" i="30"/>
  <c r="N125" i="30"/>
  <c r="L125" i="30"/>
  <c r="B125" i="30"/>
  <c r="Z124" i="30"/>
  <c r="X124" i="30"/>
  <c r="N124" i="30"/>
  <c r="L124" i="30"/>
  <c r="B124" i="30"/>
  <c r="Z123" i="30"/>
  <c r="X123" i="30"/>
  <c r="N123" i="30"/>
  <c r="L123" i="30"/>
  <c r="B123" i="30"/>
  <c r="Z122" i="30"/>
  <c r="X122" i="30"/>
  <c r="N122" i="30"/>
  <c r="L122" i="30"/>
  <c r="B122" i="30"/>
  <c r="Z121" i="30"/>
  <c r="X121" i="30"/>
  <c r="N121" i="30"/>
  <c r="L121" i="30"/>
  <c r="B121" i="30"/>
  <c r="Z120" i="30"/>
  <c r="X120" i="30"/>
  <c r="N120" i="30"/>
  <c r="L120" i="30"/>
  <c r="B120" i="30"/>
  <c r="Z119" i="30"/>
  <c r="X119" i="30"/>
  <c r="N119" i="30"/>
  <c r="L119" i="30"/>
  <c r="B119" i="30"/>
  <c r="Z118" i="30"/>
  <c r="X118" i="30"/>
  <c r="V118" i="30"/>
  <c r="N118" i="30"/>
  <c r="L118" i="30"/>
  <c r="B118" i="30"/>
  <c r="Z117" i="30"/>
  <c r="X117" i="30"/>
  <c r="N117" i="30"/>
  <c r="L117" i="30"/>
  <c r="B117" i="30"/>
  <c r="Z116" i="30"/>
  <c r="X116" i="30"/>
  <c r="N116" i="30"/>
  <c r="L116" i="30"/>
  <c r="B116" i="30"/>
  <c r="X115" i="30"/>
  <c r="Z115" i="30" s="1"/>
  <c r="N115" i="30"/>
  <c r="L115" i="30"/>
  <c r="B115" i="30"/>
  <c r="X114" i="30"/>
  <c r="T114" i="30"/>
  <c r="Z114" i="30" s="1"/>
  <c r="P114" i="30"/>
  <c r="L114" i="30"/>
  <c r="H114" i="30"/>
  <c r="D114" i="30"/>
  <c r="B114" i="30"/>
  <c r="X113" i="30"/>
  <c r="Z113" i="30" s="1"/>
  <c r="N113" i="30"/>
  <c r="L113" i="30"/>
  <c r="B113" i="30"/>
  <c r="T112" i="30"/>
  <c r="P112" i="30"/>
  <c r="H112" i="30"/>
  <c r="D112" i="30"/>
  <c r="B112" i="30"/>
  <c r="Z111" i="30"/>
  <c r="X111" i="30"/>
  <c r="L111" i="30"/>
  <c r="N111" i="30" s="1"/>
  <c r="B111" i="30"/>
  <c r="T110" i="30"/>
  <c r="Z110" i="30" s="1"/>
  <c r="P110" i="30"/>
  <c r="X110" i="30" s="1"/>
  <c r="N110" i="30"/>
  <c r="H110" i="30"/>
  <c r="D110" i="30"/>
  <c r="L110" i="30" s="1"/>
  <c r="B110" i="30"/>
  <c r="Z109" i="30"/>
  <c r="X109" i="30"/>
  <c r="N109" i="30"/>
  <c r="L109" i="30"/>
  <c r="B109" i="30"/>
  <c r="X108" i="30"/>
  <c r="Z108" i="30" s="1"/>
  <c r="N108" i="30"/>
  <c r="L108" i="30"/>
  <c r="B108" i="30"/>
  <c r="T107" i="30"/>
  <c r="P107" i="30"/>
  <c r="X107" i="30" s="1"/>
  <c r="Z107" i="30" s="1"/>
  <c r="H107" i="30"/>
  <c r="D107" i="30"/>
  <c r="L107" i="30" s="1"/>
  <c r="N107" i="30" s="1"/>
  <c r="B107" i="30"/>
  <c r="X106" i="30"/>
  <c r="Z106" i="30" s="1"/>
  <c r="N106" i="30"/>
  <c r="L106" i="30"/>
  <c r="B106" i="30"/>
  <c r="X105" i="30"/>
  <c r="Z105" i="30" s="1"/>
  <c r="T105" i="30"/>
  <c r="P105" i="30"/>
  <c r="H105" i="30"/>
  <c r="L105" i="30" s="1"/>
  <c r="N105" i="30" s="1"/>
  <c r="D105" i="30"/>
  <c r="B105" i="30"/>
  <c r="Z104" i="30"/>
  <c r="X104" i="30"/>
  <c r="L104" i="30"/>
  <c r="N104" i="30" s="1"/>
  <c r="B104" i="30"/>
  <c r="T103" i="30"/>
  <c r="P103" i="30"/>
  <c r="X103" i="30" s="1"/>
  <c r="J103" i="30"/>
  <c r="H103" i="30"/>
  <c r="D103" i="30"/>
  <c r="L103" i="30" s="1"/>
  <c r="N103" i="30" s="1"/>
  <c r="B103" i="30"/>
  <c r="Z102" i="30"/>
  <c r="X102" i="30"/>
  <c r="N102" i="30"/>
  <c r="L102" i="30"/>
  <c r="B102" i="30"/>
  <c r="X101" i="30"/>
  <c r="Z101" i="30" s="1"/>
  <c r="N101" i="30"/>
  <c r="L101" i="30"/>
  <c r="B101" i="30"/>
  <c r="X100" i="30"/>
  <c r="T100" i="30"/>
  <c r="P100" i="30"/>
  <c r="L100" i="30"/>
  <c r="J100" i="30"/>
  <c r="H100" i="30"/>
  <c r="N100" i="30" s="1"/>
  <c r="D100" i="30"/>
  <c r="B100" i="30"/>
  <c r="Z99" i="30"/>
  <c r="X99" i="30"/>
  <c r="N99" i="30"/>
  <c r="L99" i="30"/>
  <c r="B99" i="30"/>
  <c r="T98" i="30"/>
  <c r="P98" i="30"/>
  <c r="H98" i="30"/>
  <c r="D98" i="30"/>
  <c r="B98" i="30"/>
  <c r="Z97" i="30"/>
  <c r="X97" i="30"/>
  <c r="V97" i="30"/>
  <c r="L97" i="30"/>
  <c r="N97" i="30" s="1"/>
  <c r="B97" i="30"/>
  <c r="Z96" i="30"/>
  <c r="X96" i="30"/>
  <c r="N96" i="30"/>
  <c r="L96" i="30"/>
  <c r="B96" i="30"/>
  <c r="T95" i="30"/>
  <c r="P95" i="30"/>
  <c r="H95" i="30"/>
  <c r="D95" i="30"/>
  <c r="L95" i="30" s="1"/>
  <c r="N95" i="30" s="1"/>
  <c r="B95" i="30"/>
  <c r="X94" i="30"/>
  <c r="Z94" i="30" s="1"/>
  <c r="L94" i="30"/>
  <c r="N94" i="30" s="1"/>
  <c r="B94" i="30"/>
  <c r="T93" i="30"/>
  <c r="P93" i="30"/>
  <c r="X93" i="30" s="1"/>
  <c r="Z93" i="30" s="1"/>
  <c r="H93" i="30"/>
  <c r="D93" i="30"/>
  <c r="L93" i="30" s="1"/>
  <c r="N93" i="30" s="1"/>
  <c r="B93" i="30"/>
  <c r="Z92" i="30"/>
  <c r="X92" i="30"/>
  <c r="N92" i="30"/>
  <c r="L92" i="30"/>
  <c r="B92" i="30"/>
  <c r="Z91" i="30"/>
  <c r="X91" i="30"/>
  <c r="N91" i="30"/>
  <c r="L91" i="30"/>
  <c r="B91" i="30"/>
  <c r="X90" i="30"/>
  <c r="Z90" i="30" s="1"/>
  <c r="N90" i="30"/>
  <c r="L90" i="30"/>
  <c r="B90" i="30"/>
  <c r="Z89" i="30"/>
  <c r="X89" i="30"/>
  <c r="N89" i="30"/>
  <c r="L89" i="30"/>
  <c r="B89" i="30"/>
  <c r="Z88" i="30"/>
  <c r="X88" i="30"/>
  <c r="N88" i="30"/>
  <c r="L88" i="30"/>
  <c r="B88" i="30"/>
  <c r="Z87" i="30"/>
  <c r="X87" i="30"/>
  <c r="N87" i="30"/>
  <c r="L87" i="30"/>
  <c r="B87" i="30"/>
  <c r="X86" i="30"/>
  <c r="Z86" i="30" s="1"/>
  <c r="N86" i="30"/>
  <c r="L86" i="30"/>
  <c r="B86" i="30"/>
  <c r="Z85" i="30"/>
  <c r="X85" i="30"/>
  <c r="N85" i="30"/>
  <c r="L85" i="30"/>
  <c r="B85" i="30"/>
  <c r="Z84" i="30"/>
  <c r="X84" i="30"/>
  <c r="N84" i="30"/>
  <c r="L84" i="30"/>
  <c r="B84" i="30"/>
  <c r="Z83" i="30"/>
  <c r="X83" i="30"/>
  <c r="N83" i="30"/>
  <c r="L83" i="30"/>
  <c r="B83" i="30"/>
  <c r="T82" i="30"/>
  <c r="P82" i="30"/>
  <c r="X82" i="30" s="1"/>
  <c r="H82" i="30"/>
  <c r="D82" i="30"/>
  <c r="L82" i="30" s="1"/>
  <c r="B82" i="30"/>
  <c r="Z81" i="30"/>
  <c r="X81" i="30"/>
  <c r="V81" i="30"/>
  <c r="N81" i="30"/>
  <c r="L81" i="30"/>
  <c r="B81" i="30"/>
  <c r="Z80" i="30"/>
  <c r="X80" i="30"/>
  <c r="L80" i="30"/>
  <c r="N80" i="30" s="1"/>
  <c r="B80" i="30"/>
  <c r="Z79" i="30"/>
  <c r="X79" i="30"/>
  <c r="V79" i="30"/>
  <c r="N79" i="30"/>
  <c r="L79" i="30"/>
  <c r="B79" i="30"/>
  <c r="Z78" i="30"/>
  <c r="X78" i="30"/>
  <c r="N78" i="30"/>
  <c r="L78" i="30"/>
  <c r="B78" i="30"/>
  <c r="Z77" i="30"/>
  <c r="X77" i="30"/>
  <c r="L77" i="30"/>
  <c r="N77" i="30" s="1"/>
  <c r="B77" i="30"/>
  <c r="Z76" i="30"/>
  <c r="X76" i="30"/>
  <c r="L76" i="30"/>
  <c r="N76" i="30" s="1"/>
  <c r="B76" i="30"/>
  <c r="Z75" i="30"/>
  <c r="X75" i="30"/>
  <c r="V75" i="30"/>
  <c r="N75" i="30"/>
  <c r="L75" i="30"/>
  <c r="B75" i="30"/>
  <c r="X74" i="30"/>
  <c r="Z74" i="30" s="1"/>
  <c r="L74" i="30"/>
  <c r="N74" i="30" s="1"/>
  <c r="J74" i="30"/>
  <c r="B74" i="30"/>
  <c r="Z73" i="30"/>
  <c r="X73" i="30"/>
  <c r="L73" i="30"/>
  <c r="N73" i="30" s="1"/>
  <c r="B73" i="30"/>
  <c r="Z72" i="30"/>
  <c r="T72" i="30"/>
  <c r="P72" i="30"/>
  <c r="X72" i="30" s="1"/>
  <c r="H72" i="30"/>
  <c r="D72" i="30"/>
  <c r="L72" i="30" s="1"/>
  <c r="N72" i="30" s="1"/>
  <c r="B72" i="30"/>
  <c r="T71" i="30"/>
  <c r="P71" i="30"/>
  <c r="X71" i="30" s="1"/>
  <c r="H71" i="30"/>
  <c r="D71" i="30"/>
  <c r="L71" i="30" s="1"/>
  <c r="Z67" i="30"/>
  <c r="X67" i="30"/>
  <c r="N67" i="30"/>
  <c r="L67" i="30"/>
  <c r="B67" i="30"/>
  <c r="Z66" i="30"/>
  <c r="X66" i="30"/>
  <c r="V66" i="30"/>
  <c r="N66" i="30"/>
  <c r="L66" i="30"/>
  <c r="B66" i="30"/>
  <c r="Z65" i="30"/>
  <c r="X65" i="30"/>
  <c r="N65" i="30"/>
  <c r="L65" i="30"/>
  <c r="B65" i="30"/>
  <c r="Z64" i="30"/>
  <c r="X64" i="30"/>
  <c r="V64" i="30"/>
  <c r="N64" i="30"/>
  <c r="L64" i="30"/>
  <c r="B64" i="30"/>
  <c r="Z63" i="30"/>
  <c r="X63" i="30"/>
  <c r="N63" i="30"/>
  <c r="L63" i="30"/>
  <c r="B63" i="30"/>
  <c r="Z62" i="30"/>
  <c r="X62" i="30"/>
  <c r="V62" i="30"/>
  <c r="N62" i="30"/>
  <c r="L62" i="30"/>
  <c r="B62" i="30"/>
  <c r="Z61" i="30"/>
  <c r="X61" i="30"/>
  <c r="N61" i="30"/>
  <c r="L61" i="30"/>
  <c r="B61" i="30"/>
  <c r="Z60" i="30"/>
  <c r="X60" i="30"/>
  <c r="V60" i="30"/>
  <c r="N60" i="30"/>
  <c r="L60" i="30"/>
  <c r="B60" i="30"/>
  <c r="Z59" i="30"/>
  <c r="X59" i="30"/>
  <c r="N59" i="30"/>
  <c r="L59" i="30"/>
  <c r="B59" i="30"/>
  <c r="Z58" i="30"/>
  <c r="X58" i="30"/>
  <c r="V58" i="30"/>
  <c r="N58" i="30"/>
  <c r="L58" i="30"/>
  <c r="B58" i="30"/>
  <c r="Z57" i="30"/>
  <c r="X57" i="30"/>
  <c r="N57" i="30"/>
  <c r="L57" i="30"/>
  <c r="B57" i="30"/>
  <c r="Z56" i="30"/>
  <c r="X56" i="30"/>
  <c r="V56" i="30"/>
  <c r="N56" i="30"/>
  <c r="L56" i="30"/>
  <c r="B56" i="30"/>
  <c r="Z55" i="30"/>
  <c r="X55" i="30"/>
  <c r="N55" i="30"/>
  <c r="L55" i="30"/>
  <c r="B55" i="30"/>
  <c r="Z54" i="30"/>
  <c r="X54" i="30"/>
  <c r="V54" i="30"/>
  <c r="N54" i="30"/>
  <c r="L54" i="30"/>
  <c r="B54" i="30"/>
  <c r="Z53" i="30"/>
  <c r="X53" i="30"/>
  <c r="N53" i="30"/>
  <c r="L53" i="30"/>
  <c r="B53" i="30"/>
  <c r="Z52" i="30"/>
  <c r="X52" i="30"/>
  <c r="V52" i="30"/>
  <c r="N52" i="30"/>
  <c r="L52" i="30"/>
  <c r="B52" i="30"/>
  <c r="Z51" i="30"/>
  <c r="X51" i="30"/>
  <c r="N51" i="30"/>
  <c r="L51" i="30"/>
  <c r="B51" i="30"/>
  <c r="Z50" i="30"/>
  <c r="X50" i="30"/>
  <c r="V50" i="30"/>
  <c r="N50" i="30"/>
  <c r="L50" i="30"/>
  <c r="B50" i="30"/>
  <c r="Z49" i="30"/>
  <c r="X49" i="30"/>
  <c r="N49" i="30"/>
  <c r="L49" i="30"/>
  <c r="B49" i="30"/>
  <c r="Z48" i="30"/>
  <c r="X48" i="30"/>
  <c r="V48" i="30"/>
  <c r="N48" i="30"/>
  <c r="L48" i="30"/>
  <c r="B48" i="30"/>
  <c r="Z47" i="30"/>
  <c r="X47" i="30"/>
  <c r="N47" i="30"/>
  <c r="L47" i="30"/>
  <c r="B47" i="30"/>
  <c r="Z46" i="30"/>
  <c r="X46" i="30"/>
  <c r="V46" i="30"/>
  <c r="N46" i="30"/>
  <c r="L46" i="30"/>
  <c r="B46" i="30"/>
  <c r="X45" i="30"/>
  <c r="Z45" i="30" s="1"/>
  <c r="N45" i="30"/>
  <c r="L45" i="30"/>
  <c r="B45" i="30"/>
  <c r="X44" i="30"/>
  <c r="Z44" i="30" s="1"/>
  <c r="T44" i="30"/>
  <c r="P44" i="30"/>
  <c r="L44" i="30"/>
  <c r="N44" i="30" s="1"/>
  <c r="H44" i="30"/>
  <c r="D44" i="30"/>
  <c r="Z42" i="30"/>
  <c r="X42" i="30"/>
  <c r="P42" i="30"/>
  <c r="N42" i="30"/>
  <c r="L42" i="30"/>
  <c r="D42" i="30"/>
  <c r="B42" i="30"/>
  <c r="Z41" i="30"/>
  <c r="X41" i="30"/>
  <c r="P41" i="30"/>
  <c r="N41" i="30"/>
  <c r="D41" i="30"/>
  <c r="L41" i="30" s="1"/>
  <c r="B41" i="30"/>
  <c r="Z40" i="30"/>
  <c r="P40" i="30"/>
  <c r="X40" i="30" s="1"/>
  <c r="N40" i="30"/>
  <c r="D40" i="30"/>
  <c r="L40" i="30" s="1"/>
  <c r="B40" i="30"/>
  <c r="Z39" i="30"/>
  <c r="P39" i="30"/>
  <c r="X39" i="30" s="1"/>
  <c r="N39" i="30"/>
  <c r="D39" i="30"/>
  <c r="L39" i="30" s="1"/>
  <c r="B39" i="30"/>
  <c r="Z38" i="30"/>
  <c r="X38" i="30"/>
  <c r="P38" i="30"/>
  <c r="N38" i="30"/>
  <c r="L38" i="30"/>
  <c r="D38" i="30"/>
  <c r="B38" i="30"/>
  <c r="Z37" i="30"/>
  <c r="P37" i="30"/>
  <c r="X37" i="30" s="1"/>
  <c r="N37" i="30"/>
  <c r="D37" i="30"/>
  <c r="L37" i="30" s="1"/>
  <c r="B37" i="30"/>
  <c r="Z36" i="30"/>
  <c r="X36" i="30"/>
  <c r="P36" i="30"/>
  <c r="N36" i="30"/>
  <c r="D36" i="30"/>
  <c r="L36" i="30" s="1"/>
  <c r="B36" i="30"/>
  <c r="Z35" i="30"/>
  <c r="X35" i="30"/>
  <c r="P35" i="30"/>
  <c r="N35" i="30"/>
  <c r="L35" i="30"/>
  <c r="D35" i="30"/>
  <c r="B35" i="30"/>
  <c r="Z34" i="30"/>
  <c r="P34" i="30"/>
  <c r="X34" i="30" s="1"/>
  <c r="N34" i="30"/>
  <c r="D34" i="30"/>
  <c r="L34" i="30" s="1"/>
  <c r="B34" i="30"/>
  <c r="Z33" i="30"/>
  <c r="X33" i="30"/>
  <c r="P33" i="30"/>
  <c r="N33" i="30"/>
  <c r="L33" i="30"/>
  <c r="D33" i="30"/>
  <c r="B33" i="30"/>
  <c r="Z32" i="30"/>
  <c r="P32" i="30"/>
  <c r="X32" i="30" s="1"/>
  <c r="N32" i="30"/>
  <c r="L32" i="30"/>
  <c r="D32" i="30"/>
  <c r="B32" i="30"/>
  <c r="Z31" i="30"/>
  <c r="P31" i="30"/>
  <c r="X31" i="30" s="1"/>
  <c r="N31" i="30"/>
  <c r="L31" i="30"/>
  <c r="D31" i="30"/>
  <c r="B31" i="30"/>
  <c r="Z30" i="30"/>
  <c r="P30" i="30"/>
  <c r="X30" i="30" s="1"/>
  <c r="N30" i="30"/>
  <c r="L30" i="30"/>
  <c r="D30" i="30"/>
  <c r="B30" i="30"/>
  <c r="Z29" i="30"/>
  <c r="X29" i="30"/>
  <c r="P29" i="30"/>
  <c r="N29" i="30"/>
  <c r="D29" i="30"/>
  <c r="L29" i="30" s="1"/>
  <c r="B29" i="30"/>
  <c r="Z28" i="30"/>
  <c r="P28" i="30"/>
  <c r="X28" i="30" s="1"/>
  <c r="N28" i="30"/>
  <c r="D28" i="30"/>
  <c r="L28" i="30" s="1"/>
  <c r="B28" i="30"/>
  <c r="Z27" i="30"/>
  <c r="P27" i="30"/>
  <c r="X27" i="30" s="1"/>
  <c r="N27" i="30"/>
  <c r="L27" i="30"/>
  <c r="D27" i="30"/>
  <c r="B27" i="30"/>
  <c r="Z26" i="30"/>
  <c r="X26" i="30"/>
  <c r="P26" i="30"/>
  <c r="N26" i="30"/>
  <c r="L26" i="30"/>
  <c r="D26" i="30"/>
  <c r="B26" i="30"/>
  <c r="Z25" i="30"/>
  <c r="P25" i="30"/>
  <c r="X25" i="30" s="1"/>
  <c r="N25" i="30"/>
  <c r="D25" i="30"/>
  <c r="L25" i="30" s="1"/>
  <c r="B25" i="30"/>
  <c r="Z24" i="30"/>
  <c r="P24" i="30"/>
  <c r="X24" i="30" s="1"/>
  <c r="N24" i="30"/>
  <c r="D24" i="30"/>
  <c r="L24" i="30" s="1"/>
  <c r="B24" i="30"/>
  <c r="Z23" i="30"/>
  <c r="X23" i="30"/>
  <c r="P23" i="30"/>
  <c r="N23" i="30"/>
  <c r="L23" i="30"/>
  <c r="D23" i="30"/>
  <c r="B23" i="30"/>
  <c r="Z22" i="30"/>
  <c r="P22" i="30"/>
  <c r="X22" i="30" s="1"/>
  <c r="N22" i="30"/>
  <c r="D22" i="30"/>
  <c r="L22" i="30" s="1"/>
  <c r="B22" i="30"/>
  <c r="Z21" i="30"/>
  <c r="X21" i="30"/>
  <c r="P21" i="30"/>
  <c r="N21" i="30"/>
  <c r="D21" i="30"/>
  <c r="L21" i="30" s="1"/>
  <c r="B21" i="30"/>
  <c r="Z20" i="30"/>
  <c r="P20" i="30"/>
  <c r="X20" i="30" s="1"/>
  <c r="N20" i="30"/>
  <c r="L20" i="30"/>
  <c r="D20" i="30"/>
  <c r="B20" i="30"/>
  <c r="Z19" i="30"/>
  <c r="P19" i="30"/>
  <c r="X19" i="30" s="1"/>
  <c r="N19" i="30"/>
  <c r="L19" i="30"/>
  <c r="D19" i="30"/>
  <c r="B19" i="30"/>
  <c r="Z18" i="30"/>
  <c r="P18" i="30"/>
  <c r="X18" i="30" s="1"/>
  <c r="N18" i="30"/>
  <c r="L18" i="30"/>
  <c r="D18" i="30"/>
  <c r="B18" i="30"/>
  <c r="Z17" i="30"/>
  <c r="X17" i="30"/>
  <c r="P17" i="30"/>
  <c r="N17" i="30"/>
  <c r="D17" i="30"/>
  <c r="L17" i="30" s="1"/>
  <c r="B17" i="30"/>
  <c r="Z16" i="30"/>
  <c r="P16" i="30"/>
  <c r="X16" i="30" s="1"/>
  <c r="N16" i="30"/>
  <c r="D16" i="30"/>
  <c r="L16" i="30" s="1"/>
  <c r="B16" i="30"/>
  <c r="Z15" i="30"/>
  <c r="P15" i="30"/>
  <c r="X15" i="30" s="1"/>
  <c r="N15" i="30"/>
  <c r="D15" i="30"/>
  <c r="L15" i="30" s="1"/>
  <c r="B15" i="30"/>
  <c r="Z14" i="30"/>
  <c r="X14" i="30"/>
  <c r="P14" i="30"/>
  <c r="N14" i="30"/>
  <c r="L14" i="30"/>
  <c r="D14" i="30"/>
  <c r="B14" i="30"/>
  <c r="X13" i="30"/>
  <c r="Z13" i="30" s="1"/>
  <c r="P13" i="30"/>
  <c r="D13" i="30"/>
  <c r="L13" i="30" s="1"/>
  <c r="N13" i="30" s="1"/>
  <c r="B13" i="30"/>
  <c r="T12" i="30"/>
  <c r="V165" i="30" s="1"/>
  <c r="H12" i="30"/>
  <c r="J95" i="30" s="1"/>
  <c r="D4" i="30"/>
  <c r="X141" i="27"/>
  <c r="Z141" i="27" s="1"/>
  <c r="L141" i="27"/>
  <c r="N141" i="27" s="1"/>
  <c r="Z137" i="27"/>
  <c r="X137" i="27"/>
  <c r="P137" i="27"/>
  <c r="D137" i="27"/>
  <c r="L137" i="27" s="1"/>
  <c r="N137" i="27" s="1"/>
  <c r="B137" i="27"/>
  <c r="Z136" i="27"/>
  <c r="X136" i="27"/>
  <c r="P136" i="27"/>
  <c r="N136" i="27"/>
  <c r="L136" i="27"/>
  <c r="D136" i="27"/>
  <c r="B136" i="27"/>
  <c r="Z135" i="27"/>
  <c r="X135" i="27"/>
  <c r="V135" i="27"/>
  <c r="P135" i="27"/>
  <c r="P133" i="27" s="1"/>
  <c r="X133" i="27" s="1"/>
  <c r="N135" i="27"/>
  <c r="D135" i="27"/>
  <c r="L135" i="27" s="1"/>
  <c r="B135" i="27"/>
  <c r="Z134" i="27"/>
  <c r="X134" i="27"/>
  <c r="V134" i="27"/>
  <c r="P134" i="27"/>
  <c r="N134" i="27"/>
  <c r="L134" i="27"/>
  <c r="D134" i="27"/>
  <c r="B134" i="27"/>
  <c r="T133" i="27"/>
  <c r="H133" i="27"/>
  <c r="D133" i="27"/>
  <c r="L133" i="27" s="1"/>
  <c r="X131" i="27"/>
  <c r="Z131" i="27" s="1"/>
  <c r="N131" i="27"/>
  <c r="L131" i="27"/>
  <c r="B131" i="27"/>
  <c r="Z130" i="27"/>
  <c r="X130" i="27"/>
  <c r="N130" i="27"/>
  <c r="L130" i="27"/>
  <c r="B130" i="27"/>
  <c r="T129" i="27"/>
  <c r="P129" i="27"/>
  <c r="X129" i="27" s="1"/>
  <c r="H129" i="27"/>
  <c r="D129" i="27"/>
  <c r="B129" i="27"/>
  <c r="Z128" i="27"/>
  <c r="X128" i="27"/>
  <c r="V128" i="27"/>
  <c r="N128" i="27"/>
  <c r="L128" i="27"/>
  <c r="B128" i="27"/>
  <c r="T127" i="27"/>
  <c r="P127" i="27"/>
  <c r="X127" i="27" s="1"/>
  <c r="Z127" i="27" s="1"/>
  <c r="H127" i="27"/>
  <c r="N127" i="27" s="1"/>
  <c r="D127" i="27"/>
  <c r="L127" i="27" s="1"/>
  <c r="B127" i="27"/>
  <c r="X126" i="27"/>
  <c r="Z126" i="27" s="1"/>
  <c r="N126" i="27"/>
  <c r="L126" i="27"/>
  <c r="B126" i="27"/>
  <c r="X125" i="27"/>
  <c r="Z125" i="27" s="1"/>
  <c r="V125" i="27"/>
  <c r="N125" i="27"/>
  <c r="L125" i="27"/>
  <c r="B125" i="27"/>
  <c r="T124" i="27"/>
  <c r="P124" i="27"/>
  <c r="X124" i="27" s="1"/>
  <c r="L124" i="27"/>
  <c r="N124" i="27" s="1"/>
  <c r="H124" i="27"/>
  <c r="D124" i="27"/>
  <c r="B124" i="27"/>
  <c r="X123" i="27"/>
  <c r="Z123" i="27" s="1"/>
  <c r="N123" i="27"/>
  <c r="L123" i="27"/>
  <c r="B123" i="27"/>
  <c r="Z122" i="27"/>
  <c r="X122" i="27"/>
  <c r="L122" i="27"/>
  <c r="N122" i="27" s="1"/>
  <c r="B122" i="27"/>
  <c r="Z121" i="27"/>
  <c r="X121" i="27"/>
  <c r="L121" i="27"/>
  <c r="N121" i="27" s="1"/>
  <c r="B121" i="27"/>
  <c r="Z120" i="27"/>
  <c r="X120" i="27"/>
  <c r="T120" i="27"/>
  <c r="P120" i="27"/>
  <c r="H120" i="27"/>
  <c r="D120" i="27"/>
  <c r="L120" i="27" s="1"/>
  <c r="N120" i="27" s="1"/>
  <c r="B120" i="27"/>
  <c r="Z119" i="27"/>
  <c r="X119" i="27"/>
  <c r="N119" i="27"/>
  <c r="L119" i="27"/>
  <c r="B119" i="27"/>
  <c r="X118" i="27"/>
  <c r="Z118" i="27" s="1"/>
  <c r="V118" i="27"/>
  <c r="L118" i="27"/>
  <c r="N118" i="27" s="1"/>
  <c r="B118" i="27"/>
  <c r="T117" i="27"/>
  <c r="P117" i="27"/>
  <c r="X117" i="27" s="1"/>
  <c r="H117" i="27"/>
  <c r="D117" i="27"/>
  <c r="L117" i="27" s="1"/>
  <c r="N117" i="27" s="1"/>
  <c r="B117" i="27"/>
  <c r="Z116" i="27"/>
  <c r="X116" i="27"/>
  <c r="N116" i="27"/>
  <c r="L116" i="27"/>
  <c r="B116" i="27"/>
  <c r="X115" i="27"/>
  <c r="Z115" i="27" s="1"/>
  <c r="L115" i="27"/>
  <c r="N115" i="27" s="1"/>
  <c r="B115" i="27"/>
  <c r="X114" i="27"/>
  <c r="Z114" i="27" s="1"/>
  <c r="N114" i="27"/>
  <c r="L114" i="27"/>
  <c r="B114" i="27"/>
  <c r="X113" i="27"/>
  <c r="Z113" i="27" s="1"/>
  <c r="V113" i="27"/>
  <c r="N113" i="27"/>
  <c r="L113" i="27"/>
  <c r="B113" i="27"/>
  <c r="T112" i="27"/>
  <c r="P112" i="27"/>
  <c r="X112" i="27" s="1"/>
  <c r="L112" i="27"/>
  <c r="N112" i="27" s="1"/>
  <c r="H112" i="27"/>
  <c r="D112" i="27"/>
  <c r="B112" i="27"/>
  <c r="Z111" i="27"/>
  <c r="X111" i="27"/>
  <c r="N111" i="27"/>
  <c r="L111" i="27"/>
  <c r="B111" i="27"/>
  <c r="Z110" i="27"/>
  <c r="X110" i="27"/>
  <c r="N110" i="27"/>
  <c r="L110" i="27"/>
  <c r="B110" i="27"/>
  <c r="Z109" i="27"/>
  <c r="X109" i="27"/>
  <c r="N109" i="27"/>
  <c r="L109" i="27"/>
  <c r="B109" i="27"/>
  <c r="Z108" i="27"/>
  <c r="X108" i="27"/>
  <c r="N108" i="27"/>
  <c r="L108" i="27"/>
  <c r="B108" i="27"/>
  <c r="Z107" i="27"/>
  <c r="X107" i="27"/>
  <c r="N107" i="27"/>
  <c r="L107" i="27"/>
  <c r="B107" i="27"/>
  <c r="Z106" i="27"/>
  <c r="X106" i="27"/>
  <c r="N106" i="27"/>
  <c r="L106" i="27"/>
  <c r="B106" i="27"/>
  <c r="Z105" i="27"/>
  <c r="X105" i="27"/>
  <c r="N105" i="27"/>
  <c r="L105" i="27"/>
  <c r="B105" i="27"/>
  <c r="Z104" i="27"/>
  <c r="X104" i="27"/>
  <c r="N104" i="27"/>
  <c r="L104" i="27"/>
  <c r="B104" i="27"/>
  <c r="X103" i="27"/>
  <c r="Z103" i="27" s="1"/>
  <c r="N103" i="27"/>
  <c r="L103" i="27"/>
  <c r="B103" i="27"/>
  <c r="T102" i="27"/>
  <c r="P102" i="27"/>
  <c r="X102" i="27" s="1"/>
  <c r="Z102" i="27" s="1"/>
  <c r="L102" i="27"/>
  <c r="N102" i="27" s="1"/>
  <c r="H102" i="27"/>
  <c r="D102" i="27"/>
  <c r="B102" i="27"/>
  <c r="X101" i="27"/>
  <c r="Z101" i="27" s="1"/>
  <c r="N101" i="27"/>
  <c r="L101" i="27"/>
  <c r="J101" i="27"/>
  <c r="B101" i="27"/>
  <c r="Z100" i="27"/>
  <c r="X100" i="27"/>
  <c r="V100" i="27"/>
  <c r="T100" i="27"/>
  <c r="P100" i="27"/>
  <c r="H100" i="27"/>
  <c r="D100" i="27"/>
  <c r="B100" i="27"/>
  <c r="Z99" i="27"/>
  <c r="X99" i="27"/>
  <c r="N99" i="27"/>
  <c r="L99" i="27"/>
  <c r="B99" i="27"/>
  <c r="Z98" i="27"/>
  <c r="X98" i="27"/>
  <c r="N98" i="27"/>
  <c r="L98" i="27"/>
  <c r="B98" i="27"/>
  <c r="X97" i="27"/>
  <c r="V97" i="27"/>
  <c r="T97" i="27"/>
  <c r="Z97" i="27" s="1"/>
  <c r="P97" i="27"/>
  <c r="L97" i="27"/>
  <c r="H97" i="27"/>
  <c r="N97" i="27" s="1"/>
  <c r="D97" i="27"/>
  <c r="B97" i="27"/>
  <c r="Z96" i="27"/>
  <c r="X96" i="27"/>
  <c r="N96" i="27"/>
  <c r="L96" i="27"/>
  <c r="B96" i="27"/>
  <c r="T95" i="27"/>
  <c r="P95" i="27"/>
  <c r="H95" i="27"/>
  <c r="D95" i="27"/>
  <c r="L95" i="27" s="1"/>
  <c r="B95" i="27"/>
  <c r="X94" i="27"/>
  <c r="Z94" i="27" s="1"/>
  <c r="V94" i="27"/>
  <c r="N94" i="27"/>
  <c r="L94" i="27"/>
  <c r="B94" i="27"/>
  <c r="T93" i="27"/>
  <c r="P93" i="27"/>
  <c r="X93" i="27" s="1"/>
  <c r="H93" i="27"/>
  <c r="D93" i="27"/>
  <c r="L93" i="27" s="1"/>
  <c r="N93" i="27" s="1"/>
  <c r="B93" i="27"/>
  <c r="Z92" i="27"/>
  <c r="X92" i="27"/>
  <c r="N92" i="27"/>
  <c r="L92" i="27"/>
  <c r="B92" i="27"/>
  <c r="X91" i="27"/>
  <c r="Z91" i="27" s="1"/>
  <c r="L91" i="27"/>
  <c r="N91" i="27" s="1"/>
  <c r="B91" i="27"/>
  <c r="Z90" i="27"/>
  <c r="X90" i="27"/>
  <c r="T90" i="27"/>
  <c r="P90" i="27"/>
  <c r="H90" i="27"/>
  <c r="N90" i="27" s="1"/>
  <c r="D90" i="27"/>
  <c r="L90" i="27" s="1"/>
  <c r="B90" i="27"/>
  <c r="Z89" i="27"/>
  <c r="X89" i="27"/>
  <c r="L89" i="27"/>
  <c r="N89" i="27" s="1"/>
  <c r="B89" i="27"/>
  <c r="X88" i="27"/>
  <c r="Z88" i="27" s="1"/>
  <c r="V88" i="27"/>
  <c r="T88" i="27"/>
  <c r="P88" i="27"/>
  <c r="H88" i="27"/>
  <c r="D88" i="27"/>
  <c r="L88" i="27" s="1"/>
  <c r="N88" i="27" s="1"/>
  <c r="B88" i="27"/>
  <c r="Z87" i="27"/>
  <c r="X87" i="27"/>
  <c r="N87" i="27"/>
  <c r="L87" i="27"/>
  <c r="B87" i="27"/>
  <c r="Z86" i="27"/>
  <c r="X86" i="27"/>
  <c r="V86" i="27"/>
  <c r="N86" i="27"/>
  <c r="L86" i="27"/>
  <c r="B86" i="27"/>
  <c r="X85" i="27"/>
  <c r="Z85" i="27" s="1"/>
  <c r="N85" i="27"/>
  <c r="L85" i="27"/>
  <c r="B85" i="27"/>
  <c r="Z84" i="27"/>
  <c r="X84" i="27"/>
  <c r="V84" i="27"/>
  <c r="N84" i="27"/>
  <c r="L84" i="27"/>
  <c r="B84" i="27"/>
  <c r="Z83" i="27"/>
  <c r="X83" i="27"/>
  <c r="N83" i="27"/>
  <c r="L83" i="27"/>
  <c r="B83" i="27"/>
  <c r="X82" i="27"/>
  <c r="Z82" i="27" s="1"/>
  <c r="V82" i="27"/>
  <c r="N82" i="27"/>
  <c r="L82" i="27"/>
  <c r="B82" i="27"/>
  <c r="X81" i="27"/>
  <c r="Z81" i="27" s="1"/>
  <c r="L81" i="27"/>
  <c r="N81" i="27" s="1"/>
  <c r="B81" i="27"/>
  <c r="Z80" i="27"/>
  <c r="X80" i="27"/>
  <c r="V80" i="27"/>
  <c r="N80" i="27"/>
  <c r="L80" i="27"/>
  <c r="B80" i="27"/>
  <c r="Z79" i="27"/>
  <c r="X79" i="27"/>
  <c r="L79" i="27"/>
  <c r="N79" i="27" s="1"/>
  <c r="B79" i="27"/>
  <c r="Z78" i="27"/>
  <c r="X78" i="27"/>
  <c r="V78" i="27"/>
  <c r="N78" i="27"/>
  <c r="L78" i="27"/>
  <c r="B78" i="27"/>
  <c r="T77" i="27"/>
  <c r="Z77" i="27" s="1"/>
  <c r="P77" i="27"/>
  <c r="X77" i="27" s="1"/>
  <c r="H77" i="27"/>
  <c r="D77" i="27"/>
  <c r="L77" i="27" s="1"/>
  <c r="N77" i="27" s="1"/>
  <c r="B77" i="27"/>
  <c r="Z76" i="27"/>
  <c r="X76" i="27"/>
  <c r="N76" i="27"/>
  <c r="L76" i="27"/>
  <c r="B76" i="27"/>
  <c r="X75" i="27"/>
  <c r="Z75" i="27" s="1"/>
  <c r="N75" i="27"/>
  <c r="L75" i="27"/>
  <c r="B75" i="27"/>
  <c r="Z74" i="27"/>
  <c r="X74" i="27"/>
  <c r="N74" i="27"/>
  <c r="L74" i="27"/>
  <c r="B74" i="27"/>
  <c r="Z73" i="27"/>
  <c r="X73" i="27"/>
  <c r="V73" i="27"/>
  <c r="N73" i="27"/>
  <c r="L73" i="27"/>
  <c r="B73" i="27"/>
  <c r="Z72" i="27"/>
  <c r="X72" i="27"/>
  <c r="N72" i="27"/>
  <c r="L72" i="27"/>
  <c r="B72" i="27"/>
  <c r="X71" i="27"/>
  <c r="Z71" i="27" s="1"/>
  <c r="N71" i="27"/>
  <c r="L71" i="27"/>
  <c r="B71" i="27"/>
  <c r="Z70" i="27"/>
  <c r="X70" i="27"/>
  <c r="N70" i="27"/>
  <c r="L70" i="27"/>
  <c r="B70" i="27"/>
  <c r="X69" i="27"/>
  <c r="Z69" i="27" s="1"/>
  <c r="V69" i="27"/>
  <c r="N69" i="27"/>
  <c r="L69" i="27"/>
  <c r="B69" i="27"/>
  <c r="Z68" i="27"/>
  <c r="X68" i="27"/>
  <c r="N68" i="27"/>
  <c r="L68" i="27"/>
  <c r="B68" i="27"/>
  <c r="X67" i="27"/>
  <c r="Z67" i="27" s="1"/>
  <c r="L67" i="27"/>
  <c r="N67" i="27" s="1"/>
  <c r="B67" i="27"/>
  <c r="Z66" i="27"/>
  <c r="X66" i="27"/>
  <c r="T66" i="27"/>
  <c r="P66" i="27"/>
  <c r="H66" i="27"/>
  <c r="N66" i="27" s="1"/>
  <c r="D66" i="27"/>
  <c r="L66" i="27" s="1"/>
  <c r="B66" i="27"/>
  <c r="T65" i="27"/>
  <c r="Z65" i="27" s="1"/>
  <c r="P65" i="27"/>
  <c r="X65" i="27" s="1"/>
  <c r="H65" i="27"/>
  <c r="D65" i="27"/>
  <c r="T63" i="27"/>
  <c r="Z61" i="27"/>
  <c r="X61" i="27"/>
  <c r="N61" i="27"/>
  <c r="L61" i="27"/>
  <c r="B61" i="27"/>
  <c r="Z60" i="27"/>
  <c r="X60" i="27"/>
  <c r="V60" i="27"/>
  <c r="N60" i="27"/>
  <c r="L60" i="27"/>
  <c r="B60" i="27"/>
  <c r="Z59" i="27"/>
  <c r="X59" i="27"/>
  <c r="N59" i="27"/>
  <c r="L59" i="27"/>
  <c r="B59" i="27"/>
  <c r="Z58" i="27"/>
  <c r="X58" i="27"/>
  <c r="N58" i="27"/>
  <c r="L58" i="27"/>
  <c r="B58" i="27"/>
  <c r="Z57" i="27"/>
  <c r="X57" i="27"/>
  <c r="N57" i="27"/>
  <c r="L57" i="27"/>
  <c r="B57" i="27"/>
  <c r="Z56" i="27"/>
  <c r="X56" i="27"/>
  <c r="V56" i="27"/>
  <c r="N56" i="27"/>
  <c r="L56" i="27"/>
  <c r="B56" i="27"/>
  <c r="Z55" i="27"/>
  <c r="X55" i="27"/>
  <c r="N55" i="27"/>
  <c r="L55" i="27"/>
  <c r="B55" i="27"/>
  <c r="Z54" i="27"/>
  <c r="X54" i="27"/>
  <c r="N54" i="27"/>
  <c r="L54" i="27"/>
  <c r="B54" i="27"/>
  <c r="Z53" i="27"/>
  <c r="X53" i="27"/>
  <c r="N53" i="27"/>
  <c r="L53" i="27"/>
  <c r="B53" i="27"/>
  <c r="Z52" i="27"/>
  <c r="X52" i="27"/>
  <c r="V52" i="27"/>
  <c r="N52" i="27"/>
  <c r="L52" i="27"/>
  <c r="B52" i="27"/>
  <c r="Z51" i="27"/>
  <c r="X51" i="27"/>
  <c r="V51" i="27"/>
  <c r="N51" i="27"/>
  <c r="L51" i="27"/>
  <c r="B51" i="27"/>
  <c r="Z50" i="27"/>
  <c r="X50" i="27"/>
  <c r="N50" i="27"/>
  <c r="L50" i="27"/>
  <c r="B50" i="27"/>
  <c r="Z49" i="27"/>
  <c r="X49" i="27"/>
  <c r="N49" i="27"/>
  <c r="L49" i="27"/>
  <c r="B49" i="27"/>
  <c r="Z48" i="27"/>
  <c r="X48" i="27"/>
  <c r="V48" i="27"/>
  <c r="N48" i="27"/>
  <c r="L48" i="27"/>
  <c r="B48" i="27"/>
  <c r="Z47" i="27"/>
  <c r="X47" i="27"/>
  <c r="V47" i="27"/>
  <c r="N47" i="27"/>
  <c r="L47" i="27"/>
  <c r="B47" i="27"/>
  <c r="Z46" i="27"/>
  <c r="X46" i="27"/>
  <c r="N46" i="27"/>
  <c r="L46" i="27"/>
  <c r="B46" i="27"/>
  <c r="Z45" i="27"/>
  <c r="X45" i="27"/>
  <c r="L45" i="27"/>
  <c r="N45" i="27" s="1"/>
  <c r="B45" i="27"/>
  <c r="Z44" i="27"/>
  <c r="X44" i="27"/>
  <c r="V44" i="27"/>
  <c r="T44" i="27"/>
  <c r="P44" i="27"/>
  <c r="H44" i="27"/>
  <c r="D44" i="27"/>
  <c r="L44" i="27" s="1"/>
  <c r="N44" i="27" s="1"/>
  <c r="Z42" i="27"/>
  <c r="X42" i="27"/>
  <c r="P42" i="27"/>
  <c r="N42" i="27"/>
  <c r="L42" i="27"/>
  <c r="D42" i="27"/>
  <c r="B42" i="27"/>
  <c r="Z41" i="27"/>
  <c r="X41" i="27"/>
  <c r="P41" i="27"/>
  <c r="N41" i="27"/>
  <c r="D41" i="27"/>
  <c r="L41" i="27" s="1"/>
  <c r="B41" i="27"/>
  <c r="Z40" i="27"/>
  <c r="X40" i="27"/>
  <c r="P40" i="27"/>
  <c r="N40" i="27"/>
  <c r="L40" i="27"/>
  <c r="D40" i="27"/>
  <c r="B40" i="27"/>
  <c r="Z39" i="27"/>
  <c r="P39" i="27"/>
  <c r="X39" i="27" s="1"/>
  <c r="N39" i="27"/>
  <c r="L39" i="27"/>
  <c r="D39" i="27"/>
  <c r="B39" i="27"/>
  <c r="Z38" i="27"/>
  <c r="P38" i="27"/>
  <c r="X38" i="27" s="1"/>
  <c r="N38" i="27"/>
  <c r="L38" i="27"/>
  <c r="D38" i="27"/>
  <c r="B38" i="27"/>
  <c r="Z37" i="27"/>
  <c r="P37" i="27"/>
  <c r="X37" i="27" s="1"/>
  <c r="N37" i="27"/>
  <c r="L37" i="27"/>
  <c r="D37" i="27"/>
  <c r="B37" i="27"/>
  <c r="Z36" i="27"/>
  <c r="P36" i="27"/>
  <c r="X36" i="27" s="1"/>
  <c r="N36" i="27"/>
  <c r="D36" i="27"/>
  <c r="L36" i="27" s="1"/>
  <c r="B36" i="27"/>
  <c r="Z35" i="27"/>
  <c r="X35" i="27"/>
  <c r="P35" i="27"/>
  <c r="N35" i="27"/>
  <c r="D35" i="27"/>
  <c r="L35" i="27" s="1"/>
  <c r="B35" i="27"/>
  <c r="Z34" i="27"/>
  <c r="X34" i="27"/>
  <c r="P34" i="27"/>
  <c r="N34" i="27"/>
  <c r="L34" i="27"/>
  <c r="D34" i="27"/>
  <c r="B34" i="27"/>
  <c r="Z33" i="27"/>
  <c r="X33" i="27"/>
  <c r="P33" i="27"/>
  <c r="N33" i="27"/>
  <c r="D33" i="27"/>
  <c r="L33" i="27" s="1"/>
  <c r="B33" i="27"/>
  <c r="Z32" i="27"/>
  <c r="P32" i="27"/>
  <c r="X32" i="27" s="1"/>
  <c r="N32" i="27"/>
  <c r="L32" i="27"/>
  <c r="D32" i="27"/>
  <c r="B32" i="27"/>
  <c r="Z31" i="27"/>
  <c r="X31" i="27"/>
  <c r="P31" i="27"/>
  <c r="N31" i="27"/>
  <c r="L31" i="27"/>
  <c r="D31" i="27"/>
  <c r="B31" i="27"/>
  <c r="Z30" i="27"/>
  <c r="X30" i="27"/>
  <c r="P30" i="27"/>
  <c r="N30" i="27"/>
  <c r="L30" i="27"/>
  <c r="D30" i="27"/>
  <c r="B30" i="27"/>
  <c r="Z29" i="27"/>
  <c r="X29" i="27"/>
  <c r="P29" i="27"/>
  <c r="N29" i="27"/>
  <c r="D29" i="27"/>
  <c r="L29" i="27" s="1"/>
  <c r="B29" i="27"/>
  <c r="Z28" i="27"/>
  <c r="X28" i="27"/>
  <c r="P28" i="27"/>
  <c r="N28" i="27"/>
  <c r="L28" i="27"/>
  <c r="D28" i="27"/>
  <c r="B28" i="27"/>
  <c r="Z27" i="27"/>
  <c r="P27" i="27"/>
  <c r="X27" i="27" s="1"/>
  <c r="N27" i="27"/>
  <c r="L27" i="27"/>
  <c r="D27" i="27"/>
  <c r="B27" i="27"/>
  <c r="Z26" i="27"/>
  <c r="P26" i="27"/>
  <c r="X26" i="27" s="1"/>
  <c r="N26" i="27"/>
  <c r="L26" i="27"/>
  <c r="D26" i="27"/>
  <c r="B26" i="27"/>
  <c r="Z25" i="27"/>
  <c r="P25" i="27"/>
  <c r="X25" i="27" s="1"/>
  <c r="N25" i="27"/>
  <c r="L25" i="27"/>
  <c r="D25" i="27"/>
  <c r="B25" i="27"/>
  <c r="Z24" i="27"/>
  <c r="P24" i="27"/>
  <c r="X24" i="27" s="1"/>
  <c r="N24" i="27"/>
  <c r="D24" i="27"/>
  <c r="L24" i="27" s="1"/>
  <c r="B24" i="27"/>
  <c r="Z23" i="27"/>
  <c r="X23" i="27"/>
  <c r="P23" i="27"/>
  <c r="N23" i="27"/>
  <c r="D23" i="27"/>
  <c r="L23" i="27" s="1"/>
  <c r="B23" i="27"/>
  <c r="Z22" i="27"/>
  <c r="X22" i="27"/>
  <c r="P22" i="27"/>
  <c r="N22" i="27"/>
  <c r="D22" i="27"/>
  <c r="L22" i="27" s="1"/>
  <c r="B22" i="27"/>
  <c r="Z21" i="27"/>
  <c r="X21" i="27"/>
  <c r="P21" i="27"/>
  <c r="D21" i="27"/>
  <c r="L21" i="27" s="1"/>
  <c r="N21" i="27" s="1"/>
  <c r="B21" i="27"/>
  <c r="Z20" i="27"/>
  <c r="P20" i="27"/>
  <c r="X20" i="27" s="1"/>
  <c r="N20" i="27"/>
  <c r="L20" i="27"/>
  <c r="D20" i="27"/>
  <c r="B20" i="27"/>
  <c r="Z19" i="27"/>
  <c r="X19" i="27"/>
  <c r="P19" i="27"/>
  <c r="N19" i="27"/>
  <c r="L19" i="27"/>
  <c r="D19" i="27"/>
  <c r="B19" i="27"/>
  <c r="Z18" i="27"/>
  <c r="X18" i="27"/>
  <c r="P18" i="27"/>
  <c r="N18" i="27"/>
  <c r="L18" i="27"/>
  <c r="D18" i="27"/>
  <c r="B18" i="27"/>
  <c r="Z17" i="27"/>
  <c r="X17" i="27"/>
  <c r="P17" i="27"/>
  <c r="N17" i="27"/>
  <c r="D17" i="27"/>
  <c r="B17" i="27"/>
  <c r="Z16" i="27"/>
  <c r="X16" i="27"/>
  <c r="P16" i="27"/>
  <c r="N16" i="27"/>
  <c r="L16" i="27"/>
  <c r="D16" i="27"/>
  <c r="B16" i="27"/>
  <c r="Z15" i="27"/>
  <c r="P15" i="27"/>
  <c r="X15" i="27" s="1"/>
  <c r="N15" i="27"/>
  <c r="L15" i="27"/>
  <c r="D15" i="27"/>
  <c r="B15" i="27"/>
  <c r="Z14" i="27"/>
  <c r="P14" i="27"/>
  <c r="X14" i="27" s="1"/>
  <c r="N14" i="27"/>
  <c r="L14" i="27"/>
  <c r="D14" i="27"/>
  <c r="B14" i="27"/>
  <c r="Z13" i="27"/>
  <c r="P13" i="27"/>
  <c r="N13" i="27"/>
  <c r="L13" i="27"/>
  <c r="D13" i="27"/>
  <c r="B13" i="27"/>
  <c r="T12" i="27"/>
  <c r="H12" i="27"/>
  <c r="D4" i="27"/>
  <c r="X170" i="24"/>
  <c r="Z170" i="24" s="1"/>
  <c r="N170" i="24"/>
  <c r="L170" i="24"/>
  <c r="Z166" i="24"/>
  <c r="X166" i="24"/>
  <c r="P166" i="24"/>
  <c r="N166" i="24"/>
  <c r="D166" i="24"/>
  <c r="L166" i="24" s="1"/>
  <c r="B166" i="24"/>
  <c r="Z165" i="24"/>
  <c r="X165" i="24"/>
  <c r="T165" i="24"/>
  <c r="P165" i="24"/>
  <c r="N165" i="24"/>
  <c r="H165" i="24"/>
  <c r="D165" i="24"/>
  <c r="L165" i="24" s="1"/>
  <c r="Z163" i="24"/>
  <c r="X163" i="24"/>
  <c r="N163" i="24"/>
  <c r="L163" i="24"/>
  <c r="J163" i="24"/>
  <c r="B163" i="24"/>
  <c r="T162" i="24"/>
  <c r="Z162" i="24" s="1"/>
  <c r="P162" i="24"/>
  <c r="H162" i="24"/>
  <c r="N162" i="24" s="1"/>
  <c r="D162" i="24"/>
  <c r="L162" i="24" s="1"/>
  <c r="B162" i="24"/>
  <c r="X161" i="24"/>
  <c r="Z161" i="24" s="1"/>
  <c r="V161" i="24"/>
  <c r="N161" i="24"/>
  <c r="L161" i="24"/>
  <c r="B161" i="24"/>
  <c r="T160" i="24"/>
  <c r="Z160" i="24" s="1"/>
  <c r="P160" i="24"/>
  <c r="X160" i="24" s="1"/>
  <c r="H160" i="24"/>
  <c r="D160" i="24"/>
  <c r="L160" i="24" s="1"/>
  <c r="N160" i="24" s="1"/>
  <c r="B160" i="24"/>
  <c r="Z159" i="24"/>
  <c r="X159" i="24"/>
  <c r="N159" i="24"/>
  <c r="L159" i="24"/>
  <c r="J159" i="24"/>
  <c r="B159" i="24"/>
  <c r="X158" i="24"/>
  <c r="T158" i="24"/>
  <c r="Z158" i="24" s="1"/>
  <c r="P158" i="24"/>
  <c r="L158" i="24"/>
  <c r="J158" i="24"/>
  <c r="H158" i="24"/>
  <c r="D158" i="24"/>
  <c r="B158" i="24"/>
  <c r="Z157" i="24"/>
  <c r="X157" i="24"/>
  <c r="N157" i="24"/>
  <c r="L157" i="24"/>
  <c r="J157" i="24"/>
  <c r="B157" i="24"/>
  <c r="Z156" i="24"/>
  <c r="X156" i="24"/>
  <c r="N156" i="24"/>
  <c r="L156" i="24"/>
  <c r="B156" i="24"/>
  <c r="Z155" i="24"/>
  <c r="X155" i="24"/>
  <c r="V155" i="24"/>
  <c r="N155" i="24"/>
  <c r="L155" i="24"/>
  <c r="J155" i="24"/>
  <c r="B155" i="24"/>
  <c r="T154" i="24"/>
  <c r="P154" i="24"/>
  <c r="H154" i="24"/>
  <c r="D154" i="24"/>
  <c r="B154" i="24"/>
  <c r="Z153" i="24"/>
  <c r="X153" i="24"/>
  <c r="V153" i="24"/>
  <c r="N153" i="24"/>
  <c r="L153" i="24"/>
  <c r="B153" i="24"/>
  <c r="T152" i="24"/>
  <c r="Z152" i="24" s="1"/>
  <c r="P152" i="24"/>
  <c r="X152" i="24" s="1"/>
  <c r="N152" i="24"/>
  <c r="H152" i="24"/>
  <c r="D152" i="24"/>
  <c r="L152" i="24" s="1"/>
  <c r="B152" i="24"/>
  <c r="Z151" i="24"/>
  <c r="X151" i="24"/>
  <c r="N151" i="24"/>
  <c r="L151" i="24"/>
  <c r="J151" i="24"/>
  <c r="B151" i="24"/>
  <c r="X150" i="24"/>
  <c r="Z150" i="24" s="1"/>
  <c r="N150" i="24"/>
  <c r="L150" i="24"/>
  <c r="B150" i="24"/>
  <c r="Z149" i="24"/>
  <c r="X149" i="24"/>
  <c r="T149" i="24"/>
  <c r="P149" i="24"/>
  <c r="H149" i="24"/>
  <c r="D149" i="24"/>
  <c r="L149" i="24" s="1"/>
  <c r="B149" i="24"/>
  <c r="Z148" i="24"/>
  <c r="X148" i="24"/>
  <c r="L148" i="24"/>
  <c r="N148" i="24" s="1"/>
  <c r="B148" i="24"/>
  <c r="Z147" i="24"/>
  <c r="X147" i="24"/>
  <c r="V147" i="24"/>
  <c r="N147" i="24"/>
  <c r="L147" i="24"/>
  <c r="J147" i="24"/>
  <c r="B147" i="24"/>
  <c r="T146" i="24"/>
  <c r="P146" i="24"/>
  <c r="H146" i="24"/>
  <c r="D146" i="24"/>
  <c r="L146" i="24" s="1"/>
  <c r="B146" i="24"/>
  <c r="X145" i="24"/>
  <c r="Z145" i="24" s="1"/>
  <c r="V145" i="24"/>
  <c r="N145" i="24"/>
  <c r="L145" i="24"/>
  <c r="B145" i="24"/>
  <c r="T144" i="24"/>
  <c r="Z144" i="24" s="1"/>
  <c r="P144" i="24"/>
  <c r="X144" i="24" s="1"/>
  <c r="N144" i="24"/>
  <c r="H144" i="24"/>
  <c r="D144" i="24"/>
  <c r="L144" i="24" s="1"/>
  <c r="B144" i="24"/>
  <c r="Z143" i="24"/>
  <c r="X143" i="24"/>
  <c r="N143" i="24"/>
  <c r="L143" i="24"/>
  <c r="J143" i="24"/>
  <c r="B143" i="24"/>
  <c r="Z142" i="24"/>
  <c r="X142" i="24"/>
  <c r="N142" i="24"/>
  <c r="L142" i="24"/>
  <c r="B142" i="24"/>
  <c r="Z141" i="24"/>
  <c r="X141" i="24"/>
  <c r="N141" i="24"/>
  <c r="L141" i="24"/>
  <c r="B141" i="24"/>
  <c r="Z140" i="24"/>
  <c r="X140" i="24"/>
  <c r="V140" i="24"/>
  <c r="N140" i="24"/>
  <c r="L140" i="24"/>
  <c r="B140" i="24"/>
  <c r="Z139" i="24"/>
  <c r="X139" i="24"/>
  <c r="N139" i="24"/>
  <c r="L139" i="24"/>
  <c r="J139" i="24"/>
  <c r="B139" i="24"/>
  <c r="Z138" i="24"/>
  <c r="X138" i="24"/>
  <c r="N138" i="24"/>
  <c r="L138" i="24"/>
  <c r="B138" i="24"/>
  <c r="Z137" i="24"/>
  <c r="X137" i="24"/>
  <c r="N137" i="24"/>
  <c r="L137" i="24"/>
  <c r="B137" i="24"/>
  <c r="Z136" i="24"/>
  <c r="X136" i="24"/>
  <c r="V136" i="24"/>
  <c r="N136" i="24"/>
  <c r="L136" i="24"/>
  <c r="B136" i="24"/>
  <c r="Z135" i="24"/>
  <c r="X135" i="24"/>
  <c r="N135" i="24"/>
  <c r="L135" i="24"/>
  <c r="J135" i="24"/>
  <c r="B135" i="24"/>
  <c r="Z134" i="24"/>
  <c r="X134" i="24"/>
  <c r="N134" i="24"/>
  <c r="L134" i="24"/>
  <c r="B134" i="24"/>
  <c r="Z133" i="24"/>
  <c r="X133" i="24"/>
  <c r="N133" i="24"/>
  <c r="L133" i="24"/>
  <c r="B133" i="24"/>
  <c r="Z132" i="24"/>
  <c r="X132" i="24"/>
  <c r="V132" i="24"/>
  <c r="N132" i="24"/>
  <c r="L132" i="24"/>
  <c r="B132" i="24"/>
  <c r="Z131" i="24"/>
  <c r="X131" i="24"/>
  <c r="N131" i="24"/>
  <c r="L131" i="24"/>
  <c r="J131" i="24"/>
  <c r="B131" i="24"/>
  <c r="Z130" i="24"/>
  <c r="X130" i="24"/>
  <c r="N130" i="24"/>
  <c r="L130" i="24"/>
  <c r="B130" i="24"/>
  <c r="Z129" i="24"/>
  <c r="X129" i="24"/>
  <c r="N129" i="24"/>
  <c r="L129" i="24"/>
  <c r="B129" i="24"/>
  <c r="Z128" i="24"/>
  <c r="X128" i="24"/>
  <c r="V128" i="24"/>
  <c r="N128" i="24"/>
  <c r="L128" i="24"/>
  <c r="B128" i="24"/>
  <c r="Z127" i="24"/>
  <c r="X127" i="24"/>
  <c r="N127" i="24"/>
  <c r="L127" i="24"/>
  <c r="J127" i="24"/>
  <c r="B127" i="24"/>
  <c r="Z126" i="24"/>
  <c r="X126" i="24"/>
  <c r="N126" i="24"/>
  <c r="L126" i="24"/>
  <c r="B126" i="24"/>
  <c r="Z125" i="24"/>
  <c r="X125" i="24"/>
  <c r="N125" i="24"/>
  <c r="L125" i="24"/>
  <c r="B125" i="24"/>
  <c r="Z124" i="24"/>
  <c r="X124" i="24"/>
  <c r="V124" i="24"/>
  <c r="N124" i="24"/>
  <c r="L124" i="24"/>
  <c r="B124" i="24"/>
  <c r="Z123" i="24"/>
  <c r="X123" i="24"/>
  <c r="N123" i="24"/>
  <c r="L123" i="24"/>
  <c r="J123" i="24"/>
  <c r="B123" i="24"/>
  <c r="X122" i="24"/>
  <c r="Z122" i="24" s="1"/>
  <c r="L122" i="24"/>
  <c r="N122" i="24" s="1"/>
  <c r="B122" i="24"/>
  <c r="T121" i="24"/>
  <c r="P121" i="24"/>
  <c r="X121" i="24" s="1"/>
  <c r="Z121" i="24" s="1"/>
  <c r="H121" i="24"/>
  <c r="D121" i="24"/>
  <c r="L121" i="24" s="1"/>
  <c r="B121" i="24"/>
  <c r="X120" i="24"/>
  <c r="Z120" i="24" s="1"/>
  <c r="L120" i="24"/>
  <c r="N120" i="24" s="1"/>
  <c r="B120" i="24"/>
  <c r="X119" i="24"/>
  <c r="Z119" i="24" s="1"/>
  <c r="V119" i="24"/>
  <c r="T119" i="24"/>
  <c r="P119" i="24"/>
  <c r="H119" i="24"/>
  <c r="D119" i="24"/>
  <c r="L119" i="24" s="1"/>
  <c r="N119" i="24" s="1"/>
  <c r="B119" i="24"/>
  <c r="Z118" i="24"/>
  <c r="X118" i="24"/>
  <c r="N118" i="24"/>
  <c r="L118" i="24"/>
  <c r="B118" i="24"/>
  <c r="T117" i="24"/>
  <c r="P117" i="24"/>
  <c r="N117" i="24"/>
  <c r="J117" i="24"/>
  <c r="H117" i="24"/>
  <c r="D117" i="24"/>
  <c r="L117" i="24" s="1"/>
  <c r="B117" i="24"/>
  <c r="X116" i="24"/>
  <c r="Z116" i="24" s="1"/>
  <c r="V116" i="24"/>
  <c r="L116" i="24"/>
  <c r="N116" i="24" s="1"/>
  <c r="B116" i="24"/>
  <c r="T115" i="24"/>
  <c r="Z115" i="24" s="1"/>
  <c r="P115" i="24"/>
  <c r="X115" i="24" s="1"/>
  <c r="H115" i="24"/>
  <c r="D115" i="24"/>
  <c r="L115" i="24" s="1"/>
  <c r="N115" i="24" s="1"/>
  <c r="B115" i="24"/>
  <c r="Z114" i="24"/>
  <c r="X114" i="24"/>
  <c r="N114" i="24"/>
  <c r="L114" i="24"/>
  <c r="B114" i="24"/>
  <c r="Z113" i="24"/>
  <c r="X113" i="24"/>
  <c r="L113" i="24"/>
  <c r="N113" i="24" s="1"/>
  <c r="J113" i="24"/>
  <c r="B113" i="24"/>
  <c r="T112" i="24"/>
  <c r="P112" i="24"/>
  <c r="H112" i="24"/>
  <c r="D112" i="24"/>
  <c r="L112" i="24" s="1"/>
  <c r="B112" i="24"/>
  <c r="Z111" i="24"/>
  <c r="X111" i="24"/>
  <c r="V111" i="24"/>
  <c r="N111" i="24"/>
  <c r="L111" i="24"/>
  <c r="B111" i="24"/>
  <c r="Z110" i="24"/>
  <c r="T110" i="24"/>
  <c r="P110" i="24"/>
  <c r="X110" i="24" s="1"/>
  <c r="H110" i="24"/>
  <c r="N110" i="24" s="1"/>
  <c r="D110" i="24"/>
  <c r="L110" i="24" s="1"/>
  <c r="B110" i="24"/>
  <c r="Z109" i="24"/>
  <c r="X109" i="24"/>
  <c r="N109" i="24"/>
  <c r="L109" i="24"/>
  <c r="B109" i="24"/>
  <c r="X108" i="24"/>
  <c r="V108" i="24"/>
  <c r="T108" i="24"/>
  <c r="P108" i="24"/>
  <c r="L108" i="24"/>
  <c r="H108" i="24"/>
  <c r="N108" i="24" s="1"/>
  <c r="D108" i="24"/>
  <c r="B108" i="24"/>
  <c r="Z107" i="24"/>
  <c r="X107" i="24"/>
  <c r="V107" i="24"/>
  <c r="N107" i="24"/>
  <c r="L107" i="24"/>
  <c r="J107" i="24"/>
  <c r="B107" i="24"/>
  <c r="Z106" i="24"/>
  <c r="X106" i="24"/>
  <c r="N106" i="24"/>
  <c r="L106" i="24"/>
  <c r="B106" i="24"/>
  <c r="Z105" i="24"/>
  <c r="X105" i="24"/>
  <c r="L105" i="24"/>
  <c r="N105" i="24" s="1"/>
  <c r="J105" i="24"/>
  <c r="B105" i="24"/>
  <c r="Z104" i="24"/>
  <c r="X104" i="24"/>
  <c r="L104" i="24"/>
  <c r="N104" i="24" s="1"/>
  <c r="B104" i="24"/>
  <c r="Z103" i="24"/>
  <c r="X103" i="24"/>
  <c r="V103" i="24"/>
  <c r="N103" i="24"/>
  <c r="L103" i="24"/>
  <c r="J103" i="24"/>
  <c r="B103" i="24"/>
  <c r="Z102" i="24"/>
  <c r="X102" i="24"/>
  <c r="N102" i="24"/>
  <c r="L102" i="24"/>
  <c r="B102" i="24"/>
  <c r="Z101" i="24"/>
  <c r="X101" i="24"/>
  <c r="N101" i="24"/>
  <c r="L101" i="24"/>
  <c r="J101" i="24"/>
  <c r="B101" i="24"/>
  <c r="Z100" i="24"/>
  <c r="X100" i="24"/>
  <c r="N100" i="24"/>
  <c r="L100" i="24"/>
  <c r="B100" i="24"/>
  <c r="Z99" i="24"/>
  <c r="X99" i="24"/>
  <c r="V99" i="24"/>
  <c r="N99" i="24"/>
  <c r="L99" i="24"/>
  <c r="J99" i="24"/>
  <c r="B99" i="24"/>
  <c r="X98" i="24"/>
  <c r="Z98" i="24" s="1"/>
  <c r="V98" i="24"/>
  <c r="N98" i="24"/>
  <c r="L98" i="24"/>
  <c r="B98" i="24"/>
  <c r="T97" i="24"/>
  <c r="P97" i="24"/>
  <c r="X97" i="24" s="1"/>
  <c r="Z97" i="24" s="1"/>
  <c r="L97" i="24"/>
  <c r="N97" i="24" s="1"/>
  <c r="J97" i="24"/>
  <c r="H97" i="24"/>
  <c r="D97" i="24"/>
  <c r="B97" i="24"/>
  <c r="Z96" i="24"/>
  <c r="X96" i="24"/>
  <c r="N96" i="24"/>
  <c r="L96" i="24"/>
  <c r="J96" i="24"/>
  <c r="B96" i="24"/>
  <c r="Z95" i="24"/>
  <c r="X95" i="24"/>
  <c r="V95" i="24"/>
  <c r="N95" i="24"/>
  <c r="L95" i="24"/>
  <c r="B95" i="24"/>
  <c r="Z94" i="24"/>
  <c r="X94" i="24"/>
  <c r="L94" i="24"/>
  <c r="N94" i="24" s="1"/>
  <c r="B94" i="24"/>
  <c r="Z93" i="24"/>
  <c r="X93" i="24"/>
  <c r="V93" i="24"/>
  <c r="N93" i="24"/>
  <c r="L93" i="24"/>
  <c r="B93" i="24"/>
  <c r="Z92" i="24"/>
  <c r="X92" i="24"/>
  <c r="N92" i="24"/>
  <c r="L92" i="24"/>
  <c r="J92" i="24"/>
  <c r="B92" i="24"/>
  <c r="Z91" i="24"/>
  <c r="X91" i="24"/>
  <c r="V91" i="24"/>
  <c r="N91" i="24"/>
  <c r="L91" i="24"/>
  <c r="B91" i="24"/>
  <c r="Z90" i="24"/>
  <c r="X90" i="24"/>
  <c r="L90" i="24"/>
  <c r="N90" i="24" s="1"/>
  <c r="B90" i="24"/>
  <c r="X89" i="24"/>
  <c r="Z89" i="24" s="1"/>
  <c r="V89" i="24"/>
  <c r="N89" i="24"/>
  <c r="L89" i="24"/>
  <c r="B89" i="24"/>
  <c r="X88" i="24"/>
  <c r="Z88" i="24" s="1"/>
  <c r="L88" i="24"/>
  <c r="N88" i="24" s="1"/>
  <c r="J88" i="24"/>
  <c r="B88" i="24"/>
  <c r="Z87" i="24"/>
  <c r="X87" i="24"/>
  <c r="V87" i="24"/>
  <c r="N87" i="24"/>
  <c r="L87" i="24"/>
  <c r="B87" i="24"/>
  <c r="T86" i="24"/>
  <c r="P86" i="24"/>
  <c r="X86" i="24" s="1"/>
  <c r="Z86" i="24" s="1"/>
  <c r="H86" i="24"/>
  <c r="N86" i="24" s="1"/>
  <c r="D86" i="24"/>
  <c r="L86" i="24" s="1"/>
  <c r="B86" i="24"/>
  <c r="T85" i="24"/>
  <c r="P85" i="24"/>
  <c r="X85" i="24" s="1"/>
  <c r="Z85" i="24" s="1"/>
  <c r="H85" i="24"/>
  <c r="N85" i="24" s="1"/>
  <c r="D85" i="24"/>
  <c r="L85" i="24" s="1"/>
  <c r="Z81" i="24"/>
  <c r="X81" i="24"/>
  <c r="N81" i="24"/>
  <c r="L81" i="24"/>
  <c r="B81" i="24"/>
  <c r="Z80" i="24"/>
  <c r="X80" i="24"/>
  <c r="V80" i="24"/>
  <c r="N80" i="24"/>
  <c r="L80" i="24"/>
  <c r="B80" i="24"/>
  <c r="Z79" i="24"/>
  <c r="X79" i="24"/>
  <c r="N79" i="24"/>
  <c r="L79" i="24"/>
  <c r="J79" i="24"/>
  <c r="B79" i="24"/>
  <c r="Z78" i="24"/>
  <c r="X78" i="24"/>
  <c r="N78" i="24"/>
  <c r="L78" i="24"/>
  <c r="J78" i="24"/>
  <c r="B78" i="24"/>
  <c r="Z77" i="24"/>
  <c r="X77" i="24"/>
  <c r="N77" i="24"/>
  <c r="L77" i="24"/>
  <c r="B77" i="24"/>
  <c r="Z76" i="24"/>
  <c r="X76" i="24"/>
  <c r="V76" i="24"/>
  <c r="N76" i="24"/>
  <c r="L76" i="24"/>
  <c r="B76" i="24"/>
  <c r="Z75" i="24"/>
  <c r="X75" i="24"/>
  <c r="N75" i="24"/>
  <c r="L75" i="24"/>
  <c r="J75" i="24"/>
  <c r="B75" i="24"/>
  <c r="Z74" i="24"/>
  <c r="X74" i="24"/>
  <c r="N74" i="24"/>
  <c r="L74" i="24"/>
  <c r="J74" i="24"/>
  <c r="B74" i="24"/>
  <c r="Z73" i="24"/>
  <c r="X73" i="24"/>
  <c r="N73" i="24"/>
  <c r="L73" i="24"/>
  <c r="B73" i="24"/>
  <c r="Z72" i="24"/>
  <c r="X72" i="24"/>
  <c r="V72" i="24"/>
  <c r="N72" i="24"/>
  <c r="L72" i="24"/>
  <c r="B72" i="24"/>
  <c r="Z71" i="24"/>
  <c r="X71" i="24"/>
  <c r="N71" i="24"/>
  <c r="L71" i="24"/>
  <c r="J71" i="24"/>
  <c r="B71" i="24"/>
  <c r="Z70" i="24"/>
  <c r="X70" i="24"/>
  <c r="N70" i="24"/>
  <c r="L70" i="24"/>
  <c r="J70" i="24"/>
  <c r="B70" i="24"/>
  <c r="Z69" i="24"/>
  <c r="X69" i="24"/>
  <c r="N69" i="24"/>
  <c r="L69" i="24"/>
  <c r="B69" i="24"/>
  <c r="Z68" i="24"/>
  <c r="X68" i="24"/>
  <c r="V68" i="24"/>
  <c r="N68" i="24"/>
  <c r="L68" i="24"/>
  <c r="B68" i="24"/>
  <c r="Z67" i="24"/>
  <c r="X67" i="24"/>
  <c r="N67" i="24"/>
  <c r="L67" i="24"/>
  <c r="J67" i="24"/>
  <c r="B67" i="24"/>
  <c r="Z66" i="24"/>
  <c r="X66" i="24"/>
  <c r="N66" i="24"/>
  <c r="L66" i="24"/>
  <c r="J66" i="24"/>
  <c r="B66" i="24"/>
  <c r="Z65" i="24"/>
  <c r="X65" i="24"/>
  <c r="N65" i="24"/>
  <c r="L65" i="24"/>
  <c r="B65" i="24"/>
  <c r="Z64" i="24"/>
  <c r="X64" i="24"/>
  <c r="V64" i="24"/>
  <c r="N64" i="24"/>
  <c r="L64" i="24"/>
  <c r="B64" i="24"/>
  <c r="Z63" i="24"/>
  <c r="X63" i="24"/>
  <c r="N63" i="24"/>
  <c r="L63" i="24"/>
  <c r="J63" i="24"/>
  <c r="B63" i="24"/>
  <c r="Z62" i="24"/>
  <c r="X62" i="24"/>
  <c r="N62" i="24"/>
  <c r="L62" i="24"/>
  <c r="J62" i="24"/>
  <c r="B62" i="24"/>
  <c r="Z61" i="24"/>
  <c r="X61" i="24"/>
  <c r="N61" i="24"/>
  <c r="L61" i="24"/>
  <c r="B61" i="24"/>
  <c r="Z60" i="24"/>
  <c r="X60" i="24"/>
  <c r="V60" i="24"/>
  <c r="N60" i="24"/>
  <c r="L60" i="24"/>
  <c r="B60" i="24"/>
  <c r="Z59" i="24"/>
  <c r="X59" i="24"/>
  <c r="N59" i="24"/>
  <c r="L59" i="24"/>
  <c r="J59" i="24"/>
  <c r="B59" i="24"/>
  <c r="X58" i="24"/>
  <c r="Z58" i="24" s="1"/>
  <c r="L58" i="24"/>
  <c r="N58" i="24" s="1"/>
  <c r="J58" i="24"/>
  <c r="B58" i="24"/>
  <c r="T57" i="24"/>
  <c r="P57" i="24"/>
  <c r="X57" i="24" s="1"/>
  <c r="Z57" i="24" s="1"/>
  <c r="H57" i="24"/>
  <c r="N57" i="24" s="1"/>
  <c r="D57" i="24"/>
  <c r="L57" i="24" s="1"/>
  <c r="Z55" i="24"/>
  <c r="P55" i="24"/>
  <c r="X55" i="24" s="1"/>
  <c r="N55" i="24"/>
  <c r="L55" i="24"/>
  <c r="D55" i="24"/>
  <c r="B55" i="24"/>
  <c r="Z54" i="24"/>
  <c r="P54" i="24"/>
  <c r="X54" i="24" s="1"/>
  <c r="N54" i="24"/>
  <c r="L54" i="24"/>
  <c r="D54" i="24"/>
  <c r="B54" i="24"/>
  <c r="Z53" i="24"/>
  <c r="P53" i="24"/>
  <c r="X53" i="24" s="1"/>
  <c r="N53" i="24"/>
  <c r="L53" i="24"/>
  <c r="D53" i="24"/>
  <c r="B53" i="24"/>
  <c r="Z52" i="24"/>
  <c r="P52" i="24"/>
  <c r="X52" i="24" s="1"/>
  <c r="N52" i="24"/>
  <c r="D52" i="24"/>
  <c r="L52" i="24" s="1"/>
  <c r="B52" i="24"/>
  <c r="Z51" i="24"/>
  <c r="P51" i="24"/>
  <c r="X51" i="24" s="1"/>
  <c r="N51" i="24"/>
  <c r="D51" i="24"/>
  <c r="L51" i="24" s="1"/>
  <c r="B51" i="24"/>
  <c r="Z50" i="24"/>
  <c r="X50" i="24"/>
  <c r="P50" i="24"/>
  <c r="N50" i="24"/>
  <c r="D50" i="24"/>
  <c r="L50" i="24" s="1"/>
  <c r="B50" i="24"/>
  <c r="Z49" i="24"/>
  <c r="P49" i="24"/>
  <c r="X49" i="24" s="1"/>
  <c r="N49" i="24"/>
  <c r="L49" i="24"/>
  <c r="D49" i="24"/>
  <c r="B49" i="24"/>
  <c r="Z48" i="24"/>
  <c r="X48" i="24"/>
  <c r="P48" i="24"/>
  <c r="N48" i="24"/>
  <c r="D48" i="24"/>
  <c r="L48" i="24" s="1"/>
  <c r="B48" i="24"/>
  <c r="Z47" i="24"/>
  <c r="P47" i="24"/>
  <c r="X47" i="24" s="1"/>
  <c r="N47" i="24"/>
  <c r="L47" i="24"/>
  <c r="D47" i="24"/>
  <c r="B47" i="24"/>
  <c r="Z46" i="24"/>
  <c r="X46" i="24"/>
  <c r="P46" i="24"/>
  <c r="N46" i="24"/>
  <c r="D46" i="24"/>
  <c r="L46" i="24" s="1"/>
  <c r="B46" i="24"/>
  <c r="Z45" i="24"/>
  <c r="X45" i="24"/>
  <c r="P45" i="24"/>
  <c r="N45" i="24"/>
  <c r="L45" i="24"/>
  <c r="D45" i="24"/>
  <c r="B45" i="24"/>
  <c r="Z44" i="24"/>
  <c r="X44" i="24"/>
  <c r="P44" i="24"/>
  <c r="N44" i="24"/>
  <c r="D44" i="24"/>
  <c r="L44" i="24" s="1"/>
  <c r="B44" i="24"/>
  <c r="Z43" i="24"/>
  <c r="P43" i="24"/>
  <c r="X43" i="24" s="1"/>
  <c r="N43" i="24"/>
  <c r="L43" i="24"/>
  <c r="D43" i="24"/>
  <c r="B43" i="24"/>
  <c r="Z42" i="24"/>
  <c r="P42" i="24"/>
  <c r="X42" i="24" s="1"/>
  <c r="N42" i="24"/>
  <c r="L42" i="24"/>
  <c r="D42" i="24"/>
  <c r="B42" i="24"/>
  <c r="Z41" i="24"/>
  <c r="P41" i="24"/>
  <c r="X41" i="24" s="1"/>
  <c r="N41" i="24"/>
  <c r="L41" i="24"/>
  <c r="D41" i="24"/>
  <c r="B41" i="24"/>
  <c r="Z40" i="24"/>
  <c r="P40" i="24"/>
  <c r="N40" i="24"/>
  <c r="D40" i="24"/>
  <c r="L40" i="24" s="1"/>
  <c r="B40" i="24"/>
  <c r="Z39" i="24"/>
  <c r="P39" i="24"/>
  <c r="X39" i="24" s="1"/>
  <c r="N39" i="24"/>
  <c r="D39" i="24"/>
  <c r="L39" i="24" s="1"/>
  <c r="B39" i="24"/>
  <c r="Z38" i="24"/>
  <c r="X38" i="24"/>
  <c r="P38" i="24"/>
  <c r="N38" i="24"/>
  <c r="D38" i="24"/>
  <c r="L38" i="24" s="1"/>
  <c r="B38" i="24"/>
  <c r="Z37" i="24"/>
  <c r="P37" i="24"/>
  <c r="X37" i="24" s="1"/>
  <c r="N37" i="24"/>
  <c r="L37" i="24"/>
  <c r="D37" i="24"/>
  <c r="B37" i="24"/>
  <c r="Z36" i="24"/>
  <c r="X36" i="24"/>
  <c r="P36" i="24"/>
  <c r="N36" i="24"/>
  <c r="D36" i="24"/>
  <c r="L36" i="24" s="1"/>
  <c r="B36" i="24"/>
  <c r="Z35" i="24"/>
  <c r="P35" i="24"/>
  <c r="X35" i="24" s="1"/>
  <c r="N35" i="24"/>
  <c r="L35" i="24"/>
  <c r="D35" i="24"/>
  <c r="B35" i="24"/>
  <c r="Z34" i="24"/>
  <c r="X34" i="24"/>
  <c r="P34" i="24"/>
  <c r="N34" i="24"/>
  <c r="D34" i="24"/>
  <c r="L34" i="24" s="1"/>
  <c r="B34" i="24"/>
  <c r="Z33" i="24"/>
  <c r="X33" i="24"/>
  <c r="P33" i="24"/>
  <c r="L33" i="24"/>
  <c r="N33" i="24" s="1"/>
  <c r="D33" i="24"/>
  <c r="B33" i="24"/>
  <c r="Z32" i="24"/>
  <c r="X32" i="24"/>
  <c r="P32" i="24"/>
  <c r="N32" i="24"/>
  <c r="D32" i="24"/>
  <c r="L32" i="24" s="1"/>
  <c r="B32" i="24"/>
  <c r="Z31" i="24"/>
  <c r="P31" i="24"/>
  <c r="X31" i="24" s="1"/>
  <c r="N31" i="24"/>
  <c r="L31" i="24"/>
  <c r="D31" i="24"/>
  <c r="B31" i="24"/>
  <c r="Z30" i="24"/>
  <c r="P30" i="24"/>
  <c r="X30" i="24" s="1"/>
  <c r="N30" i="24"/>
  <c r="L30" i="24"/>
  <c r="D30" i="24"/>
  <c r="B30" i="24"/>
  <c r="Z29" i="24"/>
  <c r="P29" i="24"/>
  <c r="X29" i="24" s="1"/>
  <c r="N29" i="24"/>
  <c r="L29" i="24"/>
  <c r="D29" i="24"/>
  <c r="B29" i="24"/>
  <c r="Z28" i="24"/>
  <c r="X28" i="24"/>
  <c r="P28" i="24"/>
  <c r="N28" i="24"/>
  <c r="D28" i="24"/>
  <c r="L28" i="24" s="1"/>
  <c r="B28" i="24"/>
  <c r="Z27" i="24"/>
  <c r="P27" i="24"/>
  <c r="X27" i="24" s="1"/>
  <c r="N27" i="24"/>
  <c r="D27" i="24"/>
  <c r="L27" i="24" s="1"/>
  <c r="B27" i="24"/>
  <c r="Z26" i="24"/>
  <c r="X26" i="24"/>
  <c r="P26" i="24"/>
  <c r="N26" i="24"/>
  <c r="D26" i="24"/>
  <c r="L26" i="24" s="1"/>
  <c r="B26" i="24"/>
  <c r="Z25" i="24"/>
  <c r="P25" i="24"/>
  <c r="X25" i="24" s="1"/>
  <c r="N25" i="24"/>
  <c r="D25" i="24"/>
  <c r="L25" i="24" s="1"/>
  <c r="B25" i="24"/>
  <c r="Z24" i="24"/>
  <c r="X24" i="24"/>
  <c r="P24" i="24"/>
  <c r="N24" i="24"/>
  <c r="D24" i="24"/>
  <c r="L24" i="24" s="1"/>
  <c r="B24" i="24"/>
  <c r="Z23" i="24"/>
  <c r="P23" i="24"/>
  <c r="X23" i="24" s="1"/>
  <c r="N23" i="24"/>
  <c r="L23" i="24"/>
  <c r="D23" i="24"/>
  <c r="B23" i="24"/>
  <c r="Z22" i="24"/>
  <c r="X22" i="24"/>
  <c r="P22" i="24"/>
  <c r="N22" i="24"/>
  <c r="D22" i="24"/>
  <c r="L22" i="24" s="1"/>
  <c r="B22" i="24"/>
  <c r="Z21" i="24"/>
  <c r="X21" i="24"/>
  <c r="P21" i="24"/>
  <c r="N21" i="24"/>
  <c r="L21" i="24"/>
  <c r="D21" i="24"/>
  <c r="B21" i="24"/>
  <c r="Z20" i="24"/>
  <c r="X20" i="24"/>
  <c r="P20" i="24"/>
  <c r="N20" i="24"/>
  <c r="D20" i="24"/>
  <c r="L20" i="24" s="1"/>
  <c r="B20" i="24"/>
  <c r="Z19" i="24"/>
  <c r="P19" i="24"/>
  <c r="X19" i="24" s="1"/>
  <c r="N19" i="24"/>
  <c r="L19" i="24"/>
  <c r="D19" i="24"/>
  <c r="B19" i="24"/>
  <c r="Z18" i="24"/>
  <c r="P18" i="24"/>
  <c r="X18" i="24" s="1"/>
  <c r="N18" i="24"/>
  <c r="L18" i="24"/>
  <c r="D18" i="24"/>
  <c r="B18" i="24"/>
  <c r="Z17" i="24"/>
  <c r="P17" i="24"/>
  <c r="X17" i="24" s="1"/>
  <c r="N17" i="24"/>
  <c r="L17" i="24"/>
  <c r="D17" i="24"/>
  <c r="B17" i="24"/>
  <c r="Z16" i="24"/>
  <c r="X16" i="24"/>
  <c r="P16" i="24"/>
  <c r="N16" i="24"/>
  <c r="D16" i="24"/>
  <c r="L16" i="24" s="1"/>
  <c r="B16" i="24"/>
  <c r="Z15" i="24"/>
  <c r="P15" i="24"/>
  <c r="X15" i="24" s="1"/>
  <c r="N15" i="24"/>
  <c r="D15" i="24"/>
  <c r="L15" i="24" s="1"/>
  <c r="B15" i="24"/>
  <c r="Z14" i="24"/>
  <c r="X14" i="24"/>
  <c r="P14" i="24"/>
  <c r="N14" i="24"/>
  <c r="D14" i="24"/>
  <c r="L14" i="24" s="1"/>
  <c r="B14" i="24"/>
  <c r="P13" i="24"/>
  <c r="X13" i="24" s="1"/>
  <c r="Z13" i="24" s="1"/>
  <c r="L13" i="24"/>
  <c r="N13" i="24" s="1"/>
  <c r="D13" i="24"/>
  <c r="B13" i="24"/>
  <c r="T12" i="24"/>
  <c r="H12" i="24"/>
  <c r="J160" i="24" s="1"/>
  <c r="D4" i="24"/>
  <c r="Z122" i="21"/>
  <c r="X122" i="21"/>
  <c r="N122" i="21"/>
  <c r="L122" i="21"/>
  <c r="V118" i="21"/>
  <c r="T118" i="21"/>
  <c r="P118" i="21"/>
  <c r="J118" i="21"/>
  <c r="H118" i="21"/>
  <c r="N118" i="21" s="1"/>
  <c r="D118" i="21"/>
  <c r="L118" i="21" s="1"/>
  <c r="X116" i="21"/>
  <c r="Z116" i="21" s="1"/>
  <c r="N116" i="21"/>
  <c r="L116" i="21"/>
  <c r="B116" i="21"/>
  <c r="T115" i="21"/>
  <c r="P115" i="21"/>
  <c r="X115" i="21" s="1"/>
  <c r="Z115" i="21" s="1"/>
  <c r="H115" i="21"/>
  <c r="D115" i="21"/>
  <c r="L115" i="21" s="1"/>
  <c r="N115" i="21" s="1"/>
  <c r="B115" i="21"/>
  <c r="Z114" i="21"/>
  <c r="X114" i="21"/>
  <c r="N114" i="21"/>
  <c r="L114" i="21"/>
  <c r="B114" i="21"/>
  <c r="X113" i="21"/>
  <c r="Z113" i="21" s="1"/>
  <c r="N113" i="21"/>
  <c r="L113" i="21"/>
  <c r="B113" i="21"/>
  <c r="T112" i="21"/>
  <c r="P112" i="21"/>
  <c r="X112" i="21" s="1"/>
  <c r="Z112" i="21" s="1"/>
  <c r="H112" i="21"/>
  <c r="N112" i="21" s="1"/>
  <c r="D112" i="21"/>
  <c r="L112" i="21" s="1"/>
  <c r="B112" i="21"/>
  <c r="Z111" i="21"/>
  <c r="X111" i="21"/>
  <c r="N111" i="21"/>
  <c r="L111" i="21"/>
  <c r="B111" i="21"/>
  <c r="Z110" i="21"/>
  <c r="X110" i="21"/>
  <c r="T110" i="21"/>
  <c r="P110" i="21"/>
  <c r="N110" i="21"/>
  <c r="H110" i="21"/>
  <c r="D110" i="21"/>
  <c r="L110" i="21" s="1"/>
  <c r="B110" i="21"/>
  <c r="Z109" i="21"/>
  <c r="X109" i="21"/>
  <c r="L109" i="21"/>
  <c r="N109" i="21" s="1"/>
  <c r="B109" i="21"/>
  <c r="V108" i="21"/>
  <c r="T108" i="21"/>
  <c r="P108" i="21"/>
  <c r="J108" i="21"/>
  <c r="H108" i="21"/>
  <c r="N108" i="21" s="1"/>
  <c r="D108" i="21"/>
  <c r="L108" i="21" s="1"/>
  <c r="B108" i="21"/>
  <c r="X107" i="21"/>
  <c r="Z107" i="21" s="1"/>
  <c r="N107" i="21"/>
  <c r="L107" i="21"/>
  <c r="B107" i="21"/>
  <c r="X106" i="21"/>
  <c r="Z106" i="21" s="1"/>
  <c r="L106" i="21"/>
  <c r="N106" i="21" s="1"/>
  <c r="B106" i="21"/>
  <c r="Z105" i="21"/>
  <c r="X105" i="21"/>
  <c r="N105" i="21"/>
  <c r="L105" i="21"/>
  <c r="B105" i="21"/>
  <c r="Z104" i="21"/>
  <c r="X104" i="21"/>
  <c r="N104" i="21"/>
  <c r="L104" i="21"/>
  <c r="B104" i="21"/>
  <c r="Z103" i="21"/>
  <c r="X103" i="21"/>
  <c r="V103" i="21"/>
  <c r="N103" i="21"/>
  <c r="L103" i="21"/>
  <c r="B103" i="21"/>
  <c r="X102" i="21"/>
  <c r="Z102" i="21" s="1"/>
  <c r="N102" i="21"/>
  <c r="L102" i="21"/>
  <c r="B102" i="21"/>
  <c r="Z101" i="21"/>
  <c r="X101" i="21"/>
  <c r="N101" i="21"/>
  <c r="L101" i="21"/>
  <c r="B101" i="21"/>
  <c r="Z100" i="21"/>
  <c r="X100" i="21"/>
  <c r="N100" i="21"/>
  <c r="L100" i="21"/>
  <c r="B100" i="21"/>
  <c r="X99" i="21"/>
  <c r="Z99" i="21" s="1"/>
  <c r="V99" i="21"/>
  <c r="N99" i="21"/>
  <c r="L99" i="21"/>
  <c r="B99" i="21"/>
  <c r="T98" i="21"/>
  <c r="Z98" i="21" s="1"/>
  <c r="P98" i="21"/>
  <c r="X98" i="21" s="1"/>
  <c r="H98" i="21"/>
  <c r="D98" i="21"/>
  <c r="L98" i="21" s="1"/>
  <c r="N98" i="21" s="1"/>
  <c r="B98" i="21"/>
  <c r="Z97" i="21"/>
  <c r="X97" i="21"/>
  <c r="N97" i="21"/>
  <c r="L97" i="21"/>
  <c r="B97" i="21"/>
  <c r="T96" i="21"/>
  <c r="P96" i="21"/>
  <c r="X96" i="21" s="1"/>
  <c r="Z96" i="21" s="1"/>
  <c r="N96" i="21"/>
  <c r="L96" i="21"/>
  <c r="H96" i="21"/>
  <c r="D96" i="21"/>
  <c r="B96" i="21"/>
  <c r="Z95" i="21"/>
  <c r="X95" i="21"/>
  <c r="L95" i="21"/>
  <c r="N95" i="21" s="1"/>
  <c r="J95" i="21"/>
  <c r="B95" i="21"/>
  <c r="X94" i="21"/>
  <c r="Z94" i="21" s="1"/>
  <c r="V94" i="21"/>
  <c r="L94" i="21"/>
  <c r="N94" i="21" s="1"/>
  <c r="B94" i="21"/>
  <c r="Z93" i="21"/>
  <c r="X93" i="21"/>
  <c r="L93" i="21"/>
  <c r="N93" i="21" s="1"/>
  <c r="B93" i="21"/>
  <c r="X92" i="21"/>
  <c r="Z92" i="21" s="1"/>
  <c r="V92" i="21"/>
  <c r="N92" i="21"/>
  <c r="L92" i="21"/>
  <c r="B92" i="21"/>
  <c r="Z91" i="21"/>
  <c r="X91" i="21"/>
  <c r="N91" i="21"/>
  <c r="L91" i="21"/>
  <c r="J91" i="21"/>
  <c r="B91" i="21"/>
  <c r="V90" i="21"/>
  <c r="T90" i="21"/>
  <c r="Z90" i="21" s="1"/>
  <c r="P90" i="21"/>
  <c r="X90" i="21" s="1"/>
  <c r="H90" i="21"/>
  <c r="D90" i="21"/>
  <c r="B90" i="21"/>
  <c r="X89" i="21"/>
  <c r="Z89" i="21" s="1"/>
  <c r="N89" i="21"/>
  <c r="L89" i="21"/>
  <c r="B89" i="21"/>
  <c r="Z88" i="21"/>
  <c r="X88" i="21"/>
  <c r="N88" i="21"/>
  <c r="L88" i="21"/>
  <c r="B88" i="21"/>
  <c r="X87" i="21"/>
  <c r="V87" i="21"/>
  <c r="T87" i="21"/>
  <c r="Z87" i="21" s="1"/>
  <c r="P87" i="21"/>
  <c r="L87" i="21"/>
  <c r="H87" i="21"/>
  <c r="D87" i="21"/>
  <c r="B87" i="21"/>
  <c r="Z86" i="21"/>
  <c r="X86" i="21"/>
  <c r="L86" i="21"/>
  <c r="N86" i="21" s="1"/>
  <c r="J86" i="21"/>
  <c r="B86" i="21"/>
  <c r="Z85" i="21"/>
  <c r="X85" i="21"/>
  <c r="N85" i="21"/>
  <c r="L85" i="21"/>
  <c r="B85" i="21"/>
  <c r="Z84" i="21"/>
  <c r="X84" i="21"/>
  <c r="N84" i="21"/>
  <c r="L84" i="21"/>
  <c r="J84" i="21"/>
  <c r="B84" i="21"/>
  <c r="T83" i="21"/>
  <c r="P83" i="21"/>
  <c r="H83" i="21"/>
  <c r="D83" i="21"/>
  <c r="B83" i="21"/>
  <c r="X82" i="21"/>
  <c r="Z82" i="21" s="1"/>
  <c r="L82" i="21"/>
  <c r="N82" i="21" s="1"/>
  <c r="B82" i="21"/>
  <c r="T81" i="21"/>
  <c r="P81" i="21"/>
  <c r="X81" i="21" s="1"/>
  <c r="Z81" i="21" s="1"/>
  <c r="H81" i="21"/>
  <c r="D81" i="21"/>
  <c r="L81" i="21" s="1"/>
  <c r="N81" i="21" s="1"/>
  <c r="B81" i="21"/>
  <c r="Z80" i="21"/>
  <c r="X80" i="21"/>
  <c r="N80" i="21"/>
  <c r="L80" i="21"/>
  <c r="B80" i="21"/>
  <c r="X79" i="21"/>
  <c r="V79" i="21"/>
  <c r="T79" i="21"/>
  <c r="Z79" i="21" s="1"/>
  <c r="P79" i="21"/>
  <c r="L79" i="21"/>
  <c r="H79" i="21"/>
  <c r="N79" i="21" s="1"/>
  <c r="D79" i="21"/>
  <c r="B79" i="21"/>
  <c r="Z78" i="21"/>
  <c r="X78" i="21"/>
  <c r="L78" i="21"/>
  <c r="N78" i="21" s="1"/>
  <c r="J78" i="21"/>
  <c r="B78" i="21"/>
  <c r="T77" i="21"/>
  <c r="P77" i="21"/>
  <c r="X77" i="21" s="1"/>
  <c r="H77" i="21"/>
  <c r="D77" i="21"/>
  <c r="L77" i="21" s="1"/>
  <c r="B77" i="21"/>
  <c r="X76" i="21"/>
  <c r="Z76" i="21" s="1"/>
  <c r="V76" i="21"/>
  <c r="N76" i="21"/>
  <c r="L76" i="21"/>
  <c r="B76" i="21"/>
  <c r="T75" i="21"/>
  <c r="P75" i="21"/>
  <c r="X75" i="21" s="1"/>
  <c r="H75" i="21"/>
  <c r="D75" i="21"/>
  <c r="L75" i="21" s="1"/>
  <c r="N75" i="21" s="1"/>
  <c r="B75" i="21"/>
  <c r="X74" i="21"/>
  <c r="Z74" i="21" s="1"/>
  <c r="N74" i="21"/>
  <c r="L74" i="21"/>
  <c r="J74" i="21"/>
  <c r="B74" i="21"/>
  <c r="X73" i="21"/>
  <c r="T73" i="21"/>
  <c r="Z73" i="21" s="1"/>
  <c r="P73" i="21"/>
  <c r="L73" i="21"/>
  <c r="J73" i="21"/>
  <c r="H73" i="21"/>
  <c r="N73" i="21" s="1"/>
  <c r="D73" i="21"/>
  <c r="B73" i="21"/>
  <c r="Z72" i="21"/>
  <c r="X72" i="21"/>
  <c r="N72" i="21"/>
  <c r="L72" i="21"/>
  <c r="J72" i="21"/>
  <c r="B72" i="21"/>
  <c r="T71" i="21"/>
  <c r="Z71" i="21" s="1"/>
  <c r="P71" i="21"/>
  <c r="H71" i="21"/>
  <c r="D71" i="21"/>
  <c r="B71" i="21"/>
  <c r="Z70" i="21"/>
  <c r="X70" i="21"/>
  <c r="N70" i="21"/>
  <c r="L70" i="21"/>
  <c r="B70" i="21"/>
  <c r="T69" i="21"/>
  <c r="P69" i="21"/>
  <c r="X69" i="21" s="1"/>
  <c r="Z69" i="21" s="1"/>
  <c r="H69" i="21"/>
  <c r="D69" i="21"/>
  <c r="L69" i="21" s="1"/>
  <c r="N69" i="21" s="1"/>
  <c r="B69" i="21"/>
  <c r="Z68" i="21"/>
  <c r="X68" i="21"/>
  <c r="N68" i="21"/>
  <c r="L68" i="21"/>
  <c r="B68" i="21"/>
  <c r="T67" i="21"/>
  <c r="P67" i="21"/>
  <c r="L67" i="21"/>
  <c r="H67" i="21"/>
  <c r="N67" i="21" s="1"/>
  <c r="D67" i="21"/>
  <c r="B67" i="21"/>
  <c r="Z66" i="21"/>
  <c r="X66" i="21"/>
  <c r="V66" i="21"/>
  <c r="N66" i="21"/>
  <c r="L66" i="21"/>
  <c r="J66" i="21"/>
  <c r="B66" i="21"/>
  <c r="T65" i="21"/>
  <c r="Z65" i="21" s="1"/>
  <c r="P65" i="21"/>
  <c r="X65" i="21" s="1"/>
  <c r="H65" i="21"/>
  <c r="N65" i="21" s="1"/>
  <c r="D65" i="21"/>
  <c r="B65" i="21"/>
  <c r="X64" i="21"/>
  <c r="Z64" i="21" s="1"/>
  <c r="V64" i="21"/>
  <c r="N64" i="21"/>
  <c r="L64" i="21"/>
  <c r="B64" i="21"/>
  <c r="X63" i="21"/>
  <c r="Z63" i="21" s="1"/>
  <c r="L63" i="21"/>
  <c r="N63" i="21" s="1"/>
  <c r="J63" i="21"/>
  <c r="B63" i="21"/>
  <c r="Z62" i="21"/>
  <c r="X62" i="21"/>
  <c r="V62" i="21"/>
  <c r="N62" i="21"/>
  <c r="L62" i="21"/>
  <c r="B62" i="21"/>
  <c r="T61" i="21"/>
  <c r="P61" i="21"/>
  <c r="X61" i="21" s="1"/>
  <c r="Z61" i="21" s="1"/>
  <c r="H61" i="21"/>
  <c r="N61" i="21" s="1"/>
  <c r="D61" i="21"/>
  <c r="L61" i="21" s="1"/>
  <c r="B61" i="21"/>
  <c r="Z60" i="21"/>
  <c r="X60" i="21"/>
  <c r="N60" i="21"/>
  <c r="L60" i="21"/>
  <c r="B60" i="21"/>
  <c r="X59" i="21"/>
  <c r="V59" i="21"/>
  <c r="T59" i="21"/>
  <c r="P59" i="21"/>
  <c r="L59" i="21"/>
  <c r="H59" i="21"/>
  <c r="D59" i="21"/>
  <c r="B59" i="21"/>
  <c r="X58" i="21"/>
  <c r="Z58" i="21" s="1"/>
  <c r="V58" i="21"/>
  <c r="N58" i="21"/>
  <c r="L58" i="21"/>
  <c r="J58" i="21"/>
  <c r="B58" i="21"/>
  <c r="V57" i="21"/>
  <c r="T57" i="21"/>
  <c r="P57" i="21"/>
  <c r="H57" i="21"/>
  <c r="D57" i="21"/>
  <c r="L57" i="21" s="1"/>
  <c r="B57" i="21"/>
  <c r="X56" i="21"/>
  <c r="Z56" i="21" s="1"/>
  <c r="N56" i="21"/>
  <c r="L56" i="21"/>
  <c r="B56" i="21"/>
  <c r="T55" i="21"/>
  <c r="Z55" i="21" s="1"/>
  <c r="P55" i="21"/>
  <c r="X55" i="21" s="1"/>
  <c r="H55" i="21"/>
  <c r="D55" i="21"/>
  <c r="L55" i="21" s="1"/>
  <c r="N55" i="21" s="1"/>
  <c r="B55" i="21"/>
  <c r="Z54" i="21"/>
  <c r="X54" i="21"/>
  <c r="N54" i="21"/>
  <c r="L54" i="21"/>
  <c r="J54" i="21"/>
  <c r="B54" i="21"/>
  <c r="Z53" i="21"/>
  <c r="X53" i="21"/>
  <c r="N53" i="21"/>
  <c r="L53" i="21"/>
  <c r="J53" i="21"/>
  <c r="B53" i="21"/>
  <c r="Z52" i="21"/>
  <c r="X52" i="21"/>
  <c r="N52" i="21"/>
  <c r="L52" i="21"/>
  <c r="B52" i="21"/>
  <c r="X51" i="21"/>
  <c r="Z51" i="21" s="1"/>
  <c r="V51" i="21"/>
  <c r="L51" i="21"/>
  <c r="N51" i="21" s="1"/>
  <c r="B51" i="21"/>
  <c r="Z50" i="21"/>
  <c r="X50" i="21"/>
  <c r="N50" i="21"/>
  <c r="L50" i="21"/>
  <c r="J50" i="21"/>
  <c r="B50" i="21"/>
  <c r="X49" i="21"/>
  <c r="Z49" i="21" s="1"/>
  <c r="N49" i="21"/>
  <c r="L49" i="21"/>
  <c r="J49" i="21"/>
  <c r="B49" i="21"/>
  <c r="Z48" i="21"/>
  <c r="X48" i="21"/>
  <c r="N48" i="21"/>
  <c r="L48" i="21"/>
  <c r="B48" i="21"/>
  <c r="Z47" i="21"/>
  <c r="X47" i="21"/>
  <c r="V47" i="21"/>
  <c r="N47" i="21"/>
  <c r="L47" i="21"/>
  <c r="B47" i="21"/>
  <c r="Z46" i="21"/>
  <c r="X46" i="21"/>
  <c r="L46" i="21"/>
  <c r="N46" i="21" s="1"/>
  <c r="J46" i="21"/>
  <c r="B46" i="21"/>
  <c r="X45" i="21"/>
  <c r="Z45" i="21" s="1"/>
  <c r="L45" i="21"/>
  <c r="N45" i="21" s="1"/>
  <c r="J45" i="21"/>
  <c r="B45" i="21"/>
  <c r="Z44" i="21"/>
  <c r="T44" i="21"/>
  <c r="P44" i="21"/>
  <c r="X44" i="21" s="1"/>
  <c r="H44" i="21"/>
  <c r="D44" i="21"/>
  <c r="B44" i="21"/>
  <c r="X43" i="21"/>
  <c r="Z43" i="21" s="1"/>
  <c r="N43" i="21"/>
  <c r="L43" i="21"/>
  <c r="B43" i="21"/>
  <c r="Z42" i="21"/>
  <c r="X42" i="21"/>
  <c r="V42" i="21"/>
  <c r="N42" i="21"/>
  <c r="L42" i="21"/>
  <c r="J42" i="21"/>
  <c r="B42" i="21"/>
  <c r="X41" i="21"/>
  <c r="Z41" i="21" s="1"/>
  <c r="V41" i="21"/>
  <c r="L41" i="21"/>
  <c r="N41" i="21" s="1"/>
  <c r="B41" i="21"/>
  <c r="Z40" i="21"/>
  <c r="X40" i="21"/>
  <c r="N40" i="21"/>
  <c r="L40" i="21"/>
  <c r="J40" i="21"/>
  <c r="B40" i="21"/>
  <c r="X39" i="21"/>
  <c r="Z39" i="21" s="1"/>
  <c r="L39" i="21"/>
  <c r="N39" i="21" s="1"/>
  <c r="B39" i="21"/>
  <c r="Z38" i="21"/>
  <c r="X38" i="21"/>
  <c r="V38" i="21"/>
  <c r="N38" i="21"/>
  <c r="L38" i="21"/>
  <c r="J38" i="21"/>
  <c r="B38" i="21"/>
  <c r="X37" i="21"/>
  <c r="Z37" i="21" s="1"/>
  <c r="V37" i="21"/>
  <c r="N37" i="21"/>
  <c r="L37" i="21"/>
  <c r="B37" i="21"/>
  <c r="Z36" i="21"/>
  <c r="X36" i="21"/>
  <c r="L36" i="21"/>
  <c r="N36" i="21" s="1"/>
  <c r="J36" i="21"/>
  <c r="B36" i="21"/>
  <c r="X35" i="21"/>
  <c r="Z35" i="21" s="1"/>
  <c r="L35" i="21"/>
  <c r="N35" i="21" s="1"/>
  <c r="B35" i="21"/>
  <c r="Z34" i="21"/>
  <c r="X34" i="21"/>
  <c r="T34" i="21"/>
  <c r="P34" i="21"/>
  <c r="N34" i="21"/>
  <c r="H34" i="21"/>
  <c r="D34" i="21"/>
  <c r="L34" i="21" s="1"/>
  <c r="B34" i="21"/>
  <c r="T33" i="21"/>
  <c r="P33" i="21"/>
  <c r="X33" i="21" s="1"/>
  <c r="Z33" i="21" s="1"/>
  <c r="H33" i="21"/>
  <c r="D33" i="21"/>
  <c r="L33" i="21" s="1"/>
  <c r="Z29" i="21"/>
  <c r="X29" i="21"/>
  <c r="N29" i="21"/>
  <c r="L29" i="21"/>
  <c r="B29" i="21"/>
  <c r="Z28" i="21"/>
  <c r="X28" i="21"/>
  <c r="V28" i="21"/>
  <c r="N28" i="21"/>
  <c r="L28" i="21"/>
  <c r="B28" i="21"/>
  <c r="X27" i="21"/>
  <c r="Z27" i="21" s="1"/>
  <c r="L27" i="21"/>
  <c r="N27" i="21" s="1"/>
  <c r="J27" i="21"/>
  <c r="B27" i="21"/>
  <c r="V26" i="21"/>
  <c r="T26" i="21"/>
  <c r="P26" i="21"/>
  <c r="X26" i="21" s="1"/>
  <c r="Z26" i="21" s="1"/>
  <c r="H26" i="21"/>
  <c r="D26" i="21"/>
  <c r="Z24" i="21"/>
  <c r="P24" i="21"/>
  <c r="X24" i="21" s="1"/>
  <c r="N24" i="21"/>
  <c r="L24" i="21"/>
  <c r="D24" i="21"/>
  <c r="B24" i="21"/>
  <c r="Z23" i="21"/>
  <c r="X23" i="21"/>
  <c r="P23" i="21"/>
  <c r="N23" i="21"/>
  <c r="D23" i="21"/>
  <c r="L23" i="21" s="1"/>
  <c r="B23" i="21"/>
  <c r="Z22" i="21"/>
  <c r="P22" i="21"/>
  <c r="X22" i="21" s="1"/>
  <c r="N22" i="21"/>
  <c r="D22" i="21"/>
  <c r="L22" i="21" s="1"/>
  <c r="B22" i="21"/>
  <c r="Z21" i="21"/>
  <c r="X21" i="21"/>
  <c r="P21" i="21"/>
  <c r="N21" i="21"/>
  <c r="D21" i="21"/>
  <c r="L21" i="21" s="1"/>
  <c r="B21" i="21"/>
  <c r="Z20" i="21"/>
  <c r="P20" i="21"/>
  <c r="X20" i="21" s="1"/>
  <c r="N20" i="21"/>
  <c r="L20" i="21"/>
  <c r="D20" i="21"/>
  <c r="B20" i="21"/>
  <c r="Z19" i="21"/>
  <c r="X19" i="21"/>
  <c r="P19" i="21"/>
  <c r="N19" i="21"/>
  <c r="D19" i="21"/>
  <c r="L19" i="21" s="1"/>
  <c r="B19" i="21"/>
  <c r="Z18" i="21"/>
  <c r="P18" i="21"/>
  <c r="X18" i="21" s="1"/>
  <c r="N18" i="21"/>
  <c r="L18" i="21"/>
  <c r="D18" i="21"/>
  <c r="B18" i="21"/>
  <c r="X17" i="21"/>
  <c r="Z17" i="21" s="1"/>
  <c r="P17" i="21"/>
  <c r="D17" i="21"/>
  <c r="L17" i="21" s="1"/>
  <c r="N17" i="21" s="1"/>
  <c r="B17" i="21"/>
  <c r="Z16" i="21"/>
  <c r="P16" i="21"/>
  <c r="X16" i="21" s="1"/>
  <c r="N16" i="21"/>
  <c r="L16" i="21"/>
  <c r="D16" i="21"/>
  <c r="B16" i="21"/>
  <c r="Z15" i="21"/>
  <c r="X15" i="21"/>
  <c r="P15" i="21"/>
  <c r="N15" i="21"/>
  <c r="L15" i="21"/>
  <c r="D15" i="21"/>
  <c r="B15" i="21"/>
  <c r="Z14" i="21"/>
  <c r="P14" i="21"/>
  <c r="X14" i="21" s="1"/>
  <c r="N14" i="21"/>
  <c r="L14" i="21"/>
  <c r="D14" i="21"/>
  <c r="B14" i="21"/>
  <c r="P13" i="21"/>
  <c r="D13" i="21"/>
  <c r="L13" i="21" s="1"/>
  <c r="N13" i="21" s="1"/>
  <c r="B13" i="21"/>
  <c r="T12" i="21"/>
  <c r="V107" i="21" s="1"/>
  <c r="H12" i="21"/>
  <c r="J115" i="21" s="1"/>
  <c r="D12" i="21"/>
  <c r="D4" i="21"/>
  <c r="X344" i="18"/>
  <c r="Z344" i="18" s="1"/>
  <c r="L344" i="18"/>
  <c r="N344" i="18" s="1"/>
  <c r="Z340" i="18"/>
  <c r="X340" i="18"/>
  <c r="V340" i="18"/>
  <c r="P340" i="18"/>
  <c r="N340" i="18"/>
  <c r="D340" i="18"/>
  <c r="L340" i="18" s="1"/>
  <c r="B340" i="18"/>
  <c r="Z339" i="18"/>
  <c r="X339" i="18"/>
  <c r="P339" i="18"/>
  <c r="N339" i="18"/>
  <c r="L339" i="18"/>
  <c r="D339" i="18"/>
  <c r="B339" i="18"/>
  <c r="Z338" i="18"/>
  <c r="X338" i="18"/>
  <c r="P338" i="18"/>
  <c r="N338" i="18"/>
  <c r="J338" i="18"/>
  <c r="D338" i="18"/>
  <c r="L338" i="18" s="1"/>
  <c r="B338" i="18"/>
  <c r="Z337" i="18"/>
  <c r="X337" i="18"/>
  <c r="P337" i="18"/>
  <c r="N337" i="18"/>
  <c r="D337" i="18"/>
  <c r="L337" i="18" s="1"/>
  <c r="B337" i="18"/>
  <c r="X336" i="18"/>
  <c r="Z336" i="18" s="1"/>
  <c r="P336" i="18"/>
  <c r="D336" i="18"/>
  <c r="B336" i="18"/>
  <c r="P335" i="18"/>
  <c r="X335" i="18" s="1"/>
  <c r="Z335" i="18" s="1"/>
  <c r="N335" i="18"/>
  <c r="L335" i="18"/>
  <c r="D335" i="18"/>
  <c r="B335" i="18"/>
  <c r="Z334" i="18"/>
  <c r="P334" i="18"/>
  <c r="X334" i="18" s="1"/>
  <c r="N334" i="18"/>
  <c r="L334" i="18"/>
  <c r="D334" i="18"/>
  <c r="B334" i="18"/>
  <c r="Z333" i="18"/>
  <c r="X333" i="18"/>
  <c r="P333" i="18"/>
  <c r="N333" i="18"/>
  <c r="L333" i="18"/>
  <c r="D333" i="18"/>
  <c r="B333" i="18"/>
  <c r="Z332" i="18"/>
  <c r="X332" i="18"/>
  <c r="V332" i="18"/>
  <c r="P332" i="18"/>
  <c r="N332" i="18"/>
  <c r="L332" i="18"/>
  <c r="D332" i="18"/>
  <c r="B332" i="18"/>
  <c r="Z331" i="18"/>
  <c r="V331" i="18"/>
  <c r="P331" i="18"/>
  <c r="X331" i="18" s="1"/>
  <c r="N331" i="18"/>
  <c r="L331" i="18"/>
  <c r="D331" i="18"/>
  <c r="B331" i="18"/>
  <c r="Z330" i="18"/>
  <c r="P330" i="18"/>
  <c r="X330" i="18" s="1"/>
  <c r="N330" i="18"/>
  <c r="D330" i="18"/>
  <c r="L330" i="18" s="1"/>
  <c r="B330" i="18"/>
  <c r="Z329" i="18"/>
  <c r="P329" i="18"/>
  <c r="X329" i="18" s="1"/>
  <c r="N329" i="18"/>
  <c r="D329" i="18"/>
  <c r="L329" i="18" s="1"/>
  <c r="B329" i="18"/>
  <c r="T328" i="18"/>
  <c r="H328" i="18"/>
  <c r="Z326" i="18"/>
  <c r="X326" i="18"/>
  <c r="L326" i="18"/>
  <c r="N326" i="18" s="1"/>
  <c r="J326" i="18"/>
  <c r="B326" i="18"/>
  <c r="T325" i="18"/>
  <c r="P325" i="18"/>
  <c r="X325" i="18" s="1"/>
  <c r="Z325" i="18" s="1"/>
  <c r="J325" i="18"/>
  <c r="H325" i="18"/>
  <c r="D325" i="18"/>
  <c r="B325" i="18"/>
  <c r="X324" i="18"/>
  <c r="Z324" i="18" s="1"/>
  <c r="N324" i="18"/>
  <c r="L324" i="18"/>
  <c r="B324" i="18"/>
  <c r="Z323" i="18"/>
  <c r="X323" i="18"/>
  <c r="N323" i="18"/>
  <c r="L323" i="18"/>
  <c r="B323" i="18"/>
  <c r="Z322" i="18"/>
  <c r="X322" i="18"/>
  <c r="V322" i="18"/>
  <c r="N322" i="18"/>
  <c r="L322" i="18"/>
  <c r="B322" i="18"/>
  <c r="T321" i="18"/>
  <c r="P321" i="18"/>
  <c r="X321" i="18" s="1"/>
  <c r="H321" i="18"/>
  <c r="D321" i="18"/>
  <c r="L321" i="18" s="1"/>
  <c r="B321" i="18"/>
  <c r="Z320" i="18"/>
  <c r="X320" i="18"/>
  <c r="N320" i="18"/>
  <c r="L320" i="18"/>
  <c r="B320" i="18"/>
  <c r="T319" i="18"/>
  <c r="X319" i="18" s="1"/>
  <c r="Z319" i="18" s="1"/>
  <c r="P319" i="18"/>
  <c r="L319" i="18"/>
  <c r="N319" i="18" s="1"/>
  <c r="H319" i="18"/>
  <c r="D319" i="18"/>
  <c r="B319" i="18"/>
  <c r="Z318" i="18"/>
  <c r="X318" i="18"/>
  <c r="L318" i="18"/>
  <c r="N318" i="18" s="1"/>
  <c r="J318" i="18"/>
  <c r="B318" i="18"/>
  <c r="Z317" i="18"/>
  <c r="X317" i="18"/>
  <c r="L317" i="18"/>
  <c r="N317" i="18" s="1"/>
  <c r="B317" i="18"/>
  <c r="Z316" i="18"/>
  <c r="T316" i="18"/>
  <c r="P316" i="18"/>
  <c r="X316" i="18" s="1"/>
  <c r="H316" i="18"/>
  <c r="D316" i="18"/>
  <c r="L316" i="18" s="1"/>
  <c r="N316" i="18" s="1"/>
  <c r="B316" i="18"/>
  <c r="Z315" i="18"/>
  <c r="X315" i="18"/>
  <c r="N315" i="18"/>
  <c r="L315" i="18"/>
  <c r="B315" i="18"/>
  <c r="X314" i="18"/>
  <c r="Z314" i="18" s="1"/>
  <c r="V314" i="18"/>
  <c r="L314" i="18"/>
  <c r="N314" i="18" s="1"/>
  <c r="B314" i="18"/>
  <c r="X313" i="18"/>
  <c r="Z313" i="18" s="1"/>
  <c r="L313" i="18"/>
  <c r="N313" i="18" s="1"/>
  <c r="B313" i="18"/>
  <c r="X312" i="18"/>
  <c r="Z312" i="18" s="1"/>
  <c r="N312" i="18"/>
  <c r="L312" i="18"/>
  <c r="B312" i="18"/>
  <c r="Z311" i="18"/>
  <c r="X311" i="18"/>
  <c r="N311" i="18"/>
  <c r="L311" i="18"/>
  <c r="B311" i="18"/>
  <c r="X310" i="18"/>
  <c r="Z310" i="18" s="1"/>
  <c r="V310" i="18"/>
  <c r="L310" i="18"/>
  <c r="N310" i="18" s="1"/>
  <c r="B310" i="18"/>
  <c r="Z309" i="18"/>
  <c r="X309" i="18"/>
  <c r="N309" i="18"/>
  <c r="L309" i="18"/>
  <c r="B309" i="18"/>
  <c r="X308" i="18"/>
  <c r="Z308" i="18" s="1"/>
  <c r="N308" i="18"/>
  <c r="L308" i="18"/>
  <c r="B308" i="18"/>
  <c r="T307" i="18"/>
  <c r="P307" i="18"/>
  <c r="X307" i="18" s="1"/>
  <c r="H307" i="18"/>
  <c r="D307" i="18"/>
  <c r="L307" i="18" s="1"/>
  <c r="N307" i="18" s="1"/>
  <c r="B307" i="18"/>
  <c r="X306" i="18"/>
  <c r="Z306" i="18" s="1"/>
  <c r="N306" i="18"/>
  <c r="L306" i="18"/>
  <c r="B306" i="18"/>
  <c r="Z305" i="18"/>
  <c r="X305" i="18"/>
  <c r="N305" i="18"/>
  <c r="L305" i="18"/>
  <c r="B305" i="18"/>
  <c r="T304" i="18"/>
  <c r="P304" i="18"/>
  <c r="H304" i="18"/>
  <c r="D304" i="18"/>
  <c r="B304" i="18"/>
  <c r="Z303" i="18"/>
  <c r="X303" i="18"/>
  <c r="V303" i="18"/>
  <c r="N303" i="18"/>
  <c r="L303" i="18"/>
  <c r="B303" i="18"/>
  <c r="Z302" i="18"/>
  <c r="X302" i="18"/>
  <c r="L302" i="18"/>
  <c r="N302" i="18" s="1"/>
  <c r="J302" i="18"/>
  <c r="B302" i="18"/>
  <c r="Z301" i="18"/>
  <c r="X301" i="18"/>
  <c r="L301" i="18"/>
  <c r="N301" i="18" s="1"/>
  <c r="B301" i="18"/>
  <c r="Z300" i="18"/>
  <c r="X300" i="18"/>
  <c r="L300" i="18"/>
  <c r="N300" i="18" s="1"/>
  <c r="B300" i="18"/>
  <c r="V299" i="18"/>
  <c r="T299" i="18"/>
  <c r="P299" i="18"/>
  <c r="H299" i="18"/>
  <c r="D299" i="18"/>
  <c r="L299" i="18" s="1"/>
  <c r="B299" i="18"/>
  <c r="Z298" i="18"/>
  <c r="X298" i="18"/>
  <c r="V298" i="18"/>
  <c r="N298" i="18"/>
  <c r="L298" i="18"/>
  <c r="B298" i="18"/>
  <c r="X297" i="18"/>
  <c r="Z297" i="18" s="1"/>
  <c r="N297" i="18"/>
  <c r="L297" i="18"/>
  <c r="B297" i="18"/>
  <c r="X296" i="18"/>
  <c r="Z296" i="18" s="1"/>
  <c r="N296" i="18"/>
  <c r="L296" i="18"/>
  <c r="B296" i="18"/>
  <c r="Z295" i="18"/>
  <c r="X295" i="18"/>
  <c r="N295" i="18"/>
  <c r="L295" i="18"/>
  <c r="B295" i="18"/>
  <c r="X294" i="18"/>
  <c r="V294" i="18"/>
  <c r="T294" i="18"/>
  <c r="Z294" i="18" s="1"/>
  <c r="P294" i="18"/>
  <c r="L294" i="18"/>
  <c r="N294" i="18" s="1"/>
  <c r="H294" i="18"/>
  <c r="D294" i="18"/>
  <c r="B294" i="18"/>
  <c r="X293" i="18"/>
  <c r="Z293" i="18" s="1"/>
  <c r="N293" i="18"/>
  <c r="L293" i="18"/>
  <c r="B293" i="18"/>
  <c r="Z292" i="18"/>
  <c r="X292" i="18"/>
  <c r="N292" i="18"/>
  <c r="L292" i="18"/>
  <c r="B292" i="18"/>
  <c r="Z291" i="18"/>
  <c r="X291" i="18"/>
  <c r="N291" i="18"/>
  <c r="L291" i="18"/>
  <c r="J291" i="18"/>
  <c r="B291" i="18"/>
  <c r="X290" i="18"/>
  <c r="Z290" i="18" s="1"/>
  <c r="N290" i="18"/>
  <c r="L290" i="18"/>
  <c r="B290" i="18"/>
  <c r="Z289" i="18"/>
  <c r="X289" i="18"/>
  <c r="T289" i="18"/>
  <c r="P289" i="18"/>
  <c r="H289" i="18"/>
  <c r="L289" i="18" s="1"/>
  <c r="N289" i="18" s="1"/>
  <c r="D289" i="18"/>
  <c r="B289" i="18"/>
  <c r="Z288" i="18"/>
  <c r="X288" i="18"/>
  <c r="L288" i="18"/>
  <c r="N288" i="18" s="1"/>
  <c r="B288" i="18"/>
  <c r="T287" i="18"/>
  <c r="P287" i="18"/>
  <c r="H287" i="18"/>
  <c r="D287" i="18"/>
  <c r="L287" i="18" s="1"/>
  <c r="N287" i="18" s="1"/>
  <c r="B287" i="18"/>
  <c r="X286" i="18"/>
  <c r="Z286" i="18" s="1"/>
  <c r="V286" i="18"/>
  <c r="L286" i="18"/>
  <c r="N286" i="18" s="1"/>
  <c r="B286" i="18"/>
  <c r="T285" i="18"/>
  <c r="Z285" i="18" s="1"/>
  <c r="P285" i="18"/>
  <c r="X285" i="18" s="1"/>
  <c r="H285" i="18"/>
  <c r="N285" i="18" s="1"/>
  <c r="D285" i="18"/>
  <c r="L285" i="18" s="1"/>
  <c r="B285" i="18"/>
  <c r="Z284" i="18"/>
  <c r="X284" i="18"/>
  <c r="N284" i="18"/>
  <c r="L284" i="18"/>
  <c r="B284" i="18"/>
  <c r="Z283" i="18"/>
  <c r="X283" i="18"/>
  <c r="N283" i="18"/>
  <c r="L283" i="18"/>
  <c r="J283" i="18"/>
  <c r="B283" i="18"/>
  <c r="Z282" i="18"/>
  <c r="X282" i="18"/>
  <c r="N282" i="18"/>
  <c r="L282" i="18"/>
  <c r="B282" i="18"/>
  <c r="Z281" i="18"/>
  <c r="X281" i="18"/>
  <c r="N281" i="18"/>
  <c r="L281" i="18"/>
  <c r="B281" i="18"/>
  <c r="Z280" i="18"/>
  <c r="X280" i="18"/>
  <c r="N280" i="18"/>
  <c r="L280" i="18"/>
  <c r="B280" i="18"/>
  <c r="Z279" i="18"/>
  <c r="X279" i="18"/>
  <c r="N279" i="18"/>
  <c r="L279" i="18"/>
  <c r="J279" i="18"/>
  <c r="B279" i="18"/>
  <c r="Z278" i="18"/>
  <c r="X278" i="18"/>
  <c r="N278" i="18"/>
  <c r="L278" i="18"/>
  <c r="B278" i="18"/>
  <c r="Z277" i="18"/>
  <c r="X277" i="18"/>
  <c r="N277" i="18"/>
  <c r="L277" i="18"/>
  <c r="B277" i="18"/>
  <c r="Z276" i="18"/>
  <c r="X276" i="18"/>
  <c r="N276" i="18"/>
  <c r="L276" i="18"/>
  <c r="B276" i="18"/>
  <c r="Z275" i="18"/>
  <c r="X275" i="18"/>
  <c r="N275" i="18"/>
  <c r="L275" i="18"/>
  <c r="J275" i="18"/>
  <c r="B275" i="18"/>
  <c r="Z274" i="18"/>
  <c r="X274" i="18"/>
  <c r="N274" i="18"/>
  <c r="L274" i="18"/>
  <c r="B274" i="18"/>
  <c r="Z273" i="18"/>
  <c r="X273" i="18"/>
  <c r="N273" i="18"/>
  <c r="L273" i="18"/>
  <c r="B273" i="18"/>
  <c r="Z272" i="18"/>
  <c r="X272" i="18"/>
  <c r="N272" i="18"/>
  <c r="L272" i="18"/>
  <c r="B272" i="18"/>
  <c r="Z271" i="18"/>
  <c r="X271" i="18"/>
  <c r="N271" i="18"/>
  <c r="L271" i="18"/>
  <c r="J271" i="18"/>
  <c r="B271" i="18"/>
  <c r="Z270" i="18"/>
  <c r="X270" i="18"/>
  <c r="N270" i="18"/>
  <c r="L270" i="18"/>
  <c r="B270" i="18"/>
  <c r="Z269" i="18"/>
  <c r="X269" i="18"/>
  <c r="N269" i="18"/>
  <c r="L269" i="18"/>
  <c r="B269" i="18"/>
  <c r="Z268" i="18"/>
  <c r="X268" i="18"/>
  <c r="N268" i="18"/>
  <c r="L268" i="18"/>
  <c r="B268" i="18"/>
  <c r="Z267" i="18"/>
  <c r="X267" i="18"/>
  <c r="N267" i="18"/>
  <c r="L267" i="18"/>
  <c r="J267" i="18"/>
  <c r="B267" i="18"/>
  <c r="Z266" i="18"/>
  <c r="X266" i="18"/>
  <c r="N266" i="18"/>
  <c r="L266" i="18"/>
  <c r="B266" i="18"/>
  <c r="Z265" i="18"/>
  <c r="X265" i="18"/>
  <c r="N265" i="18"/>
  <c r="L265" i="18"/>
  <c r="B265" i="18"/>
  <c r="Z264" i="18"/>
  <c r="X264" i="18"/>
  <c r="N264" i="18"/>
  <c r="L264" i="18"/>
  <c r="B264" i="18"/>
  <c r="Z263" i="18"/>
  <c r="X263" i="18"/>
  <c r="N263" i="18"/>
  <c r="L263" i="18"/>
  <c r="J263" i="18"/>
  <c r="B263" i="18"/>
  <c r="Z262" i="18"/>
  <c r="X262" i="18"/>
  <c r="N262" i="18"/>
  <c r="L262" i="18"/>
  <c r="B262" i="18"/>
  <c r="Z261" i="18"/>
  <c r="X261" i="18"/>
  <c r="N261" i="18"/>
  <c r="L261" i="18"/>
  <c r="B261" i="18"/>
  <c r="Z260" i="18"/>
  <c r="X260" i="18"/>
  <c r="N260" i="18"/>
  <c r="L260" i="18"/>
  <c r="B260" i="18"/>
  <c r="Z259" i="18"/>
  <c r="X259" i="18"/>
  <c r="N259" i="18"/>
  <c r="L259" i="18"/>
  <c r="J259" i="18"/>
  <c r="B259" i="18"/>
  <c r="Z258" i="18"/>
  <c r="X258" i="18"/>
  <c r="N258" i="18"/>
  <c r="L258" i="18"/>
  <c r="B258" i="18"/>
  <c r="Z257" i="18"/>
  <c r="X257" i="18"/>
  <c r="N257" i="18"/>
  <c r="L257" i="18"/>
  <c r="B257" i="18"/>
  <c r="Z256" i="18"/>
  <c r="X256" i="18"/>
  <c r="N256" i="18"/>
  <c r="L256" i="18"/>
  <c r="B256" i="18"/>
  <c r="Z255" i="18"/>
  <c r="X255" i="18"/>
  <c r="N255" i="18"/>
  <c r="L255" i="18"/>
  <c r="J255" i="18"/>
  <c r="B255" i="18"/>
  <c r="Z254" i="18"/>
  <c r="X254" i="18"/>
  <c r="N254" i="18"/>
  <c r="L254" i="18"/>
  <c r="B254" i="18"/>
  <c r="Z253" i="18"/>
  <c r="X253" i="18"/>
  <c r="N253" i="18"/>
  <c r="L253" i="18"/>
  <c r="B253" i="18"/>
  <c r="Z252" i="18"/>
  <c r="X252" i="18"/>
  <c r="N252" i="18"/>
  <c r="L252" i="18"/>
  <c r="B252" i="18"/>
  <c r="Z251" i="18"/>
  <c r="X251" i="18"/>
  <c r="N251" i="18"/>
  <c r="L251" i="18"/>
  <c r="J251" i="18"/>
  <c r="B251" i="18"/>
  <c r="Z250" i="18"/>
  <c r="X250" i="18"/>
  <c r="N250" i="18"/>
  <c r="L250" i="18"/>
  <c r="B250" i="18"/>
  <c r="Z249" i="18"/>
  <c r="X249" i="18"/>
  <c r="N249" i="18"/>
  <c r="L249" i="18"/>
  <c r="B249" i="18"/>
  <c r="Z248" i="18"/>
  <c r="X248" i="18"/>
  <c r="N248" i="18"/>
  <c r="L248" i="18"/>
  <c r="B248" i="18"/>
  <c r="T247" i="18"/>
  <c r="X247" i="18" s="1"/>
  <c r="Z247" i="18" s="1"/>
  <c r="P247" i="18"/>
  <c r="L247" i="18"/>
  <c r="N247" i="18" s="1"/>
  <c r="H247" i="18"/>
  <c r="D247" i="18"/>
  <c r="B247" i="18"/>
  <c r="Z246" i="18"/>
  <c r="X246" i="18"/>
  <c r="L246" i="18"/>
  <c r="N246" i="18" s="1"/>
  <c r="J246" i="18"/>
  <c r="B246" i="18"/>
  <c r="T245" i="18"/>
  <c r="Z245" i="18" s="1"/>
  <c r="P245" i="18"/>
  <c r="X245" i="18" s="1"/>
  <c r="H245" i="18"/>
  <c r="D245" i="18"/>
  <c r="B245" i="18"/>
  <c r="X244" i="18"/>
  <c r="Z244" i="18" s="1"/>
  <c r="N244" i="18"/>
  <c r="L244" i="18"/>
  <c r="B244" i="18"/>
  <c r="T243" i="18"/>
  <c r="P243" i="18"/>
  <c r="X243" i="18" s="1"/>
  <c r="H243" i="18"/>
  <c r="D243" i="18"/>
  <c r="L243" i="18" s="1"/>
  <c r="N243" i="18" s="1"/>
  <c r="B243" i="18"/>
  <c r="X242" i="18"/>
  <c r="Z242" i="18" s="1"/>
  <c r="N242" i="18"/>
  <c r="L242" i="18"/>
  <c r="B242" i="18"/>
  <c r="Z241" i="18"/>
  <c r="X241" i="18"/>
  <c r="L241" i="18"/>
  <c r="N241" i="18" s="1"/>
  <c r="B241" i="18"/>
  <c r="T240" i="18"/>
  <c r="P240" i="18"/>
  <c r="X240" i="18" s="1"/>
  <c r="H240" i="18"/>
  <c r="D240" i="18"/>
  <c r="B240" i="18"/>
  <c r="X239" i="18"/>
  <c r="Z239" i="18" s="1"/>
  <c r="V239" i="18"/>
  <c r="N239" i="18"/>
  <c r="L239" i="18"/>
  <c r="B239" i="18"/>
  <c r="T238" i="18"/>
  <c r="P238" i="18"/>
  <c r="X238" i="18" s="1"/>
  <c r="Z238" i="18" s="1"/>
  <c r="N238" i="18"/>
  <c r="H238" i="18"/>
  <c r="D238" i="18"/>
  <c r="L238" i="18" s="1"/>
  <c r="B238" i="18"/>
  <c r="X237" i="18"/>
  <c r="Z237" i="18" s="1"/>
  <c r="L237" i="18"/>
  <c r="N237" i="18" s="1"/>
  <c r="B237" i="18"/>
  <c r="X236" i="18"/>
  <c r="Z236" i="18" s="1"/>
  <c r="T236" i="18"/>
  <c r="P236" i="18"/>
  <c r="L236" i="18"/>
  <c r="J236" i="18"/>
  <c r="H236" i="18"/>
  <c r="N236" i="18" s="1"/>
  <c r="D236" i="18"/>
  <c r="B236" i="18"/>
  <c r="Z235" i="18"/>
  <c r="X235" i="18"/>
  <c r="N235" i="18"/>
  <c r="L235" i="18"/>
  <c r="J235" i="18"/>
  <c r="B235" i="18"/>
  <c r="X234" i="18"/>
  <c r="Z234" i="18" s="1"/>
  <c r="N234" i="18"/>
  <c r="L234" i="18"/>
  <c r="B234" i="18"/>
  <c r="Z233" i="18"/>
  <c r="X233" i="18"/>
  <c r="T233" i="18"/>
  <c r="P233" i="18"/>
  <c r="H233" i="18"/>
  <c r="L233" i="18" s="1"/>
  <c r="N233" i="18" s="1"/>
  <c r="D233" i="18"/>
  <c r="B233" i="18"/>
  <c r="Z232" i="18"/>
  <c r="X232" i="18"/>
  <c r="N232" i="18"/>
  <c r="L232" i="18"/>
  <c r="B232" i="18"/>
  <c r="X231" i="18"/>
  <c r="Z231" i="18" s="1"/>
  <c r="V231" i="18"/>
  <c r="N231" i="18"/>
  <c r="L231" i="18"/>
  <c r="B231" i="18"/>
  <c r="T230" i="18"/>
  <c r="P230" i="18"/>
  <c r="X230" i="18" s="1"/>
  <c r="Z230" i="18" s="1"/>
  <c r="H230" i="18"/>
  <c r="D230" i="18"/>
  <c r="L230" i="18" s="1"/>
  <c r="N230" i="18" s="1"/>
  <c r="B230" i="18"/>
  <c r="X229" i="18"/>
  <c r="Z229" i="18" s="1"/>
  <c r="L229" i="18"/>
  <c r="N229" i="18" s="1"/>
  <c r="B229" i="18"/>
  <c r="X228" i="18"/>
  <c r="Z228" i="18" s="1"/>
  <c r="N228" i="18"/>
  <c r="L228" i="18"/>
  <c r="B228" i="18"/>
  <c r="Z227" i="18"/>
  <c r="X227" i="18"/>
  <c r="N227" i="18"/>
  <c r="L227" i="18"/>
  <c r="B227" i="18"/>
  <c r="X226" i="18"/>
  <c r="Z226" i="18" s="1"/>
  <c r="V226" i="18"/>
  <c r="L226" i="18"/>
  <c r="N226" i="18" s="1"/>
  <c r="B226" i="18"/>
  <c r="T225" i="18"/>
  <c r="P225" i="18"/>
  <c r="X225" i="18" s="1"/>
  <c r="Z225" i="18" s="1"/>
  <c r="H225" i="18"/>
  <c r="D225" i="18"/>
  <c r="L225" i="18" s="1"/>
  <c r="B225" i="18"/>
  <c r="Z224" i="18"/>
  <c r="X224" i="18"/>
  <c r="N224" i="18"/>
  <c r="L224" i="18"/>
  <c r="B224" i="18"/>
  <c r="T223" i="18"/>
  <c r="X223" i="18" s="1"/>
  <c r="Z223" i="18" s="1"/>
  <c r="P223" i="18"/>
  <c r="L223" i="18"/>
  <c r="N223" i="18" s="1"/>
  <c r="H223" i="18"/>
  <c r="D223" i="18"/>
  <c r="B223" i="18"/>
  <c r="Z222" i="18"/>
  <c r="X222" i="18"/>
  <c r="L222" i="18"/>
  <c r="N222" i="18" s="1"/>
  <c r="J222" i="18"/>
  <c r="B222" i="18"/>
  <c r="X221" i="18"/>
  <c r="Z221" i="18" s="1"/>
  <c r="V221" i="18"/>
  <c r="L221" i="18"/>
  <c r="N221" i="18" s="1"/>
  <c r="B221" i="18"/>
  <c r="Z220" i="18"/>
  <c r="T220" i="18"/>
  <c r="P220" i="18"/>
  <c r="X220" i="18" s="1"/>
  <c r="H220" i="18"/>
  <c r="D220" i="18"/>
  <c r="L220" i="18" s="1"/>
  <c r="N220" i="18" s="1"/>
  <c r="B220" i="18"/>
  <c r="Z219" i="18"/>
  <c r="X219" i="18"/>
  <c r="N219" i="18"/>
  <c r="L219" i="18"/>
  <c r="B219" i="18"/>
  <c r="X218" i="18"/>
  <c r="V218" i="18"/>
  <c r="T218" i="18"/>
  <c r="P218" i="18"/>
  <c r="L218" i="18"/>
  <c r="N218" i="18" s="1"/>
  <c r="H218" i="18"/>
  <c r="D218" i="18"/>
  <c r="B218" i="18"/>
  <c r="Z217" i="18"/>
  <c r="X217" i="18"/>
  <c r="N217" i="18"/>
  <c r="L217" i="18"/>
  <c r="J217" i="18"/>
  <c r="B217" i="18"/>
  <c r="Z216" i="18"/>
  <c r="X216" i="18"/>
  <c r="N216" i="18"/>
  <c r="L216" i="18"/>
  <c r="B216" i="18"/>
  <c r="Z215" i="18"/>
  <c r="X215" i="18"/>
  <c r="N215" i="18"/>
  <c r="L215" i="18"/>
  <c r="J215" i="18"/>
  <c r="B215" i="18"/>
  <c r="X214" i="18"/>
  <c r="Z214" i="18" s="1"/>
  <c r="N214" i="18"/>
  <c r="L214" i="18"/>
  <c r="B214" i="18"/>
  <c r="Z213" i="18"/>
  <c r="X213" i="18"/>
  <c r="N213" i="18"/>
  <c r="L213" i="18"/>
  <c r="J213" i="18"/>
  <c r="B213" i="18"/>
  <c r="Z212" i="18"/>
  <c r="X212" i="18"/>
  <c r="N212" i="18"/>
  <c r="L212" i="18"/>
  <c r="B212" i="18"/>
  <c r="Z211" i="18"/>
  <c r="X211" i="18"/>
  <c r="N211" i="18"/>
  <c r="L211" i="18"/>
  <c r="J211" i="18"/>
  <c r="B211" i="18"/>
  <c r="Z210" i="18"/>
  <c r="X210" i="18"/>
  <c r="N210" i="18"/>
  <c r="L210" i="18"/>
  <c r="B210" i="18"/>
  <c r="Z209" i="18"/>
  <c r="X209" i="18"/>
  <c r="L209" i="18"/>
  <c r="N209" i="18" s="1"/>
  <c r="J209" i="18"/>
  <c r="B209" i="18"/>
  <c r="Z208" i="18"/>
  <c r="X208" i="18"/>
  <c r="N208" i="18"/>
  <c r="L208" i="18"/>
  <c r="B208" i="18"/>
  <c r="T207" i="18"/>
  <c r="X207" i="18" s="1"/>
  <c r="Z207" i="18" s="1"/>
  <c r="P207" i="18"/>
  <c r="L207" i="18"/>
  <c r="N207" i="18" s="1"/>
  <c r="H207" i="18"/>
  <c r="D207" i="18"/>
  <c r="B207" i="18"/>
  <c r="Z206" i="18"/>
  <c r="X206" i="18"/>
  <c r="L206" i="18"/>
  <c r="N206" i="18" s="1"/>
  <c r="J206" i="18"/>
  <c r="B206" i="18"/>
  <c r="X205" i="18"/>
  <c r="Z205" i="18" s="1"/>
  <c r="V205" i="18"/>
  <c r="L205" i="18"/>
  <c r="N205" i="18" s="1"/>
  <c r="B205" i="18"/>
  <c r="Z204" i="18"/>
  <c r="X204" i="18"/>
  <c r="L204" i="18"/>
  <c r="N204" i="18" s="1"/>
  <c r="B204" i="18"/>
  <c r="Z203" i="18"/>
  <c r="X203" i="18"/>
  <c r="V203" i="18"/>
  <c r="N203" i="18"/>
  <c r="L203" i="18"/>
  <c r="B203" i="18"/>
  <c r="Z202" i="18"/>
  <c r="X202" i="18"/>
  <c r="N202" i="18"/>
  <c r="L202" i="18"/>
  <c r="J202" i="18"/>
  <c r="B202" i="18"/>
  <c r="X201" i="18"/>
  <c r="Z201" i="18" s="1"/>
  <c r="V201" i="18"/>
  <c r="L201" i="18"/>
  <c r="N201" i="18" s="1"/>
  <c r="B201" i="18"/>
  <c r="Z200" i="18"/>
  <c r="X200" i="18"/>
  <c r="L200" i="18"/>
  <c r="N200" i="18" s="1"/>
  <c r="B200" i="18"/>
  <c r="Z199" i="18"/>
  <c r="X199" i="18"/>
  <c r="V199" i="18"/>
  <c r="N199" i="18"/>
  <c r="L199" i="18"/>
  <c r="B199" i="18"/>
  <c r="Z198" i="18"/>
  <c r="X198" i="18"/>
  <c r="L198" i="18"/>
  <c r="N198" i="18" s="1"/>
  <c r="J198" i="18"/>
  <c r="B198" i="18"/>
  <c r="X197" i="18"/>
  <c r="Z197" i="18" s="1"/>
  <c r="V197" i="18"/>
  <c r="L197" i="18"/>
  <c r="N197" i="18" s="1"/>
  <c r="B197" i="18"/>
  <c r="T196" i="18"/>
  <c r="P196" i="18"/>
  <c r="X196" i="18" s="1"/>
  <c r="Z196" i="18" s="1"/>
  <c r="H196" i="18"/>
  <c r="D196" i="18"/>
  <c r="L196" i="18" s="1"/>
  <c r="N196" i="18" s="1"/>
  <c r="B196" i="18"/>
  <c r="T195" i="18"/>
  <c r="Z195" i="18" s="1"/>
  <c r="P195" i="18"/>
  <c r="X195" i="18" s="1"/>
  <c r="H195" i="18"/>
  <c r="D195" i="18"/>
  <c r="L195" i="18" s="1"/>
  <c r="Z191" i="18"/>
  <c r="X191" i="18"/>
  <c r="N191" i="18"/>
  <c r="L191" i="18"/>
  <c r="B191" i="18"/>
  <c r="Z190" i="18"/>
  <c r="X190" i="18"/>
  <c r="V190" i="18"/>
  <c r="N190" i="18"/>
  <c r="L190" i="18"/>
  <c r="B190" i="18"/>
  <c r="Z189" i="18"/>
  <c r="X189" i="18"/>
  <c r="N189" i="18"/>
  <c r="L189" i="18"/>
  <c r="B189" i="18"/>
  <c r="Z188" i="18"/>
  <c r="X188" i="18"/>
  <c r="N188" i="18"/>
  <c r="L188" i="18"/>
  <c r="B188" i="18"/>
  <c r="Z187" i="18"/>
  <c r="X187" i="18"/>
  <c r="N187" i="18"/>
  <c r="L187" i="18"/>
  <c r="B187" i="18"/>
  <c r="Z186" i="18"/>
  <c r="X186" i="18"/>
  <c r="V186" i="18"/>
  <c r="N186" i="18"/>
  <c r="L186" i="18"/>
  <c r="B186" i="18"/>
  <c r="Z185" i="18"/>
  <c r="X185" i="18"/>
  <c r="N185" i="18"/>
  <c r="L185" i="18"/>
  <c r="B185" i="18"/>
  <c r="Z184" i="18"/>
  <c r="X184" i="18"/>
  <c r="N184" i="18"/>
  <c r="L184" i="18"/>
  <c r="B184" i="18"/>
  <c r="Z183" i="18"/>
  <c r="X183" i="18"/>
  <c r="N183" i="18"/>
  <c r="L183" i="18"/>
  <c r="B183" i="18"/>
  <c r="Z182" i="18"/>
  <c r="X182" i="18"/>
  <c r="V182" i="18"/>
  <c r="N182" i="18"/>
  <c r="L182" i="18"/>
  <c r="B182" i="18"/>
  <c r="Z181" i="18"/>
  <c r="X181" i="18"/>
  <c r="N181" i="18"/>
  <c r="L181" i="18"/>
  <c r="B181" i="18"/>
  <c r="Z180" i="18"/>
  <c r="X180" i="18"/>
  <c r="N180" i="18"/>
  <c r="L180" i="18"/>
  <c r="B180" i="18"/>
  <c r="Z179" i="18"/>
  <c r="X179" i="18"/>
  <c r="N179" i="18"/>
  <c r="L179" i="18"/>
  <c r="B179" i="18"/>
  <c r="Z178" i="18"/>
  <c r="X178" i="18"/>
  <c r="V178" i="18"/>
  <c r="N178" i="18"/>
  <c r="L178" i="18"/>
  <c r="B178" i="18"/>
  <c r="Z177" i="18"/>
  <c r="X177" i="18"/>
  <c r="N177" i="18"/>
  <c r="L177" i="18"/>
  <c r="B177" i="18"/>
  <c r="Z176" i="18"/>
  <c r="X176" i="18"/>
  <c r="N176" i="18"/>
  <c r="L176" i="18"/>
  <c r="B176" i="18"/>
  <c r="Z175" i="18"/>
  <c r="X175" i="18"/>
  <c r="N175" i="18"/>
  <c r="L175" i="18"/>
  <c r="B175" i="18"/>
  <c r="Z174" i="18"/>
  <c r="X174" i="18"/>
  <c r="V174" i="18"/>
  <c r="N174" i="18"/>
  <c r="L174" i="18"/>
  <c r="B174" i="18"/>
  <c r="Z173" i="18"/>
  <c r="X173" i="18"/>
  <c r="N173" i="18"/>
  <c r="L173" i="18"/>
  <c r="B173" i="18"/>
  <c r="Z172" i="18"/>
  <c r="X172" i="18"/>
  <c r="N172" i="18"/>
  <c r="L172" i="18"/>
  <c r="B172" i="18"/>
  <c r="Z171" i="18"/>
  <c r="X171" i="18"/>
  <c r="N171" i="18"/>
  <c r="L171" i="18"/>
  <c r="B171" i="18"/>
  <c r="Z170" i="18"/>
  <c r="X170" i="18"/>
  <c r="V170" i="18"/>
  <c r="N170" i="18"/>
  <c r="L170" i="18"/>
  <c r="B170" i="18"/>
  <c r="Z169" i="18"/>
  <c r="X169" i="18"/>
  <c r="N169" i="18"/>
  <c r="L169" i="18"/>
  <c r="B169" i="18"/>
  <c r="Z168" i="18"/>
  <c r="X168" i="18"/>
  <c r="N168" i="18"/>
  <c r="L168" i="18"/>
  <c r="B168" i="18"/>
  <c r="Z167" i="18"/>
  <c r="X167" i="18"/>
  <c r="N167" i="18"/>
  <c r="L167" i="18"/>
  <c r="B167" i="18"/>
  <c r="Z166" i="18"/>
  <c r="X166" i="18"/>
  <c r="V166" i="18"/>
  <c r="N166" i="18"/>
  <c r="L166" i="18"/>
  <c r="B166" i="18"/>
  <c r="Z165" i="18"/>
  <c r="X165" i="18"/>
  <c r="N165" i="18"/>
  <c r="L165" i="18"/>
  <c r="B165" i="18"/>
  <c r="Z164" i="18"/>
  <c r="X164" i="18"/>
  <c r="N164" i="18"/>
  <c r="L164" i="18"/>
  <c r="B164" i="18"/>
  <c r="Z163" i="18"/>
  <c r="X163" i="18"/>
  <c r="N163" i="18"/>
  <c r="L163" i="18"/>
  <c r="B163" i="18"/>
  <c r="Z162" i="18"/>
  <c r="X162" i="18"/>
  <c r="V162" i="18"/>
  <c r="N162" i="18"/>
  <c r="L162" i="18"/>
  <c r="B162" i="18"/>
  <c r="Z161" i="18"/>
  <c r="X161" i="18"/>
  <c r="N161" i="18"/>
  <c r="L161" i="18"/>
  <c r="B161" i="18"/>
  <c r="Z160" i="18"/>
  <c r="X160" i="18"/>
  <c r="N160" i="18"/>
  <c r="L160" i="18"/>
  <c r="B160" i="18"/>
  <c r="Z159" i="18"/>
  <c r="X159" i="18"/>
  <c r="N159" i="18"/>
  <c r="L159" i="18"/>
  <c r="B159" i="18"/>
  <c r="Z158" i="18"/>
  <c r="X158" i="18"/>
  <c r="V158" i="18"/>
  <c r="N158" i="18"/>
  <c r="L158" i="18"/>
  <c r="B158" i="18"/>
  <c r="Z157" i="18"/>
  <c r="X157" i="18"/>
  <c r="N157" i="18"/>
  <c r="L157" i="18"/>
  <c r="B157" i="18"/>
  <c r="Z156" i="18"/>
  <c r="X156" i="18"/>
  <c r="N156" i="18"/>
  <c r="L156" i="18"/>
  <c r="B156" i="18"/>
  <c r="Z155" i="18"/>
  <c r="X155" i="18"/>
  <c r="N155" i="18"/>
  <c r="L155" i="18"/>
  <c r="B155" i="18"/>
  <c r="Z154" i="18"/>
  <c r="X154" i="18"/>
  <c r="V154" i="18"/>
  <c r="N154" i="18"/>
  <c r="L154" i="18"/>
  <c r="B154" i="18"/>
  <c r="Z153" i="18"/>
  <c r="X153" i="18"/>
  <c r="N153" i="18"/>
  <c r="L153" i="18"/>
  <c r="B153" i="18"/>
  <c r="Z152" i="18"/>
  <c r="X152" i="18"/>
  <c r="N152" i="18"/>
  <c r="L152" i="18"/>
  <c r="B152" i="18"/>
  <c r="Z151" i="18"/>
  <c r="X151" i="18"/>
  <c r="N151" i="18"/>
  <c r="L151" i="18"/>
  <c r="B151" i="18"/>
  <c r="Z150" i="18"/>
  <c r="X150" i="18"/>
  <c r="V150" i="18"/>
  <c r="N150" i="18"/>
  <c r="L150" i="18"/>
  <c r="B150" i="18"/>
  <c r="Z149" i="18"/>
  <c r="X149" i="18"/>
  <c r="N149" i="18"/>
  <c r="L149" i="18"/>
  <c r="B149" i="18"/>
  <c r="Z148" i="18"/>
  <c r="X148" i="18"/>
  <c r="N148" i="18"/>
  <c r="L148" i="18"/>
  <c r="B148" i="18"/>
  <c r="Z147" i="18"/>
  <c r="X147" i="18"/>
  <c r="N147" i="18"/>
  <c r="L147" i="18"/>
  <c r="B147" i="18"/>
  <c r="Z146" i="18"/>
  <c r="X146" i="18"/>
  <c r="V146" i="18"/>
  <c r="N146" i="18"/>
  <c r="L146" i="18"/>
  <c r="B146" i="18"/>
  <c r="Z145" i="18"/>
  <c r="X145" i="18"/>
  <c r="N145" i="18"/>
  <c r="L145" i="18"/>
  <c r="B145" i="18"/>
  <c r="Z144" i="18"/>
  <c r="X144" i="18"/>
  <c r="N144" i="18"/>
  <c r="L144" i="18"/>
  <c r="B144" i="18"/>
  <c r="Z143" i="18"/>
  <c r="X143" i="18"/>
  <c r="N143" i="18"/>
  <c r="L143" i="18"/>
  <c r="B143" i="18"/>
  <c r="Z142" i="18"/>
  <c r="X142" i="18"/>
  <c r="V142" i="18"/>
  <c r="N142" i="18"/>
  <c r="L142" i="18"/>
  <c r="B142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N139" i="18"/>
  <c r="L139" i="18"/>
  <c r="B139" i="18"/>
  <c r="Z138" i="18"/>
  <c r="X138" i="18"/>
  <c r="V138" i="18"/>
  <c r="N138" i="18"/>
  <c r="L138" i="18"/>
  <c r="B138" i="18"/>
  <c r="Z137" i="18"/>
  <c r="X137" i="18"/>
  <c r="N137" i="18"/>
  <c r="L137" i="18"/>
  <c r="B137" i="18"/>
  <c r="Z136" i="18"/>
  <c r="X136" i="18"/>
  <c r="N136" i="18"/>
  <c r="L136" i="18"/>
  <c r="B136" i="18"/>
  <c r="Z135" i="18"/>
  <c r="X135" i="18"/>
  <c r="N135" i="18"/>
  <c r="L135" i="18"/>
  <c r="B135" i="18"/>
  <c r="Z134" i="18"/>
  <c r="X134" i="18"/>
  <c r="V134" i="18"/>
  <c r="N134" i="18"/>
  <c r="L134" i="18"/>
  <c r="B134" i="18"/>
  <c r="X133" i="18"/>
  <c r="Z133" i="18" s="1"/>
  <c r="L133" i="18"/>
  <c r="N133" i="18" s="1"/>
  <c r="B133" i="18"/>
  <c r="X132" i="18"/>
  <c r="Z132" i="18" s="1"/>
  <c r="T132" i="18"/>
  <c r="P132" i="18"/>
  <c r="L132" i="18"/>
  <c r="N132" i="18" s="1"/>
  <c r="J132" i="18"/>
  <c r="H132" i="18"/>
  <c r="D132" i="18"/>
  <c r="Z130" i="18"/>
  <c r="X130" i="18"/>
  <c r="P130" i="18"/>
  <c r="N130" i="18"/>
  <c r="L130" i="18"/>
  <c r="D130" i="18"/>
  <c r="B130" i="18"/>
  <c r="Z129" i="18"/>
  <c r="X129" i="18"/>
  <c r="P129" i="18"/>
  <c r="N129" i="18"/>
  <c r="L129" i="18"/>
  <c r="D129" i="18"/>
  <c r="B129" i="18"/>
  <c r="Z128" i="18"/>
  <c r="P128" i="18"/>
  <c r="X128" i="18" s="1"/>
  <c r="N128" i="18"/>
  <c r="D128" i="18"/>
  <c r="L128" i="18" s="1"/>
  <c r="B128" i="18"/>
  <c r="Z127" i="18"/>
  <c r="P127" i="18"/>
  <c r="X127" i="18" s="1"/>
  <c r="N127" i="18"/>
  <c r="L127" i="18"/>
  <c r="D127" i="18"/>
  <c r="B127" i="18"/>
  <c r="Z126" i="18"/>
  <c r="X126" i="18"/>
  <c r="P126" i="18"/>
  <c r="N126" i="18"/>
  <c r="L126" i="18"/>
  <c r="D126" i="18"/>
  <c r="B126" i="18"/>
  <c r="Z125" i="18"/>
  <c r="P125" i="18"/>
  <c r="X125" i="18" s="1"/>
  <c r="N125" i="18"/>
  <c r="D125" i="18"/>
  <c r="L125" i="18" s="1"/>
  <c r="B125" i="18"/>
  <c r="Z124" i="18"/>
  <c r="P124" i="18"/>
  <c r="X124" i="18" s="1"/>
  <c r="N124" i="18"/>
  <c r="D124" i="18"/>
  <c r="L124" i="18" s="1"/>
  <c r="B124" i="18"/>
  <c r="Z123" i="18"/>
  <c r="X123" i="18"/>
  <c r="P123" i="18"/>
  <c r="N123" i="18"/>
  <c r="L123" i="18"/>
  <c r="D123" i="18"/>
  <c r="B123" i="18"/>
  <c r="Z122" i="18"/>
  <c r="X122" i="18"/>
  <c r="P122" i="18"/>
  <c r="N122" i="18"/>
  <c r="D122" i="18"/>
  <c r="L122" i="18" s="1"/>
  <c r="B122" i="18"/>
  <c r="Z121" i="18"/>
  <c r="P121" i="18"/>
  <c r="X121" i="18" s="1"/>
  <c r="N121" i="18"/>
  <c r="L121" i="18"/>
  <c r="D121" i="18"/>
  <c r="B121" i="18"/>
  <c r="Z120" i="18"/>
  <c r="P120" i="18"/>
  <c r="X120" i="18" s="1"/>
  <c r="N120" i="18"/>
  <c r="L120" i="18"/>
  <c r="D120" i="18"/>
  <c r="B120" i="18"/>
  <c r="Z119" i="18"/>
  <c r="P119" i="18"/>
  <c r="X119" i="18" s="1"/>
  <c r="N119" i="18"/>
  <c r="L119" i="18"/>
  <c r="D119" i="18"/>
  <c r="B119" i="18"/>
  <c r="Z118" i="18"/>
  <c r="X118" i="18"/>
  <c r="P118" i="18"/>
  <c r="N118" i="18"/>
  <c r="L118" i="18"/>
  <c r="D118" i="18"/>
  <c r="B118" i="18"/>
  <c r="Z117" i="18"/>
  <c r="X117" i="18"/>
  <c r="P117" i="18"/>
  <c r="N117" i="18"/>
  <c r="D117" i="18"/>
  <c r="L117" i="18" s="1"/>
  <c r="B117" i="18"/>
  <c r="Z116" i="18"/>
  <c r="P116" i="18"/>
  <c r="X116" i="18" s="1"/>
  <c r="N116" i="18"/>
  <c r="D116" i="18"/>
  <c r="L116" i="18" s="1"/>
  <c r="B116" i="18"/>
  <c r="Z115" i="18"/>
  <c r="P115" i="18"/>
  <c r="X115" i="18" s="1"/>
  <c r="N115" i="18"/>
  <c r="L115" i="18"/>
  <c r="D115" i="18"/>
  <c r="B115" i="18"/>
  <c r="Z114" i="18"/>
  <c r="X114" i="18"/>
  <c r="P114" i="18"/>
  <c r="N114" i="18"/>
  <c r="L114" i="18"/>
  <c r="D114" i="18"/>
  <c r="B114" i="18"/>
  <c r="Z113" i="18"/>
  <c r="P113" i="18"/>
  <c r="X113" i="18" s="1"/>
  <c r="N113" i="18"/>
  <c r="D113" i="18"/>
  <c r="L113" i="18" s="1"/>
  <c r="B113" i="18"/>
  <c r="Z112" i="18"/>
  <c r="X112" i="18"/>
  <c r="P112" i="18"/>
  <c r="N112" i="18"/>
  <c r="D112" i="18"/>
  <c r="L112" i="18" s="1"/>
  <c r="B112" i="18"/>
  <c r="Z111" i="18"/>
  <c r="X111" i="18"/>
  <c r="P111" i="18"/>
  <c r="N111" i="18"/>
  <c r="L111" i="18"/>
  <c r="D111" i="18"/>
  <c r="B111" i="18"/>
  <c r="Z110" i="18"/>
  <c r="X110" i="18"/>
  <c r="P110" i="18"/>
  <c r="N110" i="18"/>
  <c r="D110" i="18"/>
  <c r="L110" i="18" s="1"/>
  <c r="B110" i="18"/>
  <c r="Z109" i="18"/>
  <c r="P109" i="18"/>
  <c r="X109" i="18" s="1"/>
  <c r="N109" i="18"/>
  <c r="D109" i="18"/>
  <c r="L109" i="18" s="1"/>
  <c r="B109" i="18"/>
  <c r="Z108" i="18"/>
  <c r="P108" i="18"/>
  <c r="X108" i="18" s="1"/>
  <c r="N108" i="18"/>
  <c r="L108" i="18"/>
  <c r="D108" i="18"/>
  <c r="B108" i="18"/>
  <c r="Z107" i="18"/>
  <c r="P107" i="18"/>
  <c r="X107" i="18" s="1"/>
  <c r="N107" i="18"/>
  <c r="L107" i="18"/>
  <c r="D107" i="18"/>
  <c r="B107" i="18"/>
  <c r="Z106" i="18"/>
  <c r="X106" i="18"/>
  <c r="P106" i="18"/>
  <c r="N106" i="18"/>
  <c r="L106" i="18"/>
  <c r="D106" i="18"/>
  <c r="B106" i="18"/>
  <c r="Z105" i="18"/>
  <c r="X105" i="18"/>
  <c r="P105" i="18"/>
  <c r="N105" i="18"/>
  <c r="D105" i="18"/>
  <c r="L105" i="18" s="1"/>
  <c r="B105" i="18"/>
  <c r="Z104" i="18"/>
  <c r="P104" i="18"/>
  <c r="X104" i="18" s="1"/>
  <c r="N104" i="18"/>
  <c r="D104" i="18"/>
  <c r="L104" i="18" s="1"/>
  <c r="B104" i="18"/>
  <c r="Z103" i="18"/>
  <c r="P103" i="18"/>
  <c r="X103" i="18" s="1"/>
  <c r="N103" i="18"/>
  <c r="L103" i="18"/>
  <c r="D103" i="18"/>
  <c r="B103" i="18"/>
  <c r="Z102" i="18"/>
  <c r="X102" i="18"/>
  <c r="P102" i="18"/>
  <c r="N102" i="18"/>
  <c r="L102" i="18"/>
  <c r="D102" i="18"/>
  <c r="B102" i="18"/>
  <c r="Z101" i="18"/>
  <c r="P101" i="18"/>
  <c r="X101" i="18" s="1"/>
  <c r="N101" i="18"/>
  <c r="D101" i="18"/>
  <c r="L101" i="18" s="1"/>
  <c r="B101" i="18"/>
  <c r="Z100" i="18"/>
  <c r="X100" i="18"/>
  <c r="P100" i="18"/>
  <c r="N100" i="18"/>
  <c r="D100" i="18"/>
  <c r="L100" i="18" s="1"/>
  <c r="B100" i="18"/>
  <c r="Z99" i="18"/>
  <c r="X99" i="18"/>
  <c r="P99" i="18"/>
  <c r="N99" i="18"/>
  <c r="L99" i="18"/>
  <c r="D99" i="18"/>
  <c r="B99" i="18"/>
  <c r="Z98" i="18"/>
  <c r="X98" i="18"/>
  <c r="P98" i="18"/>
  <c r="N98" i="18"/>
  <c r="D98" i="18"/>
  <c r="L98" i="18" s="1"/>
  <c r="B98" i="18"/>
  <c r="Z97" i="18"/>
  <c r="P97" i="18"/>
  <c r="X97" i="18" s="1"/>
  <c r="N97" i="18"/>
  <c r="D97" i="18"/>
  <c r="L97" i="18" s="1"/>
  <c r="B97" i="18"/>
  <c r="Z96" i="18"/>
  <c r="P96" i="18"/>
  <c r="X96" i="18" s="1"/>
  <c r="N96" i="18"/>
  <c r="L96" i="18"/>
  <c r="D96" i="18"/>
  <c r="B96" i="18"/>
  <c r="Z95" i="18"/>
  <c r="P95" i="18"/>
  <c r="X95" i="18" s="1"/>
  <c r="N95" i="18"/>
  <c r="L95" i="18"/>
  <c r="D95" i="18"/>
  <c r="B95" i="18"/>
  <c r="Z94" i="18"/>
  <c r="X94" i="18"/>
  <c r="P94" i="18"/>
  <c r="N94" i="18"/>
  <c r="L94" i="18"/>
  <c r="D94" i="18"/>
  <c r="B94" i="18"/>
  <c r="Z93" i="18"/>
  <c r="X93" i="18"/>
  <c r="P93" i="18"/>
  <c r="N93" i="18"/>
  <c r="D93" i="18"/>
  <c r="L93" i="18" s="1"/>
  <c r="B93" i="18"/>
  <c r="Z92" i="18"/>
  <c r="P92" i="18"/>
  <c r="X92" i="18" s="1"/>
  <c r="N92" i="18"/>
  <c r="D92" i="18"/>
  <c r="L92" i="18" s="1"/>
  <c r="B92" i="18"/>
  <c r="Z91" i="18"/>
  <c r="P91" i="18"/>
  <c r="X91" i="18" s="1"/>
  <c r="N91" i="18"/>
  <c r="L91" i="18"/>
  <c r="D91" i="18"/>
  <c r="B91" i="18"/>
  <c r="Z90" i="18"/>
  <c r="X90" i="18"/>
  <c r="P90" i="18"/>
  <c r="N90" i="18"/>
  <c r="L90" i="18"/>
  <c r="D90" i="18"/>
  <c r="B90" i="18"/>
  <c r="Z89" i="18"/>
  <c r="P89" i="18"/>
  <c r="X89" i="18" s="1"/>
  <c r="N89" i="18"/>
  <c r="D89" i="18"/>
  <c r="L89" i="18" s="1"/>
  <c r="B89" i="18"/>
  <c r="Z88" i="18"/>
  <c r="X88" i="18"/>
  <c r="P88" i="18"/>
  <c r="N88" i="18"/>
  <c r="D88" i="18"/>
  <c r="L88" i="18" s="1"/>
  <c r="B88" i="18"/>
  <c r="Z87" i="18"/>
  <c r="X87" i="18"/>
  <c r="P87" i="18"/>
  <c r="N87" i="18"/>
  <c r="L87" i="18"/>
  <c r="D87" i="18"/>
  <c r="B87" i="18"/>
  <c r="Z86" i="18"/>
  <c r="X86" i="18"/>
  <c r="P86" i="18"/>
  <c r="N86" i="18"/>
  <c r="D86" i="18"/>
  <c r="L86" i="18" s="1"/>
  <c r="B86" i="18"/>
  <c r="Z85" i="18"/>
  <c r="P85" i="18"/>
  <c r="X85" i="18" s="1"/>
  <c r="N85" i="18"/>
  <c r="L85" i="18"/>
  <c r="D85" i="18"/>
  <c r="B85" i="18"/>
  <c r="Z84" i="18"/>
  <c r="P84" i="18"/>
  <c r="X84" i="18" s="1"/>
  <c r="N84" i="18"/>
  <c r="L84" i="18"/>
  <c r="D84" i="18"/>
  <c r="B84" i="18"/>
  <c r="Z83" i="18"/>
  <c r="P83" i="18"/>
  <c r="X83" i="18" s="1"/>
  <c r="N83" i="18"/>
  <c r="L83" i="18"/>
  <c r="D83" i="18"/>
  <c r="B83" i="18"/>
  <c r="Z82" i="18"/>
  <c r="X82" i="18"/>
  <c r="P82" i="18"/>
  <c r="N82" i="18"/>
  <c r="D82" i="18"/>
  <c r="L82" i="18" s="1"/>
  <c r="B82" i="18"/>
  <c r="Z81" i="18"/>
  <c r="X81" i="18"/>
  <c r="P81" i="18"/>
  <c r="N81" i="18"/>
  <c r="D81" i="18"/>
  <c r="L81" i="18" s="1"/>
  <c r="B81" i="18"/>
  <c r="Z80" i="18"/>
  <c r="P80" i="18"/>
  <c r="X80" i="18" s="1"/>
  <c r="N80" i="18"/>
  <c r="D80" i="18"/>
  <c r="L80" i="18" s="1"/>
  <c r="B80" i="18"/>
  <c r="Z79" i="18"/>
  <c r="P79" i="18"/>
  <c r="X79" i="18" s="1"/>
  <c r="N79" i="18"/>
  <c r="L79" i="18"/>
  <c r="D79" i="18"/>
  <c r="B79" i="18"/>
  <c r="Z78" i="18"/>
  <c r="X78" i="18"/>
  <c r="P78" i="18"/>
  <c r="N78" i="18"/>
  <c r="L78" i="18"/>
  <c r="D78" i="18"/>
  <c r="B78" i="18"/>
  <c r="Z77" i="18"/>
  <c r="P77" i="18"/>
  <c r="X77" i="18" s="1"/>
  <c r="N77" i="18"/>
  <c r="D77" i="18"/>
  <c r="L77" i="18" s="1"/>
  <c r="B77" i="18"/>
  <c r="Z76" i="18"/>
  <c r="X76" i="18"/>
  <c r="P76" i="18"/>
  <c r="N76" i="18"/>
  <c r="D76" i="18"/>
  <c r="L76" i="18" s="1"/>
  <c r="B76" i="18"/>
  <c r="Z75" i="18"/>
  <c r="X75" i="18"/>
  <c r="P75" i="18"/>
  <c r="N75" i="18"/>
  <c r="L75" i="18"/>
  <c r="D75" i="18"/>
  <c r="B75" i="18"/>
  <c r="Z74" i="18"/>
  <c r="X74" i="18"/>
  <c r="P74" i="18"/>
  <c r="N74" i="18"/>
  <c r="D74" i="18"/>
  <c r="L74" i="18" s="1"/>
  <c r="B74" i="18"/>
  <c r="Z73" i="18"/>
  <c r="P73" i="18"/>
  <c r="X73" i="18" s="1"/>
  <c r="N73" i="18"/>
  <c r="L73" i="18"/>
  <c r="D73" i="18"/>
  <c r="B73" i="18"/>
  <c r="Z72" i="18"/>
  <c r="P72" i="18"/>
  <c r="X72" i="18" s="1"/>
  <c r="N72" i="18"/>
  <c r="L72" i="18"/>
  <c r="D72" i="18"/>
  <c r="B72" i="18"/>
  <c r="Z71" i="18"/>
  <c r="P71" i="18"/>
  <c r="X71" i="18" s="1"/>
  <c r="N71" i="18"/>
  <c r="L71" i="18"/>
  <c r="D71" i="18"/>
  <c r="B71" i="18"/>
  <c r="Z70" i="18"/>
  <c r="X70" i="18"/>
  <c r="P70" i="18"/>
  <c r="N70" i="18"/>
  <c r="D70" i="18"/>
  <c r="L70" i="18" s="1"/>
  <c r="B70" i="18"/>
  <c r="Z69" i="18"/>
  <c r="X69" i="18"/>
  <c r="P69" i="18"/>
  <c r="N69" i="18"/>
  <c r="D69" i="18"/>
  <c r="L69" i="18" s="1"/>
  <c r="B69" i="18"/>
  <c r="Z68" i="18"/>
  <c r="P68" i="18"/>
  <c r="X68" i="18" s="1"/>
  <c r="N68" i="18"/>
  <c r="D68" i="18"/>
  <c r="L68" i="18" s="1"/>
  <c r="B68" i="18"/>
  <c r="Z67" i="18"/>
  <c r="P67" i="18"/>
  <c r="X67" i="18" s="1"/>
  <c r="N67" i="18"/>
  <c r="L67" i="18"/>
  <c r="D67" i="18"/>
  <c r="B67" i="18"/>
  <c r="Z66" i="18"/>
  <c r="X66" i="18"/>
  <c r="P66" i="18"/>
  <c r="N66" i="18"/>
  <c r="L66" i="18"/>
  <c r="D66" i="18"/>
  <c r="B66" i="18"/>
  <c r="Z65" i="18"/>
  <c r="P65" i="18"/>
  <c r="X65" i="18" s="1"/>
  <c r="N65" i="18"/>
  <c r="D65" i="18"/>
  <c r="L65" i="18" s="1"/>
  <c r="B65" i="18"/>
  <c r="Z64" i="18"/>
  <c r="X64" i="18"/>
  <c r="P64" i="18"/>
  <c r="N64" i="18"/>
  <c r="D64" i="18"/>
  <c r="L64" i="18" s="1"/>
  <c r="B64" i="18"/>
  <c r="Z63" i="18"/>
  <c r="X63" i="18"/>
  <c r="P63" i="18"/>
  <c r="N63" i="18"/>
  <c r="L63" i="18"/>
  <c r="D63" i="18"/>
  <c r="B63" i="18"/>
  <c r="Z62" i="18"/>
  <c r="X62" i="18"/>
  <c r="P62" i="18"/>
  <c r="N62" i="18"/>
  <c r="D62" i="18"/>
  <c r="L62" i="18" s="1"/>
  <c r="B62" i="18"/>
  <c r="Z61" i="18"/>
  <c r="P61" i="18"/>
  <c r="X61" i="18" s="1"/>
  <c r="N61" i="18"/>
  <c r="L61" i="18"/>
  <c r="D61" i="18"/>
  <c r="B61" i="18"/>
  <c r="Z60" i="18"/>
  <c r="P60" i="18"/>
  <c r="X60" i="18" s="1"/>
  <c r="N60" i="18"/>
  <c r="L60" i="18"/>
  <c r="D60" i="18"/>
  <c r="B60" i="18"/>
  <c r="Z59" i="18"/>
  <c r="P59" i="18"/>
  <c r="X59" i="18" s="1"/>
  <c r="N59" i="18"/>
  <c r="L59" i="18"/>
  <c r="D59" i="18"/>
  <c r="B59" i="18"/>
  <c r="Z58" i="18"/>
  <c r="X58" i="18"/>
  <c r="P58" i="18"/>
  <c r="N58" i="18"/>
  <c r="D58" i="18"/>
  <c r="L58" i="18" s="1"/>
  <c r="B58" i="18"/>
  <c r="Z57" i="18"/>
  <c r="X57" i="18"/>
  <c r="P57" i="18"/>
  <c r="N57" i="18"/>
  <c r="L57" i="18"/>
  <c r="D57" i="18"/>
  <c r="B57" i="18"/>
  <c r="Z56" i="18"/>
  <c r="P56" i="18"/>
  <c r="X56" i="18" s="1"/>
  <c r="N56" i="18"/>
  <c r="D56" i="18"/>
  <c r="L56" i="18" s="1"/>
  <c r="B56" i="18"/>
  <c r="Z55" i="18"/>
  <c r="P55" i="18"/>
  <c r="X55" i="18" s="1"/>
  <c r="N55" i="18"/>
  <c r="L55" i="18"/>
  <c r="D55" i="18"/>
  <c r="B55" i="18"/>
  <c r="Z54" i="18"/>
  <c r="X54" i="18"/>
  <c r="P54" i="18"/>
  <c r="N54" i="18"/>
  <c r="L54" i="18"/>
  <c r="D54" i="18"/>
  <c r="B54" i="18"/>
  <c r="Z53" i="18"/>
  <c r="P53" i="18"/>
  <c r="X53" i="18" s="1"/>
  <c r="N53" i="18"/>
  <c r="D53" i="18"/>
  <c r="L53" i="18" s="1"/>
  <c r="B53" i="18"/>
  <c r="Z52" i="18"/>
  <c r="P52" i="18"/>
  <c r="X52" i="18" s="1"/>
  <c r="N52" i="18"/>
  <c r="D52" i="18"/>
  <c r="L52" i="18" s="1"/>
  <c r="B52" i="18"/>
  <c r="Z51" i="18"/>
  <c r="X51" i="18"/>
  <c r="P51" i="18"/>
  <c r="N51" i="18"/>
  <c r="L51" i="18"/>
  <c r="D51" i="18"/>
  <c r="B51" i="18"/>
  <c r="Z50" i="18"/>
  <c r="X50" i="18"/>
  <c r="P50" i="18"/>
  <c r="D50" i="18"/>
  <c r="L50" i="18" s="1"/>
  <c r="N50" i="18" s="1"/>
  <c r="B50" i="18"/>
  <c r="Z49" i="18"/>
  <c r="P49" i="18"/>
  <c r="X49" i="18" s="1"/>
  <c r="N49" i="18"/>
  <c r="L49" i="18"/>
  <c r="D49" i="18"/>
  <c r="B49" i="18"/>
  <c r="Z48" i="18"/>
  <c r="P48" i="18"/>
  <c r="X48" i="18" s="1"/>
  <c r="N48" i="18"/>
  <c r="L48" i="18"/>
  <c r="D48" i="18"/>
  <c r="B48" i="18"/>
  <c r="Z47" i="18"/>
  <c r="P47" i="18"/>
  <c r="X47" i="18" s="1"/>
  <c r="N47" i="18"/>
  <c r="L47" i="18"/>
  <c r="D47" i="18"/>
  <c r="B47" i="18"/>
  <c r="Z46" i="18"/>
  <c r="X46" i="18"/>
  <c r="P46" i="18"/>
  <c r="N46" i="18"/>
  <c r="D46" i="18"/>
  <c r="L46" i="18" s="1"/>
  <c r="B46" i="18"/>
  <c r="Z45" i="18"/>
  <c r="X45" i="18"/>
  <c r="P45" i="18"/>
  <c r="N45" i="18"/>
  <c r="L45" i="18"/>
  <c r="D45" i="18"/>
  <c r="B45" i="18"/>
  <c r="Z44" i="18"/>
  <c r="P44" i="18"/>
  <c r="X44" i="18" s="1"/>
  <c r="N44" i="18"/>
  <c r="D44" i="18"/>
  <c r="L44" i="18" s="1"/>
  <c r="B44" i="18"/>
  <c r="Z43" i="18"/>
  <c r="P43" i="18"/>
  <c r="X43" i="18" s="1"/>
  <c r="N43" i="18"/>
  <c r="L43" i="18"/>
  <c r="D43" i="18"/>
  <c r="B43" i="18"/>
  <c r="Z42" i="18"/>
  <c r="X42" i="18"/>
  <c r="P42" i="18"/>
  <c r="N42" i="18"/>
  <c r="L42" i="18"/>
  <c r="D42" i="18"/>
  <c r="B42" i="18"/>
  <c r="Z41" i="18"/>
  <c r="P41" i="18"/>
  <c r="X41" i="18" s="1"/>
  <c r="N41" i="18"/>
  <c r="D41" i="18"/>
  <c r="L41" i="18" s="1"/>
  <c r="B41" i="18"/>
  <c r="Z40" i="18"/>
  <c r="P40" i="18"/>
  <c r="X40" i="18" s="1"/>
  <c r="N40" i="18"/>
  <c r="D40" i="18"/>
  <c r="L40" i="18" s="1"/>
  <c r="B40" i="18"/>
  <c r="Z39" i="18"/>
  <c r="X39" i="18"/>
  <c r="P39" i="18"/>
  <c r="N39" i="18"/>
  <c r="L39" i="18"/>
  <c r="D39" i="18"/>
  <c r="B39" i="18"/>
  <c r="Z38" i="18"/>
  <c r="X38" i="18"/>
  <c r="P38" i="18"/>
  <c r="N38" i="18"/>
  <c r="D38" i="18"/>
  <c r="L38" i="18" s="1"/>
  <c r="B38" i="18"/>
  <c r="Z37" i="18"/>
  <c r="P37" i="18"/>
  <c r="X37" i="18" s="1"/>
  <c r="N37" i="18"/>
  <c r="L37" i="18"/>
  <c r="D37" i="18"/>
  <c r="B37" i="18"/>
  <c r="Z36" i="18"/>
  <c r="X36" i="18"/>
  <c r="P36" i="18"/>
  <c r="N36" i="18"/>
  <c r="L36" i="18"/>
  <c r="D36" i="18"/>
  <c r="B36" i="18"/>
  <c r="Z35" i="18"/>
  <c r="P35" i="18"/>
  <c r="X35" i="18" s="1"/>
  <c r="N35" i="18"/>
  <c r="L35" i="18"/>
  <c r="D35" i="18"/>
  <c r="B35" i="18"/>
  <c r="Z34" i="18"/>
  <c r="X34" i="18"/>
  <c r="P34" i="18"/>
  <c r="N34" i="18"/>
  <c r="D34" i="18"/>
  <c r="L34" i="18" s="1"/>
  <c r="B34" i="18"/>
  <c r="Z33" i="18"/>
  <c r="X33" i="18"/>
  <c r="P33" i="18"/>
  <c r="N33" i="18"/>
  <c r="L33" i="18"/>
  <c r="D33" i="18"/>
  <c r="B33" i="18"/>
  <c r="Z32" i="18"/>
  <c r="P32" i="18"/>
  <c r="X32" i="18" s="1"/>
  <c r="N32" i="18"/>
  <c r="D32" i="18"/>
  <c r="L32" i="18" s="1"/>
  <c r="B32" i="18"/>
  <c r="Z31" i="18"/>
  <c r="P31" i="18"/>
  <c r="X31" i="18" s="1"/>
  <c r="N31" i="18"/>
  <c r="L31" i="18"/>
  <c r="D31" i="18"/>
  <c r="B31" i="18"/>
  <c r="Z30" i="18"/>
  <c r="X30" i="18"/>
  <c r="P30" i="18"/>
  <c r="N30" i="18"/>
  <c r="L30" i="18"/>
  <c r="D30" i="18"/>
  <c r="B30" i="18"/>
  <c r="Z29" i="18"/>
  <c r="P29" i="18"/>
  <c r="X29" i="18" s="1"/>
  <c r="N29" i="18"/>
  <c r="D29" i="18"/>
  <c r="L29" i="18" s="1"/>
  <c r="B29" i="18"/>
  <c r="Z28" i="18"/>
  <c r="X28" i="18"/>
  <c r="P28" i="18"/>
  <c r="N28" i="18"/>
  <c r="D28" i="18"/>
  <c r="L28" i="18" s="1"/>
  <c r="B28" i="18"/>
  <c r="Z27" i="18"/>
  <c r="X27" i="18"/>
  <c r="P27" i="18"/>
  <c r="N27" i="18"/>
  <c r="L27" i="18"/>
  <c r="D27" i="18"/>
  <c r="B27" i="18"/>
  <c r="Z26" i="18"/>
  <c r="X26" i="18"/>
  <c r="P26" i="18"/>
  <c r="N26" i="18"/>
  <c r="D26" i="18"/>
  <c r="L26" i="18" s="1"/>
  <c r="B26" i="18"/>
  <c r="Z25" i="18"/>
  <c r="P25" i="18"/>
  <c r="X25" i="18" s="1"/>
  <c r="N25" i="18"/>
  <c r="L25" i="18"/>
  <c r="D25" i="18"/>
  <c r="B25" i="18"/>
  <c r="Z24" i="18"/>
  <c r="X24" i="18"/>
  <c r="P24" i="18"/>
  <c r="N24" i="18"/>
  <c r="L24" i="18"/>
  <c r="D24" i="18"/>
  <c r="B24" i="18"/>
  <c r="Z23" i="18"/>
  <c r="P23" i="18"/>
  <c r="X23" i="18" s="1"/>
  <c r="N23" i="18"/>
  <c r="L23" i="18"/>
  <c r="D23" i="18"/>
  <c r="B23" i="18"/>
  <c r="Z22" i="18"/>
  <c r="X22" i="18"/>
  <c r="P22" i="18"/>
  <c r="N22" i="18"/>
  <c r="D22" i="18"/>
  <c r="L22" i="18" s="1"/>
  <c r="B22" i="18"/>
  <c r="Z21" i="18"/>
  <c r="X21" i="18"/>
  <c r="P21" i="18"/>
  <c r="N21" i="18"/>
  <c r="L21" i="18"/>
  <c r="D21" i="18"/>
  <c r="B21" i="18"/>
  <c r="Z20" i="18"/>
  <c r="P20" i="18"/>
  <c r="X20" i="18" s="1"/>
  <c r="N20" i="18"/>
  <c r="D20" i="18"/>
  <c r="L20" i="18" s="1"/>
  <c r="B20" i="18"/>
  <c r="Z19" i="18"/>
  <c r="P19" i="18"/>
  <c r="X19" i="18" s="1"/>
  <c r="N19" i="18"/>
  <c r="L19" i="18"/>
  <c r="D19" i="18"/>
  <c r="B19" i="18"/>
  <c r="Z18" i="18"/>
  <c r="X18" i="18"/>
  <c r="P18" i="18"/>
  <c r="N18" i="18"/>
  <c r="L18" i="18"/>
  <c r="D18" i="18"/>
  <c r="B18" i="18"/>
  <c r="Z17" i="18"/>
  <c r="P17" i="18"/>
  <c r="X17" i="18" s="1"/>
  <c r="N17" i="18"/>
  <c r="D17" i="18"/>
  <c r="L17" i="18" s="1"/>
  <c r="B17" i="18"/>
  <c r="Z16" i="18"/>
  <c r="P16" i="18"/>
  <c r="N16" i="18"/>
  <c r="D16" i="18"/>
  <c r="L16" i="18" s="1"/>
  <c r="B16" i="18"/>
  <c r="Z15" i="18"/>
  <c r="X15" i="18"/>
  <c r="P15" i="18"/>
  <c r="N15" i="18"/>
  <c r="L15" i="18"/>
  <c r="D15" i="18"/>
  <c r="B15" i="18"/>
  <c r="Z14" i="18"/>
  <c r="X14" i="18"/>
  <c r="P14" i="18"/>
  <c r="N14" i="18"/>
  <c r="D14" i="18"/>
  <c r="L14" i="18" s="1"/>
  <c r="B14" i="18"/>
  <c r="P13" i="18"/>
  <c r="X13" i="18" s="1"/>
  <c r="Z13" i="18" s="1"/>
  <c r="L13" i="18"/>
  <c r="N13" i="18" s="1"/>
  <c r="D13" i="18"/>
  <c r="B13" i="18"/>
  <c r="T12" i="18"/>
  <c r="V337" i="18" s="1"/>
  <c r="H12" i="18"/>
  <c r="J336" i="18" s="1"/>
  <c r="D4" i="18"/>
  <c r="X312" i="15"/>
  <c r="Z312" i="15" s="1"/>
  <c r="N312" i="15"/>
  <c r="L312" i="15"/>
  <c r="Z308" i="15"/>
  <c r="X308" i="15"/>
  <c r="V308" i="15"/>
  <c r="P308" i="15"/>
  <c r="N308" i="15"/>
  <c r="D308" i="15"/>
  <c r="L308" i="15" s="1"/>
  <c r="B308" i="15"/>
  <c r="P307" i="15"/>
  <c r="D307" i="15"/>
  <c r="L307" i="15" s="1"/>
  <c r="N307" i="15" s="1"/>
  <c r="B307" i="15"/>
  <c r="Z306" i="15"/>
  <c r="P306" i="15"/>
  <c r="X306" i="15" s="1"/>
  <c r="N306" i="15"/>
  <c r="D306" i="15"/>
  <c r="L306" i="15" s="1"/>
  <c r="B306" i="15"/>
  <c r="Z305" i="15"/>
  <c r="P305" i="15"/>
  <c r="X305" i="15" s="1"/>
  <c r="N305" i="15"/>
  <c r="L305" i="15"/>
  <c r="D305" i="15"/>
  <c r="B305" i="15"/>
  <c r="Z304" i="15"/>
  <c r="X304" i="15"/>
  <c r="P304" i="15"/>
  <c r="L304" i="15"/>
  <c r="N304" i="15" s="1"/>
  <c r="J304" i="15"/>
  <c r="D304" i="15"/>
  <c r="B304" i="15"/>
  <c r="X303" i="15"/>
  <c r="Z303" i="15" s="1"/>
  <c r="P303" i="15"/>
  <c r="N303" i="15"/>
  <c r="L303" i="15"/>
  <c r="J303" i="15"/>
  <c r="D303" i="15"/>
  <c r="B303" i="15"/>
  <c r="Z302" i="15"/>
  <c r="X302" i="15"/>
  <c r="V302" i="15"/>
  <c r="P302" i="15"/>
  <c r="N302" i="15"/>
  <c r="D302" i="15"/>
  <c r="L302" i="15" s="1"/>
  <c r="B302" i="15"/>
  <c r="Z301" i="15"/>
  <c r="P301" i="15"/>
  <c r="X301" i="15" s="1"/>
  <c r="N301" i="15"/>
  <c r="D301" i="15"/>
  <c r="L301" i="15" s="1"/>
  <c r="B301" i="15"/>
  <c r="Z300" i="15"/>
  <c r="P300" i="15"/>
  <c r="X300" i="15" s="1"/>
  <c r="N300" i="15"/>
  <c r="D300" i="15"/>
  <c r="L300" i="15" s="1"/>
  <c r="B300" i="15"/>
  <c r="T299" i="15"/>
  <c r="H299" i="15"/>
  <c r="Z297" i="15"/>
  <c r="X297" i="15"/>
  <c r="L297" i="15"/>
  <c r="N297" i="15" s="1"/>
  <c r="B297" i="15"/>
  <c r="V296" i="15"/>
  <c r="T296" i="15"/>
  <c r="P296" i="15"/>
  <c r="J296" i="15"/>
  <c r="H296" i="15"/>
  <c r="D296" i="15"/>
  <c r="B296" i="15"/>
  <c r="X295" i="15"/>
  <c r="Z295" i="15" s="1"/>
  <c r="V295" i="15"/>
  <c r="N295" i="15"/>
  <c r="L295" i="15"/>
  <c r="B295" i="15"/>
  <c r="X294" i="15"/>
  <c r="Z294" i="15" s="1"/>
  <c r="L294" i="15"/>
  <c r="N294" i="15" s="1"/>
  <c r="B294" i="15"/>
  <c r="Z293" i="15"/>
  <c r="X293" i="15"/>
  <c r="N293" i="15"/>
  <c r="L293" i="15"/>
  <c r="B293" i="15"/>
  <c r="T292" i="15"/>
  <c r="Z292" i="15" s="1"/>
  <c r="P292" i="15"/>
  <c r="X292" i="15" s="1"/>
  <c r="H292" i="15"/>
  <c r="D292" i="15"/>
  <c r="L292" i="15" s="1"/>
  <c r="B292" i="15"/>
  <c r="X291" i="15"/>
  <c r="Z291" i="15" s="1"/>
  <c r="N291" i="15"/>
  <c r="L291" i="15"/>
  <c r="B291" i="15"/>
  <c r="X290" i="15"/>
  <c r="Z290" i="15" s="1"/>
  <c r="T290" i="15"/>
  <c r="P290" i="15"/>
  <c r="N290" i="15"/>
  <c r="L290" i="15"/>
  <c r="H290" i="15"/>
  <c r="D290" i="15"/>
  <c r="B290" i="15"/>
  <c r="Z289" i="15"/>
  <c r="X289" i="15"/>
  <c r="L289" i="15"/>
  <c r="N289" i="15" s="1"/>
  <c r="B289" i="15"/>
  <c r="Z288" i="15"/>
  <c r="X288" i="15"/>
  <c r="V288" i="15"/>
  <c r="N288" i="15"/>
  <c r="L288" i="15"/>
  <c r="B288" i="15"/>
  <c r="T287" i="15"/>
  <c r="P287" i="15"/>
  <c r="X287" i="15" s="1"/>
  <c r="Z287" i="15" s="1"/>
  <c r="N287" i="15"/>
  <c r="H287" i="15"/>
  <c r="D287" i="15"/>
  <c r="L287" i="15" s="1"/>
  <c r="B287" i="15"/>
  <c r="X286" i="15"/>
  <c r="Z286" i="15" s="1"/>
  <c r="L286" i="15"/>
  <c r="N286" i="15" s="1"/>
  <c r="B286" i="15"/>
  <c r="X285" i="15"/>
  <c r="Z285" i="15" s="1"/>
  <c r="N285" i="15"/>
  <c r="L285" i="15"/>
  <c r="B285" i="15"/>
  <c r="Z284" i="15"/>
  <c r="X284" i="15"/>
  <c r="N284" i="15"/>
  <c r="L284" i="15"/>
  <c r="B284" i="15"/>
  <c r="X283" i="15"/>
  <c r="Z283" i="15" s="1"/>
  <c r="V283" i="15"/>
  <c r="L283" i="15"/>
  <c r="N283" i="15" s="1"/>
  <c r="B283" i="15"/>
  <c r="X282" i="15"/>
  <c r="Z282" i="15" s="1"/>
  <c r="N282" i="15"/>
  <c r="L282" i="15"/>
  <c r="B282" i="15"/>
  <c r="X281" i="15"/>
  <c r="Z281" i="15" s="1"/>
  <c r="N281" i="15"/>
  <c r="L281" i="15"/>
  <c r="B281" i="15"/>
  <c r="Z280" i="15"/>
  <c r="X280" i="15"/>
  <c r="N280" i="15"/>
  <c r="L280" i="15"/>
  <c r="B280" i="15"/>
  <c r="X279" i="15"/>
  <c r="Z279" i="15" s="1"/>
  <c r="V279" i="15"/>
  <c r="L279" i="15"/>
  <c r="N279" i="15" s="1"/>
  <c r="B279" i="15"/>
  <c r="T278" i="15"/>
  <c r="Z278" i="15" s="1"/>
  <c r="P278" i="15"/>
  <c r="X278" i="15" s="1"/>
  <c r="H278" i="15"/>
  <c r="D278" i="15"/>
  <c r="L278" i="15" s="1"/>
  <c r="B278" i="15"/>
  <c r="Z277" i="15"/>
  <c r="X277" i="15"/>
  <c r="N277" i="15"/>
  <c r="L277" i="15"/>
  <c r="B277" i="15"/>
  <c r="Z276" i="15"/>
  <c r="X276" i="15"/>
  <c r="N276" i="15"/>
  <c r="L276" i="15"/>
  <c r="B276" i="15"/>
  <c r="T275" i="15"/>
  <c r="P275" i="15"/>
  <c r="H275" i="15"/>
  <c r="D275" i="15"/>
  <c r="B275" i="15"/>
  <c r="X274" i="15"/>
  <c r="Z274" i="15" s="1"/>
  <c r="V274" i="15"/>
  <c r="L274" i="15"/>
  <c r="N274" i="15" s="1"/>
  <c r="B274" i="15"/>
  <c r="Z273" i="15"/>
  <c r="X273" i="15"/>
  <c r="L273" i="15"/>
  <c r="N273" i="15" s="1"/>
  <c r="B273" i="15"/>
  <c r="Z272" i="15"/>
  <c r="X272" i="15"/>
  <c r="V272" i="15"/>
  <c r="N272" i="15"/>
  <c r="L272" i="15"/>
  <c r="B272" i="15"/>
  <c r="Z271" i="15"/>
  <c r="X271" i="15"/>
  <c r="L271" i="15"/>
  <c r="N271" i="15" s="1"/>
  <c r="B271" i="15"/>
  <c r="V270" i="15"/>
  <c r="T270" i="15"/>
  <c r="P270" i="15"/>
  <c r="J270" i="15"/>
  <c r="H270" i="15"/>
  <c r="D270" i="15"/>
  <c r="B270" i="15"/>
  <c r="Z269" i="15"/>
  <c r="X269" i="15"/>
  <c r="N269" i="15"/>
  <c r="L269" i="15"/>
  <c r="B269" i="15"/>
  <c r="Z268" i="15"/>
  <c r="X268" i="15"/>
  <c r="N268" i="15"/>
  <c r="L268" i="15"/>
  <c r="B268" i="15"/>
  <c r="X267" i="15"/>
  <c r="Z267" i="15" s="1"/>
  <c r="V267" i="15"/>
  <c r="L267" i="15"/>
  <c r="N267" i="15" s="1"/>
  <c r="B267" i="15"/>
  <c r="X266" i="15"/>
  <c r="Z266" i="15" s="1"/>
  <c r="L266" i="15"/>
  <c r="N266" i="15" s="1"/>
  <c r="B266" i="15"/>
  <c r="X265" i="15"/>
  <c r="Z265" i="15" s="1"/>
  <c r="T265" i="15"/>
  <c r="P265" i="15"/>
  <c r="L265" i="15"/>
  <c r="H265" i="15"/>
  <c r="N265" i="15" s="1"/>
  <c r="D265" i="15"/>
  <c r="B265" i="15"/>
  <c r="Z264" i="15"/>
  <c r="X264" i="15"/>
  <c r="N264" i="15"/>
  <c r="L264" i="15"/>
  <c r="J264" i="15"/>
  <c r="B264" i="15"/>
  <c r="X263" i="15"/>
  <c r="Z263" i="15" s="1"/>
  <c r="N263" i="15"/>
  <c r="L263" i="15"/>
  <c r="B263" i="15"/>
  <c r="Z262" i="15"/>
  <c r="X262" i="15"/>
  <c r="N262" i="15"/>
  <c r="L262" i="15"/>
  <c r="J262" i="15"/>
  <c r="B262" i="15"/>
  <c r="Z261" i="15"/>
  <c r="X261" i="15"/>
  <c r="N261" i="15"/>
  <c r="L261" i="15"/>
  <c r="B261" i="15"/>
  <c r="Z260" i="15"/>
  <c r="X260" i="15"/>
  <c r="T260" i="15"/>
  <c r="P260" i="15"/>
  <c r="N260" i="15"/>
  <c r="L260" i="15"/>
  <c r="H260" i="15"/>
  <c r="D260" i="15"/>
  <c r="B260" i="15"/>
  <c r="Z259" i="15"/>
  <c r="X259" i="15"/>
  <c r="L259" i="15"/>
  <c r="N259" i="15" s="1"/>
  <c r="B259" i="15"/>
  <c r="V258" i="15"/>
  <c r="T258" i="15"/>
  <c r="P258" i="15"/>
  <c r="H258" i="15"/>
  <c r="D258" i="15"/>
  <c r="B258" i="15"/>
  <c r="X257" i="15"/>
  <c r="Z257" i="15" s="1"/>
  <c r="N257" i="15"/>
  <c r="L257" i="15"/>
  <c r="B257" i="15"/>
  <c r="T256" i="15"/>
  <c r="P256" i="15"/>
  <c r="X256" i="15" s="1"/>
  <c r="H256" i="15"/>
  <c r="N256" i="15" s="1"/>
  <c r="D256" i="15"/>
  <c r="L256" i="15" s="1"/>
  <c r="B256" i="15"/>
  <c r="Z255" i="15"/>
  <c r="X255" i="15"/>
  <c r="N255" i="15"/>
  <c r="L255" i="15"/>
  <c r="B255" i="15"/>
  <c r="Z254" i="15"/>
  <c r="X254" i="15"/>
  <c r="N254" i="15"/>
  <c r="L254" i="15"/>
  <c r="B254" i="15"/>
  <c r="Z253" i="15"/>
  <c r="X253" i="15"/>
  <c r="N253" i="15"/>
  <c r="L253" i="15"/>
  <c r="B253" i="15"/>
  <c r="Z252" i="15"/>
  <c r="X252" i="15"/>
  <c r="N252" i="15"/>
  <c r="L252" i="15"/>
  <c r="B252" i="15"/>
  <c r="Z251" i="15"/>
  <c r="X251" i="15"/>
  <c r="N251" i="15"/>
  <c r="L251" i="15"/>
  <c r="B251" i="15"/>
  <c r="Z250" i="15"/>
  <c r="X250" i="15"/>
  <c r="N250" i="15"/>
  <c r="L250" i="15"/>
  <c r="B250" i="15"/>
  <c r="Z249" i="15"/>
  <c r="X249" i="15"/>
  <c r="N249" i="15"/>
  <c r="L249" i="15"/>
  <c r="B249" i="15"/>
  <c r="Z248" i="15"/>
  <c r="X248" i="15"/>
  <c r="N248" i="15"/>
  <c r="L248" i="15"/>
  <c r="B248" i="15"/>
  <c r="Z247" i="15"/>
  <c r="X247" i="15"/>
  <c r="N247" i="15"/>
  <c r="L247" i="15"/>
  <c r="B247" i="15"/>
  <c r="Z246" i="15"/>
  <c r="X246" i="15"/>
  <c r="N246" i="15"/>
  <c r="L246" i="15"/>
  <c r="J246" i="15"/>
  <c r="B246" i="15"/>
  <c r="Z245" i="15"/>
  <c r="X245" i="15"/>
  <c r="N245" i="15"/>
  <c r="L245" i="15"/>
  <c r="B245" i="15"/>
  <c r="Z244" i="15"/>
  <c r="X244" i="15"/>
  <c r="N244" i="15"/>
  <c r="L244" i="15"/>
  <c r="J244" i="15"/>
  <c r="B244" i="15"/>
  <c r="Z243" i="15"/>
  <c r="X243" i="15"/>
  <c r="N243" i="15"/>
  <c r="L243" i="15"/>
  <c r="B243" i="15"/>
  <c r="Z242" i="15"/>
  <c r="X242" i="15"/>
  <c r="N242" i="15"/>
  <c r="L242" i="15"/>
  <c r="B242" i="15"/>
  <c r="Z241" i="15"/>
  <c r="X241" i="15"/>
  <c r="N241" i="15"/>
  <c r="L241" i="15"/>
  <c r="B241" i="15"/>
  <c r="Z240" i="15"/>
  <c r="X240" i="15"/>
  <c r="N240" i="15"/>
  <c r="L240" i="15"/>
  <c r="B240" i="15"/>
  <c r="Z239" i="15"/>
  <c r="X239" i="15"/>
  <c r="N239" i="15"/>
  <c r="L239" i="15"/>
  <c r="B239" i="15"/>
  <c r="Z238" i="15"/>
  <c r="X238" i="15"/>
  <c r="N238" i="15"/>
  <c r="L238" i="15"/>
  <c r="B238" i="15"/>
  <c r="Z237" i="15"/>
  <c r="X237" i="15"/>
  <c r="N237" i="15"/>
  <c r="L237" i="15"/>
  <c r="B237" i="15"/>
  <c r="Z236" i="15"/>
  <c r="X236" i="15"/>
  <c r="N236" i="15"/>
  <c r="L236" i="15"/>
  <c r="B236" i="15"/>
  <c r="Z235" i="15"/>
  <c r="X235" i="15"/>
  <c r="N235" i="15"/>
  <c r="L235" i="15"/>
  <c r="B235" i="15"/>
  <c r="Z234" i="15"/>
  <c r="X234" i="15"/>
  <c r="N234" i="15"/>
  <c r="L234" i="15"/>
  <c r="B234" i="15"/>
  <c r="Z233" i="15"/>
  <c r="X233" i="15"/>
  <c r="N233" i="15"/>
  <c r="L233" i="15"/>
  <c r="B233" i="15"/>
  <c r="Z232" i="15"/>
  <c r="X232" i="15"/>
  <c r="N232" i="15"/>
  <c r="L232" i="15"/>
  <c r="B232" i="15"/>
  <c r="Z231" i="15"/>
  <c r="X231" i="15"/>
  <c r="N231" i="15"/>
  <c r="L231" i="15"/>
  <c r="B231" i="15"/>
  <c r="Z230" i="15"/>
  <c r="X230" i="15"/>
  <c r="N230" i="15"/>
  <c r="L230" i="15"/>
  <c r="B230" i="15"/>
  <c r="Z229" i="15"/>
  <c r="X229" i="15"/>
  <c r="N229" i="15"/>
  <c r="L229" i="15"/>
  <c r="B229" i="15"/>
  <c r="Z228" i="15"/>
  <c r="X228" i="15"/>
  <c r="N228" i="15"/>
  <c r="L228" i="15"/>
  <c r="B228" i="15"/>
  <c r="Z227" i="15"/>
  <c r="X227" i="15"/>
  <c r="N227" i="15"/>
  <c r="L227" i="15"/>
  <c r="B227" i="15"/>
  <c r="Z226" i="15"/>
  <c r="X226" i="15"/>
  <c r="N226" i="15"/>
  <c r="L226" i="15"/>
  <c r="B226" i="15"/>
  <c r="Z225" i="15"/>
  <c r="X225" i="15"/>
  <c r="N225" i="15"/>
  <c r="L225" i="15"/>
  <c r="B225" i="15"/>
  <c r="Z224" i="15"/>
  <c r="X224" i="15"/>
  <c r="N224" i="15"/>
  <c r="L224" i="15"/>
  <c r="B224" i="15"/>
  <c r="Z223" i="15"/>
  <c r="X223" i="15"/>
  <c r="N223" i="15"/>
  <c r="L223" i="15"/>
  <c r="B223" i="15"/>
  <c r="X222" i="15"/>
  <c r="Z222" i="15" s="1"/>
  <c r="L222" i="15"/>
  <c r="N222" i="15" s="1"/>
  <c r="B222" i="15"/>
  <c r="T221" i="15"/>
  <c r="P221" i="15"/>
  <c r="H221" i="15"/>
  <c r="D221" i="15"/>
  <c r="B221" i="15"/>
  <c r="Z220" i="15"/>
  <c r="X220" i="15"/>
  <c r="V220" i="15"/>
  <c r="N220" i="15"/>
  <c r="L220" i="15"/>
  <c r="B220" i="15"/>
  <c r="T219" i="15"/>
  <c r="P219" i="15"/>
  <c r="X219" i="15" s="1"/>
  <c r="Z219" i="15" s="1"/>
  <c r="H219" i="15"/>
  <c r="D219" i="15"/>
  <c r="L219" i="15" s="1"/>
  <c r="N219" i="15" s="1"/>
  <c r="B219" i="15"/>
  <c r="X218" i="15"/>
  <c r="Z218" i="15" s="1"/>
  <c r="N218" i="15"/>
  <c r="L218" i="15"/>
  <c r="B218" i="15"/>
  <c r="X217" i="15"/>
  <c r="Z217" i="15" s="1"/>
  <c r="T217" i="15"/>
  <c r="P217" i="15"/>
  <c r="L217" i="15"/>
  <c r="H217" i="15"/>
  <c r="N217" i="15" s="1"/>
  <c r="D217" i="15"/>
  <c r="B217" i="15"/>
  <c r="Z216" i="15"/>
  <c r="X216" i="15"/>
  <c r="N216" i="15"/>
  <c r="L216" i="15"/>
  <c r="J216" i="15"/>
  <c r="B216" i="15"/>
  <c r="X215" i="15"/>
  <c r="Z215" i="15" s="1"/>
  <c r="N215" i="15"/>
  <c r="L215" i="15"/>
  <c r="B215" i="15"/>
  <c r="X214" i="15"/>
  <c r="Z214" i="15" s="1"/>
  <c r="T214" i="15"/>
  <c r="P214" i="15"/>
  <c r="N214" i="15"/>
  <c r="L214" i="15"/>
  <c r="H214" i="15"/>
  <c r="D214" i="15"/>
  <c r="B214" i="15"/>
  <c r="Z213" i="15"/>
  <c r="X213" i="15"/>
  <c r="L213" i="15"/>
  <c r="N213" i="15" s="1"/>
  <c r="B213" i="15"/>
  <c r="V212" i="15"/>
  <c r="T212" i="15"/>
  <c r="P212" i="15"/>
  <c r="L212" i="15"/>
  <c r="J212" i="15"/>
  <c r="H212" i="15"/>
  <c r="N212" i="15" s="1"/>
  <c r="D212" i="15"/>
  <c r="B212" i="15"/>
  <c r="X211" i="15"/>
  <c r="Z211" i="15" s="1"/>
  <c r="V211" i="15"/>
  <c r="L211" i="15"/>
  <c r="N211" i="15" s="1"/>
  <c r="B211" i="15"/>
  <c r="T210" i="15"/>
  <c r="P210" i="15"/>
  <c r="X210" i="15" s="1"/>
  <c r="H210" i="15"/>
  <c r="N210" i="15" s="1"/>
  <c r="D210" i="15"/>
  <c r="L210" i="15" s="1"/>
  <c r="B210" i="15"/>
  <c r="Z209" i="15"/>
  <c r="X209" i="15"/>
  <c r="N209" i="15"/>
  <c r="L209" i="15"/>
  <c r="B209" i="15"/>
  <c r="Z208" i="15"/>
  <c r="X208" i="15"/>
  <c r="N208" i="15"/>
  <c r="L208" i="15"/>
  <c r="B208" i="15"/>
  <c r="T207" i="15"/>
  <c r="P207" i="15"/>
  <c r="H207" i="15"/>
  <c r="D207" i="15"/>
  <c r="B207" i="15"/>
  <c r="Z206" i="15"/>
  <c r="X206" i="15"/>
  <c r="V206" i="15"/>
  <c r="N206" i="15"/>
  <c r="L206" i="15"/>
  <c r="B206" i="15"/>
  <c r="Z205" i="15"/>
  <c r="X205" i="15"/>
  <c r="L205" i="15"/>
  <c r="N205" i="15" s="1"/>
  <c r="B205" i="15"/>
  <c r="T204" i="15"/>
  <c r="P204" i="15"/>
  <c r="L204" i="15"/>
  <c r="H204" i="15"/>
  <c r="N204" i="15" s="1"/>
  <c r="D204" i="15"/>
  <c r="B204" i="15"/>
  <c r="X203" i="15"/>
  <c r="Z203" i="15" s="1"/>
  <c r="V203" i="15"/>
  <c r="L203" i="15"/>
  <c r="N203" i="15" s="1"/>
  <c r="B203" i="15"/>
  <c r="X202" i="15"/>
  <c r="Z202" i="15" s="1"/>
  <c r="N202" i="15"/>
  <c r="L202" i="15"/>
  <c r="B202" i="15"/>
  <c r="X201" i="15"/>
  <c r="Z201" i="15" s="1"/>
  <c r="N201" i="15"/>
  <c r="L201" i="15"/>
  <c r="B201" i="15"/>
  <c r="Z200" i="15"/>
  <c r="X200" i="15"/>
  <c r="N200" i="15"/>
  <c r="L200" i="15"/>
  <c r="B200" i="15"/>
  <c r="X199" i="15"/>
  <c r="V199" i="15"/>
  <c r="T199" i="15"/>
  <c r="P199" i="15"/>
  <c r="L199" i="15"/>
  <c r="N199" i="15" s="1"/>
  <c r="H199" i="15"/>
  <c r="D199" i="15"/>
  <c r="B199" i="15"/>
  <c r="Z198" i="15"/>
  <c r="X198" i="15"/>
  <c r="L198" i="15"/>
  <c r="N198" i="15" s="1"/>
  <c r="J198" i="15"/>
  <c r="B198" i="15"/>
  <c r="T197" i="15"/>
  <c r="P197" i="15"/>
  <c r="H197" i="15"/>
  <c r="D197" i="15"/>
  <c r="B197" i="15"/>
  <c r="Z196" i="15"/>
  <c r="X196" i="15"/>
  <c r="V196" i="15"/>
  <c r="N196" i="15"/>
  <c r="L196" i="15"/>
  <c r="B196" i="15"/>
  <c r="Z195" i="15"/>
  <c r="X195" i="15"/>
  <c r="L195" i="15"/>
  <c r="N195" i="15" s="1"/>
  <c r="J195" i="15"/>
  <c r="B195" i="15"/>
  <c r="X194" i="15"/>
  <c r="V194" i="15"/>
  <c r="T194" i="15"/>
  <c r="Z194" i="15" s="1"/>
  <c r="P194" i="15"/>
  <c r="J194" i="15"/>
  <c r="H194" i="15"/>
  <c r="D194" i="15"/>
  <c r="B194" i="15"/>
  <c r="X193" i="15"/>
  <c r="Z193" i="15" s="1"/>
  <c r="N193" i="15"/>
  <c r="L193" i="15"/>
  <c r="B193" i="15"/>
  <c r="T192" i="15"/>
  <c r="Z192" i="15" s="1"/>
  <c r="P192" i="15"/>
  <c r="X192" i="15" s="1"/>
  <c r="H192" i="15"/>
  <c r="N192" i="15" s="1"/>
  <c r="D192" i="15"/>
  <c r="L192" i="15" s="1"/>
  <c r="B192" i="15"/>
  <c r="Z191" i="15"/>
  <c r="X191" i="15"/>
  <c r="N191" i="15"/>
  <c r="L191" i="15"/>
  <c r="B191" i="15"/>
  <c r="Z190" i="15"/>
  <c r="X190" i="15"/>
  <c r="N190" i="15"/>
  <c r="L190" i="15"/>
  <c r="B190" i="15"/>
  <c r="Z189" i="15"/>
  <c r="X189" i="15"/>
  <c r="N189" i="15"/>
  <c r="L189" i="15"/>
  <c r="B189" i="15"/>
  <c r="Z188" i="15"/>
  <c r="X188" i="15"/>
  <c r="N188" i="15"/>
  <c r="L188" i="15"/>
  <c r="B188" i="15"/>
  <c r="Z187" i="15"/>
  <c r="X187" i="15"/>
  <c r="N187" i="15"/>
  <c r="L187" i="15"/>
  <c r="B187" i="15"/>
  <c r="X186" i="15"/>
  <c r="Z186" i="15" s="1"/>
  <c r="L186" i="15"/>
  <c r="N186" i="15" s="1"/>
  <c r="B186" i="15"/>
  <c r="Z185" i="15"/>
  <c r="X185" i="15"/>
  <c r="N185" i="15"/>
  <c r="L185" i="15"/>
  <c r="B185" i="15"/>
  <c r="Z184" i="15"/>
  <c r="X184" i="15"/>
  <c r="N184" i="15"/>
  <c r="L184" i="15"/>
  <c r="B184" i="15"/>
  <c r="X183" i="15"/>
  <c r="Z183" i="15" s="1"/>
  <c r="N183" i="15"/>
  <c r="L183" i="15"/>
  <c r="B183" i="15"/>
  <c r="X182" i="15"/>
  <c r="Z182" i="15" s="1"/>
  <c r="L182" i="15"/>
  <c r="N182" i="15" s="1"/>
  <c r="J182" i="15"/>
  <c r="B182" i="15"/>
  <c r="T181" i="15"/>
  <c r="P181" i="15"/>
  <c r="H181" i="15"/>
  <c r="D181" i="15"/>
  <c r="B181" i="15"/>
  <c r="X180" i="15"/>
  <c r="Z180" i="15" s="1"/>
  <c r="V180" i="15"/>
  <c r="N180" i="15"/>
  <c r="L180" i="15"/>
  <c r="B180" i="15"/>
  <c r="Z179" i="15"/>
  <c r="X179" i="15"/>
  <c r="L179" i="15"/>
  <c r="N179" i="15" s="1"/>
  <c r="J179" i="15"/>
  <c r="B179" i="15"/>
  <c r="X178" i="15"/>
  <c r="Z178" i="15" s="1"/>
  <c r="V178" i="15"/>
  <c r="L178" i="15"/>
  <c r="N178" i="15" s="1"/>
  <c r="B178" i="15"/>
  <c r="Z177" i="15"/>
  <c r="X177" i="15"/>
  <c r="N177" i="15"/>
  <c r="L177" i="15"/>
  <c r="B177" i="15"/>
  <c r="Z176" i="15"/>
  <c r="X176" i="15"/>
  <c r="V176" i="15"/>
  <c r="N176" i="15"/>
  <c r="L176" i="15"/>
  <c r="B176" i="15"/>
  <c r="Z175" i="15"/>
  <c r="X175" i="15"/>
  <c r="L175" i="15"/>
  <c r="N175" i="15" s="1"/>
  <c r="B175" i="15"/>
  <c r="X174" i="15"/>
  <c r="Z174" i="15" s="1"/>
  <c r="V174" i="15"/>
  <c r="L174" i="15"/>
  <c r="N174" i="15" s="1"/>
  <c r="B174" i="15"/>
  <c r="Z173" i="15"/>
  <c r="X173" i="15"/>
  <c r="L173" i="15"/>
  <c r="N173" i="15" s="1"/>
  <c r="B173" i="15"/>
  <c r="X172" i="15"/>
  <c r="Z172" i="15" s="1"/>
  <c r="V172" i="15"/>
  <c r="N172" i="15"/>
  <c r="L172" i="15"/>
  <c r="B172" i="15"/>
  <c r="Z171" i="15"/>
  <c r="X171" i="15"/>
  <c r="L171" i="15"/>
  <c r="N171" i="15" s="1"/>
  <c r="B171" i="15"/>
  <c r="X170" i="15"/>
  <c r="V170" i="15"/>
  <c r="T170" i="15"/>
  <c r="Z170" i="15" s="1"/>
  <c r="P170" i="15"/>
  <c r="H170" i="15"/>
  <c r="D170" i="15"/>
  <c r="B170" i="15"/>
  <c r="X169" i="15"/>
  <c r="Z169" i="15" s="1"/>
  <c r="T169" i="15"/>
  <c r="P169" i="15"/>
  <c r="L169" i="15"/>
  <c r="J169" i="15"/>
  <c r="H169" i="15"/>
  <c r="N169" i="15" s="1"/>
  <c r="D169" i="15"/>
  <c r="Z165" i="15"/>
  <c r="X165" i="15"/>
  <c r="N165" i="15"/>
  <c r="L165" i="15"/>
  <c r="B165" i="15"/>
  <c r="Z164" i="15"/>
  <c r="X164" i="15"/>
  <c r="N164" i="15"/>
  <c r="L164" i="15"/>
  <c r="B164" i="15"/>
  <c r="Z163" i="15"/>
  <c r="X163" i="15"/>
  <c r="V163" i="15"/>
  <c r="N163" i="15"/>
  <c r="L163" i="15"/>
  <c r="B163" i="15"/>
  <c r="Z162" i="15"/>
  <c r="X162" i="15"/>
  <c r="N162" i="15"/>
  <c r="L162" i="15"/>
  <c r="B162" i="15"/>
  <c r="Z161" i="15"/>
  <c r="X161" i="15"/>
  <c r="N161" i="15"/>
  <c r="L161" i="15"/>
  <c r="B161" i="15"/>
  <c r="Z160" i="15"/>
  <c r="X160" i="15"/>
  <c r="N160" i="15"/>
  <c r="L160" i="15"/>
  <c r="B160" i="15"/>
  <c r="Z159" i="15"/>
  <c r="X159" i="15"/>
  <c r="V159" i="15"/>
  <c r="N159" i="15"/>
  <c r="L159" i="15"/>
  <c r="B159" i="15"/>
  <c r="Z158" i="15"/>
  <c r="X158" i="15"/>
  <c r="N158" i="15"/>
  <c r="L158" i="15"/>
  <c r="B158" i="15"/>
  <c r="Z157" i="15"/>
  <c r="X157" i="15"/>
  <c r="N157" i="15"/>
  <c r="L157" i="15"/>
  <c r="B157" i="15"/>
  <c r="Z156" i="15"/>
  <c r="X156" i="15"/>
  <c r="N156" i="15"/>
  <c r="L156" i="15"/>
  <c r="B156" i="15"/>
  <c r="Z155" i="15"/>
  <c r="X155" i="15"/>
  <c r="V155" i="15"/>
  <c r="N155" i="15"/>
  <c r="L155" i="15"/>
  <c r="B155" i="15"/>
  <c r="Z154" i="15"/>
  <c r="X154" i="15"/>
  <c r="N154" i="15"/>
  <c r="L154" i="15"/>
  <c r="B154" i="15"/>
  <c r="Z153" i="15"/>
  <c r="X153" i="15"/>
  <c r="N153" i="15"/>
  <c r="L153" i="15"/>
  <c r="B153" i="15"/>
  <c r="Z152" i="15"/>
  <c r="X152" i="15"/>
  <c r="N152" i="15"/>
  <c r="L152" i="15"/>
  <c r="B152" i="15"/>
  <c r="Z151" i="15"/>
  <c r="X151" i="15"/>
  <c r="V151" i="15"/>
  <c r="N151" i="15"/>
  <c r="L151" i="15"/>
  <c r="B151" i="15"/>
  <c r="Z150" i="15"/>
  <c r="X150" i="15"/>
  <c r="N150" i="15"/>
  <c r="L150" i="15"/>
  <c r="B150" i="15"/>
  <c r="Z149" i="15"/>
  <c r="X149" i="15"/>
  <c r="N149" i="15"/>
  <c r="L149" i="15"/>
  <c r="B149" i="15"/>
  <c r="Z148" i="15"/>
  <c r="X148" i="15"/>
  <c r="N148" i="15"/>
  <c r="L148" i="15"/>
  <c r="B148" i="15"/>
  <c r="Z147" i="15"/>
  <c r="X147" i="15"/>
  <c r="V147" i="15"/>
  <c r="N147" i="15"/>
  <c r="L147" i="15"/>
  <c r="B147" i="15"/>
  <c r="Z146" i="15"/>
  <c r="X146" i="15"/>
  <c r="N146" i="15"/>
  <c r="L146" i="15"/>
  <c r="B146" i="15"/>
  <c r="Z145" i="15"/>
  <c r="X145" i="15"/>
  <c r="N145" i="15"/>
  <c r="L145" i="15"/>
  <c r="B145" i="15"/>
  <c r="Z144" i="15"/>
  <c r="X144" i="15"/>
  <c r="N144" i="15"/>
  <c r="L144" i="15"/>
  <c r="B144" i="15"/>
  <c r="Z143" i="15"/>
  <c r="X143" i="15"/>
  <c r="V143" i="15"/>
  <c r="N143" i="15"/>
  <c r="L143" i="15"/>
  <c r="B143" i="15"/>
  <c r="Z142" i="15"/>
  <c r="X142" i="15"/>
  <c r="N142" i="15"/>
  <c r="L142" i="15"/>
  <c r="B142" i="15"/>
  <c r="Z141" i="15"/>
  <c r="X141" i="15"/>
  <c r="N141" i="15"/>
  <c r="L141" i="15"/>
  <c r="B141" i="15"/>
  <c r="Z140" i="15"/>
  <c r="X140" i="15"/>
  <c r="N140" i="15"/>
  <c r="L140" i="15"/>
  <c r="B140" i="15"/>
  <c r="Z139" i="15"/>
  <c r="X139" i="15"/>
  <c r="V139" i="15"/>
  <c r="N139" i="15"/>
  <c r="L139" i="15"/>
  <c r="B139" i="15"/>
  <c r="Z138" i="15"/>
  <c r="X138" i="15"/>
  <c r="N138" i="15"/>
  <c r="L138" i="15"/>
  <c r="B138" i="15"/>
  <c r="Z137" i="15"/>
  <c r="X137" i="15"/>
  <c r="N137" i="15"/>
  <c r="L137" i="15"/>
  <c r="B137" i="15"/>
  <c r="Z136" i="15"/>
  <c r="X136" i="15"/>
  <c r="N136" i="15"/>
  <c r="L136" i="15"/>
  <c r="B136" i="15"/>
  <c r="Z135" i="15"/>
  <c r="X135" i="15"/>
  <c r="V135" i="15"/>
  <c r="N135" i="15"/>
  <c r="L135" i="15"/>
  <c r="B135" i="15"/>
  <c r="Z134" i="15"/>
  <c r="X134" i="15"/>
  <c r="N134" i="15"/>
  <c r="L134" i="15"/>
  <c r="B134" i="15"/>
  <c r="Z133" i="15"/>
  <c r="X133" i="15"/>
  <c r="N133" i="15"/>
  <c r="L133" i="15"/>
  <c r="B133" i="15"/>
  <c r="Z132" i="15"/>
  <c r="X132" i="15"/>
  <c r="N132" i="15"/>
  <c r="L132" i="15"/>
  <c r="B132" i="15"/>
  <c r="Z131" i="15"/>
  <c r="X131" i="15"/>
  <c r="V131" i="15"/>
  <c r="N131" i="15"/>
  <c r="L131" i="15"/>
  <c r="B131" i="15"/>
  <c r="Z130" i="15"/>
  <c r="X130" i="15"/>
  <c r="N130" i="15"/>
  <c r="L130" i="15"/>
  <c r="B130" i="15"/>
  <c r="Z129" i="15"/>
  <c r="X129" i="15"/>
  <c r="N129" i="15"/>
  <c r="L129" i="15"/>
  <c r="B129" i="15"/>
  <c r="Z128" i="15"/>
  <c r="X128" i="15"/>
  <c r="N128" i="15"/>
  <c r="L128" i="15"/>
  <c r="B128" i="15"/>
  <c r="Z127" i="15"/>
  <c r="X127" i="15"/>
  <c r="V127" i="15"/>
  <c r="N127" i="15"/>
  <c r="L127" i="15"/>
  <c r="B127" i="15"/>
  <c r="Z126" i="15"/>
  <c r="X126" i="15"/>
  <c r="N126" i="15"/>
  <c r="L126" i="15"/>
  <c r="B126" i="15"/>
  <c r="Z125" i="15"/>
  <c r="X125" i="15"/>
  <c r="N125" i="15"/>
  <c r="L125" i="15"/>
  <c r="B125" i="15"/>
  <c r="Z124" i="15"/>
  <c r="X124" i="15"/>
  <c r="N124" i="15"/>
  <c r="L124" i="15"/>
  <c r="B124" i="15"/>
  <c r="Z123" i="15"/>
  <c r="X123" i="15"/>
  <c r="V123" i="15"/>
  <c r="N123" i="15"/>
  <c r="L123" i="15"/>
  <c r="B123" i="15"/>
  <c r="Z122" i="15"/>
  <c r="X122" i="15"/>
  <c r="N122" i="15"/>
  <c r="L122" i="15"/>
  <c r="B122" i="15"/>
  <c r="Z121" i="15"/>
  <c r="X121" i="15"/>
  <c r="N121" i="15"/>
  <c r="L121" i="15"/>
  <c r="B121" i="15"/>
  <c r="Z120" i="15"/>
  <c r="X120" i="15"/>
  <c r="N120" i="15"/>
  <c r="L120" i="15"/>
  <c r="B120" i="15"/>
  <c r="Z119" i="15"/>
  <c r="X119" i="15"/>
  <c r="V119" i="15"/>
  <c r="N119" i="15"/>
  <c r="L119" i="15"/>
  <c r="B119" i="15"/>
  <c r="Z118" i="15"/>
  <c r="X118" i="15"/>
  <c r="N118" i="15"/>
  <c r="L118" i="15"/>
  <c r="B118" i="15"/>
  <c r="Z117" i="15"/>
  <c r="X117" i="15"/>
  <c r="N117" i="15"/>
  <c r="L117" i="15"/>
  <c r="B117" i="15"/>
  <c r="Z116" i="15"/>
  <c r="X116" i="15"/>
  <c r="N116" i="15"/>
  <c r="L116" i="15"/>
  <c r="B116" i="15"/>
  <c r="X115" i="15"/>
  <c r="Z115" i="15" s="1"/>
  <c r="V115" i="15"/>
  <c r="L115" i="15"/>
  <c r="N115" i="15" s="1"/>
  <c r="B115" i="15"/>
  <c r="T114" i="15"/>
  <c r="P114" i="15"/>
  <c r="X114" i="15" s="1"/>
  <c r="Z114" i="15" s="1"/>
  <c r="H114" i="15"/>
  <c r="N114" i="15" s="1"/>
  <c r="D114" i="15"/>
  <c r="L114" i="15" s="1"/>
  <c r="Z112" i="15"/>
  <c r="P112" i="15"/>
  <c r="X112" i="15" s="1"/>
  <c r="N112" i="15"/>
  <c r="L112" i="15"/>
  <c r="D112" i="15"/>
  <c r="B112" i="15"/>
  <c r="Z111" i="15"/>
  <c r="X111" i="15"/>
  <c r="P111" i="15"/>
  <c r="N111" i="15"/>
  <c r="L111" i="15"/>
  <c r="D111" i="15"/>
  <c r="B111" i="15"/>
  <c r="Z110" i="15"/>
  <c r="P110" i="15"/>
  <c r="X110" i="15" s="1"/>
  <c r="N110" i="15"/>
  <c r="L110" i="15"/>
  <c r="D110" i="15"/>
  <c r="B110" i="15"/>
  <c r="Z109" i="15"/>
  <c r="X109" i="15"/>
  <c r="P109" i="15"/>
  <c r="N109" i="15"/>
  <c r="D109" i="15"/>
  <c r="L109" i="15" s="1"/>
  <c r="B109" i="15"/>
  <c r="Z108" i="15"/>
  <c r="X108" i="15"/>
  <c r="P108" i="15"/>
  <c r="N108" i="15"/>
  <c r="L108" i="15"/>
  <c r="D108" i="15"/>
  <c r="B108" i="15"/>
  <c r="Z107" i="15"/>
  <c r="X107" i="15"/>
  <c r="P107" i="15"/>
  <c r="N107" i="15"/>
  <c r="D107" i="15"/>
  <c r="L107" i="15" s="1"/>
  <c r="B107" i="15"/>
  <c r="Z106" i="15"/>
  <c r="P106" i="15"/>
  <c r="X106" i="15" s="1"/>
  <c r="N106" i="15"/>
  <c r="L106" i="15"/>
  <c r="D106" i="15"/>
  <c r="B106" i="15"/>
  <c r="Z105" i="15"/>
  <c r="X105" i="15"/>
  <c r="P105" i="15"/>
  <c r="N105" i="15"/>
  <c r="L105" i="15"/>
  <c r="D105" i="15"/>
  <c r="B105" i="15"/>
  <c r="Z104" i="15"/>
  <c r="P104" i="15"/>
  <c r="X104" i="15" s="1"/>
  <c r="N104" i="15"/>
  <c r="L104" i="15"/>
  <c r="D104" i="15"/>
  <c r="B104" i="15"/>
  <c r="Z103" i="15"/>
  <c r="X103" i="15"/>
  <c r="P103" i="15"/>
  <c r="N103" i="15"/>
  <c r="D103" i="15"/>
  <c r="L103" i="15" s="1"/>
  <c r="B103" i="15"/>
  <c r="Z102" i="15"/>
  <c r="X102" i="15"/>
  <c r="P102" i="15"/>
  <c r="N102" i="15"/>
  <c r="L102" i="15"/>
  <c r="D102" i="15"/>
  <c r="B102" i="15"/>
  <c r="Z101" i="15"/>
  <c r="X101" i="15"/>
  <c r="P101" i="15"/>
  <c r="N101" i="15"/>
  <c r="D101" i="15"/>
  <c r="L101" i="15" s="1"/>
  <c r="B101" i="15"/>
  <c r="Z100" i="15"/>
  <c r="P100" i="15"/>
  <c r="X100" i="15" s="1"/>
  <c r="N100" i="15"/>
  <c r="D100" i="15"/>
  <c r="L100" i="15" s="1"/>
  <c r="B100" i="15"/>
  <c r="Z99" i="15"/>
  <c r="X99" i="15"/>
  <c r="P99" i="15"/>
  <c r="N99" i="15"/>
  <c r="L99" i="15"/>
  <c r="D99" i="15"/>
  <c r="B99" i="15"/>
  <c r="Z98" i="15"/>
  <c r="P98" i="15"/>
  <c r="X98" i="15" s="1"/>
  <c r="N98" i="15"/>
  <c r="L98" i="15"/>
  <c r="D98" i="15"/>
  <c r="B98" i="15"/>
  <c r="Z97" i="15"/>
  <c r="X97" i="15"/>
  <c r="P97" i="15"/>
  <c r="N97" i="15"/>
  <c r="D97" i="15"/>
  <c r="L97" i="15" s="1"/>
  <c r="B97" i="15"/>
  <c r="Z96" i="15"/>
  <c r="X96" i="15"/>
  <c r="P96" i="15"/>
  <c r="N96" i="15"/>
  <c r="L96" i="15"/>
  <c r="D96" i="15"/>
  <c r="B96" i="15"/>
  <c r="Z95" i="15"/>
  <c r="X95" i="15"/>
  <c r="P95" i="15"/>
  <c r="N95" i="15"/>
  <c r="D95" i="15"/>
  <c r="L95" i="15" s="1"/>
  <c r="B95" i="15"/>
  <c r="Z94" i="15"/>
  <c r="P94" i="15"/>
  <c r="X94" i="15" s="1"/>
  <c r="N94" i="15"/>
  <c r="L94" i="15"/>
  <c r="D94" i="15"/>
  <c r="B94" i="15"/>
  <c r="Z93" i="15"/>
  <c r="X93" i="15"/>
  <c r="P93" i="15"/>
  <c r="N93" i="15"/>
  <c r="L93" i="15"/>
  <c r="D93" i="15"/>
  <c r="B93" i="15"/>
  <c r="Z92" i="15"/>
  <c r="P92" i="15"/>
  <c r="X92" i="15" s="1"/>
  <c r="N92" i="15"/>
  <c r="L92" i="15"/>
  <c r="D92" i="15"/>
  <c r="B92" i="15"/>
  <c r="Z91" i="15"/>
  <c r="X91" i="15"/>
  <c r="P91" i="15"/>
  <c r="N91" i="15"/>
  <c r="D91" i="15"/>
  <c r="L91" i="15" s="1"/>
  <c r="B91" i="15"/>
  <c r="Z90" i="15"/>
  <c r="X90" i="15"/>
  <c r="P90" i="15"/>
  <c r="N90" i="15"/>
  <c r="L90" i="15"/>
  <c r="D90" i="15"/>
  <c r="B90" i="15"/>
  <c r="Z89" i="15"/>
  <c r="X89" i="15"/>
  <c r="P89" i="15"/>
  <c r="N89" i="15"/>
  <c r="D89" i="15"/>
  <c r="L89" i="15" s="1"/>
  <c r="B89" i="15"/>
  <c r="Z88" i="15"/>
  <c r="P88" i="15"/>
  <c r="X88" i="15" s="1"/>
  <c r="N88" i="15"/>
  <c r="L88" i="15"/>
  <c r="D88" i="15"/>
  <c r="B88" i="15"/>
  <c r="Z87" i="15"/>
  <c r="X87" i="15"/>
  <c r="P87" i="15"/>
  <c r="N87" i="15"/>
  <c r="L87" i="15"/>
  <c r="D87" i="15"/>
  <c r="B87" i="15"/>
  <c r="Z86" i="15"/>
  <c r="P86" i="15"/>
  <c r="X86" i="15" s="1"/>
  <c r="N86" i="15"/>
  <c r="L86" i="15"/>
  <c r="D86" i="15"/>
  <c r="B86" i="15"/>
  <c r="Z85" i="15"/>
  <c r="X85" i="15"/>
  <c r="P85" i="15"/>
  <c r="N85" i="15"/>
  <c r="D85" i="15"/>
  <c r="L85" i="15" s="1"/>
  <c r="B85" i="15"/>
  <c r="Z84" i="15"/>
  <c r="X84" i="15"/>
  <c r="P84" i="15"/>
  <c r="N84" i="15"/>
  <c r="L84" i="15"/>
  <c r="D84" i="15"/>
  <c r="B84" i="15"/>
  <c r="Z83" i="15"/>
  <c r="X83" i="15"/>
  <c r="P83" i="15"/>
  <c r="N83" i="15"/>
  <c r="D83" i="15"/>
  <c r="L83" i="15" s="1"/>
  <c r="B83" i="15"/>
  <c r="Z82" i="15"/>
  <c r="P82" i="15"/>
  <c r="X82" i="15" s="1"/>
  <c r="N82" i="15"/>
  <c r="L82" i="15"/>
  <c r="D82" i="15"/>
  <c r="B82" i="15"/>
  <c r="Z81" i="15"/>
  <c r="X81" i="15"/>
  <c r="P81" i="15"/>
  <c r="N81" i="15"/>
  <c r="L81" i="15"/>
  <c r="D81" i="15"/>
  <c r="B81" i="15"/>
  <c r="Z80" i="15"/>
  <c r="P80" i="15"/>
  <c r="X80" i="15" s="1"/>
  <c r="N80" i="15"/>
  <c r="L80" i="15"/>
  <c r="D80" i="15"/>
  <c r="B80" i="15"/>
  <c r="Z79" i="15"/>
  <c r="P79" i="15"/>
  <c r="X79" i="15" s="1"/>
  <c r="N79" i="15"/>
  <c r="D79" i="15"/>
  <c r="L79" i="15" s="1"/>
  <c r="B79" i="15"/>
  <c r="Z78" i="15"/>
  <c r="X78" i="15"/>
  <c r="P78" i="15"/>
  <c r="N78" i="15"/>
  <c r="L78" i="15"/>
  <c r="D78" i="15"/>
  <c r="B78" i="15"/>
  <c r="Z77" i="15"/>
  <c r="X77" i="15"/>
  <c r="P77" i="15"/>
  <c r="N77" i="15"/>
  <c r="D77" i="15"/>
  <c r="L77" i="15" s="1"/>
  <c r="B77" i="15"/>
  <c r="Z76" i="15"/>
  <c r="P76" i="15"/>
  <c r="X76" i="15" s="1"/>
  <c r="N76" i="15"/>
  <c r="L76" i="15"/>
  <c r="D76" i="15"/>
  <c r="B76" i="15"/>
  <c r="Z75" i="15"/>
  <c r="X75" i="15"/>
  <c r="P75" i="15"/>
  <c r="N75" i="15"/>
  <c r="L75" i="15"/>
  <c r="D75" i="15"/>
  <c r="B75" i="15"/>
  <c r="Z74" i="15"/>
  <c r="P74" i="15"/>
  <c r="X74" i="15" s="1"/>
  <c r="N74" i="15"/>
  <c r="L74" i="15"/>
  <c r="D74" i="15"/>
  <c r="B74" i="15"/>
  <c r="Z73" i="15"/>
  <c r="X73" i="15"/>
  <c r="P73" i="15"/>
  <c r="N73" i="15"/>
  <c r="D73" i="15"/>
  <c r="L73" i="15" s="1"/>
  <c r="B73" i="15"/>
  <c r="Z72" i="15"/>
  <c r="X72" i="15"/>
  <c r="P72" i="15"/>
  <c r="N72" i="15"/>
  <c r="L72" i="15"/>
  <c r="D72" i="15"/>
  <c r="B72" i="15"/>
  <c r="Z71" i="15"/>
  <c r="X71" i="15"/>
  <c r="P71" i="15"/>
  <c r="N71" i="15"/>
  <c r="D71" i="15"/>
  <c r="L71" i="15" s="1"/>
  <c r="B71" i="15"/>
  <c r="Z70" i="15"/>
  <c r="P70" i="15"/>
  <c r="X70" i="15" s="1"/>
  <c r="N70" i="15"/>
  <c r="L70" i="15"/>
  <c r="D70" i="15"/>
  <c r="B70" i="15"/>
  <c r="Z69" i="15"/>
  <c r="X69" i="15"/>
  <c r="P69" i="15"/>
  <c r="N69" i="15"/>
  <c r="L69" i="15"/>
  <c r="D69" i="15"/>
  <c r="B69" i="15"/>
  <c r="Z68" i="15"/>
  <c r="P68" i="15"/>
  <c r="X68" i="15" s="1"/>
  <c r="N68" i="15"/>
  <c r="L68" i="15"/>
  <c r="D68" i="15"/>
  <c r="B68" i="15"/>
  <c r="Z67" i="15"/>
  <c r="X67" i="15"/>
  <c r="P67" i="15"/>
  <c r="N67" i="15"/>
  <c r="D67" i="15"/>
  <c r="L67" i="15" s="1"/>
  <c r="B67" i="15"/>
  <c r="Z66" i="15"/>
  <c r="X66" i="15"/>
  <c r="P66" i="15"/>
  <c r="N66" i="15"/>
  <c r="L66" i="15"/>
  <c r="D66" i="15"/>
  <c r="B66" i="15"/>
  <c r="Z65" i="15"/>
  <c r="X65" i="15"/>
  <c r="P65" i="15"/>
  <c r="N65" i="15"/>
  <c r="D65" i="15"/>
  <c r="L65" i="15" s="1"/>
  <c r="B65" i="15"/>
  <c r="Z64" i="15"/>
  <c r="P64" i="15"/>
  <c r="X64" i="15" s="1"/>
  <c r="N64" i="15"/>
  <c r="D64" i="15"/>
  <c r="L64" i="15" s="1"/>
  <c r="B64" i="15"/>
  <c r="Z63" i="15"/>
  <c r="X63" i="15"/>
  <c r="P63" i="15"/>
  <c r="N63" i="15"/>
  <c r="L63" i="15"/>
  <c r="D63" i="15"/>
  <c r="B63" i="15"/>
  <c r="Z62" i="15"/>
  <c r="P62" i="15"/>
  <c r="X62" i="15" s="1"/>
  <c r="N62" i="15"/>
  <c r="L62" i="15"/>
  <c r="D62" i="15"/>
  <c r="B62" i="15"/>
  <c r="Z61" i="15"/>
  <c r="X61" i="15"/>
  <c r="P61" i="15"/>
  <c r="N61" i="15"/>
  <c r="D61" i="15"/>
  <c r="L61" i="15" s="1"/>
  <c r="B61" i="15"/>
  <c r="Z60" i="15"/>
  <c r="X60" i="15"/>
  <c r="P60" i="15"/>
  <c r="N60" i="15"/>
  <c r="L60" i="15"/>
  <c r="D60" i="15"/>
  <c r="B60" i="15"/>
  <c r="Z59" i="15"/>
  <c r="X59" i="15"/>
  <c r="P59" i="15"/>
  <c r="N59" i="15"/>
  <c r="D59" i="15"/>
  <c r="L59" i="15" s="1"/>
  <c r="B59" i="15"/>
  <c r="Z58" i="15"/>
  <c r="P58" i="15"/>
  <c r="X58" i="15" s="1"/>
  <c r="N58" i="15"/>
  <c r="L58" i="15"/>
  <c r="D58" i="15"/>
  <c r="B58" i="15"/>
  <c r="Z57" i="15"/>
  <c r="X57" i="15"/>
  <c r="P57" i="15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X55" i="15"/>
  <c r="P55" i="15"/>
  <c r="N55" i="15"/>
  <c r="D55" i="15"/>
  <c r="L55" i="15" s="1"/>
  <c r="B55" i="15"/>
  <c r="Z54" i="15"/>
  <c r="X54" i="15"/>
  <c r="P54" i="15"/>
  <c r="N54" i="15"/>
  <c r="L54" i="15"/>
  <c r="D54" i="15"/>
  <c r="B54" i="15"/>
  <c r="Z53" i="15"/>
  <c r="X53" i="15"/>
  <c r="P53" i="15"/>
  <c r="N53" i="15"/>
  <c r="D53" i="15"/>
  <c r="L53" i="15" s="1"/>
  <c r="B53" i="15"/>
  <c r="Z52" i="15"/>
  <c r="P52" i="15"/>
  <c r="X52" i="15" s="1"/>
  <c r="N52" i="15"/>
  <c r="L52" i="15"/>
  <c r="D52" i="15"/>
  <c r="B52" i="15"/>
  <c r="Z51" i="15"/>
  <c r="X51" i="15"/>
  <c r="P51" i="15"/>
  <c r="N51" i="15"/>
  <c r="L51" i="15"/>
  <c r="D51" i="15"/>
  <c r="B51" i="15"/>
  <c r="Z50" i="15"/>
  <c r="P50" i="15"/>
  <c r="X50" i="15" s="1"/>
  <c r="N50" i="15"/>
  <c r="L50" i="15"/>
  <c r="D50" i="15"/>
  <c r="B50" i="15"/>
  <c r="Z49" i="15"/>
  <c r="X49" i="15"/>
  <c r="P49" i="15"/>
  <c r="N49" i="15"/>
  <c r="D49" i="15"/>
  <c r="L49" i="15" s="1"/>
  <c r="B49" i="15"/>
  <c r="Z48" i="15"/>
  <c r="X48" i="15"/>
  <c r="P48" i="15"/>
  <c r="N48" i="15"/>
  <c r="L48" i="15"/>
  <c r="D48" i="15"/>
  <c r="B48" i="15"/>
  <c r="Z47" i="15"/>
  <c r="X47" i="15"/>
  <c r="P47" i="15"/>
  <c r="D47" i="15"/>
  <c r="L47" i="15" s="1"/>
  <c r="N47" i="15" s="1"/>
  <c r="B47" i="15"/>
  <c r="Z46" i="15"/>
  <c r="P46" i="15"/>
  <c r="X46" i="15" s="1"/>
  <c r="N46" i="15"/>
  <c r="L46" i="15"/>
  <c r="D46" i="15"/>
  <c r="B46" i="15"/>
  <c r="Z45" i="15"/>
  <c r="X45" i="15"/>
  <c r="P45" i="15"/>
  <c r="N45" i="15"/>
  <c r="L45" i="15"/>
  <c r="D45" i="15"/>
  <c r="B45" i="15"/>
  <c r="Z44" i="15"/>
  <c r="P44" i="15"/>
  <c r="X44" i="15" s="1"/>
  <c r="N44" i="15"/>
  <c r="L44" i="15"/>
  <c r="D44" i="15"/>
  <c r="B44" i="15"/>
  <c r="Z43" i="15"/>
  <c r="X43" i="15"/>
  <c r="P43" i="15"/>
  <c r="N43" i="15"/>
  <c r="D43" i="15"/>
  <c r="L43" i="15" s="1"/>
  <c r="B43" i="15"/>
  <c r="Z42" i="15"/>
  <c r="X42" i="15"/>
  <c r="P42" i="15"/>
  <c r="N42" i="15"/>
  <c r="L42" i="15"/>
  <c r="D42" i="15"/>
  <c r="B42" i="15"/>
  <c r="Z41" i="15"/>
  <c r="X41" i="15"/>
  <c r="P41" i="15"/>
  <c r="N41" i="15"/>
  <c r="D41" i="15"/>
  <c r="L41" i="15" s="1"/>
  <c r="B41" i="15"/>
  <c r="Z40" i="15"/>
  <c r="P40" i="15"/>
  <c r="X40" i="15" s="1"/>
  <c r="N40" i="15"/>
  <c r="L40" i="15"/>
  <c r="D40" i="15"/>
  <c r="B40" i="15"/>
  <c r="Z39" i="15"/>
  <c r="X39" i="15"/>
  <c r="P39" i="15"/>
  <c r="N39" i="15"/>
  <c r="L39" i="15"/>
  <c r="D39" i="15"/>
  <c r="B39" i="15"/>
  <c r="Z38" i="15"/>
  <c r="P38" i="15"/>
  <c r="X38" i="15" s="1"/>
  <c r="N38" i="15"/>
  <c r="L38" i="15"/>
  <c r="D38" i="15"/>
  <c r="B38" i="15"/>
  <c r="Z37" i="15"/>
  <c r="X37" i="15"/>
  <c r="P37" i="15"/>
  <c r="N37" i="15"/>
  <c r="D37" i="15"/>
  <c r="L37" i="15" s="1"/>
  <c r="B37" i="15"/>
  <c r="Z36" i="15"/>
  <c r="X36" i="15"/>
  <c r="P36" i="15"/>
  <c r="N36" i="15"/>
  <c r="L36" i="15"/>
  <c r="D36" i="15"/>
  <c r="B36" i="15"/>
  <c r="Z35" i="15"/>
  <c r="X35" i="15"/>
  <c r="P35" i="15"/>
  <c r="N35" i="15"/>
  <c r="D35" i="15"/>
  <c r="L35" i="15" s="1"/>
  <c r="B35" i="15"/>
  <c r="Z34" i="15"/>
  <c r="P34" i="15"/>
  <c r="X34" i="15" s="1"/>
  <c r="N34" i="15"/>
  <c r="L34" i="15"/>
  <c r="D34" i="15"/>
  <c r="B34" i="15"/>
  <c r="Z33" i="15"/>
  <c r="X33" i="15"/>
  <c r="P33" i="15"/>
  <c r="N33" i="15"/>
  <c r="L33" i="15"/>
  <c r="D33" i="15"/>
  <c r="B33" i="15"/>
  <c r="Z32" i="15"/>
  <c r="P32" i="15"/>
  <c r="X32" i="15" s="1"/>
  <c r="N32" i="15"/>
  <c r="L32" i="15"/>
  <c r="D32" i="15"/>
  <c r="B32" i="15"/>
  <c r="Z31" i="15"/>
  <c r="X31" i="15"/>
  <c r="P31" i="15"/>
  <c r="N31" i="15"/>
  <c r="D31" i="15"/>
  <c r="L31" i="15" s="1"/>
  <c r="B31" i="15"/>
  <c r="Z30" i="15"/>
  <c r="X30" i="15"/>
  <c r="P30" i="15"/>
  <c r="N30" i="15"/>
  <c r="L30" i="15"/>
  <c r="D30" i="15"/>
  <c r="B30" i="15"/>
  <c r="Z29" i="15"/>
  <c r="X29" i="15"/>
  <c r="P29" i="15"/>
  <c r="N29" i="15"/>
  <c r="D29" i="15"/>
  <c r="L29" i="15" s="1"/>
  <c r="B29" i="15"/>
  <c r="Z28" i="15"/>
  <c r="P28" i="15"/>
  <c r="X28" i="15" s="1"/>
  <c r="N28" i="15"/>
  <c r="D28" i="15"/>
  <c r="L28" i="15" s="1"/>
  <c r="B28" i="15"/>
  <c r="Z27" i="15"/>
  <c r="X27" i="15"/>
  <c r="P27" i="15"/>
  <c r="N27" i="15"/>
  <c r="L27" i="15"/>
  <c r="D27" i="15"/>
  <c r="B27" i="15"/>
  <c r="Z26" i="15"/>
  <c r="P26" i="15"/>
  <c r="X26" i="15" s="1"/>
  <c r="N26" i="15"/>
  <c r="L26" i="15"/>
  <c r="D26" i="15"/>
  <c r="B26" i="15"/>
  <c r="Z25" i="15"/>
  <c r="X25" i="15"/>
  <c r="P25" i="15"/>
  <c r="N25" i="15"/>
  <c r="D25" i="15"/>
  <c r="L25" i="15" s="1"/>
  <c r="B25" i="15"/>
  <c r="Z24" i="15"/>
  <c r="X24" i="15"/>
  <c r="P24" i="15"/>
  <c r="N24" i="15"/>
  <c r="L24" i="15"/>
  <c r="D24" i="15"/>
  <c r="B24" i="15"/>
  <c r="Z23" i="15"/>
  <c r="X23" i="15"/>
  <c r="P23" i="15"/>
  <c r="N23" i="15"/>
  <c r="D23" i="15"/>
  <c r="L23" i="15" s="1"/>
  <c r="B23" i="15"/>
  <c r="Z22" i="15"/>
  <c r="P22" i="15"/>
  <c r="X22" i="15" s="1"/>
  <c r="N22" i="15"/>
  <c r="L22" i="15"/>
  <c r="D22" i="15"/>
  <c r="B22" i="15"/>
  <c r="Z21" i="15"/>
  <c r="X21" i="15"/>
  <c r="P21" i="15"/>
  <c r="N21" i="15"/>
  <c r="L21" i="15"/>
  <c r="D21" i="15"/>
  <c r="B21" i="15"/>
  <c r="Z20" i="15"/>
  <c r="P20" i="15"/>
  <c r="X20" i="15" s="1"/>
  <c r="N20" i="15"/>
  <c r="L20" i="15"/>
  <c r="D20" i="15"/>
  <c r="B20" i="15"/>
  <c r="Z19" i="15"/>
  <c r="P19" i="15"/>
  <c r="X19" i="15" s="1"/>
  <c r="N19" i="15"/>
  <c r="D19" i="15"/>
  <c r="L19" i="15" s="1"/>
  <c r="B19" i="15"/>
  <c r="Z18" i="15"/>
  <c r="X18" i="15"/>
  <c r="P18" i="15"/>
  <c r="N18" i="15"/>
  <c r="L18" i="15"/>
  <c r="D18" i="15"/>
  <c r="B18" i="15"/>
  <c r="Z17" i="15"/>
  <c r="X17" i="15"/>
  <c r="P17" i="15"/>
  <c r="N17" i="15"/>
  <c r="D17" i="15"/>
  <c r="L17" i="15" s="1"/>
  <c r="B17" i="15"/>
  <c r="Z16" i="15"/>
  <c r="P16" i="15"/>
  <c r="X16" i="15" s="1"/>
  <c r="N16" i="15"/>
  <c r="L16" i="15"/>
  <c r="D16" i="15"/>
  <c r="B16" i="15"/>
  <c r="Z15" i="15"/>
  <c r="X15" i="15"/>
  <c r="P15" i="15"/>
  <c r="N15" i="15"/>
  <c r="L15" i="15"/>
  <c r="D15" i="15"/>
  <c r="B15" i="15"/>
  <c r="Z14" i="15"/>
  <c r="P14" i="15"/>
  <c r="X14" i="15" s="1"/>
  <c r="N14" i="15"/>
  <c r="L14" i="15"/>
  <c r="D14" i="15"/>
  <c r="B14" i="15"/>
  <c r="X13" i="15"/>
  <c r="Z13" i="15" s="1"/>
  <c r="P13" i="15"/>
  <c r="D13" i="15"/>
  <c r="L13" i="15" s="1"/>
  <c r="N13" i="15" s="1"/>
  <c r="B13" i="15"/>
  <c r="T12" i="15"/>
  <c r="V299" i="15" s="1"/>
  <c r="H12" i="15"/>
  <c r="D4" i="15"/>
  <c r="X325" i="12"/>
  <c r="Z325" i="12" s="1"/>
  <c r="L325" i="12"/>
  <c r="N325" i="12" s="1"/>
  <c r="Z321" i="12"/>
  <c r="X321" i="12"/>
  <c r="P321" i="12"/>
  <c r="N321" i="12"/>
  <c r="D321" i="12"/>
  <c r="L321" i="12" s="1"/>
  <c r="B321" i="12"/>
  <c r="P320" i="12"/>
  <c r="X320" i="12" s="1"/>
  <c r="Z320" i="12" s="1"/>
  <c r="D320" i="12"/>
  <c r="B320" i="12"/>
  <c r="Z319" i="12"/>
  <c r="P319" i="12"/>
  <c r="X319" i="12" s="1"/>
  <c r="N319" i="12"/>
  <c r="D319" i="12"/>
  <c r="L319" i="12" s="1"/>
  <c r="B319" i="12"/>
  <c r="Z318" i="12"/>
  <c r="P318" i="12"/>
  <c r="X318" i="12" s="1"/>
  <c r="N318" i="12"/>
  <c r="L318" i="12"/>
  <c r="D318" i="12"/>
  <c r="B318" i="12"/>
  <c r="Z317" i="12"/>
  <c r="X317" i="12"/>
  <c r="P317" i="12"/>
  <c r="L317" i="12"/>
  <c r="N317" i="12" s="1"/>
  <c r="D317" i="12"/>
  <c r="B317" i="12"/>
  <c r="X316" i="12"/>
  <c r="Z316" i="12" s="1"/>
  <c r="V316" i="12"/>
  <c r="P316" i="12"/>
  <c r="L316" i="12"/>
  <c r="N316" i="12" s="1"/>
  <c r="D316" i="12"/>
  <c r="B316" i="12"/>
  <c r="Z315" i="12"/>
  <c r="X315" i="12"/>
  <c r="V315" i="12"/>
  <c r="P315" i="12"/>
  <c r="N315" i="12"/>
  <c r="D315" i="12"/>
  <c r="L315" i="12" s="1"/>
  <c r="B315" i="12"/>
  <c r="Z314" i="12"/>
  <c r="P314" i="12"/>
  <c r="X314" i="12" s="1"/>
  <c r="N314" i="12"/>
  <c r="D314" i="12"/>
  <c r="L314" i="12" s="1"/>
  <c r="B314" i="12"/>
  <c r="Z313" i="12"/>
  <c r="P313" i="12"/>
  <c r="X313" i="12" s="1"/>
  <c r="N313" i="12"/>
  <c r="D313" i="12"/>
  <c r="L313" i="12" s="1"/>
  <c r="B313" i="12"/>
  <c r="T312" i="12"/>
  <c r="H312" i="12"/>
  <c r="Z310" i="12"/>
  <c r="X310" i="12"/>
  <c r="L310" i="12"/>
  <c r="N310" i="12" s="1"/>
  <c r="J310" i="12"/>
  <c r="B310" i="12"/>
  <c r="V309" i="12"/>
  <c r="T309" i="12"/>
  <c r="P309" i="12"/>
  <c r="X309" i="12" s="1"/>
  <c r="J309" i="12"/>
  <c r="H309" i="12"/>
  <c r="D309" i="12"/>
  <c r="B309" i="12"/>
  <c r="X308" i="12"/>
  <c r="Z308" i="12" s="1"/>
  <c r="N308" i="12"/>
  <c r="L308" i="12"/>
  <c r="B308" i="12"/>
  <c r="Z307" i="12"/>
  <c r="X307" i="12"/>
  <c r="N307" i="12"/>
  <c r="L307" i="12"/>
  <c r="B307" i="12"/>
  <c r="X306" i="12"/>
  <c r="Z306" i="12" s="1"/>
  <c r="V306" i="12"/>
  <c r="N306" i="12"/>
  <c r="L306" i="12"/>
  <c r="B306" i="12"/>
  <c r="T305" i="12"/>
  <c r="P305" i="12"/>
  <c r="X305" i="12" s="1"/>
  <c r="H305" i="12"/>
  <c r="D305" i="12"/>
  <c r="L305" i="12" s="1"/>
  <c r="B305" i="12"/>
  <c r="Z304" i="12"/>
  <c r="X304" i="12"/>
  <c r="N304" i="12"/>
  <c r="L304" i="12"/>
  <c r="B304" i="12"/>
  <c r="T303" i="12"/>
  <c r="P303" i="12"/>
  <c r="X303" i="12" s="1"/>
  <c r="Z303" i="12" s="1"/>
  <c r="L303" i="12"/>
  <c r="N303" i="12" s="1"/>
  <c r="H303" i="12"/>
  <c r="D303" i="12"/>
  <c r="B303" i="12"/>
  <c r="Z302" i="12"/>
  <c r="X302" i="12"/>
  <c r="L302" i="12"/>
  <c r="N302" i="12" s="1"/>
  <c r="J302" i="12"/>
  <c r="B302" i="12"/>
  <c r="X301" i="12"/>
  <c r="Z301" i="12" s="1"/>
  <c r="V301" i="12"/>
  <c r="L301" i="12"/>
  <c r="N301" i="12" s="1"/>
  <c r="B301" i="12"/>
  <c r="Z300" i="12"/>
  <c r="T300" i="12"/>
  <c r="P300" i="12"/>
  <c r="X300" i="12" s="1"/>
  <c r="H300" i="12"/>
  <c r="D300" i="12"/>
  <c r="L300" i="12" s="1"/>
  <c r="N300" i="12" s="1"/>
  <c r="B300" i="12"/>
  <c r="Z299" i="12"/>
  <c r="X299" i="12"/>
  <c r="N299" i="12"/>
  <c r="L299" i="12"/>
  <c r="B299" i="12"/>
  <c r="X298" i="12"/>
  <c r="Z298" i="12" s="1"/>
  <c r="V298" i="12"/>
  <c r="N298" i="12"/>
  <c r="L298" i="12"/>
  <c r="B298" i="12"/>
  <c r="X297" i="12"/>
  <c r="Z297" i="12" s="1"/>
  <c r="L297" i="12"/>
  <c r="N297" i="12" s="1"/>
  <c r="B297" i="12"/>
  <c r="X296" i="12"/>
  <c r="Z296" i="12" s="1"/>
  <c r="N296" i="12"/>
  <c r="L296" i="12"/>
  <c r="B296" i="12"/>
  <c r="Z295" i="12"/>
  <c r="X295" i="12"/>
  <c r="N295" i="12"/>
  <c r="L295" i="12"/>
  <c r="B295" i="12"/>
  <c r="X294" i="12"/>
  <c r="Z294" i="12" s="1"/>
  <c r="V294" i="12"/>
  <c r="N294" i="12"/>
  <c r="L294" i="12"/>
  <c r="B294" i="12"/>
  <c r="Z293" i="12"/>
  <c r="X293" i="12"/>
  <c r="N293" i="12"/>
  <c r="L293" i="12"/>
  <c r="B293" i="12"/>
  <c r="X292" i="12"/>
  <c r="Z292" i="12" s="1"/>
  <c r="N292" i="12"/>
  <c r="L292" i="12"/>
  <c r="B292" i="12"/>
  <c r="Z291" i="12"/>
  <c r="X291" i="12"/>
  <c r="N291" i="12"/>
  <c r="L291" i="12"/>
  <c r="B291" i="12"/>
  <c r="X290" i="12"/>
  <c r="Z290" i="12" s="1"/>
  <c r="V290" i="12"/>
  <c r="N290" i="12"/>
  <c r="L290" i="12"/>
  <c r="B290" i="12"/>
  <c r="T289" i="12"/>
  <c r="Z289" i="12" s="1"/>
  <c r="P289" i="12"/>
  <c r="X289" i="12" s="1"/>
  <c r="H289" i="12"/>
  <c r="D289" i="12"/>
  <c r="L289" i="12" s="1"/>
  <c r="B289" i="12"/>
  <c r="Z288" i="12"/>
  <c r="X288" i="12"/>
  <c r="N288" i="12"/>
  <c r="L288" i="12"/>
  <c r="B288" i="12"/>
  <c r="Z287" i="12"/>
  <c r="X287" i="12"/>
  <c r="L287" i="12"/>
  <c r="N287" i="12" s="1"/>
  <c r="J287" i="12"/>
  <c r="B287" i="12"/>
  <c r="T286" i="12"/>
  <c r="Z286" i="12" s="1"/>
  <c r="P286" i="12"/>
  <c r="X286" i="12" s="1"/>
  <c r="H286" i="12"/>
  <c r="D286" i="12"/>
  <c r="L286" i="12" s="1"/>
  <c r="B286" i="12"/>
  <c r="X285" i="12"/>
  <c r="Z285" i="12" s="1"/>
  <c r="V285" i="12"/>
  <c r="L285" i="12"/>
  <c r="N285" i="12" s="1"/>
  <c r="B285" i="12"/>
  <c r="Z284" i="12"/>
  <c r="X284" i="12"/>
  <c r="L284" i="12"/>
  <c r="N284" i="12" s="1"/>
  <c r="B284" i="12"/>
  <c r="X283" i="12"/>
  <c r="Z283" i="12" s="1"/>
  <c r="V283" i="12"/>
  <c r="N283" i="12"/>
  <c r="L283" i="12"/>
  <c r="B283" i="12"/>
  <c r="Z282" i="12"/>
  <c r="X282" i="12"/>
  <c r="L282" i="12"/>
  <c r="N282" i="12" s="1"/>
  <c r="J282" i="12"/>
  <c r="B282" i="12"/>
  <c r="X281" i="12"/>
  <c r="Z281" i="12" s="1"/>
  <c r="V281" i="12"/>
  <c r="L281" i="12"/>
  <c r="N281" i="12" s="1"/>
  <c r="B281" i="12"/>
  <c r="Z280" i="12"/>
  <c r="X280" i="12"/>
  <c r="N280" i="12"/>
  <c r="L280" i="12"/>
  <c r="B280" i="12"/>
  <c r="T279" i="12"/>
  <c r="V279" i="12" s="1"/>
  <c r="P279" i="12"/>
  <c r="J279" i="12"/>
  <c r="H279" i="12"/>
  <c r="D279" i="12"/>
  <c r="L279" i="12" s="1"/>
  <c r="B279" i="12"/>
  <c r="X278" i="12"/>
  <c r="Z278" i="12" s="1"/>
  <c r="V278" i="12"/>
  <c r="N278" i="12"/>
  <c r="L278" i="12"/>
  <c r="B278" i="12"/>
  <c r="X277" i="12"/>
  <c r="Z277" i="12" s="1"/>
  <c r="L277" i="12"/>
  <c r="N277" i="12" s="1"/>
  <c r="B277" i="12"/>
  <c r="X276" i="12"/>
  <c r="Z276" i="12" s="1"/>
  <c r="N276" i="12"/>
  <c r="L276" i="12"/>
  <c r="B276" i="12"/>
  <c r="Z275" i="12"/>
  <c r="X275" i="12"/>
  <c r="N275" i="12"/>
  <c r="L275" i="12"/>
  <c r="B275" i="12"/>
  <c r="X274" i="12"/>
  <c r="Z274" i="12" s="1"/>
  <c r="V274" i="12"/>
  <c r="T274" i="12"/>
  <c r="P274" i="12"/>
  <c r="L274" i="12"/>
  <c r="N274" i="12" s="1"/>
  <c r="H274" i="12"/>
  <c r="D274" i="12"/>
  <c r="B274" i="12"/>
  <c r="Z273" i="12"/>
  <c r="X273" i="12"/>
  <c r="L273" i="12"/>
  <c r="N273" i="12" s="1"/>
  <c r="J273" i="12"/>
  <c r="B273" i="12"/>
  <c r="Z272" i="12"/>
  <c r="X272" i="12"/>
  <c r="N272" i="12"/>
  <c r="L272" i="12"/>
  <c r="B272" i="12"/>
  <c r="Z271" i="12"/>
  <c r="X271" i="12"/>
  <c r="N271" i="12"/>
  <c r="L271" i="12"/>
  <c r="J271" i="12"/>
  <c r="B271" i="12"/>
  <c r="Z270" i="12"/>
  <c r="X270" i="12"/>
  <c r="N270" i="12"/>
  <c r="L270" i="12"/>
  <c r="B270" i="12"/>
  <c r="X269" i="12"/>
  <c r="Z269" i="12" s="1"/>
  <c r="T269" i="12"/>
  <c r="P269" i="12"/>
  <c r="H269" i="12"/>
  <c r="D269" i="12"/>
  <c r="L269" i="12" s="1"/>
  <c r="N269" i="12" s="1"/>
  <c r="B269" i="12"/>
  <c r="Z268" i="12"/>
  <c r="X268" i="12"/>
  <c r="L268" i="12"/>
  <c r="N268" i="12" s="1"/>
  <c r="B268" i="12"/>
  <c r="V267" i="12"/>
  <c r="T267" i="12"/>
  <c r="P267" i="12"/>
  <c r="J267" i="12"/>
  <c r="H267" i="12"/>
  <c r="D267" i="12"/>
  <c r="L267" i="12" s="1"/>
  <c r="B267" i="12"/>
  <c r="Z266" i="12"/>
  <c r="X266" i="12"/>
  <c r="V266" i="12"/>
  <c r="N266" i="12"/>
  <c r="L266" i="12"/>
  <c r="B266" i="12"/>
  <c r="T265" i="12"/>
  <c r="Z265" i="12" s="1"/>
  <c r="P265" i="12"/>
  <c r="X265" i="12" s="1"/>
  <c r="H265" i="12"/>
  <c r="N265" i="12" s="1"/>
  <c r="D265" i="12"/>
  <c r="L265" i="12" s="1"/>
  <c r="B265" i="12"/>
  <c r="Z264" i="12"/>
  <c r="X264" i="12"/>
  <c r="N264" i="12"/>
  <c r="L264" i="12"/>
  <c r="B264" i="12"/>
  <c r="T263" i="12"/>
  <c r="P263" i="12"/>
  <c r="X263" i="12" s="1"/>
  <c r="Z263" i="12" s="1"/>
  <c r="L263" i="12"/>
  <c r="N263" i="12" s="1"/>
  <c r="H263" i="12"/>
  <c r="D263" i="12"/>
  <c r="B263" i="12"/>
  <c r="Z262" i="12"/>
  <c r="X262" i="12"/>
  <c r="N262" i="12"/>
  <c r="L262" i="12"/>
  <c r="J262" i="12"/>
  <c r="B262" i="12"/>
  <c r="Z261" i="12"/>
  <c r="X261" i="12"/>
  <c r="V261" i="12"/>
  <c r="N261" i="12"/>
  <c r="L261" i="12"/>
  <c r="B261" i="12"/>
  <c r="Z260" i="12"/>
  <c r="X260" i="12"/>
  <c r="N260" i="12"/>
  <c r="L260" i="12"/>
  <c r="B260" i="12"/>
  <c r="Z259" i="12"/>
  <c r="X259" i="12"/>
  <c r="V259" i="12"/>
  <c r="N259" i="12"/>
  <c r="L259" i="12"/>
  <c r="B259" i="12"/>
  <c r="Z258" i="12"/>
  <c r="X258" i="12"/>
  <c r="N258" i="12"/>
  <c r="L258" i="12"/>
  <c r="J258" i="12"/>
  <c r="B258" i="12"/>
  <c r="Z257" i="12"/>
  <c r="X257" i="12"/>
  <c r="V257" i="12"/>
  <c r="N257" i="12"/>
  <c r="L257" i="12"/>
  <c r="B257" i="12"/>
  <c r="Z256" i="12"/>
  <c r="X256" i="12"/>
  <c r="N256" i="12"/>
  <c r="L256" i="12"/>
  <c r="B256" i="12"/>
  <c r="Z255" i="12"/>
  <c r="X255" i="12"/>
  <c r="V255" i="12"/>
  <c r="N255" i="12"/>
  <c r="L255" i="12"/>
  <c r="B255" i="12"/>
  <c r="Z254" i="12"/>
  <c r="X254" i="12"/>
  <c r="N254" i="12"/>
  <c r="L254" i="12"/>
  <c r="J254" i="12"/>
  <c r="B254" i="12"/>
  <c r="Z253" i="12"/>
  <c r="X253" i="12"/>
  <c r="V253" i="12"/>
  <c r="N253" i="12"/>
  <c r="L253" i="12"/>
  <c r="B253" i="12"/>
  <c r="Z252" i="12"/>
  <c r="X252" i="12"/>
  <c r="N252" i="12"/>
  <c r="L252" i="12"/>
  <c r="B252" i="12"/>
  <c r="Z251" i="12"/>
  <c r="X251" i="12"/>
  <c r="V251" i="12"/>
  <c r="N251" i="12"/>
  <c r="L251" i="12"/>
  <c r="B251" i="12"/>
  <c r="Z250" i="12"/>
  <c r="X250" i="12"/>
  <c r="N250" i="12"/>
  <c r="L250" i="12"/>
  <c r="J250" i="12"/>
  <c r="B250" i="12"/>
  <c r="Z249" i="12"/>
  <c r="X249" i="12"/>
  <c r="V249" i="12"/>
  <c r="N249" i="12"/>
  <c r="L249" i="12"/>
  <c r="B249" i="12"/>
  <c r="Z248" i="12"/>
  <c r="X248" i="12"/>
  <c r="N248" i="12"/>
  <c r="L248" i="12"/>
  <c r="B248" i="12"/>
  <c r="Z247" i="12"/>
  <c r="X247" i="12"/>
  <c r="V247" i="12"/>
  <c r="N247" i="12"/>
  <c r="L247" i="12"/>
  <c r="B247" i="12"/>
  <c r="Z246" i="12"/>
  <c r="X246" i="12"/>
  <c r="N246" i="12"/>
  <c r="L246" i="12"/>
  <c r="J246" i="12"/>
  <c r="B246" i="12"/>
  <c r="Z245" i="12"/>
  <c r="X245" i="12"/>
  <c r="V245" i="12"/>
  <c r="N245" i="12"/>
  <c r="L245" i="12"/>
  <c r="B245" i="12"/>
  <c r="Z244" i="12"/>
  <c r="X244" i="12"/>
  <c r="N244" i="12"/>
  <c r="L244" i="12"/>
  <c r="B244" i="12"/>
  <c r="Z243" i="12"/>
  <c r="X243" i="12"/>
  <c r="V243" i="12"/>
  <c r="N243" i="12"/>
  <c r="L243" i="12"/>
  <c r="B243" i="12"/>
  <c r="Z242" i="12"/>
  <c r="X242" i="12"/>
  <c r="N242" i="12"/>
  <c r="L242" i="12"/>
  <c r="J242" i="12"/>
  <c r="B242" i="12"/>
  <c r="Z241" i="12"/>
  <c r="X241" i="12"/>
  <c r="V241" i="12"/>
  <c r="N241" i="12"/>
  <c r="L241" i="12"/>
  <c r="B241" i="12"/>
  <c r="Z240" i="12"/>
  <c r="X240" i="12"/>
  <c r="N240" i="12"/>
  <c r="L240" i="12"/>
  <c r="B240" i="12"/>
  <c r="Z239" i="12"/>
  <c r="X239" i="12"/>
  <c r="V239" i="12"/>
  <c r="N239" i="12"/>
  <c r="L239" i="12"/>
  <c r="B239" i="12"/>
  <c r="Z238" i="12"/>
  <c r="X238" i="12"/>
  <c r="N238" i="12"/>
  <c r="L238" i="12"/>
  <c r="J238" i="12"/>
  <c r="B238" i="12"/>
  <c r="Z237" i="12"/>
  <c r="X237" i="12"/>
  <c r="V237" i="12"/>
  <c r="N237" i="12"/>
  <c r="L237" i="12"/>
  <c r="B237" i="12"/>
  <c r="Z236" i="12"/>
  <c r="X236" i="12"/>
  <c r="N236" i="12"/>
  <c r="L236" i="12"/>
  <c r="B236" i="12"/>
  <c r="Z235" i="12"/>
  <c r="X235" i="12"/>
  <c r="V235" i="12"/>
  <c r="N235" i="12"/>
  <c r="L235" i="12"/>
  <c r="B235" i="12"/>
  <c r="Z234" i="12"/>
  <c r="X234" i="12"/>
  <c r="N234" i="12"/>
  <c r="L234" i="12"/>
  <c r="J234" i="12"/>
  <c r="B234" i="12"/>
  <c r="Z233" i="12"/>
  <c r="X233" i="12"/>
  <c r="V233" i="12"/>
  <c r="N233" i="12"/>
  <c r="L233" i="12"/>
  <c r="B233" i="12"/>
  <c r="Z232" i="12"/>
  <c r="X232" i="12"/>
  <c r="N232" i="12"/>
  <c r="L232" i="12"/>
  <c r="B232" i="12"/>
  <c r="Z231" i="12"/>
  <c r="X231" i="12"/>
  <c r="V231" i="12"/>
  <c r="N231" i="12"/>
  <c r="L231" i="12"/>
  <c r="B231" i="12"/>
  <c r="Z230" i="12"/>
  <c r="X230" i="12"/>
  <c r="N230" i="12"/>
  <c r="L230" i="12"/>
  <c r="J230" i="12"/>
  <c r="B230" i="12"/>
  <c r="X229" i="12"/>
  <c r="Z229" i="12" s="1"/>
  <c r="V229" i="12"/>
  <c r="L229" i="12"/>
  <c r="N229" i="12" s="1"/>
  <c r="B229" i="12"/>
  <c r="Z228" i="12"/>
  <c r="T228" i="12"/>
  <c r="P228" i="12"/>
  <c r="X228" i="12" s="1"/>
  <c r="H228" i="12"/>
  <c r="D228" i="12"/>
  <c r="L228" i="12" s="1"/>
  <c r="N228" i="12" s="1"/>
  <c r="B228" i="12"/>
  <c r="X227" i="12"/>
  <c r="Z227" i="12" s="1"/>
  <c r="N227" i="12"/>
  <c r="L227" i="12"/>
  <c r="B227" i="12"/>
  <c r="X226" i="12"/>
  <c r="Z226" i="12" s="1"/>
  <c r="V226" i="12"/>
  <c r="T226" i="12"/>
  <c r="P226" i="12"/>
  <c r="L226" i="12"/>
  <c r="N226" i="12" s="1"/>
  <c r="H226" i="12"/>
  <c r="D226" i="12"/>
  <c r="B226" i="12"/>
  <c r="Z225" i="12"/>
  <c r="X225" i="12"/>
  <c r="L225" i="12"/>
  <c r="N225" i="12" s="1"/>
  <c r="J225" i="12"/>
  <c r="B225" i="12"/>
  <c r="T224" i="12"/>
  <c r="P224" i="12"/>
  <c r="H224" i="12"/>
  <c r="D224" i="12"/>
  <c r="L224" i="12" s="1"/>
  <c r="B224" i="12"/>
  <c r="X223" i="12"/>
  <c r="Z223" i="12" s="1"/>
  <c r="V223" i="12"/>
  <c r="L223" i="12"/>
  <c r="N223" i="12" s="1"/>
  <c r="B223" i="12"/>
  <c r="T222" i="12"/>
  <c r="P222" i="12"/>
  <c r="X222" i="12" s="1"/>
  <c r="Z222" i="12" s="1"/>
  <c r="N222" i="12"/>
  <c r="H222" i="12"/>
  <c r="D222" i="12"/>
  <c r="L222" i="12" s="1"/>
  <c r="B222" i="12"/>
  <c r="X221" i="12"/>
  <c r="Z221" i="12" s="1"/>
  <c r="N221" i="12"/>
  <c r="L221" i="12"/>
  <c r="B221" i="12"/>
  <c r="X220" i="12"/>
  <c r="Z220" i="12" s="1"/>
  <c r="N220" i="12"/>
  <c r="L220" i="12"/>
  <c r="B220" i="12"/>
  <c r="T219" i="12"/>
  <c r="Z219" i="12" s="1"/>
  <c r="P219" i="12"/>
  <c r="X219" i="12" s="1"/>
  <c r="H219" i="12"/>
  <c r="D219" i="12"/>
  <c r="L219" i="12" s="1"/>
  <c r="B219" i="12"/>
  <c r="Z218" i="12"/>
  <c r="X218" i="12"/>
  <c r="N218" i="12"/>
  <c r="L218" i="12"/>
  <c r="B218" i="12"/>
  <c r="Z217" i="12"/>
  <c r="X217" i="12"/>
  <c r="T217" i="12"/>
  <c r="P217" i="12"/>
  <c r="H217" i="12"/>
  <c r="D217" i="12"/>
  <c r="L217" i="12" s="1"/>
  <c r="N217" i="12" s="1"/>
  <c r="B217" i="12"/>
  <c r="Z216" i="12"/>
  <c r="X216" i="12"/>
  <c r="L216" i="12"/>
  <c r="N216" i="12" s="1"/>
  <c r="B216" i="12"/>
  <c r="T215" i="12"/>
  <c r="P215" i="12"/>
  <c r="J215" i="12"/>
  <c r="H215" i="12"/>
  <c r="D215" i="12"/>
  <c r="L215" i="12" s="1"/>
  <c r="B215" i="12"/>
  <c r="Z214" i="12"/>
  <c r="X214" i="12"/>
  <c r="V214" i="12"/>
  <c r="N214" i="12"/>
  <c r="L214" i="12"/>
  <c r="B214" i="12"/>
  <c r="X213" i="12"/>
  <c r="Z213" i="12" s="1"/>
  <c r="N213" i="12"/>
  <c r="L213" i="12"/>
  <c r="B213" i="12"/>
  <c r="X212" i="12"/>
  <c r="Z212" i="12" s="1"/>
  <c r="T212" i="12"/>
  <c r="P212" i="12"/>
  <c r="L212" i="12"/>
  <c r="N212" i="12" s="1"/>
  <c r="J212" i="12"/>
  <c r="H212" i="12"/>
  <c r="D212" i="12"/>
  <c r="B212" i="12"/>
  <c r="Z211" i="12"/>
  <c r="X211" i="12"/>
  <c r="N211" i="12"/>
  <c r="L211" i="12"/>
  <c r="J211" i="12"/>
  <c r="B211" i="12"/>
  <c r="Z210" i="12"/>
  <c r="X210" i="12"/>
  <c r="N210" i="12"/>
  <c r="L210" i="12"/>
  <c r="B210" i="12"/>
  <c r="Z209" i="12"/>
  <c r="X209" i="12"/>
  <c r="T209" i="12"/>
  <c r="P209" i="12"/>
  <c r="H209" i="12"/>
  <c r="D209" i="12"/>
  <c r="L209" i="12" s="1"/>
  <c r="N209" i="12" s="1"/>
  <c r="B209" i="12"/>
  <c r="Z208" i="12"/>
  <c r="X208" i="12"/>
  <c r="L208" i="12"/>
  <c r="N208" i="12" s="1"/>
  <c r="B208" i="12"/>
  <c r="X207" i="12"/>
  <c r="Z207" i="12" s="1"/>
  <c r="V207" i="12"/>
  <c r="N207" i="12"/>
  <c r="L207" i="12"/>
  <c r="B207" i="12"/>
  <c r="Z206" i="12"/>
  <c r="X206" i="12"/>
  <c r="L206" i="12"/>
  <c r="N206" i="12" s="1"/>
  <c r="J206" i="12"/>
  <c r="B206" i="12"/>
  <c r="X205" i="12"/>
  <c r="Z205" i="12" s="1"/>
  <c r="V205" i="12"/>
  <c r="L205" i="12"/>
  <c r="N205" i="12" s="1"/>
  <c r="B205" i="12"/>
  <c r="T204" i="12"/>
  <c r="P204" i="12"/>
  <c r="X204" i="12" s="1"/>
  <c r="Z204" i="12" s="1"/>
  <c r="H204" i="12"/>
  <c r="D204" i="12"/>
  <c r="L204" i="12" s="1"/>
  <c r="N204" i="12" s="1"/>
  <c r="B204" i="12"/>
  <c r="Z203" i="12"/>
  <c r="X203" i="12"/>
  <c r="N203" i="12"/>
  <c r="L203" i="12"/>
  <c r="B203" i="12"/>
  <c r="X202" i="12"/>
  <c r="Z202" i="12" s="1"/>
  <c r="V202" i="12"/>
  <c r="T202" i="12"/>
  <c r="P202" i="12"/>
  <c r="L202" i="12"/>
  <c r="N202" i="12" s="1"/>
  <c r="H202" i="12"/>
  <c r="D202" i="12"/>
  <c r="B202" i="12"/>
  <c r="X201" i="12"/>
  <c r="Z201" i="12" s="1"/>
  <c r="L201" i="12"/>
  <c r="N201" i="12" s="1"/>
  <c r="J201" i="12"/>
  <c r="B201" i="12"/>
  <c r="Z200" i="12"/>
  <c r="X200" i="12"/>
  <c r="N200" i="12"/>
  <c r="L200" i="12"/>
  <c r="B200" i="12"/>
  <c r="Z199" i="12"/>
  <c r="T199" i="12"/>
  <c r="P199" i="12"/>
  <c r="X199" i="12" s="1"/>
  <c r="L199" i="12"/>
  <c r="N199" i="12" s="1"/>
  <c r="H199" i="12"/>
  <c r="D199" i="12"/>
  <c r="B199" i="12"/>
  <c r="Z198" i="12"/>
  <c r="X198" i="12"/>
  <c r="L198" i="12"/>
  <c r="N198" i="12" s="1"/>
  <c r="J198" i="12"/>
  <c r="B198" i="12"/>
  <c r="V197" i="12"/>
  <c r="T197" i="12"/>
  <c r="P197" i="12"/>
  <c r="X197" i="12" s="1"/>
  <c r="J197" i="12"/>
  <c r="H197" i="12"/>
  <c r="D197" i="12"/>
  <c r="B197" i="12"/>
  <c r="Z196" i="12"/>
  <c r="X196" i="12"/>
  <c r="N196" i="12"/>
  <c r="L196" i="12"/>
  <c r="B196" i="12"/>
  <c r="Z195" i="12"/>
  <c r="X195" i="12"/>
  <c r="N195" i="12"/>
  <c r="L195" i="12"/>
  <c r="B195" i="12"/>
  <c r="X194" i="12"/>
  <c r="Z194" i="12" s="1"/>
  <c r="V194" i="12"/>
  <c r="N194" i="12"/>
  <c r="L194" i="12"/>
  <c r="B194" i="12"/>
  <c r="X193" i="12"/>
  <c r="Z193" i="12" s="1"/>
  <c r="L193" i="12"/>
  <c r="N193" i="12" s="1"/>
  <c r="B193" i="12"/>
  <c r="Z192" i="12"/>
  <c r="X192" i="12"/>
  <c r="N192" i="12"/>
  <c r="L192" i="12"/>
  <c r="B192" i="12"/>
  <c r="X191" i="12"/>
  <c r="Z191" i="12" s="1"/>
  <c r="N191" i="12"/>
  <c r="L191" i="12"/>
  <c r="B191" i="12"/>
  <c r="X190" i="12"/>
  <c r="Z190" i="12" s="1"/>
  <c r="V190" i="12"/>
  <c r="N190" i="12"/>
  <c r="L190" i="12"/>
  <c r="B190" i="12"/>
  <c r="Z189" i="12"/>
  <c r="X189" i="12"/>
  <c r="N189" i="12"/>
  <c r="L189" i="12"/>
  <c r="B189" i="12"/>
  <c r="X188" i="12"/>
  <c r="Z188" i="12" s="1"/>
  <c r="N188" i="12"/>
  <c r="L188" i="12"/>
  <c r="B188" i="12"/>
  <c r="X187" i="12"/>
  <c r="Z187" i="12" s="1"/>
  <c r="N187" i="12"/>
  <c r="L187" i="12"/>
  <c r="B187" i="12"/>
  <c r="X186" i="12"/>
  <c r="Z186" i="12" s="1"/>
  <c r="V186" i="12"/>
  <c r="T186" i="12"/>
  <c r="P186" i="12"/>
  <c r="L186" i="12"/>
  <c r="N186" i="12" s="1"/>
  <c r="H186" i="12"/>
  <c r="D186" i="12"/>
  <c r="B186" i="12"/>
  <c r="X185" i="12"/>
  <c r="Z185" i="12" s="1"/>
  <c r="L185" i="12"/>
  <c r="N185" i="12" s="1"/>
  <c r="J185" i="12"/>
  <c r="B185" i="12"/>
  <c r="Z184" i="12"/>
  <c r="X184" i="12"/>
  <c r="N184" i="12"/>
  <c r="L184" i="12"/>
  <c r="B184" i="12"/>
  <c r="Z183" i="12"/>
  <c r="X183" i="12"/>
  <c r="L183" i="12"/>
  <c r="N183" i="12" s="1"/>
  <c r="J183" i="12"/>
  <c r="B183" i="12"/>
  <c r="Z182" i="12"/>
  <c r="X182" i="12"/>
  <c r="N182" i="12"/>
  <c r="L182" i="12"/>
  <c r="B182" i="12"/>
  <c r="Z181" i="12"/>
  <c r="X181" i="12"/>
  <c r="N181" i="12"/>
  <c r="L181" i="12"/>
  <c r="J181" i="12"/>
  <c r="B181" i="12"/>
  <c r="Z180" i="12"/>
  <c r="X180" i="12"/>
  <c r="N180" i="12"/>
  <c r="L180" i="12"/>
  <c r="B180" i="12"/>
  <c r="Z179" i="12"/>
  <c r="X179" i="12"/>
  <c r="L179" i="12"/>
  <c r="N179" i="12" s="1"/>
  <c r="J179" i="12"/>
  <c r="B179" i="12"/>
  <c r="Z178" i="12"/>
  <c r="X178" i="12"/>
  <c r="N178" i="12"/>
  <c r="L178" i="12"/>
  <c r="B178" i="12"/>
  <c r="X177" i="12"/>
  <c r="Z177" i="12" s="1"/>
  <c r="L177" i="12"/>
  <c r="N177" i="12" s="1"/>
  <c r="J177" i="12"/>
  <c r="B177" i="12"/>
  <c r="Z176" i="12"/>
  <c r="X176" i="12"/>
  <c r="N176" i="12"/>
  <c r="L176" i="12"/>
  <c r="B176" i="12"/>
  <c r="Z175" i="12"/>
  <c r="T175" i="12"/>
  <c r="P175" i="12"/>
  <c r="X175" i="12" s="1"/>
  <c r="L175" i="12"/>
  <c r="N175" i="12" s="1"/>
  <c r="H175" i="12"/>
  <c r="D175" i="12"/>
  <c r="B175" i="12"/>
  <c r="T174" i="12"/>
  <c r="P174" i="12"/>
  <c r="X174" i="12" s="1"/>
  <c r="Z174" i="12" s="1"/>
  <c r="N174" i="12"/>
  <c r="H174" i="12"/>
  <c r="D174" i="12"/>
  <c r="L174" i="12" s="1"/>
  <c r="Z170" i="12"/>
  <c r="X170" i="12"/>
  <c r="N170" i="12"/>
  <c r="L170" i="12"/>
  <c r="J170" i="12"/>
  <c r="B170" i="12"/>
  <c r="Z169" i="12"/>
  <c r="X169" i="12"/>
  <c r="V169" i="12"/>
  <c r="N169" i="12"/>
  <c r="L169" i="12"/>
  <c r="B169" i="12"/>
  <c r="Z168" i="12"/>
  <c r="X168" i="12"/>
  <c r="N168" i="12"/>
  <c r="L168" i="12"/>
  <c r="B168" i="12"/>
  <c r="Z167" i="12"/>
  <c r="X167" i="12"/>
  <c r="V167" i="12"/>
  <c r="N167" i="12"/>
  <c r="L167" i="12"/>
  <c r="B167" i="12"/>
  <c r="Z166" i="12"/>
  <c r="X166" i="12"/>
  <c r="N166" i="12"/>
  <c r="L166" i="12"/>
  <c r="J166" i="12"/>
  <c r="B166" i="12"/>
  <c r="Z165" i="12"/>
  <c r="X165" i="12"/>
  <c r="V165" i="12"/>
  <c r="N165" i="12"/>
  <c r="L165" i="12"/>
  <c r="B165" i="12"/>
  <c r="Z164" i="12"/>
  <c r="X164" i="12"/>
  <c r="N164" i="12"/>
  <c r="L164" i="12"/>
  <c r="B164" i="12"/>
  <c r="Z163" i="12"/>
  <c r="X163" i="12"/>
  <c r="V163" i="12"/>
  <c r="N163" i="12"/>
  <c r="L163" i="12"/>
  <c r="B163" i="12"/>
  <c r="Z162" i="12"/>
  <c r="X162" i="12"/>
  <c r="N162" i="12"/>
  <c r="L162" i="12"/>
  <c r="J162" i="12"/>
  <c r="B162" i="12"/>
  <c r="Z161" i="12"/>
  <c r="X161" i="12"/>
  <c r="V161" i="12"/>
  <c r="N161" i="12"/>
  <c r="L161" i="12"/>
  <c r="B161" i="12"/>
  <c r="Z160" i="12"/>
  <c r="X160" i="12"/>
  <c r="N160" i="12"/>
  <c r="L160" i="12"/>
  <c r="B160" i="12"/>
  <c r="Z159" i="12"/>
  <c r="X159" i="12"/>
  <c r="V159" i="12"/>
  <c r="N159" i="12"/>
  <c r="L159" i="12"/>
  <c r="B159" i="12"/>
  <c r="Z158" i="12"/>
  <c r="X158" i="12"/>
  <c r="N158" i="12"/>
  <c r="L158" i="12"/>
  <c r="J158" i="12"/>
  <c r="B158" i="12"/>
  <c r="Z157" i="12"/>
  <c r="X157" i="12"/>
  <c r="V157" i="12"/>
  <c r="N157" i="12"/>
  <c r="L157" i="12"/>
  <c r="B157" i="12"/>
  <c r="Z156" i="12"/>
  <c r="X156" i="12"/>
  <c r="N156" i="12"/>
  <c r="L156" i="12"/>
  <c r="B156" i="12"/>
  <c r="Z155" i="12"/>
  <c r="X155" i="12"/>
  <c r="V155" i="12"/>
  <c r="N155" i="12"/>
  <c r="L155" i="12"/>
  <c r="B155" i="12"/>
  <c r="Z154" i="12"/>
  <c r="X154" i="12"/>
  <c r="N154" i="12"/>
  <c r="L154" i="12"/>
  <c r="J154" i="12"/>
  <c r="B154" i="12"/>
  <c r="Z153" i="12"/>
  <c r="X153" i="12"/>
  <c r="V153" i="12"/>
  <c r="N153" i="12"/>
  <c r="L153" i="12"/>
  <c r="B153" i="12"/>
  <c r="Z152" i="12"/>
  <c r="X152" i="12"/>
  <c r="N152" i="12"/>
  <c r="L152" i="12"/>
  <c r="B152" i="12"/>
  <c r="Z151" i="12"/>
  <c r="X151" i="12"/>
  <c r="V151" i="12"/>
  <c r="N151" i="12"/>
  <c r="L151" i="12"/>
  <c r="B151" i="12"/>
  <c r="Z150" i="12"/>
  <c r="X150" i="12"/>
  <c r="N150" i="12"/>
  <c r="L150" i="12"/>
  <c r="J150" i="12"/>
  <c r="B150" i="12"/>
  <c r="Z149" i="12"/>
  <c r="X149" i="12"/>
  <c r="V149" i="12"/>
  <c r="N149" i="12"/>
  <c r="L149" i="12"/>
  <c r="B149" i="12"/>
  <c r="Z148" i="12"/>
  <c r="X148" i="12"/>
  <c r="N148" i="12"/>
  <c r="L148" i="12"/>
  <c r="B148" i="12"/>
  <c r="Z147" i="12"/>
  <c r="X147" i="12"/>
  <c r="V147" i="12"/>
  <c r="N147" i="12"/>
  <c r="L147" i="12"/>
  <c r="B147" i="12"/>
  <c r="Z146" i="12"/>
  <c r="X146" i="12"/>
  <c r="N146" i="12"/>
  <c r="L146" i="12"/>
  <c r="J146" i="12"/>
  <c r="B146" i="12"/>
  <c r="Z145" i="12"/>
  <c r="X145" i="12"/>
  <c r="V145" i="12"/>
  <c r="N145" i="12"/>
  <c r="L145" i="12"/>
  <c r="B145" i="12"/>
  <c r="Z144" i="12"/>
  <c r="X144" i="12"/>
  <c r="N144" i="12"/>
  <c r="L144" i="12"/>
  <c r="B144" i="12"/>
  <c r="Z143" i="12"/>
  <c r="X143" i="12"/>
  <c r="V143" i="12"/>
  <c r="N143" i="12"/>
  <c r="L143" i="12"/>
  <c r="B143" i="12"/>
  <c r="Z142" i="12"/>
  <c r="X142" i="12"/>
  <c r="N142" i="12"/>
  <c r="L142" i="12"/>
  <c r="J142" i="12"/>
  <c r="B142" i="12"/>
  <c r="Z141" i="12"/>
  <c r="X141" i="12"/>
  <c r="V141" i="12"/>
  <c r="N141" i="12"/>
  <c r="L141" i="12"/>
  <c r="B141" i="12"/>
  <c r="Z140" i="12"/>
  <c r="X140" i="12"/>
  <c r="N140" i="12"/>
  <c r="L140" i="12"/>
  <c r="B140" i="12"/>
  <c r="Z139" i="12"/>
  <c r="X139" i="12"/>
  <c r="V139" i="12"/>
  <c r="N139" i="12"/>
  <c r="L139" i="12"/>
  <c r="B139" i="12"/>
  <c r="Z138" i="12"/>
  <c r="X138" i="12"/>
  <c r="N138" i="12"/>
  <c r="L138" i="12"/>
  <c r="J138" i="12"/>
  <c r="B138" i="12"/>
  <c r="Z137" i="12"/>
  <c r="X137" i="12"/>
  <c r="V137" i="12"/>
  <c r="N137" i="12"/>
  <c r="L137" i="12"/>
  <c r="B137" i="12"/>
  <c r="Z136" i="12"/>
  <c r="X136" i="12"/>
  <c r="N136" i="12"/>
  <c r="L136" i="12"/>
  <c r="B136" i="12"/>
  <c r="Z135" i="12"/>
  <c r="X135" i="12"/>
  <c r="V135" i="12"/>
  <c r="N135" i="12"/>
  <c r="L135" i="12"/>
  <c r="B135" i="12"/>
  <c r="Z134" i="12"/>
  <c r="X134" i="12"/>
  <c r="N134" i="12"/>
  <c r="L134" i="12"/>
  <c r="J134" i="12"/>
  <c r="B134" i="12"/>
  <c r="Z133" i="12"/>
  <c r="X133" i="12"/>
  <c r="V133" i="12"/>
  <c r="N133" i="12"/>
  <c r="L133" i="12"/>
  <c r="B133" i="12"/>
  <c r="Z132" i="12"/>
  <c r="X132" i="12"/>
  <c r="N132" i="12"/>
  <c r="L132" i="12"/>
  <c r="B132" i="12"/>
  <c r="Z131" i="12"/>
  <c r="X131" i="12"/>
  <c r="V131" i="12"/>
  <c r="N131" i="12"/>
  <c r="L131" i="12"/>
  <c r="B131" i="12"/>
  <c r="Z130" i="12"/>
  <c r="X130" i="12"/>
  <c r="N130" i="12"/>
  <c r="L130" i="12"/>
  <c r="J130" i="12"/>
  <c r="B130" i="12"/>
  <c r="Z129" i="12"/>
  <c r="X129" i="12"/>
  <c r="V129" i="12"/>
  <c r="N129" i="12"/>
  <c r="L129" i="12"/>
  <c r="B129" i="12"/>
  <c r="Z128" i="12"/>
  <c r="X128" i="12"/>
  <c r="N128" i="12"/>
  <c r="L128" i="12"/>
  <c r="B128" i="12"/>
  <c r="Z127" i="12"/>
  <c r="X127" i="12"/>
  <c r="V127" i="12"/>
  <c r="N127" i="12"/>
  <c r="L127" i="12"/>
  <c r="B127" i="12"/>
  <c r="Z126" i="12"/>
  <c r="X126" i="12"/>
  <c r="N126" i="12"/>
  <c r="L126" i="12"/>
  <c r="J126" i="12"/>
  <c r="B126" i="12"/>
  <c r="Z125" i="12"/>
  <c r="X125" i="12"/>
  <c r="V125" i="12"/>
  <c r="N125" i="12"/>
  <c r="L125" i="12"/>
  <c r="B125" i="12"/>
  <c r="Z124" i="12"/>
  <c r="X124" i="12"/>
  <c r="N124" i="12"/>
  <c r="L124" i="12"/>
  <c r="B124" i="12"/>
  <c r="Z123" i="12"/>
  <c r="X123" i="12"/>
  <c r="V123" i="12"/>
  <c r="N123" i="12"/>
  <c r="L123" i="12"/>
  <c r="B123" i="12"/>
  <c r="Z122" i="12"/>
  <c r="X122" i="12"/>
  <c r="N122" i="12"/>
  <c r="L122" i="12"/>
  <c r="J122" i="12"/>
  <c r="B122" i="12"/>
  <c r="Z121" i="12"/>
  <c r="X121" i="12"/>
  <c r="V121" i="12"/>
  <c r="N121" i="12"/>
  <c r="L121" i="12"/>
  <c r="B121" i="12"/>
  <c r="Z120" i="12"/>
  <c r="X120" i="12"/>
  <c r="N120" i="12"/>
  <c r="L120" i="12"/>
  <c r="B120" i="12"/>
  <c r="Z119" i="12"/>
  <c r="X119" i="12"/>
  <c r="V119" i="12"/>
  <c r="N119" i="12"/>
  <c r="L119" i="12"/>
  <c r="B119" i="12"/>
  <c r="Z118" i="12"/>
  <c r="X118" i="12"/>
  <c r="L118" i="12"/>
  <c r="N118" i="12" s="1"/>
  <c r="J118" i="12"/>
  <c r="B118" i="12"/>
  <c r="V117" i="12"/>
  <c r="T117" i="12"/>
  <c r="P117" i="12"/>
  <c r="X117" i="12" s="1"/>
  <c r="J117" i="12"/>
  <c r="H117" i="12"/>
  <c r="D117" i="12"/>
  <c r="Z115" i="12"/>
  <c r="P115" i="12"/>
  <c r="X115" i="12" s="1"/>
  <c r="N115" i="12"/>
  <c r="D115" i="12"/>
  <c r="L115" i="12" s="1"/>
  <c r="B115" i="12"/>
  <c r="Z114" i="12"/>
  <c r="P114" i="12"/>
  <c r="X114" i="12" s="1"/>
  <c r="N114" i="12"/>
  <c r="L114" i="12"/>
  <c r="D114" i="12"/>
  <c r="B114" i="12"/>
  <c r="Z113" i="12"/>
  <c r="X113" i="12"/>
  <c r="P113" i="12"/>
  <c r="N113" i="12"/>
  <c r="D113" i="12"/>
  <c r="L113" i="12" s="1"/>
  <c r="B113" i="12"/>
  <c r="Z112" i="12"/>
  <c r="P112" i="12"/>
  <c r="X112" i="12" s="1"/>
  <c r="N112" i="12"/>
  <c r="D112" i="12"/>
  <c r="L112" i="12" s="1"/>
  <c r="B112" i="12"/>
  <c r="Z111" i="12"/>
  <c r="X111" i="12"/>
  <c r="P111" i="12"/>
  <c r="N111" i="12"/>
  <c r="D111" i="12"/>
  <c r="L111" i="12" s="1"/>
  <c r="B111" i="12"/>
  <c r="Z110" i="12"/>
  <c r="P110" i="12"/>
  <c r="X110" i="12" s="1"/>
  <c r="N110" i="12"/>
  <c r="L110" i="12"/>
  <c r="D110" i="12"/>
  <c r="B110" i="12"/>
  <c r="Z109" i="12"/>
  <c r="P109" i="12"/>
  <c r="X109" i="12" s="1"/>
  <c r="N109" i="12"/>
  <c r="D109" i="12"/>
  <c r="L109" i="12" s="1"/>
  <c r="B109" i="12"/>
  <c r="Z108" i="12"/>
  <c r="X108" i="12"/>
  <c r="P108" i="12"/>
  <c r="N108" i="12"/>
  <c r="L108" i="12"/>
  <c r="D108" i="12"/>
  <c r="B108" i="12"/>
  <c r="Z107" i="12"/>
  <c r="X107" i="12"/>
  <c r="P107" i="12"/>
  <c r="N107" i="12"/>
  <c r="D107" i="12"/>
  <c r="L107" i="12" s="1"/>
  <c r="B107" i="12"/>
  <c r="Z106" i="12"/>
  <c r="P106" i="12"/>
  <c r="X106" i="12" s="1"/>
  <c r="N106" i="12"/>
  <c r="D106" i="12"/>
  <c r="L106" i="12" s="1"/>
  <c r="B106" i="12"/>
  <c r="Z105" i="12"/>
  <c r="X105" i="12"/>
  <c r="P105" i="12"/>
  <c r="N105" i="12"/>
  <c r="L105" i="12"/>
  <c r="D105" i="12"/>
  <c r="B105" i="12"/>
  <c r="Z104" i="12"/>
  <c r="P104" i="12"/>
  <c r="X104" i="12" s="1"/>
  <c r="N104" i="12"/>
  <c r="L104" i="12"/>
  <c r="D104" i="12"/>
  <c r="B104" i="12"/>
  <c r="Z103" i="12"/>
  <c r="P103" i="12"/>
  <c r="X103" i="12" s="1"/>
  <c r="N103" i="12"/>
  <c r="D103" i="12"/>
  <c r="L103" i="12" s="1"/>
  <c r="B103" i="12"/>
  <c r="Z102" i="12"/>
  <c r="P102" i="12"/>
  <c r="X102" i="12" s="1"/>
  <c r="N102" i="12"/>
  <c r="L102" i="12"/>
  <c r="D102" i="12"/>
  <c r="B102" i="12"/>
  <c r="Z101" i="12"/>
  <c r="X101" i="12"/>
  <c r="P101" i="12"/>
  <c r="N101" i="12"/>
  <c r="D101" i="12"/>
  <c r="L101" i="12" s="1"/>
  <c r="B101" i="12"/>
  <c r="Z100" i="12"/>
  <c r="P100" i="12"/>
  <c r="X100" i="12" s="1"/>
  <c r="N100" i="12"/>
  <c r="D100" i="12"/>
  <c r="L100" i="12" s="1"/>
  <c r="B100" i="12"/>
  <c r="Z99" i="12"/>
  <c r="X99" i="12"/>
  <c r="P99" i="12"/>
  <c r="N99" i="12"/>
  <c r="D99" i="12"/>
  <c r="L99" i="12" s="1"/>
  <c r="B99" i="12"/>
  <c r="Z98" i="12"/>
  <c r="P98" i="12"/>
  <c r="X98" i="12" s="1"/>
  <c r="N98" i="12"/>
  <c r="L98" i="12"/>
  <c r="D98" i="12"/>
  <c r="B98" i="12"/>
  <c r="Z97" i="12"/>
  <c r="P97" i="12"/>
  <c r="X97" i="12" s="1"/>
  <c r="N97" i="12"/>
  <c r="D97" i="12"/>
  <c r="L97" i="12" s="1"/>
  <c r="B97" i="12"/>
  <c r="Z96" i="12"/>
  <c r="X96" i="12"/>
  <c r="P96" i="12"/>
  <c r="N96" i="12"/>
  <c r="L96" i="12"/>
  <c r="D96" i="12"/>
  <c r="B96" i="12"/>
  <c r="Z95" i="12"/>
  <c r="X95" i="12"/>
  <c r="P95" i="12"/>
  <c r="N95" i="12"/>
  <c r="D95" i="12"/>
  <c r="L95" i="12" s="1"/>
  <c r="B95" i="12"/>
  <c r="Z94" i="12"/>
  <c r="P94" i="12"/>
  <c r="X94" i="12" s="1"/>
  <c r="N94" i="12"/>
  <c r="D94" i="12"/>
  <c r="L94" i="12" s="1"/>
  <c r="B94" i="12"/>
  <c r="Z93" i="12"/>
  <c r="X93" i="12"/>
  <c r="P93" i="12"/>
  <c r="N93" i="12"/>
  <c r="L93" i="12"/>
  <c r="D93" i="12"/>
  <c r="B93" i="12"/>
  <c r="Z92" i="12"/>
  <c r="P92" i="12"/>
  <c r="X92" i="12" s="1"/>
  <c r="N92" i="12"/>
  <c r="L92" i="12"/>
  <c r="D92" i="12"/>
  <c r="B92" i="12"/>
  <c r="Z91" i="12"/>
  <c r="P91" i="12"/>
  <c r="X91" i="12" s="1"/>
  <c r="N91" i="12"/>
  <c r="D91" i="12"/>
  <c r="L91" i="12" s="1"/>
  <c r="B91" i="12"/>
  <c r="Z90" i="12"/>
  <c r="P90" i="12"/>
  <c r="X90" i="12" s="1"/>
  <c r="N90" i="12"/>
  <c r="L90" i="12"/>
  <c r="D90" i="12"/>
  <c r="B90" i="12"/>
  <c r="Z89" i="12"/>
  <c r="X89" i="12"/>
  <c r="P89" i="12"/>
  <c r="N89" i="12"/>
  <c r="D89" i="12"/>
  <c r="L89" i="12" s="1"/>
  <c r="B89" i="12"/>
  <c r="Z88" i="12"/>
  <c r="P88" i="12"/>
  <c r="X88" i="12" s="1"/>
  <c r="N88" i="12"/>
  <c r="D88" i="12"/>
  <c r="L88" i="12" s="1"/>
  <c r="B88" i="12"/>
  <c r="Z87" i="12"/>
  <c r="X87" i="12"/>
  <c r="P87" i="12"/>
  <c r="N87" i="12"/>
  <c r="D87" i="12"/>
  <c r="L87" i="12" s="1"/>
  <c r="B87" i="12"/>
  <c r="Z86" i="12"/>
  <c r="P86" i="12"/>
  <c r="X86" i="12" s="1"/>
  <c r="N86" i="12"/>
  <c r="L86" i="12"/>
  <c r="D86" i="12"/>
  <c r="B86" i="12"/>
  <c r="Z85" i="12"/>
  <c r="P85" i="12"/>
  <c r="X85" i="12" s="1"/>
  <c r="N85" i="12"/>
  <c r="D85" i="12"/>
  <c r="L85" i="12" s="1"/>
  <c r="B85" i="12"/>
  <c r="Z84" i="12"/>
  <c r="X84" i="12"/>
  <c r="P84" i="12"/>
  <c r="N84" i="12"/>
  <c r="L84" i="12"/>
  <c r="D84" i="12"/>
  <c r="B84" i="12"/>
  <c r="Z83" i="12"/>
  <c r="X83" i="12"/>
  <c r="P83" i="12"/>
  <c r="N83" i="12"/>
  <c r="D83" i="12"/>
  <c r="L83" i="12" s="1"/>
  <c r="B83" i="12"/>
  <c r="Z82" i="12"/>
  <c r="P82" i="12"/>
  <c r="X82" i="12" s="1"/>
  <c r="N82" i="12"/>
  <c r="D82" i="12"/>
  <c r="L82" i="12" s="1"/>
  <c r="B82" i="12"/>
  <c r="Z81" i="12"/>
  <c r="X81" i="12"/>
  <c r="P81" i="12"/>
  <c r="N81" i="12"/>
  <c r="L81" i="12"/>
  <c r="D81" i="12"/>
  <c r="B81" i="12"/>
  <c r="Z80" i="12"/>
  <c r="P80" i="12"/>
  <c r="X80" i="12" s="1"/>
  <c r="N80" i="12"/>
  <c r="L80" i="12"/>
  <c r="D80" i="12"/>
  <c r="B80" i="12"/>
  <c r="Z79" i="12"/>
  <c r="P79" i="12"/>
  <c r="X79" i="12" s="1"/>
  <c r="N79" i="12"/>
  <c r="D79" i="12"/>
  <c r="L79" i="12" s="1"/>
  <c r="B79" i="12"/>
  <c r="Z78" i="12"/>
  <c r="P78" i="12"/>
  <c r="X78" i="12" s="1"/>
  <c r="N78" i="12"/>
  <c r="L78" i="12"/>
  <c r="D78" i="12"/>
  <c r="B78" i="12"/>
  <c r="Z77" i="12"/>
  <c r="X77" i="12"/>
  <c r="P77" i="12"/>
  <c r="N77" i="12"/>
  <c r="D77" i="12"/>
  <c r="L77" i="12" s="1"/>
  <c r="B77" i="12"/>
  <c r="Z76" i="12"/>
  <c r="P76" i="12"/>
  <c r="X76" i="12" s="1"/>
  <c r="N76" i="12"/>
  <c r="D76" i="12"/>
  <c r="L76" i="12" s="1"/>
  <c r="B76" i="12"/>
  <c r="Z75" i="12"/>
  <c r="X75" i="12"/>
  <c r="P75" i="12"/>
  <c r="N75" i="12"/>
  <c r="D75" i="12"/>
  <c r="L75" i="12" s="1"/>
  <c r="B75" i="12"/>
  <c r="Z74" i="12"/>
  <c r="P74" i="12"/>
  <c r="X74" i="12" s="1"/>
  <c r="N74" i="12"/>
  <c r="L74" i="12"/>
  <c r="D74" i="12"/>
  <c r="B74" i="12"/>
  <c r="Z73" i="12"/>
  <c r="P73" i="12"/>
  <c r="X73" i="12" s="1"/>
  <c r="N73" i="12"/>
  <c r="D73" i="12"/>
  <c r="L73" i="12" s="1"/>
  <c r="B73" i="12"/>
  <c r="Z72" i="12"/>
  <c r="X72" i="12"/>
  <c r="P72" i="12"/>
  <c r="N72" i="12"/>
  <c r="L72" i="12"/>
  <c r="D72" i="12"/>
  <c r="B72" i="12"/>
  <c r="Z71" i="12"/>
  <c r="X71" i="12"/>
  <c r="P71" i="12"/>
  <c r="N71" i="12"/>
  <c r="D71" i="12"/>
  <c r="L71" i="12" s="1"/>
  <c r="B71" i="12"/>
  <c r="Z70" i="12"/>
  <c r="P70" i="12"/>
  <c r="X70" i="12" s="1"/>
  <c r="N70" i="12"/>
  <c r="D70" i="12"/>
  <c r="L70" i="12" s="1"/>
  <c r="B70" i="12"/>
  <c r="Z69" i="12"/>
  <c r="X69" i="12"/>
  <c r="P69" i="12"/>
  <c r="N69" i="12"/>
  <c r="L69" i="12"/>
  <c r="D69" i="12"/>
  <c r="B69" i="12"/>
  <c r="Z68" i="12"/>
  <c r="P68" i="12"/>
  <c r="X68" i="12" s="1"/>
  <c r="N68" i="12"/>
  <c r="L68" i="12"/>
  <c r="D68" i="12"/>
  <c r="B68" i="12"/>
  <c r="Z67" i="12"/>
  <c r="P67" i="12"/>
  <c r="X67" i="12" s="1"/>
  <c r="N67" i="12"/>
  <c r="D67" i="12"/>
  <c r="L67" i="12" s="1"/>
  <c r="B67" i="12"/>
  <c r="Z66" i="12"/>
  <c r="P66" i="12"/>
  <c r="X66" i="12" s="1"/>
  <c r="N66" i="12"/>
  <c r="L66" i="12"/>
  <c r="D66" i="12"/>
  <c r="B66" i="12"/>
  <c r="Z65" i="12"/>
  <c r="X65" i="12"/>
  <c r="P65" i="12"/>
  <c r="N65" i="12"/>
  <c r="D65" i="12"/>
  <c r="L65" i="12" s="1"/>
  <c r="B65" i="12"/>
  <c r="Z64" i="12"/>
  <c r="P64" i="12"/>
  <c r="X64" i="12" s="1"/>
  <c r="N64" i="12"/>
  <c r="D64" i="12"/>
  <c r="L64" i="12" s="1"/>
  <c r="B64" i="12"/>
  <c r="Z63" i="12"/>
  <c r="X63" i="12"/>
  <c r="P63" i="12"/>
  <c r="N63" i="12"/>
  <c r="D63" i="12"/>
  <c r="L63" i="12" s="1"/>
  <c r="B63" i="12"/>
  <c r="Z62" i="12"/>
  <c r="P62" i="12"/>
  <c r="X62" i="12" s="1"/>
  <c r="N62" i="12"/>
  <c r="L62" i="12"/>
  <c r="D62" i="12"/>
  <c r="B62" i="12"/>
  <c r="Z61" i="12"/>
  <c r="P61" i="12"/>
  <c r="X61" i="12" s="1"/>
  <c r="N61" i="12"/>
  <c r="D61" i="12"/>
  <c r="L61" i="12" s="1"/>
  <c r="B61" i="12"/>
  <c r="Z60" i="12"/>
  <c r="X60" i="12"/>
  <c r="P60" i="12"/>
  <c r="N60" i="12"/>
  <c r="L60" i="12"/>
  <c r="D60" i="12"/>
  <c r="B60" i="12"/>
  <c r="Z59" i="12"/>
  <c r="X59" i="12"/>
  <c r="P59" i="12"/>
  <c r="N59" i="12"/>
  <c r="D59" i="12"/>
  <c r="L59" i="12" s="1"/>
  <c r="B59" i="12"/>
  <c r="Z58" i="12"/>
  <c r="P58" i="12"/>
  <c r="X58" i="12" s="1"/>
  <c r="N58" i="12"/>
  <c r="D58" i="12"/>
  <c r="L58" i="12" s="1"/>
  <c r="B58" i="12"/>
  <c r="Z57" i="12"/>
  <c r="X57" i="12"/>
  <c r="P57" i="12"/>
  <c r="N57" i="12"/>
  <c r="L57" i="12"/>
  <c r="D57" i="12"/>
  <c r="B57" i="12"/>
  <c r="Z56" i="12"/>
  <c r="P56" i="12"/>
  <c r="X56" i="12" s="1"/>
  <c r="N56" i="12"/>
  <c r="L56" i="12"/>
  <c r="D56" i="12"/>
  <c r="B56" i="12"/>
  <c r="Z55" i="12"/>
  <c r="P55" i="12"/>
  <c r="X55" i="12" s="1"/>
  <c r="N55" i="12"/>
  <c r="D55" i="12"/>
  <c r="L55" i="12" s="1"/>
  <c r="B55" i="12"/>
  <c r="Z54" i="12"/>
  <c r="P54" i="12"/>
  <c r="X54" i="12" s="1"/>
  <c r="N54" i="12"/>
  <c r="L54" i="12"/>
  <c r="D54" i="12"/>
  <c r="B54" i="12"/>
  <c r="Z53" i="12"/>
  <c r="X53" i="12"/>
  <c r="P53" i="12"/>
  <c r="N53" i="12"/>
  <c r="D53" i="12"/>
  <c r="L53" i="12" s="1"/>
  <c r="B53" i="12"/>
  <c r="Z52" i="12"/>
  <c r="P52" i="12"/>
  <c r="X52" i="12" s="1"/>
  <c r="N52" i="12"/>
  <c r="D52" i="12"/>
  <c r="L52" i="12" s="1"/>
  <c r="B52" i="12"/>
  <c r="Z51" i="12"/>
  <c r="X51" i="12"/>
  <c r="P51" i="12"/>
  <c r="N51" i="12"/>
  <c r="D51" i="12"/>
  <c r="L51" i="12" s="1"/>
  <c r="B51" i="12"/>
  <c r="Z50" i="12"/>
  <c r="P50" i="12"/>
  <c r="X50" i="12" s="1"/>
  <c r="N50" i="12"/>
  <c r="L50" i="12"/>
  <c r="D50" i="12"/>
  <c r="B50" i="12"/>
  <c r="Z49" i="12"/>
  <c r="P49" i="12"/>
  <c r="X49" i="12" s="1"/>
  <c r="N49" i="12"/>
  <c r="D49" i="12"/>
  <c r="L49" i="12" s="1"/>
  <c r="B49" i="12"/>
  <c r="X48" i="12"/>
  <c r="Z48" i="12" s="1"/>
  <c r="P48" i="12"/>
  <c r="L48" i="12"/>
  <c r="N48" i="12" s="1"/>
  <c r="D48" i="12"/>
  <c r="B48" i="12"/>
  <c r="Z47" i="12"/>
  <c r="X47" i="12"/>
  <c r="P47" i="12"/>
  <c r="N47" i="12"/>
  <c r="D47" i="12"/>
  <c r="L47" i="12" s="1"/>
  <c r="B47" i="12"/>
  <c r="Z46" i="12"/>
  <c r="P46" i="12"/>
  <c r="X46" i="12" s="1"/>
  <c r="N46" i="12"/>
  <c r="D46" i="12"/>
  <c r="L46" i="12" s="1"/>
  <c r="B46" i="12"/>
  <c r="Z45" i="12"/>
  <c r="X45" i="12"/>
  <c r="P45" i="12"/>
  <c r="N45" i="12"/>
  <c r="L45" i="12"/>
  <c r="D45" i="12"/>
  <c r="B45" i="12"/>
  <c r="Z44" i="12"/>
  <c r="P44" i="12"/>
  <c r="X44" i="12" s="1"/>
  <c r="N44" i="12"/>
  <c r="L44" i="12"/>
  <c r="D44" i="12"/>
  <c r="B44" i="12"/>
  <c r="Z43" i="12"/>
  <c r="P43" i="12"/>
  <c r="X43" i="12" s="1"/>
  <c r="N43" i="12"/>
  <c r="D43" i="12"/>
  <c r="L43" i="12" s="1"/>
  <c r="B43" i="12"/>
  <c r="Z42" i="12"/>
  <c r="X42" i="12"/>
  <c r="P42" i="12"/>
  <c r="N42" i="12"/>
  <c r="L42" i="12"/>
  <c r="D42" i="12"/>
  <c r="B42" i="12"/>
  <c r="Z41" i="12"/>
  <c r="X41" i="12"/>
  <c r="P41" i="12"/>
  <c r="N41" i="12"/>
  <c r="D41" i="12"/>
  <c r="L41" i="12" s="1"/>
  <c r="B41" i="12"/>
  <c r="Z40" i="12"/>
  <c r="P40" i="12"/>
  <c r="X40" i="12" s="1"/>
  <c r="N40" i="12"/>
  <c r="D40" i="12"/>
  <c r="L40" i="12" s="1"/>
  <c r="B40" i="12"/>
  <c r="Z39" i="12"/>
  <c r="X39" i="12"/>
  <c r="P39" i="12"/>
  <c r="N39" i="12"/>
  <c r="L39" i="12"/>
  <c r="D39" i="12"/>
  <c r="B39" i="12"/>
  <c r="Z38" i="12"/>
  <c r="P38" i="12"/>
  <c r="X38" i="12" s="1"/>
  <c r="N38" i="12"/>
  <c r="L38" i="12"/>
  <c r="D38" i="12"/>
  <c r="B38" i="12"/>
  <c r="Z37" i="12"/>
  <c r="P37" i="12"/>
  <c r="X37" i="12" s="1"/>
  <c r="N37" i="12"/>
  <c r="D37" i="12"/>
  <c r="L37" i="12" s="1"/>
  <c r="B37" i="12"/>
  <c r="Z36" i="12"/>
  <c r="X36" i="12"/>
  <c r="P36" i="12"/>
  <c r="N36" i="12"/>
  <c r="L36" i="12"/>
  <c r="D36" i="12"/>
  <c r="B36" i="12"/>
  <c r="Z35" i="12"/>
  <c r="X35" i="12"/>
  <c r="P35" i="12"/>
  <c r="N35" i="12"/>
  <c r="D35" i="12"/>
  <c r="L35" i="12" s="1"/>
  <c r="B35" i="12"/>
  <c r="Z34" i="12"/>
  <c r="P34" i="12"/>
  <c r="X34" i="12" s="1"/>
  <c r="N34" i="12"/>
  <c r="D34" i="12"/>
  <c r="L34" i="12" s="1"/>
  <c r="B34" i="12"/>
  <c r="Z33" i="12"/>
  <c r="X33" i="12"/>
  <c r="P33" i="12"/>
  <c r="N33" i="12"/>
  <c r="L33" i="12"/>
  <c r="D33" i="12"/>
  <c r="B33" i="12"/>
  <c r="Z32" i="12"/>
  <c r="P32" i="12"/>
  <c r="X32" i="12" s="1"/>
  <c r="N32" i="12"/>
  <c r="L32" i="12"/>
  <c r="D32" i="12"/>
  <c r="B32" i="12"/>
  <c r="Z31" i="12"/>
  <c r="P31" i="12"/>
  <c r="X31" i="12" s="1"/>
  <c r="N31" i="12"/>
  <c r="D31" i="12"/>
  <c r="L31" i="12" s="1"/>
  <c r="B31" i="12"/>
  <c r="Z30" i="12"/>
  <c r="X30" i="12"/>
  <c r="P30" i="12"/>
  <c r="N30" i="12"/>
  <c r="L30" i="12"/>
  <c r="D30" i="12"/>
  <c r="B30" i="12"/>
  <c r="Z29" i="12"/>
  <c r="X29" i="12"/>
  <c r="P29" i="12"/>
  <c r="N29" i="12"/>
  <c r="D29" i="12"/>
  <c r="L29" i="12" s="1"/>
  <c r="B29" i="12"/>
  <c r="Z28" i="12"/>
  <c r="P28" i="12"/>
  <c r="X28" i="12" s="1"/>
  <c r="N28" i="12"/>
  <c r="D28" i="12"/>
  <c r="L28" i="12" s="1"/>
  <c r="B28" i="12"/>
  <c r="Z27" i="12"/>
  <c r="X27" i="12"/>
  <c r="P27" i="12"/>
  <c r="N27" i="12"/>
  <c r="L27" i="12"/>
  <c r="D27" i="12"/>
  <c r="B27" i="12"/>
  <c r="Z26" i="12"/>
  <c r="P26" i="12"/>
  <c r="X26" i="12" s="1"/>
  <c r="N26" i="12"/>
  <c r="L26" i="12"/>
  <c r="D26" i="12"/>
  <c r="B26" i="12"/>
  <c r="Z25" i="12"/>
  <c r="P25" i="12"/>
  <c r="X25" i="12" s="1"/>
  <c r="N25" i="12"/>
  <c r="D25" i="12"/>
  <c r="L25" i="12" s="1"/>
  <c r="B25" i="12"/>
  <c r="Z24" i="12"/>
  <c r="X24" i="12"/>
  <c r="P24" i="12"/>
  <c r="N24" i="12"/>
  <c r="L24" i="12"/>
  <c r="D24" i="12"/>
  <c r="B24" i="12"/>
  <c r="Z23" i="12"/>
  <c r="X23" i="12"/>
  <c r="P23" i="12"/>
  <c r="N23" i="12"/>
  <c r="D23" i="12"/>
  <c r="L23" i="12" s="1"/>
  <c r="B23" i="12"/>
  <c r="Z22" i="12"/>
  <c r="P22" i="12"/>
  <c r="X22" i="12" s="1"/>
  <c r="N22" i="12"/>
  <c r="D22" i="12"/>
  <c r="L22" i="12" s="1"/>
  <c r="B22" i="12"/>
  <c r="Z21" i="12"/>
  <c r="X21" i="12"/>
  <c r="P21" i="12"/>
  <c r="N21" i="12"/>
  <c r="L21" i="12"/>
  <c r="D21" i="12"/>
  <c r="B21" i="12"/>
  <c r="Z20" i="12"/>
  <c r="P20" i="12"/>
  <c r="X20" i="12" s="1"/>
  <c r="N20" i="12"/>
  <c r="L20" i="12"/>
  <c r="D20" i="12"/>
  <c r="B20" i="12"/>
  <c r="Z19" i="12"/>
  <c r="P19" i="12"/>
  <c r="X19" i="12" s="1"/>
  <c r="N19" i="12"/>
  <c r="D19" i="12"/>
  <c r="L19" i="12" s="1"/>
  <c r="B19" i="12"/>
  <c r="Z18" i="12"/>
  <c r="X18" i="12"/>
  <c r="P18" i="12"/>
  <c r="N18" i="12"/>
  <c r="L18" i="12"/>
  <c r="D18" i="12"/>
  <c r="B18" i="12"/>
  <c r="Z17" i="12"/>
  <c r="X17" i="12"/>
  <c r="P17" i="12"/>
  <c r="N17" i="12"/>
  <c r="D17" i="12"/>
  <c r="L17" i="12" s="1"/>
  <c r="B17" i="12"/>
  <c r="Z16" i="12"/>
  <c r="P16" i="12"/>
  <c r="X16" i="12" s="1"/>
  <c r="N16" i="12"/>
  <c r="D16" i="12"/>
  <c r="L16" i="12" s="1"/>
  <c r="B16" i="12"/>
  <c r="Z15" i="12"/>
  <c r="X15" i="12"/>
  <c r="P15" i="12"/>
  <c r="N15" i="12"/>
  <c r="L15" i="12"/>
  <c r="D15" i="12"/>
  <c r="D12" i="12" s="1"/>
  <c r="B15" i="12"/>
  <c r="Z14" i="12"/>
  <c r="P14" i="12"/>
  <c r="X14" i="12" s="1"/>
  <c r="N14" i="12"/>
  <c r="L14" i="12"/>
  <c r="D14" i="12"/>
  <c r="B14" i="12"/>
  <c r="P13" i="12"/>
  <c r="D13" i="12"/>
  <c r="L13" i="12" s="1"/>
  <c r="N13" i="12" s="1"/>
  <c r="B13" i="12"/>
  <c r="T12" i="12"/>
  <c r="V318" i="12" s="1"/>
  <c r="H12" i="12"/>
  <c r="J313" i="12" s="1"/>
  <c r="D4" i="12"/>
  <c r="J110" i="9"/>
  <c r="Z105" i="9"/>
  <c r="X105" i="9"/>
  <c r="V105" i="9"/>
  <c r="N105" i="9"/>
  <c r="L105" i="9"/>
  <c r="Z101" i="9"/>
  <c r="X101" i="9"/>
  <c r="T101" i="9"/>
  <c r="P101" i="9"/>
  <c r="N101" i="9"/>
  <c r="H101" i="9"/>
  <c r="D101" i="9"/>
  <c r="L101" i="9" s="1"/>
  <c r="Z99" i="9"/>
  <c r="X99" i="9"/>
  <c r="N99" i="9"/>
  <c r="L99" i="9"/>
  <c r="J99" i="9"/>
  <c r="B99" i="9"/>
  <c r="Z98" i="9"/>
  <c r="X98" i="9"/>
  <c r="R98" i="9"/>
  <c r="N98" i="9"/>
  <c r="L98" i="9"/>
  <c r="B98" i="9"/>
  <c r="Z97" i="9"/>
  <c r="T97" i="9"/>
  <c r="P97" i="9"/>
  <c r="X97" i="9" s="1"/>
  <c r="L97" i="9"/>
  <c r="N97" i="9" s="1"/>
  <c r="H97" i="9"/>
  <c r="D97" i="9"/>
  <c r="B97" i="9"/>
  <c r="Z96" i="9"/>
  <c r="X96" i="9"/>
  <c r="L96" i="9"/>
  <c r="N96" i="9" s="1"/>
  <c r="B96" i="9"/>
  <c r="V95" i="9"/>
  <c r="T95" i="9"/>
  <c r="P95" i="9"/>
  <c r="X95" i="9" s="1"/>
  <c r="J95" i="9"/>
  <c r="H95" i="9"/>
  <c r="D95" i="9"/>
  <c r="B95" i="9"/>
  <c r="X94" i="9"/>
  <c r="Z94" i="9" s="1"/>
  <c r="N94" i="9"/>
  <c r="L94" i="9"/>
  <c r="B94" i="9"/>
  <c r="X93" i="9"/>
  <c r="Z93" i="9" s="1"/>
  <c r="N93" i="9"/>
  <c r="L93" i="9"/>
  <c r="B93" i="9"/>
  <c r="X92" i="9"/>
  <c r="Z92" i="9" s="1"/>
  <c r="V92" i="9"/>
  <c r="T92" i="9"/>
  <c r="P92" i="9"/>
  <c r="L92" i="9"/>
  <c r="N92" i="9" s="1"/>
  <c r="H92" i="9"/>
  <c r="D92" i="9"/>
  <c r="B92" i="9"/>
  <c r="X91" i="9"/>
  <c r="Z91" i="9" s="1"/>
  <c r="N91" i="9"/>
  <c r="L91" i="9"/>
  <c r="B91" i="9"/>
  <c r="Z90" i="9"/>
  <c r="X90" i="9"/>
  <c r="R90" i="9"/>
  <c r="N90" i="9"/>
  <c r="L90" i="9"/>
  <c r="B90" i="9"/>
  <c r="Z89" i="9"/>
  <c r="X89" i="9"/>
  <c r="R89" i="9"/>
  <c r="L89" i="9"/>
  <c r="N89" i="9" s="1"/>
  <c r="B89" i="9"/>
  <c r="Z88" i="9"/>
  <c r="X88" i="9"/>
  <c r="R88" i="9"/>
  <c r="N88" i="9"/>
  <c r="L88" i="9"/>
  <c r="B88" i="9"/>
  <c r="Z87" i="9"/>
  <c r="X87" i="9"/>
  <c r="N87" i="9"/>
  <c r="L87" i="9"/>
  <c r="B87" i="9"/>
  <c r="Z86" i="9"/>
  <c r="X86" i="9"/>
  <c r="R86" i="9"/>
  <c r="N86" i="9"/>
  <c r="L86" i="9"/>
  <c r="B86" i="9"/>
  <c r="T85" i="9"/>
  <c r="P85" i="9"/>
  <c r="X85" i="9" s="1"/>
  <c r="Z85" i="9" s="1"/>
  <c r="N85" i="9"/>
  <c r="L85" i="9"/>
  <c r="H85" i="9"/>
  <c r="D85" i="9"/>
  <c r="B85" i="9"/>
  <c r="Z84" i="9"/>
  <c r="X84" i="9"/>
  <c r="L84" i="9"/>
  <c r="N84" i="9" s="1"/>
  <c r="B84" i="9"/>
  <c r="X83" i="9"/>
  <c r="Z83" i="9" s="1"/>
  <c r="V83" i="9"/>
  <c r="N83" i="9"/>
  <c r="L83" i="9"/>
  <c r="B83" i="9"/>
  <c r="Z82" i="9"/>
  <c r="T82" i="9"/>
  <c r="P82" i="9"/>
  <c r="X82" i="9" s="1"/>
  <c r="H82" i="9"/>
  <c r="D82" i="9"/>
  <c r="L82" i="9" s="1"/>
  <c r="N82" i="9" s="1"/>
  <c r="B82" i="9"/>
  <c r="X81" i="9"/>
  <c r="Z81" i="9" s="1"/>
  <c r="N81" i="9"/>
  <c r="L81" i="9"/>
  <c r="B81" i="9"/>
  <c r="X80" i="9"/>
  <c r="Z80" i="9" s="1"/>
  <c r="V80" i="9"/>
  <c r="N80" i="9"/>
  <c r="L80" i="9"/>
  <c r="B80" i="9"/>
  <c r="T79" i="9"/>
  <c r="Z79" i="9" s="1"/>
  <c r="R79" i="9"/>
  <c r="P79" i="9"/>
  <c r="X79" i="9" s="1"/>
  <c r="H79" i="9"/>
  <c r="N79" i="9" s="1"/>
  <c r="D79" i="9"/>
  <c r="L79" i="9" s="1"/>
  <c r="B79" i="9"/>
  <c r="Z78" i="9"/>
  <c r="X78" i="9"/>
  <c r="R78" i="9"/>
  <c r="N78" i="9"/>
  <c r="L78" i="9"/>
  <c r="B78" i="9"/>
  <c r="Z77" i="9"/>
  <c r="X77" i="9"/>
  <c r="R77" i="9"/>
  <c r="L77" i="9"/>
  <c r="N77" i="9" s="1"/>
  <c r="B77" i="9"/>
  <c r="Z76" i="9"/>
  <c r="X76" i="9"/>
  <c r="R76" i="9"/>
  <c r="N76" i="9"/>
  <c r="L76" i="9"/>
  <c r="B76" i="9"/>
  <c r="X75" i="9"/>
  <c r="Z75" i="9" s="1"/>
  <c r="L75" i="9"/>
  <c r="N75" i="9" s="1"/>
  <c r="B75" i="9"/>
  <c r="T74" i="9"/>
  <c r="R74" i="9"/>
  <c r="P74" i="9"/>
  <c r="X74" i="9" s="1"/>
  <c r="H74" i="9"/>
  <c r="D74" i="9"/>
  <c r="B74" i="9"/>
  <c r="X73" i="9"/>
  <c r="Z73" i="9" s="1"/>
  <c r="V73" i="9"/>
  <c r="R73" i="9"/>
  <c r="N73" i="9"/>
  <c r="L73" i="9"/>
  <c r="B73" i="9"/>
  <c r="Z72" i="9"/>
  <c r="X72" i="9"/>
  <c r="L72" i="9"/>
  <c r="N72" i="9" s="1"/>
  <c r="B72" i="9"/>
  <c r="X71" i="9"/>
  <c r="Z71" i="9" s="1"/>
  <c r="V71" i="9"/>
  <c r="L71" i="9"/>
  <c r="N71" i="9" s="1"/>
  <c r="B71" i="9"/>
  <c r="Z70" i="9"/>
  <c r="X70" i="9"/>
  <c r="N70" i="9"/>
  <c r="L70" i="9"/>
  <c r="B70" i="9"/>
  <c r="V69" i="9"/>
  <c r="T69" i="9"/>
  <c r="P69" i="9"/>
  <c r="H69" i="9"/>
  <c r="D69" i="9"/>
  <c r="L69" i="9" s="1"/>
  <c r="B69" i="9"/>
  <c r="Z68" i="9"/>
  <c r="X68" i="9"/>
  <c r="V68" i="9"/>
  <c r="N68" i="9"/>
  <c r="L68" i="9"/>
  <c r="B68" i="9"/>
  <c r="Z67" i="9"/>
  <c r="X67" i="9"/>
  <c r="R67" i="9"/>
  <c r="N67" i="9"/>
  <c r="L67" i="9"/>
  <c r="B67" i="9"/>
  <c r="Z66" i="9"/>
  <c r="X66" i="9"/>
  <c r="N66" i="9"/>
  <c r="L66" i="9"/>
  <c r="B66" i="9"/>
  <c r="T65" i="9"/>
  <c r="Z65" i="9" s="1"/>
  <c r="R65" i="9"/>
  <c r="P65" i="9"/>
  <c r="X65" i="9" s="1"/>
  <c r="H65" i="9"/>
  <c r="N65" i="9" s="1"/>
  <c r="D65" i="9"/>
  <c r="L65" i="9" s="1"/>
  <c r="B65" i="9"/>
  <c r="Z64" i="9"/>
  <c r="X64" i="9"/>
  <c r="R64" i="9"/>
  <c r="N64" i="9"/>
  <c r="L64" i="9"/>
  <c r="B64" i="9"/>
  <c r="Z63" i="9"/>
  <c r="X63" i="9"/>
  <c r="T63" i="9"/>
  <c r="P63" i="9"/>
  <c r="N63" i="9"/>
  <c r="H63" i="9"/>
  <c r="D63" i="9"/>
  <c r="L63" i="9" s="1"/>
  <c r="B63" i="9"/>
  <c r="Z62" i="9"/>
  <c r="X62" i="9"/>
  <c r="L62" i="9"/>
  <c r="N62" i="9" s="1"/>
  <c r="B62" i="9"/>
  <c r="V61" i="9"/>
  <c r="T61" i="9"/>
  <c r="P61" i="9"/>
  <c r="J61" i="9"/>
  <c r="H61" i="9"/>
  <c r="N61" i="9" s="1"/>
  <c r="D61" i="9"/>
  <c r="L61" i="9" s="1"/>
  <c r="B61" i="9"/>
  <c r="X60" i="9"/>
  <c r="Z60" i="9" s="1"/>
  <c r="V60" i="9"/>
  <c r="N60" i="9"/>
  <c r="L60" i="9"/>
  <c r="B60" i="9"/>
  <c r="T59" i="9"/>
  <c r="R59" i="9"/>
  <c r="P59" i="9"/>
  <c r="X59" i="9" s="1"/>
  <c r="H59" i="9"/>
  <c r="N59" i="9" s="1"/>
  <c r="D59" i="9"/>
  <c r="L59" i="9" s="1"/>
  <c r="B59" i="9"/>
  <c r="Z58" i="9"/>
  <c r="X58" i="9"/>
  <c r="R58" i="9"/>
  <c r="N58" i="9"/>
  <c r="L58" i="9"/>
  <c r="B58" i="9"/>
  <c r="T57" i="9"/>
  <c r="P57" i="9"/>
  <c r="X57" i="9" s="1"/>
  <c r="Z57" i="9" s="1"/>
  <c r="N57" i="9"/>
  <c r="L57" i="9"/>
  <c r="H57" i="9"/>
  <c r="D57" i="9"/>
  <c r="B57" i="9"/>
  <c r="Z56" i="9"/>
  <c r="X56" i="9"/>
  <c r="L56" i="9"/>
  <c r="N56" i="9" s="1"/>
  <c r="B56" i="9"/>
  <c r="V55" i="9"/>
  <c r="T55" i="9"/>
  <c r="Z55" i="9" s="1"/>
  <c r="P55" i="9"/>
  <c r="X55" i="9" s="1"/>
  <c r="H55" i="9"/>
  <c r="D55" i="9"/>
  <c r="B55" i="9"/>
  <c r="X54" i="9"/>
  <c r="Z54" i="9" s="1"/>
  <c r="N54" i="9"/>
  <c r="L54" i="9"/>
  <c r="B54" i="9"/>
  <c r="X53" i="9"/>
  <c r="Z53" i="9" s="1"/>
  <c r="R53" i="9"/>
  <c r="N53" i="9"/>
  <c r="L53" i="9"/>
  <c r="B53" i="9"/>
  <c r="X52" i="9"/>
  <c r="Z52" i="9" s="1"/>
  <c r="V52" i="9"/>
  <c r="T52" i="9"/>
  <c r="P52" i="9"/>
  <c r="L52" i="9"/>
  <c r="N52" i="9" s="1"/>
  <c r="H52" i="9"/>
  <c r="D52" i="9"/>
  <c r="B52" i="9"/>
  <c r="Z51" i="9"/>
  <c r="X51" i="9"/>
  <c r="L51" i="9"/>
  <c r="N51" i="9" s="1"/>
  <c r="B51" i="9"/>
  <c r="Z50" i="9"/>
  <c r="X50" i="9"/>
  <c r="R50" i="9"/>
  <c r="N50" i="9"/>
  <c r="L50" i="9"/>
  <c r="B50" i="9"/>
  <c r="Z49" i="9"/>
  <c r="T49" i="9"/>
  <c r="P49" i="9"/>
  <c r="X49" i="9" s="1"/>
  <c r="N49" i="9"/>
  <c r="L49" i="9"/>
  <c r="H49" i="9"/>
  <c r="D49" i="9"/>
  <c r="B49" i="9"/>
  <c r="Z48" i="9"/>
  <c r="X48" i="9"/>
  <c r="L48" i="9"/>
  <c r="N48" i="9" s="1"/>
  <c r="B48" i="9"/>
  <c r="V47" i="9"/>
  <c r="T47" i="9"/>
  <c r="Z47" i="9" s="1"/>
  <c r="P47" i="9"/>
  <c r="X47" i="9" s="1"/>
  <c r="H47" i="9"/>
  <c r="D47" i="9"/>
  <c r="B47" i="9"/>
  <c r="X46" i="9"/>
  <c r="Z46" i="9" s="1"/>
  <c r="N46" i="9"/>
  <c r="L46" i="9"/>
  <c r="B46" i="9"/>
  <c r="T45" i="9"/>
  <c r="Z45" i="9" s="1"/>
  <c r="R45" i="9"/>
  <c r="P45" i="9"/>
  <c r="X45" i="9" s="1"/>
  <c r="H45" i="9"/>
  <c r="D45" i="9"/>
  <c r="L45" i="9" s="1"/>
  <c r="B45" i="9"/>
  <c r="Z44" i="9"/>
  <c r="X44" i="9"/>
  <c r="R44" i="9"/>
  <c r="N44" i="9"/>
  <c r="L44" i="9"/>
  <c r="B44" i="9"/>
  <c r="Z43" i="9"/>
  <c r="X43" i="9"/>
  <c r="T43" i="9"/>
  <c r="P43" i="9"/>
  <c r="N43" i="9"/>
  <c r="H43" i="9"/>
  <c r="D43" i="9"/>
  <c r="L43" i="9" s="1"/>
  <c r="B43" i="9"/>
  <c r="Z42" i="9"/>
  <c r="X42" i="9"/>
  <c r="N42" i="9"/>
  <c r="L42" i="9"/>
  <c r="B42" i="9"/>
  <c r="Z41" i="9"/>
  <c r="X41" i="9"/>
  <c r="V41" i="9"/>
  <c r="R41" i="9"/>
  <c r="N41" i="9"/>
  <c r="L41" i="9"/>
  <c r="B41" i="9"/>
  <c r="Z40" i="9"/>
  <c r="X40" i="9"/>
  <c r="L40" i="9"/>
  <c r="N40" i="9" s="1"/>
  <c r="J40" i="9"/>
  <c r="B40" i="9"/>
  <c r="X39" i="9"/>
  <c r="Z39" i="9" s="1"/>
  <c r="V39" i="9"/>
  <c r="L39" i="9"/>
  <c r="N39" i="9" s="1"/>
  <c r="B39" i="9"/>
  <c r="Z38" i="9"/>
  <c r="X38" i="9"/>
  <c r="N38" i="9"/>
  <c r="L38" i="9"/>
  <c r="B38" i="9"/>
  <c r="X37" i="9"/>
  <c r="Z37" i="9" s="1"/>
  <c r="V37" i="9"/>
  <c r="R37" i="9"/>
  <c r="L37" i="9"/>
  <c r="N37" i="9" s="1"/>
  <c r="B37" i="9"/>
  <c r="Z36" i="9"/>
  <c r="X36" i="9"/>
  <c r="L36" i="9"/>
  <c r="N36" i="9" s="1"/>
  <c r="B36" i="9"/>
  <c r="Z35" i="9"/>
  <c r="X35" i="9"/>
  <c r="V35" i="9"/>
  <c r="R35" i="9"/>
  <c r="N35" i="9"/>
  <c r="L35" i="9"/>
  <c r="B35" i="9"/>
  <c r="Z34" i="9"/>
  <c r="X34" i="9"/>
  <c r="L34" i="9"/>
  <c r="N34" i="9" s="1"/>
  <c r="B34" i="9"/>
  <c r="X33" i="9"/>
  <c r="Z33" i="9" s="1"/>
  <c r="V33" i="9"/>
  <c r="R33" i="9"/>
  <c r="L33" i="9"/>
  <c r="N33" i="9" s="1"/>
  <c r="B33" i="9"/>
  <c r="T32" i="9"/>
  <c r="R32" i="9"/>
  <c r="P32" i="9"/>
  <c r="X32" i="9" s="1"/>
  <c r="Z32" i="9" s="1"/>
  <c r="N32" i="9"/>
  <c r="H32" i="9"/>
  <c r="D32" i="9"/>
  <c r="L32" i="9" s="1"/>
  <c r="B32" i="9"/>
  <c r="X31" i="9"/>
  <c r="Z31" i="9" s="1"/>
  <c r="R31" i="9"/>
  <c r="L31" i="9"/>
  <c r="N31" i="9" s="1"/>
  <c r="B31" i="9"/>
  <c r="X30" i="9"/>
  <c r="Z30" i="9" s="1"/>
  <c r="N30" i="9"/>
  <c r="L30" i="9"/>
  <c r="B30" i="9"/>
  <c r="X29" i="9"/>
  <c r="Z29" i="9" s="1"/>
  <c r="R29" i="9"/>
  <c r="N29" i="9"/>
  <c r="L29" i="9"/>
  <c r="B29" i="9"/>
  <c r="X28" i="9"/>
  <c r="Z28" i="9" s="1"/>
  <c r="V28" i="9"/>
  <c r="N28" i="9"/>
  <c r="L28" i="9"/>
  <c r="B28" i="9"/>
  <c r="Z27" i="9"/>
  <c r="X27" i="9"/>
  <c r="R27" i="9"/>
  <c r="N27" i="9"/>
  <c r="L27" i="9"/>
  <c r="B27" i="9"/>
  <c r="X26" i="9"/>
  <c r="Z26" i="9" s="1"/>
  <c r="N26" i="9"/>
  <c r="L26" i="9"/>
  <c r="B26" i="9"/>
  <c r="X25" i="9"/>
  <c r="Z25" i="9" s="1"/>
  <c r="R25" i="9"/>
  <c r="N25" i="9"/>
  <c r="L25" i="9"/>
  <c r="B25" i="9"/>
  <c r="X24" i="9"/>
  <c r="Z24" i="9" s="1"/>
  <c r="V24" i="9"/>
  <c r="N24" i="9"/>
  <c r="L24" i="9"/>
  <c r="B24" i="9"/>
  <c r="X23" i="9"/>
  <c r="Z23" i="9" s="1"/>
  <c r="R23" i="9"/>
  <c r="N23" i="9"/>
  <c r="L23" i="9"/>
  <c r="B23" i="9"/>
  <c r="X22" i="9"/>
  <c r="Z22" i="9" s="1"/>
  <c r="N22" i="9"/>
  <c r="L22" i="9"/>
  <c r="B22" i="9"/>
  <c r="X21" i="9"/>
  <c r="Z21" i="9" s="1"/>
  <c r="R21" i="9"/>
  <c r="N21" i="9"/>
  <c r="L21" i="9"/>
  <c r="B21" i="9"/>
  <c r="X20" i="9"/>
  <c r="Z20" i="9" s="1"/>
  <c r="V20" i="9"/>
  <c r="T20" i="9"/>
  <c r="P20" i="9"/>
  <c r="L20" i="9"/>
  <c r="N20" i="9" s="1"/>
  <c r="H20" i="9"/>
  <c r="D20" i="9"/>
  <c r="B20" i="9"/>
  <c r="X19" i="9"/>
  <c r="Z19" i="9" s="1"/>
  <c r="T19" i="9"/>
  <c r="P19" i="9"/>
  <c r="H19" i="9"/>
  <c r="D19" i="9"/>
  <c r="L19" i="9" s="1"/>
  <c r="N19" i="9" s="1"/>
  <c r="Z15" i="9"/>
  <c r="X15" i="9"/>
  <c r="T15" i="9"/>
  <c r="P15" i="9"/>
  <c r="P17" i="9" s="1"/>
  <c r="P103" i="9" s="1"/>
  <c r="P107" i="9" s="1"/>
  <c r="N15" i="9"/>
  <c r="H15" i="9"/>
  <c r="D15" i="9"/>
  <c r="L15" i="9" s="1"/>
  <c r="X13" i="9"/>
  <c r="Z13" i="9" s="1"/>
  <c r="P13" i="9"/>
  <c r="N13" i="9"/>
  <c r="D13" i="9"/>
  <c r="L13" i="9" s="1"/>
  <c r="B13" i="9"/>
  <c r="T12" i="9"/>
  <c r="V82" i="9" s="1"/>
  <c r="P12" i="9"/>
  <c r="R99" i="9" s="1"/>
  <c r="H12" i="9"/>
  <c r="J72" i="9" s="1"/>
  <c r="D4" i="9"/>
  <c r="Z29" i="6"/>
  <c r="T29" i="6"/>
  <c r="P29" i="6"/>
  <c r="X29" i="6" s="1"/>
  <c r="L29" i="6"/>
  <c r="N29" i="6" s="1"/>
  <c r="H29" i="6"/>
  <c r="D29" i="6"/>
  <c r="T28" i="6"/>
  <c r="Z28" i="6" s="1"/>
  <c r="P28" i="6"/>
  <c r="X28" i="6" s="1"/>
  <c r="N28" i="6"/>
  <c r="L28" i="6"/>
  <c r="H28" i="6"/>
  <c r="D28" i="6"/>
  <c r="Z24" i="6"/>
  <c r="X24" i="6"/>
  <c r="R24" i="6"/>
  <c r="N24" i="6"/>
  <c r="L24" i="6"/>
  <c r="J24" i="6"/>
  <c r="R22" i="6"/>
  <c r="F22" i="6"/>
  <c r="T20" i="6"/>
  <c r="X20" i="6" s="1"/>
  <c r="R20" i="6"/>
  <c r="P20" i="6"/>
  <c r="L20" i="6"/>
  <c r="H20" i="6"/>
  <c r="N20" i="6" s="1"/>
  <c r="F20" i="6"/>
  <c r="D20" i="6"/>
  <c r="T18" i="6"/>
  <c r="X18" i="6" s="1"/>
  <c r="R18" i="6"/>
  <c r="P18" i="6"/>
  <c r="H18" i="6"/>
  <c r="N18" i="6" s="1"/>
  <c r="D18" i="6"/>
  <c r="L18" i="6" s="1"/>
  <c r="R16" i="6"/>
  <c r="F16" i="6"/>
  <c r="T14" i="6"/>
  <c r="X14" i="6" s="1"/>
  <c r="R14" i="6"/>
  <c r="P14" i="6"/>
  <c r="H14" i="6"/>
  <c r="N14" i="6" s="1"/>
  <c r="D14" i="6"/>
  <c r="L14" i="6" s="1"/>
  <c r="T12" i="6"/>
  <c r="V22" i="6" s="1"/>
  <c r="P12" i="6"/>
  <c r="X12" i="6" s="1"/>
  <c r="N12" i="6"/>
  <c r="H12" i="6"/>
  <c r="J22" i="6" s="1"/>
  <c r="D12" i="6"/>
  <c r="D4" i="6"/>
  <c r="Z374" i="3"/>
  <c r="T374" i="3"/>
  <c r="P374" i="3"/>
  <c r="X374" i="3" s="1"/>
  <c r="H374" i="3"/>
  <c r="D374" i="3"/>
  <c r="L374" i="3" s="1"/>
  <c r="N374" i="3" s="1"/>
  <c r="T373" i="3"/>
  <c r="P373" i="3"/>
  <c r="X373" i="3" s="1"/>
  <c r="Z373" i="3" s="1"/>
  <c r="H373" i="3"/>
  <c r="D373" i="3"/>
  <c r="L373" i="3" s="1"/>
  <c r="N373" i="3" s="1"/>
  <c r="Z369" i="3"/>
  <c r="X369" i="3"/>
  <c r="L369" i="3"/>
  <c r="N369" i="3" s="1"/>
  <c r="Z365" i="3"/>
  <c r="P365" i="3"/>
  <c r="X365" i="3" s="1"/>
  <c r="N365" i="3"/>
  <c r="D365" i="3"/>
  <c r="L365" i="3" s="1"/>
  <c r="B365" i="3"/>
  <c r="Z364" i="3"/>
  <c r="X364" i="3"/>
  <c r="P364" i="3"/>
  <c r="N364" i="3"/>
  <c r="D364" i="3"/>
  <c r="L364" i="3" s="1"/>
  <c r="B364" i="3"/>
  <c r="V363" i="3"/>
  <c r="P363" i="3"/>
  <c r="X363" i="3" s="1"/>
  <c r="Z363" i="3" s="1"/>
  <c r="N363" i="3"/>
  <c r="L363" i="3"/>
  <c r="D363" i="3"/>
  <c r="B363" i="3"/>
  <c r="Z362" i="3"/>
  <c r="X362" i="3"/>
  <c r="P362" i="3"/>
  <c r="N362" i="3"/>
  <c r="L362" i="3"/>
  <c r="D362" i="3"/>
  <c r="B362" i="3"/>
  <c r="Z361" i="3"/>
  <c r="P361" i="3"/>
  <c r="X361" i="3" s="1"/>
  <c r="N361" i="3"/>
  <c r="L361" i="3"/>
  <c r="D361" i="3"/>
  <c r="B361" i="3"/>
  <c r="X360" i="3"/>
  <c r="Z360" i="3" s="1"/>
  <c r="P360" i="3"/>
  <c r="N360" i="3"/>
  <c r="D360" i="3"/>
  <c r="L360" i="3" s="1"/>
  <c r="B360" i="3"/>
  <c r="P359" i="3"/>
  <c r="X359" i="3" s="1"/>
  <c r="Z359" i="3" s="1"/>
  <c r="L359" i="3"/>
  <c r="N359" i="3" s="1"/>
  <c r="D359" i="3"/>
  <c r="B359" i="3"/>
  <c r="Z358" i="3"/>
  <c r="P358" i="3"/>
  <c r="X358" i="3" s="1"/>
  <c r="N358" i="3"/>
  <c r="D358" i="3"/>
  <c r="L358" i="3" s="1"/>
  <c r="B358" i="3"/>
  <c r="Z357" i="3"/>
  <c r="X357" i="3"/>
  <c r="P357" i="3"/>
  <c r="N357" i="3"/>
  <c r="L357" i="3"/>
  <c r="D357" i="3"/>
  <c r="B357" i="3"/>
  <c r="Z356" i="3"/>
  <c r="X356" i="3"/>
  <c r="P356" i="3"/>
  <c r="N356" i="3"/>
  <c r="D356" i="3"/>
  <c r="L356" i="3" s="1"/>
  <c r="B356" i="3"/>
  <c r="Z355" i="3"/>
  <c r="P355" i="3"/>
  <c r="X355" i="3" s="1"/>
  <c r="N355" i="3"/>
  <c r="L355" i="3"/>
  <c r="D355" i="3"/>
  <c r="B355" i="3"/>
  <c r="Z354" i="3"/>
  <c r="X354" i="3"/>
  <c r="P354" i="3"/>
  <c r="N354" i="3"/>
  <c r="D354" i="3"/>
  <c r="L354" i="3" s="1"/>
  <c r="B354" i="3"/>
  <c r="Z353" i="3"/>
  <c r="P353" i="3"/>
  <c r="X353" i="3" s="1"/>
  <c r="N353" i="3"/>
  <c r="L353" i="3"/>
  <c r="D353" i="3"/>
  <c r="B353" i="3"/>
  <c r="T352" i="3"/>
  <c r="H352" i="3"/>
  <c r="X350" i="3"/>
  <c r="Z350" i="3" s="1"/>
  <c r="L350" i="3"/>
  <c r="N350" i="3" s="1"/>
  <c r="B350" i="3"/>
  <c r="T349" i="3"/>
  <c r="P349" i="3"/>
  <c r="X349" i="3" s="1"/>
  <c r="H349" i="3"/>
  <c r="D349" i="3"/>
  <c r="B349" i="3"/>
  <c r="X348" i="3"/>
  <c r="Z348" i="3" s="1"/>
  <c r="V348" i="3"/>
  <c r="N348" i="3"/>
  <c r="L348" i="3"/>
  <c r="B348" i="3"/>
  <c r="Z347" i="3"/>
  <c r="X347" i="3"/>
  <c r="L347" i="3"/>
  <c r="N347" i="3" s="1"/>
  <c r="J347" i="3"/>
  <c r="B347" i="3"/>
  <c r="X346" i="3"/>
  <c r="Z346" i="3" s="1"/>
  <c r="L346" i="3"/>
  <c r="N346" i="3" s="1"/>
  <c r="B346" i="3"/>
  <c r="T345" i="3"/>
  <c r="P345" i="3"/>
  <c r="X345" i="3" s="1"/>
  <c r="Z345" i="3" s="1"/>
  <c r="H345" i="3"/>
  <c r="D345" i="3"/>
  <c r="L345" i="3" s="1"/>
  <c r="N345" i="3" s="1"/>
  <c r="B345" i="3"/>
  <c r="Z344" i="3"/>
  <c r="X344" i="3"/>
  <c r="N344" i="3"/>
  <c r="L344" i="3"/>
  <c r="B344" i="3"/>
  <c r="X343" i="3"/>
  <c r="V343" i="3"/>
  <c r="T343" i="3"/>
  <c r="Z343" i="3" s="1"/>
  <c r="P343" i="3"/>
  <c r="L343" i="3"/>
  <c r="N343" i="3" s="1"/>
  <c r="H343" i="3"/>
  <c r="D343" i="3"/>
  <c r="B343" i="3"/>
  <c r="X342" i="3"/>
  <c r="Z342" i="3" s="1"/>
  <c r="L342" i="3"/>
  <c r="N342" i="3" s="1"/>
  <c r="B342" i="3"/>
  <c r="Z341" i="3"/>
  <c r="X341" i="3"/>
  <c r="N341" i="3"/>
  <c r="L341" i="3"/>
  <c r="B341" i="3"/>
  <c r="T340" i="3"/>
  <c r="X340" i="3" s="1"/>
  <c r="Z340" i="3" s="1"/>
  <c r="P340" i="3"/>
  <c r="L340" i="3"/>
  <c r="N340" i="3" s="1"/>
  <c r="H340" i="3"/>
  <c r="D340" i="3"/>
  <c r="B340" i="3"/>
  <c r="Z339" i="3"/>
  <c r="X339" i="3"/>
  <c r="L339" i="3"/>
  <c r="N339" i="3" s="1"/>
  <c r="J339" i="3"/>
  <c r="B339" i="3"/>
  <c r="X338" i="3"/>
  <c r="Z338" i="3" s="1"/>
  <c r="L338" i="3"/>
  <c r="N338" i="3" s="1"/>
  <c r="B338" i="3"/>
  <c r="Z337" i="3"/>
  <c r="X337" i="3"/>
  <c r="N337" i="3"/>
  <c r="L337" i="3"/>
  <c r="B337" i="3"/>
  <c r="X336" i="3"/>
  <c r="Z336" i="3" s="1"/>
  <c r="V336" i="3"/>
  <c r="L336" i="3"/>
  <c r="N336" i="3" s="1"/>
  <c r="B336" i="3"/>
  <c r="Z335" i="3"/>
  <c r="X335" i="3"/>
  <c r="L335" i="3"/>
  <c r="N335" i="3" s="1"/>
  <c r="J335" i="3"/>
  <c r="B335" i="3"/>
  <c r="X334" i="3"/>
  <c r="Z334" i="3" s="1"/>
  <c r="L334" i="3"/>
  <c r="N334" i="3" s="1"/>
  <c r="B334" i="3"/>
  <c r="Z333" i="3"/>
  <c r="X333" i="3"/>
  <c r="L333" i="3"/>
  <c r="N333" i="3" s="1"/>
  <c r="B333" i="3"/>
  <c r="X332" i="3"/>
  <c r="Z332" i="3" s="1"/>
  <c r="V332" i="3"/>
  <c r="L332" i="3"/>
  <c r="N332" i="3" s="1"/>
  <c r="B332" i="3"/>
  <c r="Z331" i="3"/>
  <c r="X331" i="3"/>
  <c r="L331" i="3"/>
  <c r="N331" i="3" s="1"/>
  <c r="J331" i="3"/>
  <c r="B331" i="3"/>
  <c r="Z330" i="3"/>
  <c r="X330" i="3"/>
  <c r="N330" i="3"/>
  <c r="L330" i="3"/>
  <c r="B330" i="3"/>
  <c r="Z329" i="3"/>
  <c r="X329" i="3"/>
  <c r="L329" i="3"/>
  <c r="N329" i="3" s="1"/>
  <c r="B329" i="3"/>
  <c r="T328" i="3"/>
  <c r="Z328" i="3" s="1"/>
  <c r="P328" i="3"/>
  <c r="X328" i="3" s="1"/>
  <c r="L328" i="3"/>
  <c r="H328" i="3"/>
  <c r="N328" i="3" s="1"/>
  <c r="D328" i="3"/>
  <c r="B328" i="3"/>
  <c r="X327" i="3"/>
  <c r="Z327" i="3" s="1"/>
  <c r="V327" i="3"/>
  <c r="N327" i="3"/>
  <c r="L327" i="3"/>
  <c r="B327" i="3"/>
  <c r="X326" i="3"/>
  <c r="Z326" i="3" s="1"/>
  <c r="L326" i="3"/>
  <c r="N326" i="3" s="1"/>
  <c r="B326" i="3"/>
  <c r="X325" i="3"/>
  <c r="Z325" i="3" s="1"/>
  <c r="T325" i="3"/>
  <c r="P325" i="3"/>
  <c r="L325" i="3"/>
  <c r="N325" i="3" s="1"/>
  <c r="J325" i="3"/>
  <c r="H325" i="3"/>
  <c r="D325" i="3"/>
  <c r="B325" i="3"/>
  <c r="Z324" i="3"/>
  <c r="X324" i="3"/>
  <c r="L324" i="3"/>
  <c r="N324" i="3" s="1"/>
  <c r="B324" i="3"/>
  <c r="Z323" i="3"/>
  <c r="X323" i="3"/>
  <c r="N323" i="3"/>
  <c r="L323" i="3"/>
  <c r="B323" i="3"/>
  <c r="X322" i="3"/>
  <c r="Z322" i="3" s="1"/>
  <c r="L322" i="3"/>
  <c r="N322" i="3" s="1"/>
  <c r="B322" i="3"/>
  <c r="Z321" i="3"/>
  <c r="X321" i="3"/>
  <c r="N321" i="3"/>
  <c r="L321" i="3"/>
  <c r="B321" i="3"/>
  <c r="Z320" i="3"/>
  <c r="X320" i="3"/>
  <c r="L320" i="3"/>
  <c r="N320" i="3" s="1"/>
  <c r="B320" i="3"/>
  <c r="Z319" i="3"/>
  <c r="X319" i="3"/>
  <c r="N319" i="3"/>
  <c r="L319" i="3"/>
  <c r="B319" i="3"/>
  <c r="X318" i="3"/>
  <c r="Z318" i="3" s="1"/>
  <c r="T318" i="3"/>
  <c r="P318" i="3"/>
  <c r="H318" i="3"/>
  <c r="L318" i="3" s="1"/>
  <c r="N318" i="3" s="1"/>
  <c r="D318" i="3"/>
  <c r="B318" i="3"/>
  <c r="Z317" i="3"/>
  <c r="X317" i="3"/>
  <c r="L317" i="3"/>
  <c r="N317" i="3" s="1"/>
  <c r="B317" i="3"/>
  <c r="X316" i="3"/>
  <c r="Z316" i="3" s="1"/>
  <c r="V316" i="3"/>
  <c r="L316" i="3"/>
  <c r="N316" i="3" s="1"/>
  <c r="B316" i="3"/>
  <c r="Z315" i="3"/>
  <c r="X315" i="3"/>
  <c r="L315" i="3"/>
  <c r="N315" i="3" s="1"/>
  <c r="J315" i="3"/>
  <c r="B315" i="3"/>
  <c r="X314" i="3"/>
  <c r="Z314" i="3" s="1"/>
  <c r="L314" i="3"/>
  <c r="N314" i="3" s="1"/>
  <c r="B314" i="3"/>
  <c r="T313" i="3"/>
  <c r="P313" i="3"/>
  <c r="X313" i="3" s="1"/>
  <c r="Z313" i="3" s="1"/>
  <c r="H313" i="3"/>
  <c r="D313" i="3"/>
  <c r="L313" i="3" s="1"/>
  <c r="N313" i="3" s="1"/>
  <c r="B313" i="3"/>
  <c r="X312" i="3"/>
  <c r="Z312" i="3" s="1"/>
  <c r="N312" i="3"/>
  <c r="L312" i="3"/>
  <c r="B312" i="3"/>
  <c r="X311" i="3"/>
  <c r="Z311" i="3" s="1"/>
  <c r="V311" i="3"/>
  <c r="N311" i="3"/>
  <c r="L311" i="3"/>
  <c r="B311" i="3"/>
  <c r="X310" i="3"/>
  <c r="Z310" i="3" s="1"/>
  <c r="L310" i="3"/>
  <c r="N310" i="3" s="1"/>
  <c r="B310" i="3"/>
  <c r="X309" i="3"/>
  <c r="Z309" i="3" s="1"/>
  <c r="N309" i="3"/>
  <c r="L309" i="3"/>
  <c r="B309" i="3"/>
  <c r="T308" i="3"/>
  <c r="P308" i="3"/>
  <c r="X308" i="3" s="1"/>
  <c r="H308" i="3"/>
  <c r="D308" i="3"/>
  <c r="L308" i="3" s="1"/>
  <c r="B308" i="3"/>
  <c r="Z307" i="3"/>
  <c r="X307" i="3"/>
  <c r="N307" i="3"/>
  <c r="L307" i="3"/>
  <c r="B307" i="3"/>
  <c r="X306" i="3"/>
  <c r="Z306" i="3" s="1"/>
  <c r="T306" i="3"/>
  <c r="P306" i="3"/>
  <c r="H306" i="3"/>
  <c r="L306" i="3" s="1"/>
  <c r="N306" i="3" s="1"/>
  <c r="D306" i="3"/>
  <c r="B306" i="3"/>
  <c r="Z305" i="3"/>
  <c r="X305" i="3"/>
  <c r="L305" i="3"/>
  <c r="N305" i="3" s="1"/>
  <c r="B305" i="3"/>
  <c r="T304" i="3"/>
  <c r="V304" i="3" s="1"/>
  <c r="P304" i="3"/>
  <c r="X304" i="3" s="1"/>
  <c r="L304" i="3"/>
  <c r="H304" i="3"/>
  <c r="N304" i="3" s="1"/>
  <c r="D304" i="3"/>
  <c r="B304" i="3"/>
  <c r="X303" i="3"/>
  <c r="Z303" i="3" s="1"/>
  <c r="V303" i="3"/>
  <c r="N303" i="3"/>
  <c r="L303" i="3"/>
  <c r="B303" i="3"/>
  <c r="T302" i="3"/>
  <c r="P302" i="3"/>
  <c r="X302" i="3" s="1"/>
  <c r="H302" i="3"/>
  <c r="N302" i="3" s="1"/>
  <c r="D302" i="3"/>
  <c r="L302" i="3" s="1"/>
  <c r="B302" i="3"/>
  <c r="Z301" i="3"/>
  <c r="X301" i="3"/>
  <c r="N301" i="3"/>
  <c r="L301" i="3"/>
  <c r="B301" i="3"/>
  <c r="Z300" i="3"/>
  <c r="X300" i="3"/>
  <c r="N300" i="3"/>
  <c r="L300" i="3"/>
  <c r="B300" i="3"/>
  <c r="Z299" i="3"/>
  <c r="X299" i="3"/>
  <c r="N299" i="3"/>
  <c r="L299" i="3"/>
  <c r="B299" i="3"/>
  <c r="Z298" i="3"/>
  <c r="X298" i="3"/>
  <c r="N298" i="3"/>
  <c r="L298" i="3"/>
  <c r="B298" i="3"/>
  <c r="Z297" i="3"/>
  <c r="X297" i="3"/>
  <c r="N297" i="3"/>
  <c r="L297" i="3"/>
  <c r="B297" i="3"/>
  <c r="Z296" i="3"/>
  <c r="X296" i="3"/>
  <c r="N296" i="3"/>
  <c r="L296" i="3"/>
  <c r="B296" i="3"/>
  <c r="Z295" i="3"/>
  <c r="X295" i="3"/>
  <c r="N295" i="3"/>
  <c r="L295" i="3"/>
  <c r="B295" i="3"/>
  <c r="Z294" i="3"/>
  <c r="X294" i="3"/>
  <c r="N294" i="3"/>
  <c r="L294" i="3"/>
  <c r="B294" i="3"/>
  <c r="Z293" i="3"/>
  <c r="X293" i="3"/>
  <c r="N293" i="3"/>
  <c r="L293" i="3"/>
  <c r="B293" i="3"/>
  <c r="Z292" i="3"/>
  <c r="X292" i="3"/>
  <c r="N292" i="3"/>
  <c r="L292" i="3"/>
  <c r="B292" i="3"/>
  <c r="Z291" i="3"/>
  <c r="X291" i="3"/>
  <c r="N291" i="3"/>
  <c r="L291" i="3"/>
  <c r="B291" i="3"/>
  <c r="Z290" i="3"/>
  <c r="X290" i="3"/>
  <c r="N290" i="3"/>
  <c r="L290" i="3"/>
  <c r="B290" i="3"/>
  <c r="Z289" i="3"/>
  <c r="X289" i="3"/>
  <c r="N289" i="3"/>
  <c r="L289" i="3"/>
  <c r="B289" i="3"/>
  <c r="Z288" i="3"/>
  <c r="X288" i="3"/>
  <c r="N288" i="3"/>
  <c r="L288" i="3"/>
  <c r="B288" i="3"/>
  <c r="Z287" i="3"/>
  <c r="X287" i="3"/>
  <c r="N287" i="3"/>
  <c r="L287" i="3"/>
  <c r="B287" i="3"/>
  <c r="Z286" i="3"/>
  <c r="X286" i="3"/>
  <c r="N286" i="3"/>
  <c r="L286" i="3"/>
  <c r="B286" i="3"/>
  <c r="Z285" i="3"/>
  <c r="X285" i="3"/>
  <c r="N285" i="3"/>
  <c r="L285" i="3"/>
  <c r="B285" i="3"/>
  <c r="Z284" i="3"/>
  <c r="X284" i="3"/>
  <c r="N284" i="3"/>
  <c r="L284" i="3"/>
  <c r="B284" i="3"/>
  <c r="Z283" i="3"/>
  <c r="X283" i="3"/>
  <c r="N283" i="3"/>
  <c r="L283" i="3"/>
  <c r="B283" i="3"/>
  <c r="Z282" i="3"/>
  <c r="X282" i="3"/>
  <c r="N282" i="3"/>
  <c r="L282" i="3"/>
  <c r="B282" i="3"/>
  <c r="Z281" i="3"/>
  <c r="X281" i="3"/>
  <c r="N281" i="3"/>
  <c r="L281" i="3"/>
  <c r="B281" i="3"/>
  <c r="Z280" i="3"/>
  <c r="X280" i="3"/>
  <c r="N280" i="3"/>
  <c r="L280" i="3"/>
  <c r="B280" i="3"/>
  <c r="Z279" i="3"/>
  <c r="X279" i="3"/>
  <c r="N279" i="3"/>
  <c r="L279" i="3"/>
  <c r="B279" i="3"/>
  <c r="Z278" i="3"/>
  <c r="X278" i="3"/>
  <c r="N278" i="3"/>
  <c r="L278" i="3"/>
  <c r="B278" i="3"/>
  <c r="Z277" i="3"/>
  <c r="X277" i="3"/>
  <c r="N277" i="3"/>
  <c r="L277" i="3"/>
  <c r="B277" i="3"/>
  <c r="Z276" i="3"/>
  <c r="X276" i="3"/>
  <c r="N276" i="3"/>
  <c r="L276" i="3"/>
  <c r="B276" i="3"/>
  <c r="Z275" i="3"/>
  <c r="X275" i="3"/>
  <c r="N275" i="3"/>
  <c r="L275" i="3"/>
  <c r="B275" i="3"/>
  <c r="Z274" i="3"/>
  <c r="X274" i="3"/>
  <c r="N274" i="3"/>
  <c r="L274" i="3"/>
  <c r="B274" i="3"/>
  <c r="Z273" i="3"/>
  <c r="X273" i="3"/>
  <c r="N273" i="3"/>
  <c r="L273" i="3"/>
  <c r="B273" i="3"/>
  <c r="Z272" i="3"/>
  <c r="X272" i="3"/>
  <c r="N272" i="3"/>
  <c r="L272" i="3"/>
  <c r="B272" i="3"/>
  <c r="Z271" i="3"/>
  <c r="X271" i="3"/>
  <c r="N271" i="3"/>
  <c r="L271" i="3"/>
  <c r="B271" i="3"/>
  <c r="Z270" i="3"/>
  <c r="X270" i="3"/>
  <c r="N270" i="3"/>
  <c r="L270" i="3"/>
  <c r="B270" i="3"/>
  <c r="Z269" i="3"/>
  <c r="X269" i="3"/>
  <c r="N269" i="3"/>
  <c r="L269" i="3"/>
  <c r="B269" i="3"/>
  <c r="Z268" i="3"/>
  <c r="X268" i="3"/>
  <c r="N268" i="3"/>
  <c r="L268" i="3"/>
  <c r="B268" i="3"/>
  <c r="Z267" i="3"/>
  <c r="X267" i="3"/>
  <c r="N267" i="3"/>
  <c r="L267" i="3"/>
  <c r="B267" i="3"/>
  <c r="Z266" i="3"/>
  <c r="X266" i="3"/>
  <c r="N266" i="3"/>
  <c r="L266" i="3"/>
  <c r="B266" i="3"/>
  <c r="Z265" i="3"/>
  <c r="X265" i="3"/>
  <c r="N265" i="3"/>
  <c r="L265" i="3"/>
  <c r="B265" i="3"/>
  <c r="T264" i="3"/>
  <c r="X264" i="3" s="1"/>
  <c r="Z264" i="3" s="1"/>
  <c r="P264" i="3"/>
  <c r="L264" i="3"/>
  <c r="N264" i="3" s="1"/>
  <c r="H264" i="3"/>
  <c r="D264" i="3"/>
  <c r="B264" i="3"/>
  <c r="Z263" i="3"/>
  <c r="X263" i="3"/>
  <c r="L263" i="3"/>
  <c r="N263" i="3" s="1"/>
  <c r="J263" i="3"/>
  <c r="B263" i="3"/>
  <c r="X262" i="3"/>
  <c r="V262" i="3"/>
  <c r="T262" i="3"/>
  <c r="Z262" i="3" s="1"/>
  <c r="P262" i="3"/>
  <c r="H262" i="3"/>
  <c r="N262" i="3" s="1"/>
  <c r="D262" i="3"/>
  <c r="L262" i="3" s="1"/>
  <c r="B262" i="3"/>
  <c r="X261" i="3"/>
  <c r="Z261" i="3" s="1"/>
  <c r="N261" i="3"/>
  <c r="L261" i="3"/>
  <c r="B261" i="3"/>
  <c r="T260" i="3"/>
  <c r="Z260" i="3" s="1"/>
  <c r="P260" i="3"/>
  <c r="X260" i="3" s="1"/>
  <c r="H260" i="3"/>
  <c r="N260" i="3" s="1"/>
  <c r="D260" i="3"/>
  <c r="L260" i="3" s="1"/>
  <c r="B260" i="3"/>
  <c r="Z259" i="3"/>
  <c r="X259" i="3"/>
  <c r="N259" i="3"/>
  <c r="L259" i="3"/>
  <c r="B259" i="3"/>
  <c r="X258" i="3"/>
  <c r="Z258" i="3" s="1"/>
  <c r="N258" i="3"/>
  <c r="L258" i="3"/>
  <c r="B258" i="3"/>
  <c r="T257" i="3"/>
  <c r="Z257" i="3" s="1"/>
  <c r="P257" i="3"/>
  <c r="X257" i="3" s="1"/>
  <c r="H257" i="3"/>
  <c r="D257" i="3"/>
  <c r="L257" i="3" s="1"/>
  <c r="B257" i="3"/>
  <c r="X256" i="3"/>
  <c r="Z256" i="3" s="1"/>
  <c r="V256" i="3"/>
  <c r="L256" i="3"/>
  <c r="N256" i="3" s="1"/>
  <c r="B256" i="3"/>
  <c r="Z255" i="3"/>
  <c r="X255" i="3"/>
  <c r="L255" i="3"/>
  <c r="N255" i="3" s="1"/>
  <c r="J255" i="3"/>
  <c r="B255" i="3"/>
  <c r="X254" i="3"/>
  <c r="V254" i="3"/>
  <c r="T254" i="3"/>
  <c r="Z254" i="3" s="1"/>
  <c r="P254" i="3"/>
  <c r="H254" i="3"/>
  <c r="D254" i="3"/>
  <c r="L254" i="3" s="1"/>
  <c r="B254" i="3"/>
  <c r="X253" i="3"/>
  <c r="Z253" i="3" s="1"/>
  <c r="N253" i="3"/>
  <c r="L253" i="3"/>
  <c r="B253" i="3"/>
  <c r="T252" i="3"/>
  <c r="P252" i="3"/>
  <c r="X252" i="3" s="1"/>
  <c r="H252" i="3"/>
  <c r="N252" i="3" s="1"/>
  <c r="D252" i="3"/>
  <c r="L252" i="3" s="1"/>
  <c r="B252" i="3"/>
  <c r="Z251" i="3"/>
  <c r="X251" i="3"/>
  <c r="N251" i="3"/>
  <c r="L251" i="3"/>
  <c r="B251" i="3"/>
  <c r="X250" i="3"/>
  <c r="Z250" i="3" s="1"/>
  <c r="T250" i="3"/>
  <c r="P250" i="3"/>
  <c r="H250" i="3"/>
  <c r="L250" i="3" s="1"/>
  <c r="N250" i="3" s="1"/>
  <c r="D250" i="3"/>
  <c r="B250" i="3"/>
  <c r="Z249" i="3"/>
  <c r="X249" i="3"/>
  <c r="N249" i="3"/>
  <c r="L249" i="3"/>
  <c r="B249" i="3"/>
  <c r="X248" i="3"/>
  <c r="Z248" i="3" s="1"/>
  <c r="V248" i="3"/>
  <c r="L248" i="3"/>
  <c r="N248" i="3" s="1"/>
  <c r="B248" i="3"/>
  <c r="Z247" i="3"/>
  <c r="X247" i="3"/>
  <c r="L247" i="3"/>
  <c r="N247" i="3" s="1"/>
  <c r="J247" i="3"/>
  <c r="B247" i="3"/>
  <c r="X246" i="3"/>
  <c r="V246" i="3"/>
  <c r="T246" i="3"/>
  <c r="Z246" i="3" s="1"/>
  <c r="P246" i="3"/>
  <c r="H246" i="3"/>
  <c r="D246" i="3"/>
  <c r="L246" i="3" s="1"/>
  <c r="B246" i="3"/>
  <c r="Z245" i="3"/>
  <c r="X245" i="3"/>
  <c r="N245" i="3"/>
  <c r="L245" i="3"/>
  <c r="B245" i="3"/>
  <c r="X244" i="3"/>
  <c r="Z244" i="3" s="1"/>
  <c r="N244" i="3"/>
  <c r="L244" i="3"/>
  <c r="B244" i="3"/>
  <c r="X243" i="3"/>
  <c r="Z243" i="3" s="1"/>
  <c r="V243" i="3"/>
  <c r="T243" i="3"/>
  <c r="P243" i="3"/>
  <c r="L243" i="3"/>
  <c r="N243" i="3" s="1"/>
  <c r="H243" i="3"/>
  <c r="D243" i="3"/>
  <c r="B243" i="3"/>
  <c r="X242" i="3"/>
  <c r="Z242" i="3" s="1"/>
  <c r="L242" i="3"/>
  <c r="N242" i="3" s="1"/>
  <c r="B242" i="3"/>
  <c r="Z241" i="3"/>
  <c r="X241" i="3"/>
  <c r="N241" i="3"/>
  <c r="L241" i="3"/>
  <c r="B241" i="3"/>
  <c r="Z240" i="3"/>
  <c r="X240" i="3"/>
  <c r="L240" i="3"/>
  <c r="N240" i="3" s="1"/>
  <c r="B240" i="3"/>
  <c r="Z239" i="3"/>
  <c r="X239" i="3"/>
  <c r="N239" i="3"/>
  <c r="L239" i="3"/>
  <c r="B239" i="3"/>
  <c r="X238" i="3"/>
  <c r="Z238" i="3" s="1"/>
  <c r="T238" i="3"/>
  <c r="P238" i="3"/>
  <c r="H238" i="3"/>
  <c r="L238" i="3" s="1"/>
  <c r="N238" i="3" s="1"/>
  <c r="D238" i="3"/>
  <c r="B238" i="3"/>
  <c r="Z237" i="3"/>
  <c r="X237" i="3"/>
  <c r="L237" i="3"/>
  <c r="N237" i="3" s="1"/>
  <c r="B237" i="3"/>
  <c r="T236" i="3"/>
  <c r="V236" i="3" s="1"/>
  <c r="P236" i="3"/>
  <c r="L236" i="3"/>
  <c r="H236" i="3"/>
  <c r="N236" i="3" s="1"/>
  <c r="D236" i="3"/>
  <c r="B236" i="3"/>
  <c r="X235" i="3"/>
  <c r="Z235" i="3" s="1"/>
  <c r="V235" i="3"/>
  <c r="N235" i="3"/>
  <c r="L235" i="3"/>
  <c r="B235" i="3"/>
  <c r="X234" i="3"/>
  <c r="Z234" i="3" s="1"/>
  <c r="L234" i="3"/>
  <c r="N234" i="3" s="1"/>
  <c r="B234" i="3"/>
  <c r="X233" i="3"/>
  <c r="Z233" i="3" s="1"/>
  <c r="T233" i="3"/>
  <c r="P233" i="3"/>
  <c r="L233" i="3"/>
  <c r="N233" i="3" s="1"/>
  <c r="J233" i="3"/>
  <c r="H233" i="3"/>
  <c r="D233" i="3"/>
  <c r="B233" i="3"/>
  <c r="Z232" i="3"/>
  <c r="X232" i="3"/>
  <c r="L232" i="3"/>
  <c r="N232" i="3" s="1"/>
  <c r="B232" i="3"/>
  <c r="T231" i="3"/>
  <c r="Z231" i="3" s="1"/>
  <c r="P231" i="3"/>
  <c r="X231" i="3" s="1"/>
  <c r="H231" i="3"/>
  <c r="D231" i="3"/>
  <c r="L231" i="3" s="1"/>
  <c r="B231" i="3"/>
  <c r="Z230" i="3"/>
  <c r="X230" i="3"/>
  <c r="V230" i="3"/>
  <c r="N230" i="3"/>
  <c r="L230" i="3"/>
  <c r="B230" i="3"/>
  <c r="Z229" i="3"/>
  <c r="X229" i="3"/>
  <c r="N229" i="3"/>
  <c r="L229" i="3"/>
  <c r="B229" i="3"/>
  <c r="X228" i="3"/>
  <c r="Z228" i="3" s="1"/>
  <c r="V228" i="3"/>
  <c r="L228" i="3"/>
  <c r="N228" i="3" s="1"/>
  <c r="B228" i="3"/>
  <c r="Z227" i="3"/>
  <c r="X227" i="3"/>
  <c r="L227" i="3"/>
  <c r="N227" i="3" s="1"/>
  <c r="J227" i="3"/>
  <c r="B227" i="3"/>
  <c r="Z226" i="3"/>
  <c r="X226" i="3"/>
  <c r="V226" i="3"/>
  <c r="N226" i="3"/>
  <c r="L226" i="3"/>
  <c r="B226" i="3"/>
  <c r="Z225" i="3"/>
  <c r="X225" i="3"/>
  <c r="L225" i="3"/>
  <c r="N225" i="3" s="1"/>
  <c r="B225" i="3"/>
  <c r="X224" i="3"/>
  <c r="Z224" i="3" s="1"/>
  <c r="V224" i="3"/>
  <c r="L224" i="3"/>
  <c r="N224" i="3" s="1"/>
  <c r="B224" i="3"/>
  <c r="Z223" i="3"/>
  <c r="X223" i="3"/>
  <c r="N223" i="3"/>
  <c r="L223" i="3"/>
  <c r="J223" i="3"/>
  <c r="B223" i="3"/>
  <c r="X222" i="3"/>
  <c r="Z222" i="3" s="1"/>
  <c r="V222" i="3"/>
  <c r="L222" i="3"/>
  <c r="N222" i="3" s="1"/>
  <c r="B222" i="3"/>
  <c r="Z221" i="3"/>
  <c r="X221" i="3"/>
  <c r="L221" i="3"/>
  <c r="N221" i="3" s="1"/>
  <c r="B221" i="3"/>
  <c r="T220" i="3"/>
  <c r="V220" i="3" s="1"/>
  <c r="P220" i="3"/>
  <c r="X220" i="3" s="1"/>
  <c r="L220" i="3"/>
  <c r="H220" i="3"/>
  <c r="N220" i="3" s="1"/>
  <c r="D220" i="3"/>
  <c r="B220" i="3"/>
  <c r="X219" i="3"/>
  <c r="Z219" i="3" s="1"/>
  <c r="V219" i="3"/>
  <c r="N219" i="3"/>
  <c r="L219" i="3"/>
  <c r="B219" i="3"/>
  <c r="X218" i="3"/>
  <c r="Z218" i="3" s="1"/>
  <c r="L218" i="3"/>
  <c r="N218" i="3" s="1"/>
  <c r="B218" i="3"/>
  <c r="X217" i="3"/>
  <c r="Z217" i="3" s="1"/>
  <c r="N217" i="3"/>
  <c r="L217" i="3"/>
  <c r="B217" i="3"/>
  <c r="Z216" i="3"/>
  <c r="X216" i="3"/>
  <c r="N216" i="3"/>
  <c r="L216" i="3"/>
  <c r="B216" i="3"/>
  <c r="X215" i="3"/>
  <c r="Z215" i="3" s="1"/>
  <c r="V215" i="3"/>
  <c r="N215" i="3"/>
  <c r="L215" i="3"/>
  <c r="B215" i="3"/>
  <c r="X214" i="3"/>
  <c r="Z214" i="3" s="1"/>
  <c r="L214" i="3"/>
  <c r="N214" i="3" s="1"/>
  <c r="B214" i="3"/>
  <c r="X213" i="3"/>
  <c r="Z213" i="3" s="1"/>
  <c r="N213" i="3"/>
  <c r="L213" i="3"/>
  <c r="B213" i="3"/>
  <c r="X212" i="3"/>
  <c r="Z212" i="3" s="1"/>
  <c r="N212" i="3"/>
  <c r="L212" i="3"/>
  <c r="B212" i="3"/>
  <c r="X211" i="3"/>
  <c r="Z211" i="3" s="1"/>
  <c r="V211" i="3"/>
  <c r="N211" i="3"/>
  <c r="L211" i="3"/>
  <c r="B211" i="3"/>
  <c r="X210" i="3"/>
  <c r="Z210" i="3" s="1"/>
  <c r="L210" i="3"/>
  <c r="N210" i="3" s="1"/>
  <c r="B210" i="3"/>
  <c r="X209" i="3"/>
  <c r="Z209" i="3" s="1"/>
  <c r="T209" i="3"/>
  <c r="P209" i="3"/>
  <c r="L209" i="3"/>
  <c r="N209" i="3" s="1"/>
  <c r="J209" i="3"/>
  <c r="H209" i="3"/>
  <c r="D209" i="3"/>
  <c r="B209" i="3"/>
  <c r="T208" i="3"/>
  <c r="P208" i="3"/>
  <c r="X208" i="3" s="1"/>
  <c r="Z208" i="3" s="1"/>
  <c r="L208" i="3"/>
  <c r="N208" i="3" s="1"/>
  <c r="H208" i="3"/>
  <c r="D208" i="3"/>
  <c r="Z204" i="3"/>
  <c r="X204" i="3"/>
  <c r="N204" i="3"/>
  <c r="L204" i="3"/>
  <c r="B204" i="3"/>
  <c r="Z203" i="3"/>
  <c r="X203" i="3"/>
  <c r="N203" i="3"/>
  <c r="L203" i="3"/>
  <c r="B203" i="3"/>
  <c r="Z202" i="3"/>
  <c r="X202" i="3"/>
  <c r="N202" i="3"/>
  <c r="L202" i="3"/>
  <c r="B202" i="3"/>
  <c r="Z201" i="3"/>
  <c r="X201" i="3"/>
  <c r="N201" i="3"/>
  <c r="L201" i="3"/>
  <c r="B201" i="3"/>
  <c r="Z200" i="3"/>
  <c r="X200" i="3"/>
  <c r="N200" i="3"/>
  <c r="L200" i="3"/>
  <c r="B200" i="3"/>
  <c r="Z199" i="3"/>
  <c r="X199" i="3"/>
  <c r="N199" i="3"/>
  <c r="L199" i="3"/>
  <c r="B199" i="3"/>
  <c r="Z198" i="3"/>
  <c r="X198" i="3"/>
  <c r="N198" i="3"/>
  <c r="L198" i="3"/>
  <c r="B198" i="3"/>
  <c r="Z197" i="3"/>
  <c r="X197" i="3"/>
  <c r="N197" i="3"/>
  <c r="L197" i="3"/>
  <c r="B197" i="3"/>
  <c r="Z196" i="3"/>
  <c r="X196" i="3"/>
  <c r="N196" i="3"/>
  <c r="L196" i="3"/>
  <c r="B196" i="3"/>
  <c r="Z195" i="3"/>
  <c r="X195" i="3"/>
  <c r="N195" i="3"/>
  <c r="L195" i="3"/>
  <c r="B195" i="3"/>
  <c r="Z194" i="3"/>
  <c r="X194" i="3"/>
  <c r="N194" i="3"/>
  <c r="L194" i="3"/>
  <c r="B194" i="3"/>
  <c r="Z193" i="3"/>
  <c r="X193" i="3"/>
  <c r="N193" i="3"/>
  <c r="L193" i="3"/>
  <c r="B193" i="3"/>
  <c r="Z192" i="3"/>
  <c r="X192" i="3"/>
  <c r="N192" i="3"/>
  <c r="L192" i="3"/>
  <c r="B192" i="3"/>
  <c r="Z191" i="3"/>
  <c r="X191" i="3"/>
  <c r="N191" i="3"/>
  <c r="L191" i="3"/>
  <c r="B191" i="3"/>
  <c r="Z190" i="3"/>
  <c r="X190" i="3"/>
  <c r="N190" i="3"/>
  <c r="L190" i="3"/>
  <c r="B190" i="3"/>
  <c r="Z189" i="3"/>
  <c r="X189" i="3"/>
  <c r="N189" i="3"/>
  <c r="L189" i="3"/>
  <c r="B189" i="3"/>
  <c r="Z188" i="3"/>
  <c r="X188" i="3"/>
  <c r="N188" i="3"/>
  <c r="L188" i="3"/>
  <c r="B188" i="3"/>
  <c r="Z187" i="3"/>
  <c r="X187" i="3"/>
  <c r="N187" i="3"/>
  <c r="L187" i="3"/>
  <c r="B187" i="3"/>
  <c r="Z186" i="3"/>
  <c r="X186" i="3"/>
  <c r="N186" i="3"/>
  <c r="L186" i="3"/>
  <c r="B186" i="3"/>
  <c r="Z185" i="3"/>
  <c r="X185" i="3"/>
  <c r="N185" i="3"/>
  <c r="L185" i="3"/>
  <c r="B185" i="3"/>
  <c r="Z184" i="3"/>
  <c r="X184" i="3"/>
  <c r="N184" i="3"/>
  <c r="L184" i="3"/>
  <c r="B184" i="3"/>
  <c r="Z183" i="3"/>
  <c r="X183" i="3"/>
  <c r="N183" i="3"/>
  <c r="L183" i="3"/>
  <c r="B183" i="3"/>
  <c r="Z182" i="3"/>
  <c r="X182" i="3"/>
  <c r="N182" i="3"/>
  <c r="L182" i="3"/>
  <c r="B182" i="3"/>
  <c r="Z181" i="3"/>
  <c r="X181" i="3"/>
  <c r="N181" i="3"/>
  <c r="L181" i="3"/>
  <c r="B181" i="3"/>
  <c r="Z180" i="3"/>
  <c r="X180" i="3"/>
  <c r="N180" i="3"/>
  <c r="L180" i="3"/>
  <c r="B180" i="3"/>
  <c r="Z179" i="3"/>
  <c r="X179" i="3"/>
  <c r="N179" i="3"/>
  <c r="L179" i="3"/>
  <c r="B179" i="3"/>
  <c r="Z178" i="3"/>
  <c r="X178" i="3"/>
  <c r="N178" i="3"/>
  <c r="L178" i="3"/>
  <c r="B178" i="3"/>
  <c r="Z177" i="3"/>
  <c r="X177" i="3"/>
  <c r="N177" i="3"/>
  <c r="L177" i="3"/>
  <c r="B177" i="3"/>
  <c r="Z176" i="3"/>
  <c r="X176" i="3"/>
  <c r="N176" i="3"/>
  <c r="L176" i="3"/>
  <c r="B176" i="3"/>
  <c r="Z175" i="3"/>
  <c r="X175" i="3"/>
  <c r="N175" i="3"/>
  <c r="L175" i="3"/>
  <c r="B175" i="3"/>
  <c r="Z174" i="3"/>
  <c r="X174" i="3"/>
  <c r="N174" i="3"/>
  <c r="L174" i="3"/>
  <c r="B174" i="3"/>
  <c r="Z173" i="3"/>
  <c r="X173" i="3"/>
  <c r="N173" i="3"/>
  <c r="L173" i="3"/>
  <c r="B173" i="3"/>
  <c r="Z172" i="3"/>
  <c r="X172" i="3"/>
  <c r="N172" i="3"/>
  <c r="L172" i="3"/>
  <c r="B172" i="3"/>
  <c r="Z171" i="3"/>
  <c r="X171" i="3"/>
  <c r="N171" i="3"/>
  <c r="L171" i="3"/>
  <c r="B171" i="3"/>
  <c r="Z170" i="3"/>
  <c r="X170" i="3"/>
  <c r="N170" i="3"/>
  <c r="L170" i="3"/>
  <c r="B170" i="3"/>
  <c r="Z169" i="3"/>
  <c r="X169" i="3"/>
  <c r="N169" i="3"/>
  <c r="L169" i="3"/>
  <c r="B169" i="3"/>
  <c r="Z168" i="3"/>
  <c r="X168" i="3"/>
  <c r="N168" i="3"/>
  <c r="L168" i="3"/>
  <c r="B168" i="3"/>
  <c r="Z167" i="3"/>
  <c r="X167" i="3"/>
  <c r="N167" i="3"/>
  <c r="L167" i="3"/>
  <c r="B167" i="3"/>
  <c r="Z166" i="3"/>
  <c r="X166" i="3"/>
  <c r="N166" i="3"/>
  <c r="L166" i="3"/>
  <c r="B166" i="3"/>
  <c r="Z165" i="3"/>
  <c r="X165" i="3"/>
  <c r="N165" i="3"/>
  <c r="L165" i="3"/>
  <c r="B165" i="3"/>
  <c r="Z164" i="3"/>
  <c r="X164" i="3"/>
  <c r="N164" i="3"/>
  <c r="L164" i="3"/>
  <c r="B164" i="3"/>
  <c r="Z163" i="3"/>
  <c r="X163" i="3"/>
  <c r="N163" i="3"/>
  <c r="L163" i="3"/>
  <c r="B163" i="3"/>
  <c r="Z162" i="3"/>
  <c r="X162" i="3"/>
  <c r="N162" i="3"/>
  <c r="L162" i="3"/>
  <c r="B162" i="3"/>
  <c r="Z161" i="3"/>
  <c r="X161" i="3"/>
  <c r="N161" i="3"/>
  <c r="L161" i="3"/>
  <c r="B161" i="3"/>
  <c r="Z160" i="3"/>
  <c r="X160" i="3"/>
  <c r="N160" i="3"/>
  <c r="L160" i="3"/>
  <c r="B160" i="3"/>
  <c r="Z159" i="3"/>
  <c r="X159" i="3"/>
  <c r="N159" i="3"/>
  <c r="L159" i="3"/>
  <c r="B159" i="3"/>
  <c r="Z158" i="3"/>
  <c r="X158" i="3"/>
  <c r="N158" i="3"/>
  <c r="L158" i="3"/>
  <c r="B158" i="3"/>
  <c r="Z157" i="3"/>
  <c r="X157" i="3"/>
  <c r="N157" i="3"/>
  <c r="L157" i="3"/>
  <c r="B157" i="3"/>
  <c r="Z156" i="3"/>
  <c r="X156" i="3"/>
  <c r="N156" i="3"/>
  <c r="L156" i="3"/>
  <c r="B156" i="3"/>
  <c r="Z155" i="3"/>
  <c r="X155" i="3"/>
  <c r="N155" i="3"/>
  <c r="L155" i="3"/>
  <c r="B155" i="3"/>
  <c r="Z154" i="3"/>
  <c r="X154" i="3"/>
  <c r="N154" i="3"/>
  <c r="L154" i="3"/>
  <c r="B154" i="3"/>
  <c r="Z153" i="3"/>
  <c r="X153" i="3"/>
  <c r="N153" i="3"/>
  <c r="L153" i="3"/>
  <c r="B153" i="3"/>
  <c r="Z152" i="3"/>
  <c r="X152" i="3"/>
  <c r="N152" i="3"/>
  <c r="L152" i="3"/>
  <c r="B152" i="3"/>
  <c r="Z151" i="3"/>
  <c r="X151" i="3"/>
  <c r="N151" i="3"/>
  <c r="L151" i="3"/>
  <c r="B151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N148" i="3"/>
  <c r="L148" i="3"/>
  <c r="B148" i="3"/>
  <c r="Z147" i="3"/>
  <c r="X147" i="3"/>
  <c r="N147" i="3"/>
  <c r="L147" i="3"/>
  <c r="B147" i="3"/>
  <c r="Z146" i="3"/>
  <c r="X146" i="3"/>
  <c r="N146" i="3"/>
  <c r="L146" i="3"/>
  <c r="B146" i="3"/>
  <c r="Z145" i="3"/>
  <c r="X145" i="3"/>
  <c r="N145" i="3"/>
  <c r="L145" i="3"/>
  <c r="B145" i="3"/>
  <c r="Z144" i="3"/>
  <c r="X144" i="3"/>
  <c r="L144" i="3"/>
  <c r="N144" i="3" s="1"/>
  <c r="B144" i="3"/>
  <c r="T143" i="3"/>
  <c r="P143" i="3"/>
  <c r="X143" i="3" s="1"/>
  <c r="H143" i="3"/>
  <c r="D143" i="3"/>
  <c r="L143" i="3" s="1"/>
  <c r="Z141" i="3"/>
  <c r="P141" i="3"/>
  <c r="X141" i="3" s="1"/>
  <c r="N141" i="3"/>
  <c r="D141" i="3"/>
  <c r="L141" i="3" s="1"/>
  <c r="B141" i="3"/>
  <c r="Z140" i="3"/>
  <c r="P140" i="3"/>
  <c r="X140" i="3" s="1"/>
  <c r="N140" i="3"/>
  <c r="D140" i="3"/>
  <c r="L140" i="3" s="1"/>
  <c r="B140" i="3"/>
  <c r="Z139" i="3"/>
  <c r="X139" i="3"/>
  <c r="P139" i="3"/>
  <c r="N139" i="3"/>
  <c r="L139" i="3"/>
  <c r="D139" i="3"/>
  <c r="B139" i="3"/>
  <c r="Z138" i="3"/>
  <c r="X138" i="3"/>
  <c r="P138" i="3"/>
  <c r="N138" i="3"/>
  <c r="D138" i="3"/>
  <c r="L138" i="3" s="1"/>
  <c r="B138" i="3"/>
  <c r="Z137" i="3"/>
  <c r="P137" i="3"/>
  <c r="X137" i="3" s="1"/>
  <c r="N137" i="3"/>
  <c r="D137" i="3"/>
  <c r="L137" i="3" s="1"/>
  <c r="B137" i="3"/>
  <c r="Z136" i="3"/>
  <c r="X136" i="3"/>
  <c r="P136" i="3"/>
  <c r="N136" i="3"/>
  <c r="L136" i="3"/>
  <c r="D136" i="3"/>
  <c r="B136" i="3"/>
  <c r="Z135" i="3"/>
  <c r="P135" i="3"/>
  <c r="X135" i="3" s="1"/>
  <c r="N135" i="3"/>
  <c r="L135" i="3"/>
  <c r="D135" i="3"/>
  <c r="B135" i="3"/>
  <c r="Z134" i="3"/>
  <c r="P134" i="3"/>
  <c r="X134" i="3" s="1"/>
  <c r="N134" i="3"/>
  <c r="D134" i="3"/>
  <c r="L134" i="3" s="1"/>
  <c r="B134" i="3"/>
  <c r="Z133" i="3"/>
  <c r="P133" i="3"/>
  <c r="X133" i="3" s="1"/>
  <c r="N133" i="3"/>
  <c r="L133" i="3"/>
  <c r="D133" i="3"/>
  <c r="B133" i="3"/>
  <c r="Z132" i="3"/>
  <c r="P132" i="3"/>
  <c r="X132" i="3" s="1"/>
  <c r="N132" i="3"/>
  <c r="D132" i="3"/>
  <c r="L132" i="3" s="1"/>
  <c r="B132" i="3"/>
  <c r="Z131" i="3"/>
  <c r="P131" i="3"/>
  <c r="X131" i="3" s="1"/>
  <c r="N131" i="3"/>
  <c r="D131" i="3"/>
  <c r="L131" i="3" s="1"/>
  <c r="B131" i="3"/>
  <c r="Z130" i="3"/>
  <c r="X130" i="3"/>
  <c r="P130" i="3"/>
  <c r="N130" i="3"/>
  <c r="D130" i="3"/>
  <c r="L130" i="3" s="1"/>
  <c r="B130" i="3"/>
  <c r="Z129" i="3"/>
  <c r="P129" i="3"/>
  <c r="X129" i="3" s="1"/>
  <c r="N129" i="3"/>
  <c r="D129" i="3"/>
  <c r="L129" i="3" s="1"/>
  <c r="B129" i="3"/>
  <c r="Z128" i="3"/>
  <c r="P128" i="3"/>
  <c r="X128" i="3" s="1"/>
  <c r="N128" i="3"/>
  <c r="D128" i="3"/>
  <c r="L128" i="3" s="1"/>
  <c r="B128" i="3"/>
  <c r="Z127" i="3"/>
  <c r="X127" i="3"/>
  <c r="P127" i="3"/>
  <c r="N127" i="3"/>
  <c r="L127" i="3"/>
  <c r="D127" i="3"/>
  <c r="B127" i="3"/>
  <c r="Z126" i="3"/>
  <c r="X126" i="3"/>
  <c r="P126" i="3"/>
  <c r="N126" i="3"/>
  <c r="D126" i="3"/>
  <c r="L126" i="3" s="1"/>
  <c r="B126" i="3"/>
  <c r="Z125" i="3"/>
  <c r="P125" i="3"/>
  <c r="X125" i="3" s="1"/>
  <c r="N125" i="3"/>
  <c r="D125" i="3"/>
  <c r="L125" i="3" s="1"/>
  <c r="B125" i="3"/>
  <c r="Z124" i="3"/>
  <c r="X124" i="3"/>
  <c r="P124" i="3"/>
  <c r="N124" i="3"/>
  <c r="L124" i="3"/>
  <c r="D124" i="3"/>
  <c r="B124" i="3"/>
  <c r="Z123" i="3"/>
  <c r="P123" i="3"/>
  <c r="X123" i="3" s="1"/>
  <c r="N123" i="3"/>
  <c r="L123" i="3"/>
  <c r="D123" i="3"/>
  <c r="B123" i="3"/>
  <c r="Z122" i="3"/>
  <c r="P122" i="3"/>
  <c r="X122" i="3" s="1"/>
  <c r="N122" i="3"/>
  <c r="D122" i="3"/>
  <c r="L122" i="3" s="1"/>
  <c r="B122" i="3"/>
  <c r="Z121" i="3"/>
  <c r="P121" i="3"/>
  <c r="X121" i="3" s="1"/>
  <c r="N121" i="3"/>
  <c r="L121" i="3"/>
  <c r="D121" i="3"/>
  <c r="B121" i="3"/>
  <c r="Z120" i="3"/>
  <c r="P120" i="3"/>
  <c r="X120" i="3" s="1"/>
  <c r="N120" i="3"/>
  <c r="D120" i="3"/>
  <c r="L120" i="3" s="1"/>
  <c r="B120" i="3"/>
  <c r="Z119" i="3"/>
  <c r="P119" i="3"/>
  <c r="X119" i="3" s="1"/>
  <c r="N119" i="3"/>
  <c r="D119" i="3"/>
  <c r="L119" i="3" s="1"/>
  <c r="B119" i="3"/>
  <c r="Z118" i="3"/>
  <c r="X118" i="3"/>
  <c r="P118" i="3"/>
  <c r="N118" i="3"/>
  <c r="D118" i="3"/>
  <c r="L118" i="3" s="1"/>
  <c r="B118" i="3"/>
  <c r="Z117" i="3"/>
  <c r="P117" i="3"/>
  <c r="X117" i="3" s="1"/>
  <c r="N117" i="3"/>
  <c r="L117" i="3"/>
  <c r="D117" i="3"/>
  <c r="B117" i="3"/>
  <c r="Z116" i="3"/>
  <c r="P116" i="3"/>
  <c r="X116" i="3" s="1"/>
  <c r="N116" i="3"/>
  <c r="D116" i="3"/>
  <c r="L116" i="3" s="1"/>
  <c r="B116" i="3"/>
  <c r="Z115" i="3"/>
  <c r="X115" i="3"/>
  <c r="P115" i="3"/>
  <c r="N115" i="3"/>
  <c r="L115" i="3"/>
  <c r="D115" i="3"/>
  <c r="B115" i="3"/>
  <c r="Z114" i="3"/>
  <c r="X114" i="3"/>
  <c r="P114" i="3"/>
  <c r="N114" i="3"/>
  <c r="D114" i="3"/>
  <c r="L114" i="3" s="1"/>
  <c r="B114" i="3"/>
  <c r="Z113" i="3"/>
  <c r="P113" i="3"/>
  <c r="X113" i="3" s="1"/>
  <c r="N113" i="3"/>
  <c r="D113" i="3"/>
  <c r="L113" i="3" s="1"/>
  <c r="B113" i="3"/>
  <c r="Z112" i="3"/>
  <c r="X112" i="3"/>
  <c r="P112" i="3"/>
  <c r="N112" i="3"/>
  <c r="L112" i="3"/>
  <c r="D112" i="3"/>
  <c r="B112" i="3"/>
  <c r="Z111" i="3"/>
  <c r="P111" i="3"/>
  <c r="X111" i="3" s="1"/>
  <c r="N111" i="3"/>
  <c r="L111" i="3"/>
  <c r="D111" i="3"/>
  <c r="B111" i="3"/>
  <c r="Z110" i="3"/>
  <c r="P110" i="3"/>
  <c r="X110" i="3" s="1"/>
  <c r="N110" i="3"/>
  <c r="D110" i="3"/>
  <c r="L110" i="3" s="1"/>
  <c r="B110" i="3"/>
  <c r="Z109" i="3"/>
  <c r="P109" i="3"/>
  <c r="X109" i="3" s="1"/>
  <c r="N109" i="3"/>
  <c r="L109" i="3"/>
  <c r="D109" i="3"/>
  <c r="B109" i="3"/>
  <c r="Z108" i="3"/>
  <c r="P108" i="3"/>
  <c r="X108" i="3" s="1"/>
  <c r="N108" i="3"/>
  <c r="D108" i="3"/>
  <c r="L108" i="3" s="1"/>
  <c r="B108" i="3"/>
  <c r="Z107" i="3"/>
  <c r="P107" i="3"/>
  <c r="X107" i="3" s="1"/>
  <c r="N107" i="3"/>
  <c r="D107" i="3"/>
  <c r="L107" i="3" s="1"/>
  <c r="B107" i="3"/>
  <c r="Z106" i="3"/>
  <c r="X106" i="3"/>
  <c r="P106" i="3"/>
  <c r="N106" i="3"/>
  <c r="D106" i="3"/>
  <c r="L106" i="3" s="1"/>
  <c r="B106" i="3"/>
  <c r="Z105" i="3"/>
  <c r="P105" i="3"/>
  <c r="X105" i="3" s="1"/>
  <c r="N105" i="3"/>
  <c r="L105" i="3"/>
  <c r="D105" i="3"/>
  <c r="B105" i="3"/>
  <c r="Z104" i="3"/>
  <c r="P104" i="3"/>
  <c r="X104" i="3" s="1"/>
  <c r="N104" i="3"/>
  <c r="D104" i="3"/>
  <c r="L104" i="3" s="1"/>
  <c r="B104" i="3"/>
  <c r="Z103" i="3"/>
  <c r="X103" i="3"/>
  <c r="P103" i="3"/>
  <c r="N103" i="3"/>
  <c r="L103" i="3"/>
  <c r="D103" i="3"/>
  <c r="B103" i="3"/>
  <c r="Z102" i="3"/>
  <c r="X102" i="3"/>
  <c r="P102" i="3"/>
  <c r="N102" i="3"/>
  <c r="D102" i="3"/>
  <c r="L102" i="3" s="1"/>
  <c r="B102" i="3"/>
  <c r="Z101" i="3"/>
  <c r="P101" i="3"/>
  <c r="X101" i="3" s="1"/>
  <c r="N101" i="3"/>
  <c r="D101" i="3"/>
  <c r="L101" i="3" s="1"/>
  <c r="B101" i="3"/>
  <c r="Z100" i="3"/>
  <c r="X100" i="3"/>
  <c r="P100" i="3"/>
  <c r="N100" i="3"/>
  <c r="L100" i="3"/>
  <c r="D100" i="3"/>
  <c r="B100" i="3"/>
  <c r="Z99" i="3"/>
  <c r="P99" i="3"/>
  <c r="X99" i="3" s="1"/>
  <c r="N99" i="3"/>
  <c r="L99" i="3"/>
  <c r="D99" i="3"/>
  <c r="B99" i="3"/>
  <c r="Z98" i="3"/>
  <c r="P98" i="3"/>
  <c r="X98" i="3" s="1"/>
  <c r="N98" i="3"/>
  <c r="D98" i="3"/>
  <c r="L98" i="3" s="1"/>
  <c r="B98" i="3"/>
  <c r="Z97" i="3"/>
  <c r="P97" i="3"/>
  <c r="X97" i="3" s="1"/>
  <c r="N97" i="3"/>
  <c r="L97" i="3"/>
  <c r="D97" i="3"/>
  <c r="B97" i="3"/>
  <c r="Z96" i="3"/>
  <c r="X96" i="3"/>
  <c r="P96" i="3"/>
  <c r="N96" i="3"/>
  <c r="D96" i="3"/>
  <c r="L96" i="3" s="1"/>
  <c r="B96" i="3"/>
  <c r="Z95" i="3"/>
  <c r="P95" i="3"/>
  <c r="X95" i="3" s="1"/>
  <c r="N95" i="3"/>
  <c r="D95" i="3"/>
  <c r="L95" i="3" s="1"/>
  <c r="B95" i="3"/>
  <c r="Z94" i="3"/>
  <c r="X94" i="3"/>
  <c r="P94" i="3"/>
  <c r="N94" i="3"/>
  <c r="D94" i="3"/>
  <c r="L94" i="3" s="1"/>
  <c r="B94" i="3"/>
  <c r="Z93" i="3"/>
  <c r="P93" i="3"/>
  <c r="X93" i="3" s="1"/>
  <c r="N93" i="3"/>
  <c r="L93" i="3"/>
  <c r="D93" i="3"/>
  <c r="B93" i="3"/>
  <c r="Z92" i="3"/>
  <c r="P92" i="3"/>
  <c r="X92" i="3" s="1"/>
  <c r="N92" i="3"/>
  <c r="D92" i="3"/>
  <c r="L92" i="3" s="1"/>
  <c r="B92" i="3"/>
  <c r="Z91" i="3"/>
  <c r="X91" i="3"/>
  <c r="P91" i="3"/>
  <c r="N91" i="3"/>
  <c r="L91" i="3"/>
  <c r="D91" i="3"/>
  <c r="B91" i="3"/>
  <c r="Z90" i="3"/>
  <c r="X90" i="3"/>
  <c r="P90" i="3"/>
  <c r="N90" i="3"/>
  <c r="D90" i="3"/>
  <c r="L90" i="3" s="1"/>
  <c r="B90" i="3"/>
  <c r="Z89" i="3"/>
  <c r="P89" i="3"/>
  <c r="X89" i="3" s="1"/>
  <c r="N89" i="3"/>
  <c r="D89" i="3"/>
  <c r="L89" i="3" s="1"/>
  <c r="B89" i="3"/>
  <c r="Z88" i="3"/>
  <c r="X88" i="3"/>
  <c r="P88" i="3"/>
  <c r="N88" i="3"/>
  <c r="L88" i="3"/>
  <c r="D88" i="3"/>
  <c r="B88" i="3"/>
  <c r="Z87" i="3"/>
  <c r="P87" i="3"/>
  <c r="X87" i="3" s="1"/>
  <c r="N87" i="3"/>
  <c r="L87" i="3"/>
  <c r="D87" i="3"/>
  <c r="B87" i="3"/>
  <c r="Z86" i="3"/>
  <c r="P86" i="3"/>
  <c r="X86" i="3" s="1"/>
  <c r="N86" i="3"/>
  <c r="D86" i="3"/>
  <c r="L86" i="3" s="1"/>
  <c r="B86" i="3"/>
  <c r="Z85" i="3"/>
  <c r="P85" i="3"/>
  <c r="X85" i="3" s="1"/>
  <c r="N85" i="3"/>
  <c r="L85" i="3"/>
  <c r="D85" i="3"/>
  <c r="B85" i="3"/>
  <c r="Z84" i="3"/>
  <c r="X84" i="3"/>
  <c r="P84" i="3"/>
  <c r="N84" i="3"/>
  <c r="D84" i="3"/>
  <c r="L84" i="3" s="1"/>
  <c r="B84" i="3"/>
  <c r="Z83" i="3"/>
  <c r="P83" i="3"/>
  <c r="X83" i="3" s="1"/>
  <c r="N83" i="3"/>
  <c r="D83" i="3"/>
  <c r="L83" i="3" s="1"/>
  <c r="B83" i="3"/>
  <c r="Z82" i="3"/>
  <c r="X82" i="3"/>
  <c r="P82" i="3"/>
  <c r="N82" i="3"/>
  <c r="D82" i="3"/>
  <c r="L82" i="3" s="1"/>
  <c r="B82" i="3"/>
  <c r="Z81" i="3"/>
  <c r="P81" i="3"/>
  <c r="X81" i="3" s="1"/>
  <c r="N81" i="3"/>
  <c r="L81" i="3"/>
  <c r="D81" i="3"/>
  <c r="B81" i="3"/>
  <c r="Z80" i="3"/>
  <c r="P80" i="3"/>
  <c r="X80" i="3" s="1"/>
  <c r="N80" i="3"/>
  <c r="D80" i="3"/>
  <c r="L80" i="3" s="1"/>
  <c r="B80" i="3"/>
  <c r="Z79" i="3"/>
  <c r="X79" i="3"/>
  <c r="P79" i="3"/>
  <c r="N79" i="3"/>
  <c r="L79" i="3"/>
  <c r="D79" i="3"/>
  <c r="B79" i="3"/>
  <c r="Z78" i="3"/>
  <c r="X78" i="3"/>
  <c r="P78" i="3"/>
  <c r="N78" i="3"/>
  <c r="D78" i="3"/>
  <c r="L78" i="3" s="1"/>
  <c r="B78" i="3"/>
  <c r="Z77" i="3"/>
  <c r="P77" i="3"/>
  <c r="X77" i="3" s="1"/>
  <c r="N77" i="3"/>
  <c r="D77" i="3"/>
  <c r="L77" i="3" s="1"/>
  <c r="B77" i="3"/>
  <c r="Z76" i="3"/>
  <c r="X76" i="3"/>
  <c r="P76" i="3"/>
  <c r="N76" i="3"/>
  <c r="L76" i="3"/>
  <c r="D76" i="3"/>
  <c r="B76" i="3"/>
  <c r="Z75" i="3"/>
  <c r="P75" i="3"/>
  <c r="X75" i="3" s="1"/>
  <c r="N75" i="3"/>
  <c r="L75" i="3"/>
  <c r="D75" i="3"/>
  <c r="B75" i="3"/>
  <c r="Z74" i="3"/>
  <c r="P74" i="3"/>
  <c r="X74" i="3" s="1"/>
  <c r="N74" i="3"/>
  <c r="D74" i="3"/>
  <c r="L74" i="3" s="1"/>
  <c r="B74" i="3"/>
  <c r="Z73" i="3"/>
  <c r="P73" i="3"/>
  <c r="X73" i="3" s="1"/>
  <c r="N73" i="3"/>
  <c r="D73" i="3"/>
  <c r="L73" i="3" s="1"/>
  <c r="B73" i="3"/>
  <c r="Z72" i="3"/>
  <c r="X72" i="3"/>
  <c r="P72" i="3"/>
  <c r="N72" i="3"/>
  <c r="D72" i="3"/>
  <c r="L72" i="3" s="1"/>
  <c r="B72" i="3"/>
  <c r="Z71" i="3"/>
  <c r="P71" i="3"/>
  <c r="X71" i="3" s="1"/>
  <c r="N71" i="3"/>
  <c r="D71" i="3"/>
  <c r="L71" i="3" s="1"/>
  <c r="B71" i="3"/>
  <c r="Z70" i="3"/>
  <c r="X70" i="3"/>
  <c r="P70" i="3"/>
  <c r="N70" i="3"/>
  <c r="D70" i="3"/>
  <c r="L70" i="3" s="1"/>
  <c r="B70" i="3"/>
  <c r="Z69" i="3"/>
  <c r="P69" i="3"/>
  <c r="X69" i="3" s="1"/>
  <c r="N69" i="3"/>
  <c r="L69" i="3"/>
  <c r="D69" i="3"/>
  <c r="B69" i="3"/>
  <c r="Z68" i="3"/>
  <c r="P68" i="3"/>
  <c r="X68" i="3" s="1"/>
  <c r="N68" i="3"/>
  <c r="D68" i="3"/>
  <c r="L68" i="3" s="1"/>
  <c r="B68" i="3"/>
  <c r="Z67" i="3"/>
  <c r="X67" i="3"/>
  <c r="P67" i="3"/>
  <c r="N67" i="3"/>
  <c r="L67" i="3"/>
  <c r="D67" i="3"/>
  <c r="B67" i="3"/>
  <c r="Z66" i="3"/>
  <c r="X66" i="3"/>
  <c r="P66" i="3"/>
  <c r="N66" i="3"/>
  <c r="D66" i="3"/>
  <c r="L66" i="3" s="1"/>
  <c r="B66" i="3"/>
  <c r="Z65" i="3"/>
  <c r="P65" i="3"/>
  <c r="X65" i="3" s="1"/>
  <c r="N65" i="3"/>
  <c r="D65" i="3"/>
  <c r="L65" i="3" s="1"/>
  <c r="B65" i="3"/>
  <c r="Z64" i="3"/>
  <c r="P64" i="3"/>
  <c r="X64" i="3" s="1"/>
  <c r="N64" i="3"/>
  <c r="L64" i="3"/>
  <c r="D64" i="3"/>
  <c r="B64" i="3"/>
  <c r="Z63" i="3"/>
  <c r="P63" i="3"/>
  <c r="X63" i="3" s="1"/>
  <c r="N63" i="3"/>
  <c r="L63" i="3"/>
  <c r="D63" i="3"/>
  <c r="B63" i="3"/>
  <c r="Z62" i="3"/>
  <c r="P62" i="3"/>
  <c r="X62" i="3" s="1"/>
  <c r="N62" i="3"/>
  <c r="D62" i="3"/>
  <c r="L62" i="3" s="1"/>
  <c r="B62" i="3"/>
  <c r="Z61" i="3"/>
  <c r="P61" i="3"/>
  <c r="X61" i="3" s="1"/>
  <c r="N61" i="3"/>
  <c r="D61" i="3"/>
  <c r="L61" i="3" s="1"/>
  <c r="B61" i="3"/>
  <c r="Z60" i="3"/>
  <c r="X60" i="3"/>
  <c r="P60" i="3"/>
  <c r="N60" i="3"/>
  <c r="D60" i="3"/>
  <c r="L60" i="3" s="1"/>
  <c r="B60" i="3"/>
  <c r="Z59" i="3"/>
  <c r="X59" i="3"/>
  <c r="P59" i="3"/>
  <c r="N59" i="3"/>
  <c r="D59" i="3"/>
  <c r="L59" i="3" s="1"/>
  <c r="B59" i="3"/>
  <c r="Z58" i="3"/>
  <c r="X58" i="3"/>
  <c r="P58" i="3"/>
  <c r="N58" i="3"/>
  <c r="D58" i="3"/>
  <c r="L58" i="3" s="1"/>
  <c r="B58" i="3"/>
  <c r="Z57" i="3"/>
  <c r="P57" i="3"/>
  <c r="X57" i="3" s="1"/>
  <c r="N57" i="3"/>
  <c r="L57" i="3"/>
  <c r="D57" i="3"/>
  <c r="B57" i="3"/>
  <c r="Z56" i="3"/>
  <c r="P56" i="3"/>
  <c r="X56" i="3" s="1"/>
  <c r="N56" i="3"/>
  <c r="L56" i="3"/>
  <c r="D56" i="3"/>
  <c r="B56" i="3"/>
  <c r="X55" i="3"/>
  <c r="Z55" i="3" s="1"/>
  <c r="P55" i="3"/>
  <c r="L55" i="3"/>
  <c r="N55" i="3" s="1"/>
  <c r="D55" i="3"/>
  <c r="B55" i="3"/>
  <c r="Z54" i="3"/>
  <c r="X54" i="3"/>
  <c r="P54" i="3"/>
  <c r="N54" i="3"/>
  <c r="D54" i="3"/>
  <c r="L54" i="3" s="1"/>
  <c r="B54" i="3"/>
  <c r="Z53" i="3"/>
  <c r="P53" i="3"/>
  <c r="X53" i="3" s="1"/>
  <c r="N53" i="3"/>
  <c r="D53" i="3"/>
  <c r="L53" i="3" s="1"/>
  <c r="B53" i="3"/>
  <c r="Z52" i="3"/>
  <c r="P52" i="3"/>
  <c r="X52" i="3" s="1"/>
  <c r="N52" i="3"/>
  <c r="L52" i="3"/>
  <c r="D52" i="3"/>
  <c r="B52" i="3"/>
  <c r="Z51" i="3"/>
  <c r="P51" i="3"/>
  <c r="X51" i="3" s="1"/>
  <c r="N51" i="3"/>
  <c r="L51" i="3"/>
  <c r="D51" i="3"/>
  <c r="B51" i="3"/>
  <c r="Z50" i="3"/>
  <c r="P50" i="3"/>
  <c r="X50" i="3" s="1"/>
  <c r="N50" i="3"/>
  <c r="D50" i="3"/>
  <c r="L50" i="3" s="1"/>
  <c r="B50" i="3"/>
  <c r="Z49" i="3"/>
  <c r="P49" i="3"/>
  <c r="X49" i="3" s="1"/>
  <c r="N49" i="3"/>
  <c r="D49" i="3"/>
  <c r="L49" i="3" s="1"/>
  <c r="B49" i="3"/>
  <c r="Z48" i="3"/>
  <c r="X48" i="3"/>
  <c r="P48" i="3"/>
  <c r="N48" i="3"/>
  <c r="D48" i="3"/>
  <c r="L48" i="3" s="1"/>
  <c r="B48" i="3"/>
  <c r="Z47" i="3"/>
  <c r="X47" i="3"/>
  <c r="P47" i="3"/>
  <c r="N47" i="3"/>
  <c r="D47" i="3"/>
  <c r="L47" i="3" s="1"/>
  <c r="B47" i="3"/>
  <c r="Z46" i="3"/>
  <c r="X46" i="3"/>
  <c r="P46" i="3"/>
  <c r="N46" i="3"/>
  <c r="D46" i="3"/>
  <c r="L46" i="3" s="1"/>
  <c r="B46" i="3"/>
  <c r="Z45" i="3"/>
  <c r="P45" i="3"/>
  <c r="X45" i="3" s="1"/>
  <c r="N45" i="3"/>
  <c r="L45" i="3"/>
  <c r="D45" i="3"/>
  <c r="B45" i="3"/>
  <c r="Z44" i="3"/>
  <c r="P44" i="3"/>
  <c r="X44" i="3" s="1"/>
  <c r="N44" i="3"/>
  <c r="L44" i="3"/>
  <c r="D44" i="3"/>
  <c r="B44" i="3"/>
  <c r="Z43" i="3"/>
  <c r="X43" i="3"/>
  <c r="P43" i="3"/>
  <c r="N43" i="3"/>
  <c r="L43" i="3"/>
  <c r="D43" i="3"/>
  <c r="B43" i="3"/>
  <c r="Z42" i="3"/>
  <c r="X42" i="3"/>
  <c r="P42" i="3"/>
  <c r="N42" i="3"/>
  <c r="D42" i="3"/>
  <c r="L42" i="3" s="1"/>
  <c r="B42" i="3"/>
  <c r="Z41" i="3"/>
  <c r="P41" i="3"/>
  <c r="X41" i="3" s="1"/>
  <c r="N41" i="3"/>
  <c r="D41" i="3"/>
  <c r="L41" i="3" s="1"/>
  <c r="B41" i="3"/>
  <c r="Z40" i="3"/>
  <c r="P40" i="3"/>
  <c r="X40" i="3" s="1"/>
  <c r="N40" i="3"/>
  <c r="L40" i="3"/>
  <c r="D40" i="3"/>
  <c r="B40" i="3"/>
  <c r="Z39" i="3"/>
  <c r="P39" i="3"/>
  <c r="X39" i="3" s="1"/>
  <c r="N39" i="3"/>
  <c r="L39" i="3"/>
  <c r="D39" i="3"/>
  <c r="B39" i="3"/>
  <c r="Z38" i="3"/>
  <c r="P38" i="3"/>
  <c r="X38" i="3" s="1"/>
  <c r="N38" i="3"/>
  <c r="D38" i="3"/>
  <c r="L38" i="3" s="1"/>
  <c r="B38" i="3"/>
  <c r="Z37" i="3"/>
  <c r="P37" i="3"/>
  <c r="X37" i="3" s="1"/>
  <c r="N37" i="3"/>
  <c r="D37" i="3"/>
  <c r="L37" i="3" s="1"/>
  <c r="B37" i="3"/>
  <c r="Z36" i="3"/>
  <c r="X36" i="3"/>
  <c r="P36" i="3"/>
  <c r="N36" i="3"/>
  <c r="D36" i="3"/>
  <c r="L36" i="3" s="1"/>
  <c r="B36" i="3"/>
  <c r="Z35" i="3"/>
  <c r="X35" i="3"/>
  <c r="P35" i="3"/>
  <c r="N35" i="3"/>
  <c r="D35" i="3"/>
  <c r="L35" i="3" s="1"/>
  <c r="B35" i="3"/>
  <c r="Z34" i="3"/>
  <c r="X34" i="3"/>
  <c r="P34" i="3"/>
  <c r="N34" i="3"/>
  <c r="D34" i="3"/>
  <c r="L34" i="3" s="1"/>
  <c r="B34" i="3"/>
  <c r="Z33" i="3"/>
  <c r="P33" i="3"/>
  <c r="X33" i="3" s="1"/>
  <c r="N33" i="3"/>
  <c r="L33" i="3"/>
  <c r="D33" i="3"/>
  <c r="B33" i="3"/>
  <c r="Z32" i="3"/>
  <c r="P32" i="3"/>
  <c r="X32" i="3" s="1"/>
  <c r="N32" i="3"/>
  <c r="L32" i="3"/>
  <c r="D32" i="3"/>
  <c r="B32" i="3"/>
  <c r="Z31" i="3"/>
  <c r="X31" i="3"/>
  <c r="P31" i="3"/>
  <c r="N31" i="3"/>
  <c r="L31" i="3"/>
  <c r="D31" i="3"/>
  <c r="B31" i="3"/>
  <c r="Z30" i="3"/>
  <c r="X30" i="3"/>
  <c r="P30" i="3"/>
  <c r="N30" i="3"/>
  <c r="D30" i="3"/>
  <c r="L30" i="3" s="1"/>
  <c r="B30" i="3"/>
  <c r="Z29" i="3"/>
  <c r="P29" i="3"/>
  <c r="X29" i="3" s="1"/>
  <c r="N29" i="3"/>
  <c r="D29" i="3"/>
  <c r="L29" i="3" s="1"/>
  <c r="B29" i="3"/>
  <c r="Z28" i="3"/>
  <c r="P28" i="3"/>
  <c r="X28" i="3" s="1"/>
  <c r="N28" i="3"/>
  <c r="L28" i="3"/>
  <c r="D28" i="3"/>
  <c r="B28" i="3"/>
  <c r="Z27" i="3"/>
  <c r="P27" i="3"/>
  <c r="X27" i="3" s="1"/>
  <c r="N27" i="3"/>
  <c r="L27" i="3"/>
  <c r="D27" i="3"/>
  <c r="B27" i="3"/>
  <c r="Z26" i="3"/>
  <c r="P26" i="3"/>
  <c r="X26" i="3" s="1"/>
  <c r="N26" i="3"/>
  <c r="D26" i="3"/>
  <c r="L26" i="3" s="1"/>
  <c r="B26" i="3"/>
  <c r="Z25" i="3"/>
  <c r="P25" i="3"/>
  <c r="X25" i="3" s="1"/>
  <c r="N25" i="3"/>
  <c r="D25" i="3"/>
  <c r="L25" i="3" s="1"/>
  <c r="B25" i="3"/>
  <c r="Z24" i="3"/>
  <c r="X24" i="3"/>
  <c r="P24" i="3"/>
  <c r="N24" i="3"/>
  <c r="D24" i="3"/>
  <c r="L24" i="3" s="1"/>
  <c r="B24" i="3"/>
  <c r="Z23" i="3"/>
  <c r="X23" i="3"/>
  <c r="P23" i="3"/>
  <c r="N23" i="3"/>
  <c r="D23" i="3"/>
  <c r="L23" i="3" s="1"/>
  <c r="B23" i="3"/>
  <c r="Z22" i="3"/>
  <c r="X22" i="3"/>
  <c r="P22" i="3"/>
  <c r="N22" i="3"/>
  <c r="D22" i="3"/>
  <c r="L22" i="3" s="1"/>
  <c r="B22" i="3"/>
  <c r="Z21" i="3"/>
  <c r="P21" i="3"/>
  <c r="X21" i="3" s="1"/>
  <c r="N21" i="3"/>
  <c r="L21" i="3"/>
  <c r="D21" i="3"/>
  <c r="B21" i="3"/>
  <c r="Z20" i="3"/>
  <c r="P20" i="3"/>
  <c r="X20" i="3" s="1"/>
  <c r="N20" i="3"/>
  <c r="L20" i="3"/>
  <c r="D20" i="3"/>
  <c r="B20" i="3"/>
  <c r="Z19" i="3"/>
  <c r="X19" i="3"/>
  <c r="P19" i="3"/>
  <c r="N19" i="3"/>
  <c r="L19" i="3"/>
  <c r="D19" i="3"/>
  <c r="B19" i="3"/>
  <c r="Z18" i="3"/>
  <c r="X18" i="3"/>
  <c r="P18" i="3"/>
  <c r="N18" i="3"/>
  <c r="D18" i="3"/>
  <c r="L18" i="3" s="1"/>
  <c r="B18" i="3"/>
  <c r="Z17" i="3"/>
  <c r="P17" i="3"/>
  <c r="X17" i="3" s="1"/>
  <c r="N17" i="3"/>
  <c r="D17" i="3"/>
  <c r="L17" i="3" s="1"/>
  <c r="B17" i="3"/>
  <c r="Z16" i="3"/>
  <c r="P16" i="3"/>
  <c r="X16" i="3" s="1"/>
  <c r="N16" i="3"/>
  <c r="L16" i="3"/>
  <c r="D16" i="3"/>
  <c r="B16" i="3"/>
  <c r="Z15" i="3"/>
  <c r="P15" i="3"/>
  <c r="X15" i="3" s="1"/>
  <c r="N15" i="3"/>
  <c r="L15" i="3"/>
  <c r="D15" i="3"/>
  <c r="B15" i="3"/>
  <c r="Z14" i="3"/>
  <c r="P14" i="3"/>
  <c r="X14" i="3" s="1"/>
  <c r="N14" i="3"/>
  <c r="D14" i="3"/>
  <c r="L14" i="3" s="1"/>
  <c r="B14" i="3"/>
  <c r="P13" i="3"/>
  <c r="P12" i="3" s="1"/>
  <c r="D13" i="3"/>
  <c r="L13" i="3" s="1"/>
  <c r="N13" i="3" s="1"/>
  <c r="B13" i="3"/>
  <c r="T12" i="3"/>
  <c r="V365" i="3" s="1"/>
  <c r="H12" i="3"/>
  <c r="J352" i="3" s="1"/>
  <c r="D12" i="3"/>
  <c r="D4" i="3"/>
  <c r="B39" i="112"/>
  <c r="H24" i="112"/>
  <c r="H22" i="112"/>
  <c r="H13" i="112"/>
  <c r="D5" i="112"/>
  <c r="P20" i="111"/>
  <c r="P16" i="111"/>
  <c r="D12" i="111"/>
  <c r="P24" i="110"/>
  <c r="P22" i="110"/>
  <c r="T20" i="110"/>
  <c r="T16" i="110"/>
  <c r="T13" i="110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B22" i="112"/>
  <c r="D21" i="112"/>
  <c r="H15" i="112"/>
  <c r="B38" i="111"/>
  <c r="D34" i="111"/>
  <c r="D33" i="111"/>
  <c r="D29" i="111"/>
  <c r="D25" i="111"/>
  <c r="H21" i="111"/>
  <c r="D13" i="111"/>
  <c r="D4" i="111"/>
  <c r="H34" i="110"/>
  <c r="H33" i="110"/>
  <c r="H29" i="110"/>
  <c r="H25" i="110"/>
  <c r="P15" i="110"/>
  <c r="D6" i="110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D33" i="110"/>
  <c r="D29" i="110"/>
  <c r="D25" i="110"/>
  <c r="H21" i="110"/>
  <c r="D13" i="110"/>
  <c r="D4" i="110"/>
  <c r="T24" i="112"/>
  <c r="T22" i="112"/>
  <c r="P12" i="112"/>
  <c r="B21" i="111"/>
  <c r="D20" i="111"/>
  <c r="D16" i="111"/>
  <c r="B25" i="110"/>
  <c r="D24" i="110"/>
  <c r="D22" i="110"/>
  <c r="H20" i="110"/>
  <c r="H16" i="110"/>
  <c r="B13" i="110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B22" i="110"/>
  <c r="D21" i="110"/>
  <c r="H15" i="110"/>
  <c r="P24" i="112"/>
  <c r="P22" i="112"/>
  <c r="T20" i="112"/>
  <c r="T16" i="112"/>
  <c r="T13" i="112"/>
  <c r="T24" i="111"/>
  <c r="T22" i="111"/>
  <c r="P12" i="111"/>
  <c r="B21" i="110"/>
  <c r="D20" i="110"/>
  <c r="D16" i="110"/>
  <c r="P21" i="112"/>
  <c r="T15" i="112"/>
  <c r="P13" i="112"/>
  <c r="H12" i="112"/>
  <c r="P34" i="111"/>
  <c r="P33" i="111"/>
  <c r="P29" i="111"/>
  <c r="P25" i="111"/>
  <c r="T21" i="111"/>
  <c r="T34" i="110"/>
  <c r="T33" i="110"/>
  <c r="T29" i="110"/>
  <c r="T25" i="110"/>
  <c r="B16" i="110"/>
  <c r="D15" i="110"/>
  <c r="T12" i="110"/>
  <c r="H34" i="112"/>
  <c r="H33" i="112"/>
  <c r="H29" i="112"/>
  <c r="H25" i="112"/>
  <c r="P15" i="112"/>
  <c r="D6" i="112"/>
  <c r="P21" i="111"/>
  <c r="T15" i="111"/>
  <c r="P13" i="111"/>
  <c r="H12" i="111"/>
  <c r="P34" i="110"/>
  <c r="P33" i="110"/>
  <c r="P29" i="110"/>
  <c r="P25" i="110"/>
  <c r="T21" i="110"/>
  <c r="P16" i="112"/>
  <c r="P22" i="111"/>
  <c r="T20" i="111"/>
  <c r="D12" i="112"/>
  <c r="T24" i="110"/>
  <c r="T16" i="111"/>
  <c r="T22" i="110"/>
  <c r="T13" i="111"/>
  <c r="P24" i="111"/>
  <c r="P12" i="110"/>
  <c r="P20" i="112"/>
  <c r="P20" i="53"/>
  <c r="P16" i="53"/>
  <c r="D12" i="53"/>
  <c r="P21" i="52"/>
  <c r="T15" i="52"/>
  <c r="P13" i="52"/>
  <c r="H12" i="52"/>
  <c r="H34" i="53"/>
  <c r="H33" i="53"/>
  <c r="H29" i="53"/>
  <c r="H25" i="53"/>
  <c r="P15" i="53"/>
  <c r="D5" i="53"/>
  <c r="P20" i="52"/>
  <c r="P16" i="52"/>
  <c r="D12" i="52"/>
  <c r="B39" i="53"/>
  <c r="H24" i="53"/>
  <c r="H22" i="53"/>
  <c r="H13" i="53"/>
  <c r="D4" i="53"/>
  <c r="H34" i="52"/>
  <c r="H33" i="52"/>
  <c r="H29" i="52"/>
  <c r="H25" i="52"/>
  <c r="P15" i="52"/>
  <c r="D5" i="52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B22" i="53"/>
  <c r="D21" i="53"/>
  <c r="H15" i="53"/>
  <c r="B25" i="52"/>
  <c r="D24" i="52"/>
  <c r="D22" i="52"/>
  <c r="H20" i="52"/>
  <c r="H16" i="52"/>
  <c r="B13" i="52"/>
  <c r="B21" i="53"/>
  <c r="D20" i="53"/>
  <c r="D16" i="53"/>
  <c r="B22" i="52"/>
  <c r="D21" i="52"/>
  <c r="H15" i="52"/>
  <c r="T34" i="53"/>
  <c r="T33" i="53"/>
  <c r="T29" i="53"/>
  <c r="T25" i="53"/>
  <c r="B16" i="53"/>
  <c r="D15" i="53"/>
  <c r="T12" i="53"/>
  <c r="B21" i="52"/>
  <c r="D20" i="52"/>
  <c r="D16" i="52"/>
  <c r="T24" i="53"/>
  <c r="T22" i="53"/>
  <c r="P12" i="53"/>
  <c r="T34" i="52"/>
  <c r="T33" i="52"/>
  <c r="T29" i="52"/>
  <c r="T25" i="52"/>
  <c r="B16" i="52"/>
  <c r="D15" i="52"/>
  <c r="T12" i="52"/>
  <c r="P21" i="53"/>
  <c r="T15" i="53"/>
  <c r="P13" i="53"/>
  <c r="H12" i="53"/>
  <c r="P24" i="52"/>
  <c r="P22" i="52"/>
  <c r="T20" i="52"/>
  <c r="T16" i="52"/>
  <c r="T13" i="52"/>
  <c r="P34" i="50"/>
  <c r="P33" i="50"/>
  <c r="B38" i="53"/>
  <c r="B39" i="52"/>
  <c r="H24" i="52"/>
  <c r="D4" i="52"/>
  <c r="B39" i="50"/>
  <c r="H25" i="50"/>
  <c r="P15" i="50"/>
  <c r="D5" i="50"/>
  <c r="P20" i="49"/>
  <c r="P16" i="49"/>
  <c r="D12" i="49"/>
  <c r="P20" i="47"/>
  <c r="P16" i="47"/>
  <c r="D12" i="47"/>
  <c r="P21" i="46"/>
  <c r="T15" i="46"/>
  <c r="P13" i="46"/>
  <c r="H12" i="46"/>
  <c r="B38" i="44"/>
  <c r="D34" i="44"/>
  <c r="D33" i="44"/>
  <c r="D29" i="44"/>
  <c r="D25" i="44"/>
  <c r="H21" i="44"/>
  <c r="D13" i="44"/>
  <c r="B39" i="43"/>
  <c r="H24" i="43"/>
  <c r="H22" i="43"/>
  <c r="P29" i="53"/>
  <c r="T22" i="52"/>
  <c r="B38" i="50"/>
  <c r="T34" i="50"/>
  <c r="H29" i="50"/>
  <c r="H24" i="50"/>
  <c r="H22" i="50"/>
  <c r="H13" i="50"/>
  <c r="D4" i="50"/>
  <c r="H34" i="49"/>
  <c r="H33" i="49"/>
  <c r="H29" i="49"/>
  <c r="H25" i="49"/>
  <c r="P15" i="49"/>
  <c r="D5" i="49"/>
  <c r="H34" i="47"/>
  <c r="H33" i="47"/>
  <c r="H29" i="47"/>
  <c r="H25" i="47"/>
  <c r="P15" i="47"/>
  <c r="D5" i="47"/>
  <c r="P20" i="46"/>
  <c r="P16" i="46"/>
  <c r="D12" i="46"/>
  <c r="P22" i="53"/>
  <c r="T16" i="53"/>
  <c r="P29" i="52"/>
  <c r="D25" i="50"/>
  <c r="H21" i="50"/>
  <c r="D13" i="50"/>
  <c r="B39" i="49"/>
  <c r="H24" i="49"/>
  <c r="H22" i="49"/>
  <c r="H13" i="49"/>
  <c r="D4" i="49"/>
  <c r="B39" i="47"/>
  <c r="H24" i="47"/>
  <c r="H22" i="47"/>
  <c r="H13" i="47"/>
  <c r="D4" i="47"/>
  <c r="H34" i="46"/>
  <c r="H33" i="46"/>
  <c r="H29" i="46"/>
  <c r="H25" i="46"/>
  <c r="P15" i="46"/>
  <c r="D5" i="46"/>
  <c r="B22" i="44"/>
  <c r="D21" i="44"/>
  <c r="H15" i="44"/>
  <c r="B25" i="43"/>
  <c r="D24" i="43"/>
  <c r="D22" i="43"/>
  <c r="D29" i="53"/>
  <c r="H22" i="52"/>
  <c r="D29" i="50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P34" i="53"/>
  <c r="T21" i="53"/>
  <c r="H33" i="50"/>
  <c r="B22" i="50"/>
  <c r="D21" i="50"/>
  <c r="H15" i="50"/>
  <c r="B25" i="49"/>
  <c r="D24" i="49"/>
  <c r="D22" i="49"/>
  <c r="H20" i="49"/>
  <c r="H16" i="49"/>
  <c r="B13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T34" i="44"/>
  <c r="T33" i="44"/>
  <c r="T29" i="44"/>
  <c r="T25" i="44"/>
  <c r="B16" i="44"/>
  <c r="D15" i="44"/>
  <c r="T12" i="44"/>
  <c r="P34" i="52"/>
  <c r="T21" i="52"/>
  <c r="B21" i="50"/>
  <c r="D20" i="50"/>
  <c r="D16" i="50"/>
  <c r="B22" i="49"/>
  <c r="D21" i="49"/>
  <c r="H15" i="49"/>
  <c r="B22" i="47"/>
  <c r="D21" i="47"/>
  <c r="H15" i="47"/>
  <c r="B25" i="46"/>
  <c r="D24" i="46"/>
  <c r="D22" i="46"/>
  <c r="H20" i="46"/>
  <c r="H16" i="46"/>
  <c r="B13" i="46"/>
  <c r="T24" i="44"/>
  <c r="T22" i="44"/>
  <c r="P12" i="44"/>
  <c r="T34" i="43"/>
  <c r="T33" i="43"/>
  <c r="T29" i="43"/>
  <c r="T25" i="43"/>
  <c r="D34" i="53"/>
  <c r="H21" i="53"/>
  <c r="H34" i="50"/>
  <c r="D33" i="50"/>
  <c r="T25" i="50"/>
  <c r="B16" i="50"/>
  <c r="D15" i="50"/>
  <c r="T12" i="50"/>
  <c r="B21" i="49"/>
  <c r="D20" i="49"/>
  <c r="D16" i="49"/>
  <c r="B21" i="47"/>
  <c r="D20" i="47"/>
  <c r="D16" i="47"/>
  <c r="B22" i="46"/>
  <c r="D21" i="46"/>
  <c r="H15" i="46"/>
  <c r="P33" i="53"/>
  <c r="P25" i="53"/>
  <c r="T29" i="50"/>
  <c r="T24" i="50"/>
  <c r="T22" i="50"/>
  <c r="P12" i="50"/>
  <c r="T34" i="49"/>
  <c r="T33" i="49"/>
  <c r="T29" i="49"/>
  <c r="T25" i="49"/>
  <c r="B16" i="49"/>
  <c r="D15" i="49"/>
  <c r="T12" i="49"/>
  <c r="T34" i="47"/>
  <c r="T33" i="47"/>
  <c r="T29" i="47"/>
  <c r="T25" i="47"/>
  <c r="B16" i="47"/>
  <c r="D15" i="47"/>
  <c r="T12" i="47"/>
  <c r="B21" i="46"/>
  <c r="D20" i="46"/>
  <c r="D16" i="46"/>
  <c r="T20" i="53"/>
  <c r="T13" i="53"/>
  <c r="P33" i="52"/>
  <c r="P25" i="52"/>
  <c r="D34" i="50"/>
  <c r="P25" i="50"/>
  <c r="T21" i="50"/>
  <c r="T24" i="49"/>
  <c r="T22" i="49"/>
  <c r="P12" i="49"/>
  <c r="T24" i="47"/>
  <c r="T22" i="47"/>
  <c r="P12" i="47"/>
  <c r="T34" i="46"/>
  <c r="T33" i="46"/>
  <c r="T29" i="46"/>
  <c r="T25" i="46"/>
  <c r="B16" i="46"/>
  <c r="D15" i="46"/>
  <c r="T12" i="46"/>
  <c r="P21" i="44"/>
  <c r="T15" i="44"/>
  <c r="P13" i="44"/>
  <c r="H12" i="44"/>
  <c r="P24" i="43"/>
  <c r="P22" i="43"/>
  <c r="P24" i="53"/>
  <c r="T33" i="50"/>
  <c r="P20" i="50"/>
  <c r="P16" i="50"/>
  <c r="D12" i="50"/>
  <c r="P21" i="49"/>
  <c r="T15" i="49"/>
  <c r="P13" i="49"/>
  <c r="H12" i="49"/>
  <c r="P21" i="47"/>
  <c r="T15" i="47"/>
  <c r="P13" i="47"/>
  <c r="H12" i="47"/>
  <c r="P24" i="46"/>
  <c r="P22" i="46"/>
  <c r="T20" i="46"/>
  <c r="T16" i="46"/>
  <c r="T13" i="46"/>
  <c r="B39" i="44"/>
  <c r="H24" i="44"/>
  <c r="H22" i="44"/>
  <c r="H13" i="44"/>
  <c r="D4" i="44"/>
  <c r="H34" i="43"/>
  <c r="H33" i="43"/>
  <c r="H29" i="43"/>
  <c r="H25" i="43"/>
  <c r="T24" i="52"/>
  <c r="P21" i="50"/>
  <c r="H12" i="50"/>
  <c r="T24" i="46"/>
  <c r="P12" i="46"/>
  <c r="D20" i="44"/>
  <c r="D16" i="44"/>
  <c r="H20" i="43"/>
  <c r="H16" i="43"/>
  <c r="B13" i="43"/>
  <c r="T34" i="41"/>
  <c r="T33" i="41"/>
  <c r="T29" i="41"/>
  <c r="T25" i="41"/>
  <c r="B16" i="41"/>
  <c r="D15" i="41"/>
  <c r="T12" i="41"/>
  <c r="B21" i="40"/>
  <c r="D20" i="40"/>
  <c r="D16" i="40"/>
  <c r="D33" i="53"/>
  <c r="P29" i="50"/>
  <c r="T20" i="50"/>
  <c r="P25" i="49"/>
  <c r="P24" i="47"/>
  <c r="T21" i="44"/>
  <c r="T24" i="43"/>
  <c r="D21" i="43"/>
  <c r="H15" i="43"/>
  <c r="T24" i="41"/>
  <c r="T22" i="41"/>
  <c r="P12" i="41"/>
  <c r="T34" i="40"/>
  <c r="T33" i="40"/>
  <c r="T29" i="40"/>
  <c r="T25" i="40"/>
  <c r="B16" i="40"/>
  <c r="D15" i="40"/>
  <c r="T12" i="40"/>
  <c r="T16" i="49"/>
  <c r="B38" i="47"/>
  <c r="B39" i="46"/>
  <c r="H24" i="46"/>
  <c r="D4" i="46"/>
  <c r="P24" i="44"/>
  <c r="P34" i="43"/>
  <c r="B21" i="43"/>
  <c r="D20" i="43"/>
  <c r="D16" i="43"/>
  <c r="P34" i="41"/>
  <c r="P33" i="41"/>
  <c r="P29" i="41"/>
  <c r="P25" i="41"/>
  <c r="T21" i="41"/>
  <c r="T24" i="40"/>
  <c r="T22" i="40"/>
  <c r="P12" i="40"/>
  <c r="D25" i="53"/>
  <c r="H13" i="52"/>
  <c r="P34" i="49"/>
  <c r="P29" i="47"/>
  <c r="T22" i="46"/>
  <c r="D12" i="44"/>
  <c r="B22" i="43"/>
  <c r="B16" i="43"/>
  <c r="D15" i="43"/>
  <c r="T12" i="43"/>
  <c r="P12" i="52"/>
  <c r="P24" i="49"/>
  <c r="P22" i="47"/>
  <c r="T16" i="47"/>
  <c r="P29" i="46"/>
  <c r="P34" i="44"/>
  <c r="P15" i="44"/>
  <c r="D5" i="44"/>
  <c r="P12" i="43"/>
  <c r="P21" i="41"/>
  <c r="T15" i="41"/>
  <c r="P13" i="41"/>
  <c r="H12" i="41"/>
  <c r="P24" i="40"/>
  <c r="P22" i="40"/>
  <c r="T20" i="40"/>
  <c r="T16" i="40"/>
  <c r="T13" i="40"/>
  <c r="T16" i="50"/>
  <c r="P33" i="49"/>
  <c r="D29" i="47"/>
  <c r="H22" i="46"/>
  <c r="D24" i="44"/>
  <c r="B38" i="43"/>
  <c r="D34" i="43"/>
  <c r="P20" i="41"/>
  <c r="P16" i="41"/>
  <c r="D12" i="41"/>
  <c r="P21" i="40"/>
  <c r="T15" i="40"/>
  <c r="P13" i="40"/>
  <c r="H12" i="40"/>
  <c r="P22" i="49"/>
  <c r="T13" i="49"/>
  <c r="P34" i="47"/>
  <c r="T21" i="47"/>
  <c r="H34" i="44"/>
  <c r="B21" i="44"/>
  <c r="T21" i="43"/>
  <c r="T20" i="43"/>
  <c r="T16" i="43"/>
  <c r="T13" i="43"/>
  <c r="H34" i="41"/>
  <c r="H33" i="41"/>
  <c r="H29" i="41"/>
  <c r="H25" i="41"/>
  <c r="P15" i="41"/>
  <c r="D5" i="41"/>
  <c r="P20" i="40"/>
  <c r="P16" i="40"/>
  <c r="D12" i="40"/>
  <c r="D13" i="53"/>
  <c r="P24" i="50"/>
  <c r="T21" i="49"/>
  <c r="P34" i="46"/>
  <c r="T21" i="46"/>
  <c r="P29" i="44"/>
  <c r="P25" i="44"/>
  <c r="P21" i="43"/>
  <c r="T15" i="43"/>
  <c r="P13" i="43"/>
  <c r="H12" i="43"/>
  <c r="B39" i="41"/>
  <c r="H24" i="41"/>
  <c r="H22" i="41"/>
  <c r="H13" i="41"/>
  <c r="D4" i="41"/>
  <c r="H34" i="40"/>
  <c r="H33" i="40"/>
  <c r="H29" i="40"/>
  <c r="H25" i="40"/>
  <c r="P15" i="40"/>
  <c r="D5" i="40"/>
  <c r="T15" i="50"/>
  <c r="D34" i="47"/>
  <c r="H21" i="47"/>
  <c r="P33" i="44"/>
  <c r="P22" i="44"/>
  <c r="T20" i="44"/>
  <c r="T16" i="44"/>
  <c r="T13" i="44"/>
  <c r="P33" i="43"/>
  <c r="P29" i="43"/>
  <c r="P25" i="43"/>
  <c r="P20" i="43"/>
  <c r="P16" i="43"/>
  <c r="D12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D33" i="47"/>
  <c r="D25" i="47"/>
  <c r="D13" i="47"/>
  <c r="H13" i="46"/>
  <c r="H33" i="44"/>
  <c r="B25" i="44"/>
  <c r="D22" i="44"/>
  <c r="H20" i="44"/>
  <c r="H16" i="44"/>
  <c r="B13" i="44"/>
  <c r="D33" i="43"/>
  <c r="D29" i="43"/>
  <c r="D25" i="43"/>
  <c r="H21" i="43"/>
  <c r="D13" i="43"/>
  <c r="B21" i="41"/>
  <c r="D20" i="41"/>
  <c r="D16" i="41"/>
  <c r="B22" i="40"/>
  <c r="D21" i="40"/>
  <c r="H15" i="40"/>
  <c r="P33" i="47"/>
  <c r="H25" i="44"/>
  <c r="P22" i="41"/>
  <c r="T16" i="41"/>
  <c r="P29" i="40"/>
  <c r="B22" i="38"/>
  <c r="D21" i="38"/>
  <c r="H15" i="38"/>
  <c r="B25" i="37"/>
  <c r="D24" i="37"/>
  <c r="D22" i="37"/>
  <c r="H20" i="37"/>
  <c r="H16" i="37"/>
  <c r="B13" i="37"/>
  <c r="T24" i="35"/>
  <c r="T22" i="35"/>
  <c r="P12" i="35"/>
  <c r="T34" i="34"/>
  <c r="T33" i="34"/>
  <c r="T29" i="34"/>
  <c r="T25" i="34"/>
  <c r="B16" i="34"/>
  <c r="D15" i="34"/>
  <c r="T12" i="34"/>
  <c r="P34" i="32"/>
  <c r="P33" i="32"/>
  <c r="P29" i="32"/>
  <c r="P25" i="32"/>
  <c r="T21" i="32"/>
  <c r="T24" i="31"/>
  <c r="T22" i="31"/>
  <c r="P12" i="31"/>
  <c r="P34" i="29"/>
  <c r="P33" i="29"/>
  <c r="P29" i="29"/>
  <c r="P25" i="29"/>
  <c r="T21" i="29"/>
  <c r="P22" i="50"/>
  <c r="D22" i="41"/>
  <c r="H16" i="41"/>
  <c r="D29" i="40"/>
  <c r="B21" i="38"/>
  <c r="D20" i="38"/>
  <c r="D16" i="38"/>
  <c r="B22" i="37"/>
  <c r="D21" i="37"/>
  <c r="H15" i="37"/>
  <c r="P34" i="35"/>
  <c r="P33" i="35"/>
  <c r="P29" i="35"/>
  <c r="P25" i="35"/>
  <c r="T21" i="35"/>
  <c r="T24" i="34"/>
  <c r="T22" i="34"/>
  <c r="P12" i="34"/>
  <c r="P24" i="32"/>
  <c r="P22" i="32"/>
  <c r="T20" i="32"/>
  <c r="T16" i="32"/>
  <c r="T13" i="32"/>
  <c r="P34" i="31"/>
  <c r="P33" i="31"/>
  <c r="P29" i="31"/>
  <c r="P25" i="31"/>
  <c r="T21" i="31"/>
  <c r="P25" i="47"/>
  <c r="B22" i="41"/>
  <c r="D22" i="40"/>
  <c r="H16" i="40"/>
  <c r="T34" i="38"/>
  <c r="T33" i="38"/>
  <c r="T29" i="38"/>
  <c r="T25" i="38"/>
  <c r="B16" i="38"/>
  <c r="D15" i="38"/>
  <c r="T12" i="38"/>
  <c r="B21" i="37"/>
  <c r="D20" i="37"/>
  <c r="D16" i="37"/>
  <c r="P24" i="35"/>
  <c r="P22" i="35"/>
  <c r="T20" i="35"/>
  <c r="T16" i="35"/>
  <c r="T13" i="35"/>
  <c r="P34" i="34"/>
  <c r="P33" i="34"/>
  <c r="P29" i="34"/>
  <c r="P25" i="34"/>
  <c r="T21" i="34"/>
  <c r="P21" i="32"/>
  <c r="T15" i="32"/>
  <c r="P13" i="32"/>
  <c r="H12" i="32"/>
  <c r="P24" i="31"/>
  <c r="P22" i="31"/>
  <c r="T20" i="31"/>
  <c r="T16" i="31"/>
  <c r="T13" i="31"/>
  <c r="T13" i="50"/>
  <c r="P20" i="44"/>
  <c r="P15" i="43"/>
  <c r="P34" i="40"/>
  <c r="T21" i="40"/>
  <c r="T24" i="38"/>
  <c r="T22" i="38"/>
  <c r="P12" i="38"/>
  <c r="T34" i="37"/>
  <c r="T33" i="37"/>
  <c r="T29" i="37"/>
  <c r="T25" i="37"/>
  <c r="B16" i="37"/>
  <c r="D15" i="37"/>
  <c r="T12" i="37"/>
  <c r="P21" i="35"/>
  <c r="T15" i="35"/>
  <c r="P13" i="35"/>
  <c r="H12" i="35"/>
  <c r="P24" i="34"/>
  <c r="P22" i="34"/>
  <c r="T20" i="34"/>
  <c r="T16" i="34"/>
  <c r="T13" i="34"/>
  <c r="P13" i="50"/>
  <c r="D34" i="40"/>
  <c r="H21" i="40"/>
  <c r="P34" i="38"/>
  <c r="P33" i="38"/>
  <c r="P29" i="38"/>
  <c r="P25" i="38"/>
  <c r="T21" i="38"/>
  <c r="T24" i="37"/>
  <c r="T22" i="37"/>
  <c r="P12" i="37"/>
  <c r="P20" i="35"/>
  <c r="P16" i="35"/>
  <c r="D12" i="35"/>
  <c r="P21" i="34"/>
  <c r="T15" i="34"/>
  <c r="P13" i="34"/>
  <c r="H12" i="34"/>
  <c r="H34" i="32"/>
  <c r="H33" i="32"/>
  <c r="H29" i="32"/>
  <c r="H25" i="32"/>
  <c r="P15" i="32"/>
  <c r="D5" i="32"/>
  <c r="P20" i="31"/>
  <c r="P16" i="31"/>
  <c r="D12" i="31"/>
  <c r="P29" i="49"/>
  <c r="T20" i="47"/>
  <c r="P16" i="44"/>
  <c r="T22" i="43"/>
  <c r="D21" i="41"/>
  <c r="H15" i="41"/>
  <c r="P24" i="38"/>
  <c r="P22" i="38"/>
  <c r="T20" i="38"/>
  <c r="T16" i="38"/>
  <c r="T13" i="38"/>
  <c r="P34" i="37"/>
  <c r="P33" i="37"/>
  <c r="P29" i="37"/>
  <c r="P25" i="37"/>
  <c r="T21" i="37"/>
  <c r="H34" i="35"/>
  <c r="H33" i="35"/>
  <c r="H29" i="35"/>
  <c r="H25" i="35"/>
  <c r="P15" i="35"/>
  <c r="D5" i="35"/>
  <c r="P20" i="34"/>
  <c r="P16" i="34"/>
  <c r="D12" i="34"/>
  <c r="B39" i="32"/>
  <c r="H24" i="32"/>
  <c r="H22" i="32"/>
  <c r="H13" i="32"/>
  <c r="D4" i="32"/>
  <c r="H34" i="31"/>
  <c r="H33" i="31"/>
  <c r="H29" i="31"/>
  <c r="H25" i="31"/>
  <c r="P15" i="31"/>
  <c r="D5" i="31"/>
  <c r="B39" i="29"/>
  <c r="H24" i="29"/>
  <c r="H22" i="29"/>
  <c r="H13" i="43"/>
  <c r="T20" i="41"/>
  <c r="T13" i="41"/>
  <c r="P33" i="40"/>
  <c r="P25" i="40"/>
  <c r="P21" i="38"/>
  <c r="T15" i="38"/>
  <c r="P13" i="38"/>
  <c r="H12" i="38"/>
  <c r="P24" i="37"/>
  <c r="P22" i="37"/>
  <c r="T20" i="37"/>
  <c r="T16" i="37"/>
  <c r="T13" i="37"/>
  <c r="B39" i="35"/>
  <c r="H24" i="35"/>
  <c r="H22" i="35"/>
  <c r="H13" i="35"/>
  <c r="D4" i="35"/>
  <c r="H34" i="34"/>
  <c r="H33" i="34"/>
  <c r="H29" i="34"/>
  <c r="H25" i="34"/>
  <c r="P15" i="34"/>
  <c r="D5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T13" i="47"/>
  <c r="D5" i="43"/>
  <c r="B25" i="41"/>
  <c r="H20" i="41"/>
  <c r="B13" i="41"/>
  <c r="D33" i="40"/>
  <c r="D25" i="40"/>
  <c r="D13" i="40"/>
  <c r="P20" i="38"/>
  <c r="P16" i="38"/>
  <c r="D12" i="38"/>
  <c r="P21" i="37"/>
  <c r="T15" i="37"/>
  <c r="P13" i="37"/>
  <c r="H12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T20" i="49"/>
  <c r="D4" i="43"/>
  <c r="B25" i="40"/>
  <c r="H20" i="40"/>
  <c r="B13" i="40"/>
  <c r="H34" i="38"/>
  <c r="H33" i="38"/>
  <c r="H29" i="38"/>
  <c r="H25" i="38"/>
  <c r="P15" i="38"/>
  <c r="D5" i="38"/>
  <c r="P20" i="37"/>
  <c r="P16" i="37"/>
  <c r="D12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B22" i="32"/>
  <c r="D21" i="32"/>
  <c r="H15" i="32"/>
  <c r="B25" i="31"/>
  <c r="D24" i="31"/>
  <c r="D22" i="31"/>
  <c r="H20" i="31"/>
  <c r="H16" i="31"/>
  <c r="B13" i="31"/>
  <c r="P25" i="46"/>
  <c r="D24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T34" i="35"/>
  <c r="T33" i="35"/>
  <c r="T29" i="35"/>
  <c r="T25" i="35"/>
  <c r="B16" i="35"/>
  <c r="D15" i="35"/>
  <c r="T12" i="35"/>
  <c r="B21" i="34"/>
  <c r="D20" i="34"/>
  <c r="D16" i="34"/>
  <c r="T24" i="32"/>
  <c r="T22" i="32"/>
  <c r="P12" i="32"/>
  <c r="T34" i="31"/>
  <c r="T33" i="31"/>
  <c r="T29" i="31"/>
  <c r="T25" i="31"/>
  <c r="B16" i="31"/>
  <c r="D15" i="31"/>
  <c r="T12" i="31"/>
  <c r="T24" i="29"/>
  <c r="T22" i="29"/>
  <c r="H25" i="37"/>
  <c r="B25" i="34"/>
  <c r="H16" i="34"/>
  <c r="T33" i="32"/>
  <c r="T25" i="32"/>
  <c r="D15" i="32"/>
  <c r="B21" i="31"/>
  <c r="B25" i="29"/>
  <c r="H13" i="29"/>
  <c r="D4" i="29"/>
  <c r="H34" i="28"/>
  <c r="H33" i="28"/>
  <c r="H29" i="28"/>
  <c r="H25" i="28"/>
  <c r="P15" i="28"/>
  <c r="D5" i="28"/>
  <c r="B39" i="26"/>
  <c r="H24" i="26"/>
  <c r="H22" i="26"/>
  <c r="H13" i="26"/>
  <c r="D4" i="26"/>
  <c r="H34" i="25"/>
  <c r="H33" i="25"/>
  <c r="H29" i="25"/>
  <c r="H25" i="25"/>
  <c r="P15" i="25"/>
  <c r="D5" i="25"/>
  <c r="B22" i="23"/>
  <c r="D21" i="23"/>
  <c r="H15" i="23"/>
  <c r="B25" i="22"/>
  <c r="D24" i="22"/>
  <c r="D22" i="22"/>
  <c r="H20" i="22"/>
  <c r="H16" i="22"/>
  <c r="B13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D29" i="38"/>
  <c r="D20" i="35"/>
  <c r="P20" i="32"/>
  <c r="P13" i="31"/>
  <c r="H21" i="29"/>
  <c r="D13" i="29"/>
  <c r="B39" i="28"/>
  <c r="H24" i="28"/>
  <c r="H22" i="28"/>
  <c r="H13" i="28"/>
  <c r="D4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B21" i="23"/>
  <c r="D20" i="23"/>
  <c r="D16" i="23"/>
  <c r="B22" i="22"/>
  <c r="D21" i="22"/>
  <c r="H15" i="22"/>
  <c r="B22" i="20"/>
  <c r="D21" i="20"/>
  <c r="H15" i="20"/>
  <c r="B38" i="40"/>
  <c r="B39" i="38"/>
  <c r="H34" i="37"/>
  <c r="P15" i="37"/>
  <c r="D24" i="34"/>
  <c r="D20" i="32"/>
  <c r="T33" i="29"/>
  <c r="H20" i="29"/>
  <c r="H16" i="29"/>
  <c r="B13" i="29"/>
  <c r="B38" i="28"/>
  <c r="D34" i="28"/>
  <c r="D33" i="28"/>
  <c r="D29" i="28"/>
  <c r="D25" i="28"/>
  <c r="H21" i="28"/>
  <c r="D13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T34" i="23"/>
  <c r="T33" i="23"/>
  <c r="T29" i="23"/>
  <c r="T25" i="23"/>
  <c r="B16" i="23"/>
  <c r="D15" i="23"/>
  <c r="T12" i="23"/>
  <c r="B21" i="22"/>
  <c r="D20" i="22"/>
  <c r="D16" i="22"/>
  <c r="B21" i="20"/>
  <c r="D20" i="20"/>
  <c r="D16" i="20"/>
  <c r="B22" i="19"/>
  <c r="D21" i="19"/>
  <c r="H15" i="19"/>
  <c r="B38" i="38"/>
  <c r="H24" i="37"/>
  <c r="H15" i="34"/>
  <c r="T12" i="32"/>
  <c r="D20" i="31"/>
  <c r="P24" i="29"/>
  <c r="D21" i="29"/>
  <c r="H15" i="29"/>
  <c r="B25" i="28"/>
  <c r="D24" i="28"/>
  <c r="D22" i="28"/>
  <c r="H20" i="28"/>
  <c r="H16" i="28"/>
  <c r="B13" i="28"/>
  <c r="B22" i="26"/>
  <c r="D21" i="26"/>
  <c r="H15" i="26"/>
  <c r="B25" i="25"/>
  <c r="D24" i="25"/>
  <c r="D22" i="25"/>
  <c r="H20" i="25"/>
  <c r="H16" i="25"/>
  <c r="B13" i="25"/>
  <c r="H33" i="37"/>
  <c r="D22" i="34"/>
  <c r="B13" i="34"/>
  <c r="D12" i="32"/>
  <c r="H12" i="31"/>
  <c r="T29" i="29"/>
  <c r="D22" i="29"/>
  <c r="B21" i="29"/>
  <c r="D20" i="29"/>
  <c r="D16" i="29"/>
  <c r="B22" i="28"/>
  <c r="D21" i="28"/>
  <c r="H15" i="28"/>
  <c r="B21" i="26"/>
  <c r="D20" i="26"/>
  <c r="D16" i="26"/>
  <c r="B22" i="25"/>
  <c r="D21" i="25"/>
  <c r="H15" i="25"/>
  <c r="P34" i="23"/>
  <c r="P33" i="23"/>
  <c r="P29" i="23"/>
  <c r="P25" i="23"/>
  <c r="T21" i="23"/>
  <c r="T24" i="22"/>
  <c r="T22" i="22"/>
  <c r="P12" i="22"/>
  <c r="T24" i="20"/>
  <c r="T22" i="20"/>
  <c r="P12" i="20"/>
  <c r="T34" i="19"/>
  <c r="T33" i="19"/>
  <c r="T29" i="19"/>
  <c r="T25" i="19"/>
  <c r="B16" i="19"/>
  <c r="D15" i="19"/>
  <c r="T12" i="19"/>
  <c r="H29" i="44"/>
  <c r="D25" i="38"/>
  <c r="H22" i="37"/>
  <c r="H13" i="37"/>
  <c r="D16" i="35"/>
  <c r="B22" i="34"/>
  <c r="H33" i="29"/>
  <c r="B22" i="29"/>
  <c r="B16" i="29"/>
  <c r="D15" i="29"/>
  <c r="T12" i="29"/>
  <c r="B21" i="28"/>
  <c r="D20" i="28"/>
  <c r="D16" i="28"/>
  <c r="T34" i="26"/>
  <c r="T33" i="26"/>
  <c r="T29" i="26"/>
  <c r="T25" i="26"/>
  <c r="B16" i="26"/>
  <c r="D15" i="26"/>
  <c r="T12" i="26"/>
  <c r="B21" i="25"/>
  <c r="D20" i="25"/>
  <c r="D16" i="25"/>
  <c r="P24" i="23"/>
  <c r="P22" i="23"/>
  <c r="T20" i="23"/>
  <c r="T16" i="23"/>
  <c r="T13" i="23"/>
  <c r="P34" i="22"/>
  <c r="P33" i="22"/>
  <c r="P29" i="22"/>
  <c r="P25" i="22"/>
  <c r="T21" i="22"/>
  <c r="P34" i="20"/>
  <c r="P33" i="20"/>
  <c r="P29" i="20"/>
  <c r="P25" i="20"/>
  <c r="T21" i="20"/>
  <c r="T24" i="19"/>
  <c r="T22" i="19"/>
  <c r="P12" i="19"/>
  <c r="H24" i="38"/>
  <c r="D5" i="37"/>
  <c r="H15" i="35"/>
  <c r="T29" i="32"/>
  <c r="D33" i="29"/>
  <c r="T25" i="29"/>
  <c r="P12" i="29"/>
  <c r="T34" i="28"/>
  <c r="T33" i="28"/>
  <c r="T29" i="28"/>
  <c r="T25" i="28"/>
  <c r="B16" i="28"/>
  <c r="D15" i="28"/>
  <c r="T12" i="28"/>
  <c r="T24" i="26"/>
  <c r="T22" i="26"/>
  <c r="P12" i="26"/>
  <c r="T34" i="25"/>
  <c r="T33" i="25"/>
  <c r="T29" i="25"/>
  <c r="T25" i="25"/>
  <c r="B16" i="25"/>
  <c r="D15" i="25"/>
  <c r="T12" i="25"/>
  <c r="P21" i="23"/>
  <c r="T15" i="23"/>
  <c r="P13" i="23"/>
  <c r="H12" i="23"/>
  <c r="P24" i="22"/>
  <c r="P22" i="22"/>
  <c r="T20" i="22"/>
  <c r="T16" i="22"/>
  <c r="T13" i="22"/>
  <c r="P24" i="20"/>
  <c r="P22" i="20"/>
  <c r="T20" i="20"/>
  <c r="T16" i="20"/>
  <c r="T13" i="20"/>
  <c r="P34" i="19"/>
  <c r="P33" i="19"/>
  <c r="P29" i="19"/>
  <c r="P25" i="19"/>
  <c r="T21" i="19"/>
  <c r="P33" i="46"/>
  <c r="D34" i="38"/>
  <c r="D4" i="37"/>
  <c r="D21" i="34"/>
  <c r="P16" i="32"/>
  <c r="T34" i="29"/>
  <c r="H29" i="29"/>
  <c r="T24" i="28"/>
  <c r="T22" i="28"/>
  <c r="P12" i="28"/>
  <c r="P34" i="26"/>
  <c r="P33" i="26"/>
  <c r="P29" i="26"/>
  <c r="P25" i="26"/>
  <c r="T21" i="26"/>
  <c r="T24" i="25"/>
  <c r="T22" i="25"/>
  <c r="P12" i="25"/>
  <c r="P20" i="23"/>
  <c r="P16" i="23"/>
  <c r="D12" i="23"/>
  <c r="P21" i="22"/>
  <c r="T15" i="22"/>
  <c r="P13" i="22"/>
  <c r="H12" i="22"/>
  <c r="P21" i="20"/>
  <c r="T15" i="20"/>
  <c r="P13" i="20"/>
  <c r="H12" i="20"/>
  <c r="H22" i="38"/>
  <c r="H13" i="38"/>
  <c r="H29" i="37"/>
  <c r="B22" i="35"/>
  <c r="H20" i="34"/>
  <c r="D16" i="32"/>
  <c r="B22" i="31"/>
  <c r="D29" i="29"/>
  <c r="D24" i="29"/>
  <c r="T20" i="29"/>
  <c r="T16" i="29"/>
  <c r="T13" i="29"/>
  <c r="P34" i="28"/>
  <c r="P33" i="28"/>
  <c r="P29" i="28"/>
  <c r="P25" i="28"/>
  <c r="T21" i="28"/>
  <c r="P24" i="26"/>
  <c r="P22" i="26"/>
  <c r="T20" i="26"/>
  <c r="T16" i="26"/>
  <c r="T13" i="26"/>
  <c r="P34" i="25"/>
  <c r="P33" i="25"/>
  <c r="P29" i="25"/>
  <c r="P25" i="25"/>
  <c r="T21" i="25"/>
  <c r="H34" i="23"/>
  <c r="H33" i="23"/>
  <c r="H29" i="23"/>
  <c r="H25" i="23"/>
  <c r="P15" i="23"/>
  <c r="D5" i="23"/>
  <c r="P20" i="22"/>
  <c r="P16" i="22"/>
  <c r="D12" i="22"/>
  <c r="H21" i="38"/>
  <c r="B39" i="37"/>
  <c r="B21" i="35"/>
  <c r="B21" i="32"/>
  <c r="D21" i="31"/>
  <c r="H15" i="31"/>
  <c r="D34" i="29"/>
  <c r="D25" i="29"/>
  <c r="P22" i="29"/>
  <c r="P15" i="29"/>
  <c r="D5" i="29"/>
  <c r="P20" i="28"/>
  <c r="P16" i="28"/>
  <c r="D12" i="28"/>
  <c r="H34" i="26"/>
  <c r="H33" i="26"/>
  <c r="H29" i="26"/>
  <c r="H25" i="26"/>
  <c r="P15" i="26"/>
  <c r="D5" i="26"/>
  <c r="P20" i="25"/>
  <c r="P16" i="25"/>
  <c r="D12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P16" i="29"/>
  <c r="P13" i="28"/>
  <c r="P21" i="26"/>
  <c r="H12" i="26"/>
  <c r="T34" i="22"/>
  <c r="B16" i="22"/>
  <c r="B39" i="20"/>
  <c r="T33" i="20"/>
  <c r="H29" i="20"/>
  <c r="D25" i="20"/>
  <c r="D15" i="20"/>
  <c r="P22" i="19"/>
  <c r="T15" i="19"/>
  <c r="B22" i="17"/>
  <c r="D21" i="17"/>
  <c r="H15" i="17"/>
  <c r="B25" i="16"/>
  <c r="D24" i="16"/>
  <c r="D22" i="16"/>
  <c r="H20" i="16"/>
  <c r="H16" i="16"/>
  <c r="B13" i="16"/>
  <c r="T24" i="14"/>
  <c r="T22" i="14"/>
  <c r="P12" i="14"/>
  <c r="T34" i="13"/>
  <c r="T33" i="13"/>
  <c r="T29" i="13"/>
  <c r="T25" i="13"/>
  <c r="B16" i="13"/>
  <c r="D15" i="13"/>
  <c r="T12" i="13"/>
  <c r="T34" i="32"/>
  <c r="T15" i="29"/>
  <c r="D12" i="26"/>
  <c r="H34" i="22"/>
  <c r="P15" i="22"/>
  <c r="B38" i="20"/>
  <c r="H25" i="19"/>
  <c r="B21" i="19"/>
  <c r="B21" i="17"/>
  <c r="D20" i="17"/>
  <c r="D16" i="17"/>
  <c r="B22" i="16"/>
  <c r="D21" i="16"/>
  <c r="H15" i="16"/>
  <c r="P24" i="41"/>
  <c r="P21" i="31"/>
  <c r="H25" i="29"/>
  <c r="P21" i="28"/>
  <c r="H12" i="28"/>
  <c r="T16" i="25"/>
  <c r="D34" i="23"/>
  <c r="H21" i="23"/>
  <c r="H33" i="20"/>
  <c r="D29" i="20"/>
  <c r="T20" i="19"/>
  <c r="P15" i="19"/>
  <c r="H12" i="19"/>
  <c r="T34" i="17"/>
  <c r="T33" i="17"/>
  <c r="T29" i="17"/>
  <c r="T25" i="17"/>
  <c r="B16" i="17"/>
  <c r="D15" i="17"/>
  <c r="T12" i="17"/>
  <c r="B21" i="16"/>
  <c r="D20" i="16"/>
  <c r="D16" i="16"/>
  <c r="D24" i="41"/>
  <c r="D16" i="31"/>
  <c r="P13" i="29"/>
  <c r="T20" i="28"/>
  <c r="P20" i="26"/>
  <c r="T33" i="22"/>
  <c r="T25" i="22"/>
  <c r="D15" i="22"/>
  <c r="H21" i="20"/>
  <c r="P16" i="20"/>
  <c r="H13" i="20"/>
  <c r="B25" i="19"/>
  <c r="D12" i="19"/>
  <c r="T24" i="17"/>
  <c r="T22" i="17"/>
  <c r="P12" i="17"/>
  <c r="T34" i="16"/>
  <c r="T33" i="16"/>
  <c r="T29" i="16"/>
  <c r="T25" i="16"/>
  <c r="B16" i="16"/>
  <c r="D15" i="16"/>
  <c r="T12" i="16"/>
  <c r="T15" i="31"/>
  <c r="P24" i="25"/>
  <c r="H13" i="23"/>
  <c r="H33" i="22"/>
  <c r="H25" i="22"/>
  <c r="D33" i="20"/>
  <c r="H24" i="20"/>
  <c r="D13" i="20"/>
  <c r="H22" i="19"/>
  <c r="P20" i="19"/>
  <c r="T16" i="19"/>
  <c r="D5" i="19"/>
  <c r="P34" i="17"/>
  <c r="P33" i="17"/>
  <c r="P29" i="17"/>
  <c r="P25" i="17"/>
  <c r="T21" i="17"/>
  <c r="T24" i="16"/>
  <c r="T22" i="16"/>
  <c r="P12" i="16"/>
  <c r="D33" i="38"/>
  <c r="P21" i="29"/>
  <c r="H12" i="29"/>
  <c r="T15" i="25"/>
  <c r="D33" i="23"/>
  <c r="D25" i="23"/>
  <c r="D13" i="23"/>
  <c r="H13" i="22"/>
  <c r="P20" i="20"/>
  <c r="T12" i="20"/>
  <c r="P24" i="19"/>
  <c r="D22" i="19"/>
  <c r="D4" i="19"/>
  <c r="P24" i="17"/>
  <c r="P22" i="17"/>
  <c r="T20" i="17"/>
  <c r="T16" i="17"/>
  <c r="T13" i="17"/>
  <c r="P34" i="16"/>
  <c r="P33" i="16"/>
  <c r="P29" i="16"/>
  <c r="P25" i="16"/>
  <c r="T21" i="16"/>
  <c r="H34" i="14"/>
  <c r="H33" i="14"/>
  <c r="B38" i="29"/>
  <c r="D12" i="29"/>
  <c r="P22" i="25"/>
  <c r="T13" i="25"/>
  <c r="T24" i="23"/>
  <c r="P12" i="23"/>
  <c r="T12" i="22"/>
  <c r="D12" i="20"/>
  <c r="H34" i="19"/>
  <c r="P16" i="19"/>
  <c r="T13" i="19"/>
  <c r="P21" i="17"/>
  <c r="T15" i="17"/>
  <c r="P13" i="17"/>
  <c r="H12" i="17"/>
  <c r="P24" i="16"/>
  <c r="P22" i="16"/>
  <c r="T20" i="16"/>
  <c r="T16" i="16"/>
  <c r="T13" i="16"/>
  <c r="B39" i="14"/>
  <c r="H24" i="14"/>
  <c r="H22" i="14"/>
  <c r="H13" i="14"/>
  <c r="B16" i="32"/>
  <c r="T16" i="28"/>
  <c r="P16" i="26"/>
  <c r="P13" i="25"/>
  <c r="B39" i="23"/>
  <c r="H24" i="23"/>
  <c r="D4" i="23"/>
  <c r="D5" i="22"/>
  <c r="T34" i="20"/>
  <c r="B16" i="20"/>
  <c r="D5" i="20"/>
  <c r="H20" i="19"/>
  <c r="P13" i="19"/>
  <c r="P20" i="17"/>
  <c r="P16" i="17"/>
  <c r="D12" i="17"/>
  <c r="P21" i="16"/>
  <c r="T15" i="16"/>
  <c r="P13" i="16"/>
  <c r="H12" i="16"/>
  <c r="H34" i="29"/>
  <c r="P20" i="29"/>
  <c r="T15" i="26"/>
  <c r="B38" i="23"/>
  <c r="B39" i="22"/>
  <c r="H24" i="22"/>
  <c r="D4" i="22"/>
  <c r="T25" i="20"/>
  <c r="D4" i="20"/>
  <c r="P21" i="19"/>
  <c r="D20" i="19"/>
  <c r="H34" i="17"/>
  <c r="H33" i="17"/>
  <c r="H29" i="17"/>
  <c r="H25" i="17"/>
  <c r="P15" i="17"/>
  <c r="D5" i="17"/>
  <c r="P20" i="16"/>
  <c r="P16" i="16"/>
  <c r="D12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D21" i="35"/>
  <c r="P22" i="28"/>
  <c r="T13" i="28"/>
  <c r="D29" i="23"/>
  <c r="H22" i="22"/>
  <c r="D34" i="20"/>
  <c r="H33" i="19"/>
  <c r="H29" i="19"/>
  <c r="B13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T34" i="14"/>
  <c r="T33" i="14"/>
  <c r="T29" i="14"/>
  <c r="T25" i="14"/>
  <c r="B16" i="14"/>
  <c r="D15" i="14"/>
  <c r="T12" i="14"/>
  <c r="P21" i="25"/>
  <c r="T29" i="22"/>
  <c r="H22" i="17"/>
  <c r="H13" i="17"/>
  <c r="H29" i="16"/>
  <c r="D20" i="14"/>
  <c r="P16" i="14"/>
  <c r="D12" i="14"/>
  <c r="B25" i="13"/>
  <c r="T21" i="13"/>
  <c r="H16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T20" i="25"/>
  <c r="H29" i="22"/>
  <c r="H24" i="19"/>
  <c r="D33" i="17"/>
  <c r="D13" i="17"/>
  <c r="H25" i="14"/>
  <c r="D5" i="14"/>
  <c r="T22" i="13"/>
  <c r="P20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H12" i="25"/>
  <c r="D24" i="19"/>
  <c r="D4" i="17"/>
  <c r="B38" i="14"/>
  <c r="D34" i="14"/>
  <c r="D25" i="14"/>
  <c r="P22" i="14"/>
  <c r="H21" i="14"/>
  <c r="T13" i="14"/>
  <c r="D4" i="14"/>
  <c r="P33" i="13"/>
  <c r="H29" i="13"/>
  <c r="P21" i="13"/>
  <c r="D16" i="13"/>
  <c r="H12" i="13"/>
  <c r="B22" i="11"/>
  <c r="D21" i="11"/>
  <c r="H15" i="11"/>
  <c r="B25" i="10"/>
  <c r="D24" i="10"/>
  <c r="D22" i="10"/>
  <c r="H20" i="10"/>
  <c r="H16" i="10"/>
  <c r="B13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P15" i="20"/>
  <c r="H21" i="17"/>
  <c r="B39" i="16"/>
  <c r="D21" i="14"/>
  <c r="P13" i="14"/>
  <c r="B39" i="13"/>
  <c r="T24" i="13"/>
  <c r="P22" i="13"/>
  <c r="T13" i="13"/>
  <c r="D12" i="13"/>
  <c r="H25" i="16"/>
  <c r="B21" i="14"/>
  <c r="D16" i="14"/>
  <c r="P34" i="13"/>
  <c r="H20" i="13"/>
  <c r="P13" i="13"/>
  <c r="D5" i="13"/>
  <c r="T34" i="11"/>
  <c r="T33" i="11"/>
  <c r="T29" i="11"/>
  <c r="T25" i="11"/>
  <c r="B16" i="11"/>
  <c r="D15" i="11"/>
  <c r="T12" i="11"/>
  <c r="B21" i="10"/>
  <c r="D20" i="10"/>
  <c r="D16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H34" i="20"/>
  <c r="B39" i="19"/>
  <c r="D29" i="17"/>
  <c r="P33" i="14"/>
  <c r="P24" i="13"/>
  <c r="D4" i="13"/>
  <c r="T24" i="11"/>
  <c r="T22" i="11"/>
  <c r="P12" i="11"/>
  <c r="T34" i="10"/>
  <c r="T33" i="10"/>
  <c r="T29" i="10"/>
  <c r="T25" i="10"/>
  <c r="B16" i="10"/>
  <c r="D15" i="10"/>
  <c r="T12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T22" i="23"/>
  <c r="B39" i="17"/>
  <c r="H34" i="16"/>
  <c r="P15" i="16"/>
  <c r="P29" i="14"/>
  <c r="P24" i="14"/>
  <c r="T20" i="14"/>
  <c r="D13" i="14"/>
  <c r="H33" i="13"/>
  <c r="P25" i="13"/>
  <c r="D20" i="13"/>
  <c r="T15" i="13"/>
  <c r="P34" i="11"/>
  <c r="P33" i="11"/>
  <c r="P29" i="11"/>
  <c r="P25" i="11"/>
  <c r="T21" i="11"/>
  <c r="T24" i="10"/>
  <c r="T22" i="10"/>
  <c r="P12" i="10"/>
  <c r="T34" i="8"/>
  <c r="T33" i="8"/>
  <c r="T29" i="8"/>
  <c r="T25" i="8"/>
  <c r="H22" i="23"/>
  <c r="H16" i="19"/>
  <c r="B38" i="17"/>
  <c r="H24" i="16"/>
  <c r="B22" i="14"/>
  <c r="T15" i="14"/>
  <c r="H22" i="13"/>
  <c r="D21" i="13"/>
  <c r="T16" i="13"/>
  <c r="H13" i="13"/>
  <c r="P24" i="11"/>
  <c r="P22" i="11"/>
  <c r="T20" i="11"/>
  <c r="T16" i="11"/>
  <c r="T13" i="11"/>
  <c r="P34" i="10"/>
  <c r="P33" i="10"/>
  <c r="P29" i="10"/>
  <c r="P25" i="10"/>
  <c r="T21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P24" i="28"/>
  <c r="T29" i="20"/>
  <c r="D16" i="19"/>
  <c r="H33" i="16"/>
  <c r="D33" i="14"/>
  <c r="P20" i="14"/>
  <c r="H34" i="13"/>
  <c r="D22" i="13"/>
  <c r="B21" i="13"/>
  <c r="P15" i="13"/>
  <c r="B13" i="13"/>
  <c r="P21" i="11"/>
  <c r="T15" i="11"/>
  <c r="P13" i="11"/>
  <c r="H12" i="11"/>
  <c r="P24" i="10"/>
  <c r="P22" i="10"/>
  <c r="T20" i="10"/>
  <c r="T16" i="10"/>
  <c r="T13" i="10"/>
  <c r="P34" i="8"/>
  <c r="P33" i="8"/>
  <c r="P29" i="8"/>
  <c r="P25" i="8"/>
  <c r="T21" i="8"/>
  <c r="T15" i="28"/>
  <c r="H22" i="20"/>
  <c r="D34" i="17"/>
  <c r="D4" i="16"/>
  <c r="P34" i="14"/>
  <c r="P21" i="14"/>
  <c r="H15" i="14"/>
  <c r="H12" i="14"/>
  <c r="T20" i="13"/>
  <c r="H15" i="13"/>
  <c r="P12" i="13"/>
  <c r="B39" i="11"/>
  <c r="H24" i="11"/>
  <c r="H22" i="11"/>
  <c r="H13" i="11"/>
  <c r="D4" i="11"/>
  <c r="H34" i="10"/>
  <c r="H33" i="10"/>
  <c r="H29" i="10"/>
  <c r="H25" i="10"/>
  <c r="P15" i="10"/>
  <c r="D5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D16" i="11"/>
  <c r="B22" i="10"/>
  <c r="D15" i="8"/>
  <c r="H21" i="5"/>
  <c r="H13" i="5"/>
  <c r="P21" i="4"/>
  <c r="T15" i="4"/>
  <c r="H12" i="4"/>
  <c r="T16" i="7"/>
  <c r="D13" i="4"/>
  <c r="B25" i="5"/>
  <c r="P21" i="10"/>
  <c r="T15" i="10"/>
  <c r="B25" i="8"/>
  <c r="H20" i="8"/>
  <c r="T13" i="8"/>
  <c r="P34" i="7"/>
  <c r="P22" i="7"/>
  <c r="D20" i="7"/>
  <c r="D33" i="5"/>
  <c r="H24" i="5"/>
  <c r="P16" i="5"/>
  <c r="D13" i="5"/>
  <c r="P15" i="4"/>
  <c r="D5" i="4"/>
  <c r="P21" i="8"/>
  <c r="D29" i="4"/>
  <c r="B16" i="4"/>
  <c r="H22" i="16"/>
  <c r="T16" i="14"/>
  <c r="P29" i="13"/>
  <c r="H34" i="11"/>
  <c r="P15" i="11"/>
  <c r="P24" i="8"/>
  <c r="P13" i="8"/>
  <c r="P25" i="7"/>
  <c r="B13" i="5"/>
  <c r="H24" i="4"/>
  <c r="D4" i="4"/>
  <c r="B38" i="5"/>
  <c r="H29" i="14"/>
  <c r="P15" i="14"/>
  <c r="P16" i="13"/>
  <c r="B21" i="11"/>
  <c r="D21" i="10"/>
  <c r="H15" i="10"/>
  <c r="B13" i="8"/>
  <c r="D34" i="7"/>
  <c r="D24" i="5"/>
  <c r="P20" i="5"/>
  <c r="H34" i="4"/>
  <c r="H21" i="4"/>
  <c r="H25" i="20"/>
  <c r="H13" i="16"/>
  <c r="D29" i="14"/>
  <c r="P20" i="11"/>
  <c r="P13" i="10"/>
  <c r="D24" i="8"/>
  <c r="T12" i="8"/>
  <c r="P29" i="7"/>
  <c r="D25" i="7"/>
  <c r="H16" i="5"/>
  <c r="D12" i="5"/>
  <c r="T29" i="4"/>
  <c r="T25" i="4"/>
  <c r="D15" i="4"/>
  <c r="T21" i="14"/>
  <c r="D25" i="5"/>
  <c r="P13" i="26"/>
  <c r="D5" i="16"/>
  <c r="P25" i="14"/>
  <c r="H33" i="11"/>
  <c r="H25" i="11"/>
  <c r="P20" i="10"/>
  <c r="P22" i="8"/>
  <c r="T16" i="8"/>
  <c r="T21" i="7"/>
  <c r="P34" i="5"/>
  <c r="D4" i="5"/>
  <c r="D34" i="4"/>
  <c r="T22" i="4"/>
  <c r="B39" i="5"/>
  <c r="D33" i="4"/>
  <c r="H25" i="13"/>
  <c r="D20" i="11"/>
  <c r="H12" i="8"/>
  <c r="P33" i="7"/>
  <c r="D29" i="7"/>
  <c r="T24" i="7"/>
  <c r="P25" i="5"/>
  <c r="H22" i="5"/>
  <c r="H20" i="5"/>
  <c r="B39" i="4"/>
  <c r="P13" i="4"/>
  <c r="D4" i="38"/>
  <c r="H24" i="17"/>
  <c r="B22" i="13"/>
  <c r="H24" i="13"/>
  <c r="D12" i="11"/>
  <c r="H12" i="10"/>
  <c r="D22" i="8"/>
  <c r="H16" i="8"/>
  <c r="B38" i="7"/>
  <c r="H21" i="7"/>
  <c r="T13" i="7"/>
  <c r="B38" i="4"/>
  <c r="H29" i="4"/>
  <c r="H25" i="4"/>
  <c r="T21" i="5"/>
  <c r="D25" i="4"/>
  <c r="T15" i="8"/>
  <c r="P12" i="7"/>
  <c r="P33" i="5"/>
  <c r="D13" i="38"/>
  <c r="H13" i="19"/>
  <c r="D25" i="17"/>
  <c r="D24" i="13"/>
  <c r="D5" i="11"/>
  <c r="D12" i="10"/>
  <c r="B16" i="8"/>
  <c r="D33" i="7"/>
  <c r="P24" i="7"/>
  <c r="B21" i="7"/>
  <c r="D13" i="7"/>
  <c r="D34" i="5"/>
  <c r="P29" i="5"/>
  <c r="D22" i="5"/>
  <c r="H33" i="4"/>
  <c r="H22" i="4"/>
  <c r="H13" i="4"/>
  <c r="H29" i="11"/>
  <c r="P16" i="10"/>
  <c r="T20" i="8"/>
  <c r="T22" i="7"/>
  <c r="T20" i="7"/>
  <c r="D16" i="7"/>
  <c r="D29" i="5"/>
  <c r="T24" i="4"/>
  <c r="P12" i="4"/>
  <c r="P16" i="11"/>
  <c r="T12" i="4"/>
  <c r="Z12" i="4" l="1"/>
  <c r="V36" i="4"/>
  <c r="V34" i="4"/>
  <c r="V33" i="4"/>
  <c r="V31" i="4"/>
  <c r="V29" i="4"/>
  <c r="V27" i="4"/>
  <c r="V25" i="4"/>
  <c r="V20" i="4"/>
  <c r="V18" i="4"/>
  <c r="V16" i="4"/>
  <c r="T18" i="4"/>
  <c r="V15" i="4"/>
  <c r="V24" i="4"/>
  <c r="V22" i="4"/>
  <c r="V21" i="4"/>
  <c r="X16" i="11"/>
  <c r="X12" i="4"/>
  <c r="R24" i="4"/>
  <c r="R22" i="4"/>
  <c r="R21" i="4"/>
  <c r="P18" i="4"/>
  <c r="R15" i="4"/>
  <c r="R18" i="4"/>
  <c r="R34" i="4"/>
  <c r="R29" i="4"/>
  <c r="R25" i="4"/>
  <c r="R33" i="4"/>
  <c r="R20" i="4"/>
  <c r="R16" i="4"/>
  <c r="R36" i="4"/>
  <c r="R31" i="4"/>
  <c r="R27" i="4"/>
  <c r="Z24" i="4"/>
  <c r="L29" i="5"/>
  <c r="L16" i="7"/>
  <c r="Z20" i="7"/>
  <c r="Z22" i="7"/>
  <c r="Z20" i="8"/>
  <c r="X16" i="10"/>
  <c r="N29" i="11"/>
  <c r="N13" i="4"/>
  <c r="N22" i="4"/>
  <c r="N33" i="4"/>
  <c r="L22" i="5"/>
  <c r="X29" i="5"/>
  <c r="L34" i="5"/>
  <c r="L13" i="7"/>
  <c r="X24" i="7"/>
  <c r="L33" i="7"/>
  <c r="F36" i="10"/>
  <c r="F34" i="10"/>
  <c r="F33" i="10"/>
  <c r="F31" i="10"/>
  <c r="F29" i="10"/>
  <c r="F27" i="10"/>
  <c r="F25" i="10"/>
  <c r="F24" i="10"/>
  <c r="F22" i="10"/>
  <c r="F21" i="10"/>
  <c r="D18" i="10"/>
  <c r="F15" i="10"/>
  <c r="L12" i="10"/>
  <c r="F16" i="10"/>
  <c r="F20" i="10"/>
  <c r="F18" i="10"/>
  <c r="L24" i="13"/>
  <c r="L25" i="17"/>
  <c r="N13" i="19"/>
  <c r="L13" i="38"/>
  <c r="X33" i="5"/>
  <c r="P18" i="7"/>
  <c r="R15" i="7"/>
  <c r="R36" i="7"/>
  <c r="R34" i="7"/>
  <c r="R20" i="7"/>
  <c r="R18" i="7"/>
  <c r="R16" i="7"/>
  <c r="R22" i="7"/>
  <c r="R25" i="7"/>
  <c r="R29" i="7"/>
  <c r="R33" i="7"/>
  <c r="R21" i="7"/>
  <c r="R24" i="7"/>
  <c r="X12" i="7"/>
  <c r="R27" i="7"/>
  <c r="R31" i="7"/>
  <c r="Z15" i="8"/>
  <c r="L25" i="4"/>
  <c r="Z21" i="5"/>
  <c r="N25" i="4"/>
  <c r="N29" i="4"/>
  <c r="Z13" i="7"/>
  <c r="N21" i="7"/>
  <c r="N16" i="8"/>
  <c r="L22" i="8"/>
  <c r="J21" i="10"/>
  <c r="J20" i="10"/>
  <c r="J18" i="10"/>
  <c r="J16" i="10"/>
  <c r="H18" i="10"/>
  <c r="J15" i="10"/>
  <c r="N12" i="10"/>
  <c r="J24" i="10"/>
  <c r="J22" i="10"/>
  <c r="J34" i="10"/>
  <c r="J27" i="10"/>
  <c r="J33" i="10"/>
  <c r="J25" i="10"/>
  <c r="J31" i="10"/>
  <c r="J36" i="10"/>
  <c r="J29" i="10"/>
  <c r="F24" i="11"/>
  <c r="F22" i="11"/>
  <c r="F21" i="11"/>
  <c r="F20" i="11"/>
  <c r="F18" i="11"/>
  <c r="F16" i="11"/>
  <c r="L12" i="11"/>
  <c r="F36" i="11"/>
  <c r="F34" i="11"/>
  <c r="F33" i="11"/>
  <c r="F31" i="11"/>
  <c r="F29" i="11"/>
  <c r="F27" i="11"/>
  <c r="F25" i="11"/>
  <c r="F15" i="11"/>
  <c r="D18" i="11"/>
  <c r="N24" i="13"/>
  <c r="N24" i="17"/>
  <c r="X13" i="4"/>
  <c r="N20" i="5"/>
  <c r="N22" i="5"/>
  <c r="X25" i="5"/>
  <c r="Z24" i="7"/>
  <c r="L29" i="7"/>
  <c r="X33" i="7"/>
  <c r="J24" i="8"/>
  <c r="J22" i="8"/>
  <c r="J21" i="8"/>
  <c r="J20" i="8"/>
  <c r="J18" i="8"/>
  <c r="J16" i="8"/>
  <c r="N12" i="8"/>
  <c r="J36" i="8"/>
  <c r="J34" i="8"/>
  <c r="J33" i="8"/>
  <c r="J31" i="8"/>
  <c r="J29" i="8"/>
  <c r="J27" i="8"/>
  <c r="J25" i="8"/>
  <c r="H18" i="8"/>
  <c r="J15" i="8"/>
  <c r="L20" i="11"/>
  <c r="N25" i="13"/>
  <c r="L33" i="4"/>
  <c r="Z22" i="4"/>
  <c r="L34" i="4"/>
  <c r="X34" i="5"/>
  <c r="Z21" i="7"/>
  <c r="Z16" i="8"/>
  <c r="X22" i="8"/>
  <c r="X20" i="10"/>
  <c r="N25" i="11"/>
  <c r="N33" i="11"/>
  <c r="X25" i="14"/>
  <c r="X13" i="26"/>
  <c r="L25" i="5"/>
  <c r="Z21" i="14"/>
  <c r="L15" i="4"/>
  <c r="Z25" i="4"/>
  <c r="Z29" i="4"/>
  <c r="D18" i="5"/>
  <c r="F15" i="5"/>
  <c r="L12" i="5"/>
  <c r="F20" i="5"/>
  <c r="F18" i="5"/>
  <c r="F16" i="5"/>
  <c r="F33" i="5"/>
  <c r="F21" i="5"/>
  <c r="F29" i="5"/>
  <c r="F36" i="5"/>
  <c r="F24" i="5"/>
  <c r="F27" i="5"/>
  <c r="F31" i="5"/>
  <c r="F34" i="5"/>
  <c r="F22" i="5"/>
  <c r="F25" i="5"/>
  <c r="N16" i="5"/>
  <c r="L25" i="7"/>
  <c r="X29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V15" i="8"/>
  <c r="T18" i="8"/>
  <c r="L24" i="8"/>
  <c r="X13" i="10"/>
  <c r="X20" i="11"/>
  <c r="L29" i="14"/>
  <c r="N13" i="16"/>
  <c r="N25" i="20"/>
  <c r="N21" i="4"/>
  <c r="N34" i="4"/>
  <c r="X20" i="5"/>
  <c r="L24" i="5"/>
  <c r="L34" i="7"/>
  <c r="N15" i="10"/>
  <c r="L21" i="10"/>
  <c r="X16" i="13"/>
  <c r="X15" i="14"/>
  <c r="N29" i="14"/>
  <c r="N24" i="4"/>
  <c r="X25" i="7"/>
  <c r="X13" i="8"/>
  <c r="X24" i="8"/>
  <c r="X15" i="11"/>
  <c r="N34" i="11"/>
  <c r="X29" i="13"/>
  <c r="Z16" i="14"/>
  <c r="N22" i="16"/>
  <c r="L29" i="4"/>
  <c r="X21" i="8"/>
  <c r="X15" i="4"/>
  <c r="L13" i="5"/>
  <c r="X16" i="5"/>
  <c r="N24" i="5"/>
  <c r="L33" i="5"/>
  <c r="L20" i="7"/>
  <c r="X22" i="7"/>
  <c r="X34" i="7"/>
  <c r="Z13" i="8"/>
  <c r="N20" i="8"/>
  <c r="Z15" i="10"/>
  <c r="X21" i="10"/>
  <c r="L13" i="4"/>
  <c r="Z16" i="7"/>
  <c r="N12" i="4"/>
  <c r="J36" i="4"/>
  <c r="J34" i="4"/>
  <c r="J33" i="4"/>
  <c r="J31" i="4"/>
  <c r="J29" i="4"/>
  <c r="J27" i="4"/>
  <c r="J25" i="4"/>
  <c r="H18" i="4"/>
  <c r="J15" i="4"/>
  <c r="J24" i="4"/>
  <c r="J21" i="4"/>
  <c r="J18" i="4"/>
  <c r="J16" i="4"/>
  <c r="J22" i="4"/>
  <c r="J20" i="4"/>
  <c r="Z15" i="4"/>
  <c r="X21" i="4"/>
  <c r="N13" i="5"/>
  <c r="N21" i="5"/>
  <c r="L15" i="8"/>
  <c r="L16" i="11"/>
  <c r="N16" i="4"/>
  <c r="N20" i="4"/>
  <c r="L22" i="4"/>
  <c r="L24" i="4"/>
  <c r="N15" i="5"/>
  <c r="L21" i="5"/>
  <c r="J36" i="7"/>
  <c r="J34" i="7"/>
  <c r="J33" i="7"/>
  <c r="J31" i="7"/>
  <c r="J29" i="7"/>
  <c r="J27" i="7"/>
  <c r="J25" i="7"/>
  <c r="J24" i="7"/>
  <c r="J22" i="7"/>
  <c r="J21" i="7"/>
  <c r="H18" i="7"/>
  <c r="J15" i="7"/>
  <c r="J20" i="7"/>
  <c r="J16" i="7"/>
  <c r="J18" i="7"/>
  <c r="N12" i="7"/>
  <c r="X13" i="7"/>
  <c r="Z15" i="7"/>
  <c r="X21" i="7"/>
  <c r="F36" i="8"/>
  <c r="F34" i="8"/>
  <c r="F33" i="8"/>
  <c r="F31" i="8"/>
  <c r="F29" i="8"/>
  <c r="F27" i="8"/>
  <c r="F25" i="8"/>
  <c r="F24" i="8"/>
  <c r="F22" i="8"/>
  <c r="F20" i="8"/>
  <c r="F18" i="8"/>
  <c r="F16" i="8"/>
  <c r="D18" i="8"/>
  <c r="F15" i="8"/>
  <c r="F21" i="8"/>
  <c r="L12" i="8"/>
  <c r="X16" i="8"/>
  <c r="X20" i="8"/>
  <c r="X15" i="10"/>
  <c r="N25" i="10"/>
  <c r="N29" i="10"/>
  <c r="N33" i="10"/>
  <c r="N34" i="10"/>
  <c r="N13" i="11"/>
  <c r="N22" i="11"/>
  <c r="N24" i="11"/>
  <c r="R20" i="13"/>
  <c r="R33" i="13"/>
  <c r="R21" i="13"/>
  <c r="R22" i="13"/>
  <c r="R34" i="13"/>
  <c r="R24" i="13"/>
  <c r="R25" i="13"/>
  <c r="R36" i="13"/>
  <c r="R27" i="13"/>
  <c r="R15" i="13"/>
  <c r="R16" i="13"/>
  <c r="R31" i="13"/>
  <c r="P18" i="13"/>
  <c r="R29" i="13"/>
  <c r="R18" i="13"/>
  <c r="X12" i="13"/>
  <c r="N15" i="13"/>
  <c r="Z20" i="13"/>
  <c r="J21" i="14"/>
  <c r="H18" i="14"/>
  <c r="J15" i="14"/>
  <c r="J25" i="14"/>
  <c r="J34" i="14"/>
  <c r="J31" i="14"/>
  <c r="J16" i="14"/>
  <c r="J27" i="14"/>
  <c r="J22" i="14"/>
  <c r="J18" i="14"/>
  <c r="J36" i="14"/>
  <c r="J33" i="14"/>
  <c r="J29" i="14"/>
  <c r="J20" i="14"/>
  <c r="N12" i="14"/>
  <c r="J24" i="14"/>
  <c r="N15" i="14"/>
  <c r="X21" i="14"/>
  <c r="X34" i="14"/>
  <c r="L34" i="17"/>
  <c r="N22" i="20"/>
  <c r="Z15" i="28"/>
  <c r="Z21" i="8"/>
  <c r="X25" i="8"/>
  <c r="X29" i="8"/>
  <c r="X33" i="8"/>
  <c r="X34" i="8"/>
  <c r="Z13" i="10"/>
  <c r="Z16" i="10"/>
  <c r="Z20" i="10"/>
  <c r="X22" i="10"/>
  <c r="X24" i="10"/>
  <c r="J20" i="11"/>
  <c r="J18" i="11"/>
  <c r="J16" i="11"/>
  <c r="H18" i="11"/>
  <c r="J15" i="11"/>
  <c r="N12" i="11"/>
  <c r="J21" i="11"/>
  <c r="J29" i="11"/>
  <c r="J34" i="11"/>
  <c r="J27" i="11"/>
  <c r="J33" i="11"/>
  <c r="J25" i="11"/>
  <c r="J31" i="11"/>
  <c r="J24" i="11"/>
  <c r="J36" i="11"/>
  <c r="J22" i="11"/>
  <c r="X13" i="11"/>
  <c r="Z15" i="11"/>
  <c r="X21" i="11"/>
  <c r="X15" i="13"/>
  <c r="L22" i="13"/>
  <c r="N34" i="13"/>
  <c r="X20" i="14"/>
  <c r="L33" i="14"/>
  <c r="N33" i="16"/>
  <c r="L16" i="19"/>
  <c r="Z29" i="20"/>
  <c r="X24" i="28"/>
  <c r="F20" i="4"/>
  <c r="F18" i="4"/>
  <c r="F16" i="4"/>
  <c r="D18" i="4"/>
  <c r="F15" i="4"/>
  <c r="L12" i="4"/>
  <c r="F21" i="4"/>
  <c r="F31" i="4"/>
  <c r="F27" i="4"/>
  <c r="F24" i="4"/>
  <c r="F34" i="4"/>
  <c r="F33" i="4"/>
  <c r="F29" i="4"/>
  <c r="F25" i="4"/>
  <c r="F36" i="4"/>
  <c r="F22" i="4"/>
  <c r="X16" i="4"/>
  <c r="X20" i="4"/>
  <c r="X15" i="5"/>
  <c r="N25" i="5"/>
  <c r="N29" i="5"/>
  <c r="N33" i="5"/>
  <c r="N34" i="5"/>
  <c r="Z12" i="7"/>
  <c r="V24" i="7"/>
  <c r="V22" i="7"/>
  <c r="V34" i="7"/>
  <c r="V25" i="7"/>
  <c r="V29" i="7"/>
  <c r="V15" i="7"/>
  <c r="V18" i="7"/>
  <c r="V33" i="7"/>
  <c r="V21" i="7"/>
  <c r="T18" i="7"/>
  <c r="V20" i="7"/>
  <c r="V27" i="7"/>
  <c r="V31" i="7"/>
  <c r="V36" i="7"/>
  <c r="V16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P18" i="8"/>
  <c r="R15" i="8"/>
  <c r="R20" i="8"/>
  <c r="R18" i="8"/>
  <c r="R16" i="8"/>
  <c r="R21" i="8"/>
  <c r="Z22" i="8"/>
  <c r="Z24" i="8"/>
  <c r="Z21" i="10"/>
  <c r="X25" i="10"/>
  <c r="X29" i="10"/>
  <c r="X33" i="10"/>
  <c r="X34" i="10"/>
  <c r="Z13" i="11"/>
  <c r="Z16" i="11"/>
  <c r="Z20" i="11"/>
  <c r="X22" i="11"/>
  <c r="X24" i="11"/>
  <c r="N13" i="13"/>
  <c r="Z16" i="13"/>
  <c r="L21" i="13"/>
  <c r="N22" i="13"/>
  <c r="Z15" i="14"/>
  <c r="N24" i="16"/>
  <c r="N16" i="19"/>
  <c r="N22" i="23"/>
  <c r="Z25" i="8"/>
  <c r="Z29" i="8"/>
  <c r="Z33" i="8"/>
  <c r="Z34" i="8"/>
  <c r="X12" i="10"/>
  <c r="R36" i="10"/>
  <c r="R34" i="10"/>
  <c r="R33" i="10"/>
  <c r="R31" i="10"/>
  <c r="R29" i="10"/>
  <c r="R27" i="10"/>
  <c r="R25" i="10"/>
  <c r="R24" i="10"/>
  <c r="R22" i="10"/>
  <c r="R21" i="10"/>
  <c r="R15" i="10"/>
  <c r="R20" i="10"/>
  <c r="R18" i="10"/>
  <c r="P18" i="10"/>
  <c r="R16" i="10"/>
  <c r="Z22" i="10"/>
  <c r="Z24" i="10"/>
  <c r="Z21" i="11"/>
  <c r="X25" i="11"/>
  <c r="X29" i="11"/>
  <c r="X33" i="11"/>
  <c r="X34" i="11"/>
  <c r="Z15" i="13"/>
  <c r="L20" i="13"/>
  <c r="X25" i="13"/>
  <c r="N33" i="13"/>
  <c r="L13" i="14"/>
  <c r="Z20" i="14"/>
  <c r="X24" i="14"/>
  <c r="X29" i="14"/>
  <c r="X15" i="16"/>
  <c r="N34" i="16"/>
  <c r="Z22" i="23"/>
  <c r="Z13" i="4"/>
  <c r="Z16" i="4"/>
  <c r="Z20" i="4"/>
  <c r="X22" i="4"/>
  <c r="X24" i="4"/>
  <c r="J24" i="5"/>
  <c r="J22" i="5"/>
  <c r="J36" i="5"/>
  <c r="J27" i="5"/>
  <c r="J16" i="5"/>
  <c r="N12" i="5"/>
  <c r="J31" i="5"/>
  <c r="J18" i="5"/>
  <c r="J20" i="5"/>
  <c r="J15" i="5"/>
  <c r="J34" i="5"/>
  <c r="J25" i="5"/>
  <c r="J29" i="5"/>
  <c r="J33" i="5"/>
  <c r="J21" i="5"/>
  <c r="H18" i="5"/>
  <c r="X13" i="5"/>
  <c r="Z15" i="5"/>
  <c r="X21" i="5"/>
  <c r="N15" i="7"/>
  <c r="L21" i="7"/>
  <c r="L16" i="8"/>
  <c r="L20" i="8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Z12" i="10"/>
  <c r="L15" i="10"/>
  <c r="Z25" i="10"/>
  <c r="Z29" i="10"/>
  <c r="Z33" i="10"/>
  <c r="Z34" i="10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R15" i="11"/>
  <c r="X12" i="11"/>
  <c r="P18" i="11"/>
  <c r="Z22" i="11"/>
  <c r="Z24" i="11"/>
  <c r="X24" i="13"/>
  <c r="X33" i="14"/>
  <c r="L29" i="17"/>
  <c r="N34" i="20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L16" i="10"/>
  <c r="L20" i="10"/>
  <c r="Z12" i="11"/>
  <c r="V24" i="11"/>
  <c r="V22" i="11"/>
  <c r="V21" i="11"/>
  <c r="V20" i="11"/>
  <c r="V18" i="11"/>
  <c r="V16" i="11"/>
  <c r="T18" i="11"/>
  <c r="V15" i="11"/>
  <c r="V34" i="11"/>
  <c r="V27" i="11"/>
  <c r="V33" i="11"/>
  <c r="V25" i="11"/>
  <c r="V31" i="11"/>
  <c r="V29" i="11"/>
  <c r="V36" i="11"/>
  <c r="L15" i="11"/>
  <c r="Z25" i="11"/>
  <c r="Z29" i="11"/>
  <c r="Z33" i="11"/>
  <c r="Z34" i="11"/>
  <c r="X13" i="13"/>
  <c r="N20" i="13"/>
  <c r="X34" i="13"/>
  <c r="L16" i="14"/>
  <c r="N25" i="16"/>
  <c r="F24" i="13"/>
  <c r="F22" i="13"/>
  <c r="F36" i="13"/>
  <c r="F15" i="13"/>
  <c r="F27" i="13"/>
  <c r="F16" i="13"/>
  <c r="L12" i="13"/>
  <c r="F29" i="13"/>
  <c r="F18" i="13"/>
  <c r="D18" i="13"/>
  <c r="F31" i="13"/>
  <c r="F20" i="13"/>
  <c r="F21" i="13"/>
  <c r="F33" i="13"/>
  <c r="F25" i="13"/>
  <c r="F34" i="13"/>
  <c r="Z13" i="13"/>
  <c r="X22" i="13"/>
  <c r="Z24" i="13"/>
  <c r="X13" i="14"/>
  <c r="L21" i="14"/>
  <c r="N21" i="17"/>
  <c r="X15" i="20"/>
  <c r="Z33" i="4"/>
  <c r="Z34" i="4"/>
  <c r="X12" i="5"/>
  <c r="R36" i="5"/>
  <c r="R34" i="5"/>
  <c r="R33" i="5"/>
  <c r="R31" i="5"/>
  <c r="R29" i="5"/>
  <c r="R27" i="5"/>
  <c r="R25" i="5"/>
  <c r="R21" i="5"/>
  <c r="R20" i="5"/>
  <c r="R18" i="5"/>
  <c r="R16" i="5"/>
  <c r="R22" i="5"/>
  <c r="R15" i="5"/>
  <c r="P18" i="5"/>
  <c r="R24" i="5"/>
  <c r="Z22" i="5"/>
  <c r="Z24" i="5"/>
  <c r="N13" i="7"/>
  <c r="N22" i="7"/>
  <c r="N24" i="7"/>
  <c r="L13" i="8"/>
  <c r="N21" i="8"/>
  <c r="L25" i="8"/>
  <c r="L29" i="8"/>
  <c r="L33" i="8"/>
  <c r="L34" i="8"/>
  <c r="N16" i="10"/>
  <c r="N20" i="10"/>
  <c r="L22" i="10"/>
  <c r="L24" i="10"/>
  <c r="N15" i="11"/>
  <c r="L21" i="11"/>
  <c r="J20" i="13"/>
  <c r="J18" i="13"/>
  <c r="J16" i="13"/>
  <c r="N12" i="13"/>
  <c r="J29" i="13"/>
  <c r="H18" i="13"/>
  <c r="J31" i="13"/>
  <c r="J33" i="13"/>
  <c r="J21" i="13"/>
  <c r="J22" i="13"/>
  <c r="J34" i="13"/>
  <c r="J24" i="13"/>
  <c r="J27" i="13"/>
  <c r="J25" i="13"/>
  <c r="J15" i="13"/>
  <c r="J36" i="13"/>
  <c r="L16" i="13"/>
  <c r="X21" i="13"/>
  <c r="N29" i="13"/>
  <c r="X33" i="13"/>
  <c r="Z13" i="14"/>
  <c r="N21" i="14"/>
  <c r="X22" i="14"/>
  <c r="L25" i="14"/>
  <c r="L34" i="14"/>
  <c r="L24" i="19"/>
  <c r="J24" i="25"/>
  <c r="J22" i="25"/>
  <c r="J21" i="25"/>
  <c r="J20" i="25"/>
  <c r="J18" i="25"/>
  <c r="J16" i="25"/>
  <c r="H18" i="25"/>
  <c r="J15" i="25"/>
  <c r="N12" i="25"/>
  <c r="J36" i="25"/>
  <c r="J34" i="25"/>
  <c r="J33" i="25"/>
  <c r="J31" i="25"/>
  <c r="J29" i="25"/>
  <c r="J27" i="25"/>
  <c r="J25" i="25"/>
  <c r="L16" i="4"/>
  <c r="L20" i="4"/>
  <c r="V36" i="5"/>
  <c r="V34" i="5"/>
  <c r="V33" i="5"/>
  <c r="V31" i="5"/>
  <c r="V29" i="5"/>
  <c r="V27" i="5"/>
  <c r="V25" i="5"/>
  <c r="V24" i="5"/>
  <c r="V22" i="5"/>
  <c r="V21" i="5"/>
  <c r="T18" i="5"/>
  <c r="V15" i="5"/>
  <c r="Z12" i="5"/>
  <c r="V16" i="5"/>
  <c r="V20" i="5"/>
  <c r="V18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L13" i="10"/>
  <c r="N21" i="10"/>
  <c r="L25" i="10"/>
  <c r="L29" i="10"/>
  <c r="L33" i="10"/>
  <c r="L34" i="10"/>
  <c r="N16" i="11"/>
  <c r="N20" i="11"/>
  <c r="L22" i="11"/>
  <c r="L24" i="11"/>
  <c r="X20" i="13"/>
  <c r="Z22" i="13"/>
  <c r="N25" i="14"/>
  <c r="L13" i="17"/>
  <c r="L33" i="17"/>
  <c r="N24" i="19"/>
  <c r="N29" i="22"/>
  <c r="Z20" i="25"/>
  <c r="N15" i="4"/>
  <c r="L21" i="4"/>
  <c r="L16" i="5"/>
  <c r="L20" i="5"/>
  <c r="F36" i="7"/>
  <c r="F34" i="7"/>
  <c r="F33" i="7"/>
  <c r="F31" i="7"/>
  <c r="F29" i="7"/>
  <c r="F27" i="7"/>
  <c r="F25" i="7"/>
  <c r="F21" i="7"/>
  <c r="F20" i="7"/>
  <c r="F18" i="7"/>
  <c r="F16" i="7"/>
  <c r="L12" i="7"/>
  <c r="F22" i="7"/>
  <c r="F15" i="7"/>
  <c r="F24" i="7"/>
  <c r="D18" i="7"/>
  <c r="X16" i="7"/>
  <c r="X20" i="7"/>
  <c r="X15" i="8"/>
  <c r="N25" i="8"/>
  <c r="N29" i="8"/>
  <c r="N33" i="8"/>
  <c r="N34" i="8"/>
  <c r="N13" i="10"/>
  <c r="N22" i="10"/>
  <c r="N24" i="10"/>
  <c r="L13" i="11"/>
  <c r="N21" i="11"/>
  <c r="L25" i="11"/>
  <c r="L29" i="11"/>
  <c r="L33" i="11"/>
  <c r="L34" i="11"/>
  <c r="N16" i="13"/>
  <c r="Z21" i="13"/>
  <c r="F36" i="14"/>
  <c r="F34" i="14"/>
  <c r="F33" i="14"/>
  <c r="F31" i="14"/>
  <c r="F29" i="14"/>
  <c r="F27" i="14"/>
  <c r="F25" i="14"/>
  <c r="F21" i="14"/>
  <c r="F15" i="14"/>
  <c r="F16" i="14"/>
  <c r="F22" i="14"/>
  <c r="F18" i="14"/>
  <c r="D18" i="14"/>
  <c r="F20" i="14"/>
  <c r="L12" i="14"/>
  <c r="F24" i="14"/>
  <c r="X16" i="14"/>
  <c r="L20" i="14"/>
  <c r="N29" i="16"/>
  <c r="N13" i="17"/>
  <c r="N22" i="17"/>
  <c r="Z29" i="22"/>
  <c r="X21" i="25"/>
  <c r="V21" i="14"/>
  <c r="V24" i="14"/>
  <c r="V22" i="14"/>
  <c r="V27" i="14"/>
  <c r="V18" i="14"/>
  <c r="T18" i="14"/>
  <c r="V36" i="14"/>
  <c r="V33" i="14"/>
  <c r="V29" i="14"/>
  <c r="V20" i="14"/>
  <c r="V15" i="14"/>
  <c r="Z12" i="14"/>
  <c r="V25" i="14"/>
  <c r="V34" i="14"/>
  <c r="V16" i="14"/>
  <c r="V31" i="14"/>
  <c r="L15" i="14"/>
  <c r="Z25" i="14"/>
  <c r="Z29" i="14"/>
  <c r="Z33" i="14"/>
  <c r="Z34" i="14"/>
  <c r="L13" i="16"/>
  <c r="N21" i="16"/>
  <c r="L25" i="16"/>
  <c r="L29" i="16"/>
  <c r="L33" i="16"/>
  <c r="L34" i="16"/>
  <c r="N16" i="17"/>
  <c r="N20" i="17"/>
  <c r="L22" i="17"/>
  <c r="L24" i="17"/>
  <c r="N29" i="19"/>
  <c r="N33" i="19"/>
  <c r="L34" i="20"/>
  <c r="N22" i="22"/>
  <c r="L29" i="23"/>
  <c r="Z13" i="28"/>
  <c r="X22" i="28"/>
  <c r="L21" i="35"/>
  <c r="L13" i="13"/>
  <c r="N21" i="13"/>
  <c r="L25" i="13"/>
  <c r="L29" i="13"/>
  <c r="L33" i="13"/>
  <c r="L34" i="13"/>
  <c r="N16" i="14"/>
  <c r="N20" i="14"/>
  <c r="L22" i="14"/>
  <c r="L24" i="14"/>
  <c r="F21" i="16"/>
  <c r="F20" i="16"/>
  <c r="F18" i="16"/>
  <c r="F16" i="16"/>
  <c r="D18" i="16"/>
  <c r="F15" i="16"/>
  <c r="L12" i="16"/>
  <c r="F24" i="16"/>
  <c r="F22" i="16"/>
  <c r="F29" i="16"/>
  <c r="F27" i="16"/>
  <c r="F36" i="16"/>
  <c r="F25" i="16"/>
  <c r="F34" i="16"/>
  <c r="F31" i="16"/>
  <c r="F33" i="16"/>
  <c r="X16" i="16"/>
  <c r="X20" i="16"/>
  <c r="X15" i="17"/>
  <c r="N25" i="17"/>
  <c r="N29" i="17"/>
  <c r="N33" i="17"/>
  <c r="N34" i="17"/>
  <c r="L20" i="19"/>
  <c r="X21" i="19"/>
  <c r="Z25" i="20"/>
  <c r="N24" i="22"/>
  <c r="Z15" i="26"/>
  <c r="X20" i="29"/>
  <c r="N34" i="29"/>
  <c r="H18" i="16"/>
  <c r="J15" i="16"/>
  <c r="N12" i="16"/>
  <c r="J36" i="16"/>
  <c r="J34" i="16"/>
  <c r="J33" i="16"/>
  <c r="J31" i="16"/>
  <c r="J29" i="16"/>
  <c r="J27" i="16"/>
  <c r="J25" i="16"/>
  <c r="J20" i="16"/>
  <c r="J18" i="16"/>
  <c r="J16" i="16"/>
  <c r="J24" i="16"/>
  <c r="J22" i="16"/>
  <c r="J21" i="16"/>
  <c r="X13" i="16"/>
  <c r="Z15" i="16"/>
  <c r="X21" i="16"/>
  <c r="F20" i="17"/>
  <c r="F18" i="17"/>
  <c r="F16" i="17"/>
  <c r="D18" i="17"/>
  <c r="F15" i="17"/>
  <c r="L12" i="17"/>
  <c r="F21" i="17"/>
  <c r="F33" i="17"/>
  <c r="F22" i="17"/>
  <c r="F31" i="17"/>
  <c r="F29" i="17"/>
  <c r="F27" i="17"/>
  <c r="F36" i="17"/>
  <c r="F25" i="17"/>
  <c r="F24" i="17"/>
  <c r="F34" i="17"/>
  <c r="X16" i="17"/>
  <c r="X20" i="17"/>
  <c r="X13" i="19"/>
  <c r="N20" i="19"/>
  <c r="Z34" i="20"/>
  <c r="N24" i="23"/>
  <c r="X13" i="25"/>
  <c r="X16" i="26"/>
  <c r="Z16" i="28"/>
  <c r="N13" i="14"/>
  <c r="N22" i="14"/>
  <c r="N24" i="14"/>
  <c r="Z13" i="16"/>
  <c r="Z16" i="16"/>
  <c r="Z20" i="16"/>
  <c r="X22" i="16"/>
  <c r="X24" i="16"/>
  <c r="N12" i="17"/>
  <c r="J36" i="17"/>
  <c r="J34" i="17"/>
  <c r="J33" i="17"/>
  <c r="J31" i="17"/>
  <c r="J29" i="17"/>
  <c r="J27" i="17"/>
  <c r="J25" i="17"/>
  <c r="J24" i="17"/>
  <c r="J22" i="17"/>
  <c r="H18" i="17"/>
  <c r="J15" i="17"/>
  <c r="J21" i="17"/>
  <c r="J20" i="17"/>
  <c r="J18" i="17"/>
  <c r="J16" i="17"/>
  <c r="X13" i="17"/>
  <c r="Z15" i="17"/>
  <c r="X21" i="17"/>
  <c r="Z13" i="19"/>
  <c r="X16" i="19"/>
  <c r="N34" i="19"/>
  <c r="F21" i="20"/>
  <c r="F20" i="20"/>
  <c r="F18" i="20"/>
  <c r="F16" i="20"/>
  <c r="D18" i="20"/>
  <c r="F15" i="20"/>
  <c r="L12" i="20"/>
  <c r="F29" i="20"/>
  <c r="F33" i="20"/>
  <c r="F36" i="20"/>
  <c r="F24" i="20"/>
  <c r="F27" i="20"/>
  <c r="F31" i="20"/>
  <c r="F25" i="20"/>
  <c r="F22" i="20"/>
  <c r="F34" i="20"/>
  <c r="Z12" i="22"/>
  <c r="V36" i="22"/>
  <c r="V34" i="22"/>
  <c r="V33" i="22"/>
  <c r="V31" i="22"/>
  <c r="V29" i="22"/>
  <c r="V27" i="22"/>
  <c r="V25" i="22"/>
  <c r="V21" i="22"/>
  <c r="V20" i="22"/>
  <c r="V18" i="22"/>
  <c r="V16" i="22"/>
  <c r="T18" i="22"/>
  <c r="V15" i="22"/>
  <c r="V24" i="22"/>
  <c r="V22" i="22"/>
  <c r="X12" i="23"/>
  <c r="R24" i="23"/>
  <c r="R22" i="23"/>
  <c r="R21" i="23"/>
  <c r="R20" i="23"/>
  <c r="R18" i="23"/>
  <c r="R16" i="23"/>
  <c r="P18" i="23"/>
  <c r="R15" i="23"/>
  <c r="R34" i="23"/>
  <c r="R27" i="23"/>
  <c r="R33" i="23"/>
  <c r="R25" i="23"/>
  <c r="R31" i="23"/>
  <c r="R36" i="23"/>
  <c r="R29" i="23"/>
  <c r="Z24" i="23"/>
  <c r="Z13" i="25"/>
  <c r="X22" i="25"/>
  <c r="F36" i="29"/>
  <c r="F34" i="29"/>
  <c r="F33" i="29"/>
  <c r="F31" i="29"/>
  <c r="F29" i="29"/>
  <c r="F27" i="29"/>
  <c r="F25" i="29"/>
  <c r="F21" i="29"/>
  <c r="F22" i="29"/>
  <c r="F20" i="29"/>
  <c r="F18" i="29"/>
  <c r="F16" i="29"/>
  <c r="D18" i="29"/>
  <c r="F15" i="29"/>
  <c r="F24" i="29"/>
  <c r="L12" i="29"/>
  <c r="N33" i="14"/>
  <c r="N34" i="14"/>
  <c r="Z21" i="16"/>
  <c r="X25" i="16"/>
  <c r="X29" i="16"/>
  <c r="X33" i="16"/>
  <c r="X34" i="16"/>
  <c r="Z13" i="17"/>
  <c r="Z16" i="17"/>
  <c r="Z20" i="17"/>
  <c r="X22" i="17"/>
  <c r="X24" i="17"/>
  <c r="L22" i="19"/>
  <c r="X24" i="19"/>
  <c r="Z12" i="20"/>
  <c r="V36" i="20"/>
  <c r="V34" i="20"/>
  <c r="V33" i="20"/>
  <c r="V31" i="20"/>
  <c r="V29" i="20"/>
  <c r="V27" i="20"/>
  <c r="V25" i="20"/>
  <c r="V21" i="20"/>
  <c r="V20" i="20"/>
  <c r="V18" i="20"/>
  <c r="V16" i="20"/>
  <c r="T18" i="20"/>
  <c r="V15" i="20"/>
  <c r="V24" i="20"/>
  <c r="V22" i="20"/>
  <c r="X20" i="20"/>
  <c r="N13" i="22"/>
  <c r="L13" i="23"/>
  <c r="L25" i="23"/>
  <c r="L33" i="23"/>
  <c r="Z15" i="25"/>
  <c r="J21" i="29"/>
  <c r="J27" i="29"/>
  <c r="J20" i="29"/>
  <c r="J18" i="29"/>
  <c r="J16" i="29"/>
  <c r="J36" i="29"/>
  <c r="J22" i="29"/>
  <c r="H18" i="29"/>
  <c r="J15" i="29"/>
  <c r="J33" i="29"/>
  <c r="J29" i="29"/>
  <c r="J24" i="29"/>
  <c r="N12" i="29"/>
  <c r="J31" i="29"/>
  <c r="J25" i="29"/>
  <c r="J34" i="29"/>
  <c r="X21" i="29"/>
  <c r="L33" i="38"/>
  <c r="X12" i="16"/>
  <c r="R36" i="16"/>
  <c r="R34" i="16"/>
  <c r="R33" i="16"/>
  <c r="R31" i="16"/>
  <c r="R29" i="16"/>
  <c r="R27" i="16"/>
  <c r="R25" i="16"/>
  <c r="R24" i="16"/>
  <c r="R22" i="16"/>
  <c r="R21" i="16"/>
  <c r="R20" i="16"/>
  <c r="R18" i="16"/>
  <c r="R16" i="16"/>
  <c r="P18" i="16"/>
  <c r="R15" i="16"/>
  <c r="Z22" i="16"/>
  <c r="Z24" i="16"/>
  <c r="Z21" i="17"/>
  <c r="X25" i="17"/>
  <c r="X29" i="17"/>
  <c r="X33" i="17"/>
  <c r="X34" i="17"/>
  <c r="Z16" i="19"/>
  <c r="X20" i="19"/>
  <c r="N22" i="19"/>
  <c r="L13" i="20"/>
  <c r="N24" i="20"/>
  <c r="L33" i="20"/>
  <c r="N25" i="22"/>
  <c r="N33" i="22"/>
  <c r="N13" i="23"/>
  <c r="X24" i="25"/>
  <c r="Z15" i="31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Z22" i="17"/>
  <c r="Z24" i="17"/>
  <c r="F24" i="19"/>
  <c r="F22" i="19"/>
  <c r="F20" i="19"/>
  <c r="F18" i="19"/>
  <c r="F16" i="19"/>
  <c r="F33" i="19"/>
  <c r="F29" i="19"/>
  <c r="F21" i="19"/>
  <c r="L12" i="19"/>
  <c r="F36" i="19"/>
  <c r="F25" i="19"/>
  <c r="D18" i="19"/>
  <c r="F31" i="19"/>
  <c r="F15" i="19"/>
  <c r="F34" i="19"/>
  <c r="F27" i="19"/>
  <c r="N13" i="20"/>
  <c r="X16" i="20"/>
  <c r="N21" i="20"/>
  <c r="L15" i="22"/>
  <c r="Z25" i="22"/>
  <c r="Z33" i="22"/>
  <c r="X20" i="26"/>
  <c r="Z20" i="28"/>
  <c r="X13" i="29"/>
  <c r="L16" i="31"/>
  <c r="L24" i="41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J20" i="19"/>
  <c r="J18" i="19"/>
  <c r="J16" i="19"/>
  <c r="N12" i="19"/>
  <c r="J36" i="19"/>
  <c r="J25" i="19"/>
  <c r="H18" i="19"/>
  <c r="J31" i="19"/>
  <c r="J22" i="19"/>
  <c r="J15" i="19"/>
  <c r="J34" i="19"/>
  <c r="J27" i="19"/>
  <c r="J24" i="19"/>
  <c r="J21" i="19"/>
  <c r="J33" i="19"/>
  <c r="J29" i="19"/>
  <c r="X15" i="19"/>
  <c r="Z20" i="19"/>
  <c r="L29" i="20"/>
  <c r="N33" i="20"/>
  <c r="N21" i="23"/>
  <c r="L34" i="23"/>
  <c r="Z16" i="25"/>
  <c r="J24" i="28"/>
  <c r="J22" i="28"/>
  <c r="J21" i="28"/>
  <c r="J20" i="28"/>
  <c r="J18" i="28"/>
  <c r="J16" i="28"/>
  <c r="H18" i="28"/>
  <c r="J15" i="28"/>
  <c r="N12" i="28"/>
  <c r="J36" i="28"/>
  <c r="J34" i="28"/>
  <c r="J33" i="28"/>
  <c r="J31" i="28"/>
  <c r="J29" i="28"/>
  <c r="J27" i="28"/>
  <c r="J25" i="28"/>
  <c r="X21" i="28"/>
  <c r="N25" i="29"/>
  <c r="X21" i="31"/>
  <c r="X24" i="41"/>
  <c r="N15" i="16"/>
  <c r="L21" i="16"/>
  <c r="L16" i="17"/>
  <c r="L20" i="17"/>
  <c r="N25" i="19"/>
  <c r="X15" i="22"/>
  <c r="N34" i="22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L12" i="26"/>
  <c r="Z15" i="29"/>
  <c r="Z34" i="32"/>
  <c r="V24" i="13"/>
  <c r="V22" i="13"/>
  <c r="V36" i="13"/>
  <c r="V34" i="13"/>
  <c r="V33" i="13"/>
  <c r="V25" i="13"/>
  <c r="V15" i="13"/>
  <c r="V27" i="13"/>
  <c r="V16" i="13"/>
  <c r="V29" i="13"/>
  <c r="V18" i="13"/>
  <c r="V21" i="13"/>
  <c r="V31" i="13"/>
  <c r="V20" i="13"/>
  <c r="T18" i="13"/>
  <c r="Z12" i="13"/>
  <c r="L15" i="13"/>
  <c r="Z25" i="13"/>
  <c r="Z29" i="13"/>
  <c r="Z33" i="13"/>
  <c r="Z34" i="13"/>
  <c r="R36" i="14"/>
  <c r="R34" i="14"/>
  <c r="R33" i="14"/>
  <c r="R31" i="14"/>
  <c r="R29" i="14"/>
  <c r="R27" i="14"/>
  <c r="R25" i="14"/>
  <c r="R22" i="14"/>
  <c r="R18" i="14"/>
  <c r="P18" i="14"/>
  <c r="R24" i="14"/>
  <c r="R20" i="14"/>
  <c r="R15" i="14"/>
  <c r="X12" i="14"/>
  <c r="R16" i="14"/>
  <c r="R21" i="14"/>
  <c r="Z22" i="14"/>
  <c r="Z24" i="14"/>
  <c r="N16" i="16"/>
  <c r="N20" i="16"/>
  <c r="L22" i="16"/>
  <c r="L24" i="16"/>
  <c r="N15" i="17"/>
  <c r="L21" i="17"/>
  <c r="Z15" i="19"/>
  <c r="X22" i="19"/>
  <c r="L15" i="20"/>
  <c r="L25" i="20"/>
  <c r="N29" i="20"/>
  <c r="Z33" i="20"/>
  <c r="Z34" i="22"/>
  <c r="J21" i="26"/>
  <c r="J20" i="26"/>
  <c r="J18" i="26"/>
  <c r="J16" i="26"/>
  <c r="H18" i="26"/>
  <c r="J15" i="26"/>
  <c r="N12" i="26"/>
  <c r="J24" i="26"/>
  <c r="J22" i="26"/>
  <c r="J31" i="26"/>
  <c r="J29" i="26"/>
  <c r="J27" i="26"/>
  <c r="J36" i="26"/>
  <c r="J25" i="26"/>
  <c r="J33" i="26"/>
  <c r="J34" i="26"/>
  <c r="X21" i="26"/>
  <c r="X13" i="28"/>
  <c r="X16" i="29"/>
  <c r="L13" i="22"/>
  <c r="N21" i="22"/>
  <c r="L25" i="22"/>
  <c r="L29" i="22"/>
  <c r="L33" i="22"/>
  <c r="L34" i="22"/>
  <c r="N16" i="23"/>
  <c r="N20" i="23"/>
  <c r="L22" i="23"/>
  <c r="L24" i="23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D18" i="25"/>
  <c r="F15" i="25"/>
  <c r="L12" i="25"/>
  <c r="X16" i="25"/>
  <c r="X20" i="25"/>
  <c r="X15" i="26"/>
  <c r="N25" i="26"/>
  <c r="N29" i="26"/>
  <c r="N33" i="26"/>
  <c r="N34" i="26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D18" i="28"/>
  <c r="F15" i="28"/>
  <c r="L12" i="28"/>
  <c r="X16" i="28"/>
  <c r="X20" i="28"/>
  <c r="X15" i="29"/>
  <c r="X22" i="29"/>
  <c r="L25" i="29"/>
  <c r="L34" i="29"/>
  <c r="N15" i="31"/>
  <c r="L21" i="31"/>
  <c r="N21" i="38"/>
  <c r="F21" i="22"/>
  <c r="F20" i="22"/>
  <c r="F18" i="22"/>
  <c r="F16" i="22"/>
  <c r="D18" i="22"/>
  <c r="F15" i="22"/>
  <c r="L12" i="22"/>
  <c r="F24" i="22"/>
  <c r="F22" i="22"/>
  <c r="F34" i="22"/>
  <c r="F27" i="22"/>
  <c r="F33" i="22"/>
  <c r="F25" i="22"/>
  <c r="F31" i="22"/>
  <c r="F36" i="22"/>
  <c r="F29" i="22"/>
  <c r="X16" i="22"/>
  <c r="X20" i="22"/>
  <c r="X15" i="23"/>
  <c r="N25" i="23"/>
  <c r="N29" i="23"/>
  <c r="N33" i="23"/>
  <c r="N34" i="23"/>
  <c r="Z21" i="25"/>
  <c r="X25" i="25"/>
  <c r="X29" i="25"/>
  <c r="X33" i="25"/>
  <c r="X34" i="25"/>
  <c r="Z13" i="26"/>
  <c r="Z16" i="26"/>
  <c r="Z20" i="26"/>
  <c r="X22" i="26"/>
  <c r="X24" i="26"/>
  <c r="Z21" i="28"/>
  <c r="X25" i="28"/>
  <c r="X29" i="28"/>
  <c r="X33" i="28"/>
  <c r="X34" i="28"/>
  <c r="Z13" i="29"/>
  <c r="Z16" i="29"/>
  <c r="Z20" i="29"/>
  <c r="L24" i="29"/>
  <c r="L29" i="29"/>
  <c r="L16" i="32"/>
  <c r="N20" i="34"/>
  <c r="N29" i="37"/>
  <c r="N13" i="38"/>
  <c r="N22" i="38"/>
  <c r="H18" i="20"/>
  <c r="J15" i="20"/>
  <c r="N12" i="20"/>
  <c r="J33" i="20"/>
  <c r="J18" i="20"/>
  <c r="J21" i="20"/>
  <c r="J36" i="20"/>
  <c r="J24" i="20"/>
  <c r="J27" i="20"/>
  <c r="J31" i="20"/>
  <c r="J16" i="20"/>
  <c r="J34" i="20"/>
  <c r="J22" i="20"/>
  <c r="J20" i="20"/>
  <c r="J29" i="20"/>
  <c r="J25" i="20"/>
  <c r="X13" i="20"/>
  <c r="Z15" i="20"/>
  <c r="X21" i="20"/>
  <c r="H18" i="22"/>
  <c r="J15" i="22"/>
  <c r="N12" i="22"/>
  <c r="J36" i="22"/>
  <c r="J34" i="22"/>
  <c r="J33" i="22"/>
  <c r="J31" i="22"/>
  <c r="J29" i="22"/>
  <c r="J27" i="22"/>
  <c r="J25" i="22"/>
  <c r="J20" i="22"/>
  <c r="J18" i="22"/>
  <c r="J16" i="22"/>
  <c r="J21" i="22"/>
  <c r="J24" i="22"/>
  <c r="J22" i="22"/>
  <c r="X13" i="22"/>
  <c r="Z15" i="22"/>
  <c r="X21" i="22"/>
  <c r="F20" i="23"/>
  <c r="F18" i="23"/>
  <c r="F16" i="23"/>
  <c r="D18" i="23"/>
  <c r="F15" i="23"/>
  <c r="L12" i="23"/>
  <c r="F21" i="23"/>
  <c r="F34" i="23"/>
  <c r="F27" i="23"/>
  <c r="F33" i="23"/>
  <c r="F25" i="23"/>
  <c r="F31" i="23"/>
  <c r="F24" i="23"/>
  <c r="F22" i="23"/>
  <c r="F36" i="23"/>
  <c r="F29" i="23"/>
  <c r="X16" i="23"/>
  <c r="X20" i="23"/>
  <c r="X12" i="25"/>
  <c r="R36" i="25"/>
  <c r="R34" i="25"/>
  <c r="R33" i="25"/>
  <c r="R31" i="25"/>
  <c r="R29" i="25"/>
  <c r="R27" i="25"/>
  <c r="R25" i="25"/>
  <c r="R24" i="25"/>
  <c r="R22" i="25"/>
  <c r="P18" i="25"/>
  <c r="R15" i="25"/>
  <c r="R18" i="25"/>
  <c r="R16" i="25"/>
  <c r="R21" i="25"/>
  <c r="R20" i="25"/>
  <c r="Z22" i="25"/>
  <c r="Z24" i="25"/>
  <c r="Z21" i="26"/>
  <c r="X25" i="26"/>
  <c r="X29" i="26"/>
  <c r="X33" i="26"/>
  <c r="X34" i="26"/>
  <c r="X12" i="28"/>
  <c r="R36" i="28"/>
  <c r="R34" i="28"/>
  <c r="R33" i="28"/>
  <c r="R31" i="28"/>
  <c r="R29" i="28"/>
  <c r="R27" i="28"/>
  <c r="R25" i="28"/>
  <c r="R24" i="28"/>
  <c r="R22" i="28"/>
  <c r="P18" i="28"/>
  <c r="R15" i="28"/>
  <c r="R21" i="28"/>
  <c r="R20" i="28"/>
  <c r="R18" i="28"/>
  <c r="R16" i="28"/>
  <c r="Z22" i="28"/>
  <c r="Z24" i="28"/>
  <c r="N29" i="29"/>
  <c r="Z34" i="29"/>
  <c r="X16" i="32"/>
  <c r="L21" i="34"/>
  <c r="L34" i="38"/>
  <c r="X33" i="46"/>
  <c r="Z21" i="19"/>
  <c r="X25" i="19"/>
  <c r="X29" i="19"/>
  <c r="X33" i="19"/>
  <c r="X34" i="19"/>
  <c r="Z13" i="20"/>
  <c r="Z16" i="20"/>
  <c r="Z20" i="20"/>
  <c r="X22" i="20"/>
  <c r="X24" i="2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H18" i="23"/>
  <c r="J15" i="23"/>
  <c r="J21" i="23"/>
  <c r="J20" i="23"/>
  <c r="J18" i="23"/>
  <c r="J16" i="23"/>
  <c r="X13" i="23"/>
  <c r="Z15" i="23"/>
  <c r="X21" i="23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R20" i="26"/>
  <c r="R18" i="26"/>
  <c r="P18" i="26"/>
  <c r="R16" i="26"/>
  <c r="R15" i="26"/>
  <c r="Z22" i="26"/>
  <c r="Z24" i="26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R24" i="29"/>
  <c r="R22" i="29"/>
  <c r="R36" i="29"/>
  <c r="R34" i="29"/>
  <c r="R33" i="29"/>
  <c r="R31" i="29"/>
  <c r="R29" i="29"/>
  <c r="R27" i="29"/>
  <c r="R25" i="29"/>
  <c r="X12" i="29"/>
  <c r="R21" i="29"/>
  <c r="R15" i="29"/>
  <c r="R20" i="29"/>
  <c r="R16" i="29"/>
  <c r="R18" i="29"/>
  <c r="P18" i="29"/>
  <c r="Z25" i="29"/>
  <c r="L33" i="29"/>
  <c r="Z29" i="32"/>
  <c r="N15" i="35"/>
  <c r="N24" i="38"/>
  <c r="R36" i="19"/>
  <c r="R34" i="19"/>
  <c r="R33" i="19"/>
  <c r="R31" i="19"/>
  <c r="R29" i="19"/>
  <c r="R27" i="19"/>
  <c r="R25" i="19"/>
  <c r="R24" i="19"/>
  <c r="R22" i="19"/>
  <c r="X12" i="19"/>
  <c r="R15" i="19"/>
  <c r="R20" i="19"/>
  <c r="R16" i="19"/>
  <c r="R21" i="19"/>
  <c r="P18" i="19"/>
  <c r="R18" i="19"/>
  <c r="Z22" i="19"/>
  <c r="Z24" i="19"/>
  <c r="Z21" i="20"/>
  <c r="X25" i="20"/>
  <c r="X29" i="20"/>
  <c r="X33" i="20"/>
  <c r="X34" i="20"/>
  <c r="Z21" i="22"/>
  <c r="X25" i="22"/>
  <c r="X29" i="22"/>
  <c r="X33" i="22"/>
  <c r="X34" i="22"/>
  <c r="Z13" i="23"/>
  <c r="Z16" i="23"/>
  <c r="Z20" i="23"/>
  <c r="X22" i="23"/>
  <c r="X24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L16" i="28"/>
  <c r="L20" i="28"/>
  <c r="V21" i="29"/>
  <c r="V33" i="29"/>
  <c r="V24" i="29"/>
  <c r="V29" i="29"/>
  <c r="Z12" i="29"/>
  <c r="V25" i="29"/>
  <c r="V34" i="29"/>
  <c r="V20" i="29"/>
  <c r="V18" i="29"/>
  <c r="V16" i="29"/>
  <c r="V31" i="29"/>
  <c r="T18" i="29"/>
  <c r="V15" i="29"/>
  <c r="V36" i="29"/>
  <c r="V27" i="29"/>
  <c r="V22" i="29"/>
  <c r="L15" i="29"/>
  <c r="N33" i="29"/>
  <c r="L16" i="35"/>
  <c r="N13" i="37"/>
  <c r="N22" i="37"/>
  <c r="L25" i="38"/>
  <c r="N29" i="44"/>
  <c r="Z12" i="19"/>
  <c r="V24" i="19"/>
  <c r="V22" i="19"/>
  <c r="V21" i="19"/>
  <c r="V20" i="19"/>
  <c r="V18" i="19"/>
  <c r="V16" i="19"/>
  <c r="V31" i="19"/>
  <c r="V27" i="19"/>
  <c r="V34" i="19"/>
  <c r="V29" i="19"/>
  <c r="V33" i="19"/>
  <c r="V15" i="19"/>
  <c r="T18" i="19"/>
  <c r="V36" i="19"/>
  <c r="V25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R15" i="20"/>
  <c r="P18" i="20"/>
  <c r="Z22" i="20"/>
  <c r="Z24" i="20"/>
  <c r="X12" i="22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P18" i="22"/>
  <c r="R15" i="22"/>
  <c r="Z22" i="22"/>
  <c r="Z24" i="22"/>
  <c r="Z21" i="23"/>
  <c r="X25" i="23"/>
  <c r="X29" i="23"/>
  <c r="X33" i="23"/>
  <c r="X34" i="23"/>
  <c r="N15" i="25"/>
  <c r="L21" i="25"/>
  <c r="L16" i="26"/>
  <c r="L20" i="26"/>
  <c r="N15" i="28"/>
  <c r="L21" i="28"/>
  <c r="L16" i="29"/>
  <c r="L20" i="29"/>
  <c r="L22" i="29"/>
  <c r="Z29" i="29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L12" i="32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L22" i="34"/>
  <c r="N33" i="37"/>
  <c r="N16" i="25"/>
  <c r="N20" i="25"/>
  <c r="L22" i="25"/>
  <c r="L24" i="25"/>
  <c r="N15" i="26"/>
  <c r="L21" i="26"/>
  <c r="N16" i="28"/>
  <c r="N20" i="28"/>
  <c r="L22" i="28"/>
  <c r="L24" i="28"/>
  <c r="N15" i="29"/>
  <c r="L21" i="29"/>
  <c r="X24" i="29"/>
  <c r="L20" i="31"/>
  <c r="V20" i="32"/>
  <c r="V18" i="32"/>
  <c r="V16" i="32"/>
  <c r="T18" i="32"/>
  <c r="V15" i="32"/>
  <c r="Z12" i="32"/>
  <c r="V21" i="32"/>
  <c r="V31" i="32"/>
  <c r="V24" i="32"/>
  <c r="V36" i="32"/>
  <c r="V29" i="32"/>
  <c r="V22" i="32"/>
  <c r="V34" i="32"/>
  <c r="V27" i="32"/>
  <c r="V33" i="32"/>
  <c r="V25" i="32"/>
  <c r="N15" i="34"/>
  <c r="N24" i="37"/>
  <c r="N15" i="19"/>
  <c r="L21" i="19"/>
  <c r="L16" i="20"/>
  <c r="L20" i="20"/>
  <c r="L16" i="22"/>
  <c r="L20" i="22"/>
  <c r="Z12" i="23"/>
  <c r="V36" i="23"/>
  <c r="V34" i="23"/>
  <c r="V33" i="23"/>
  <c r="V31" i="23"/>
  <c r="V29" i="23"/>
  <c r="V27" i="23"/>
  <c r="V25" i="23"/>
  <c r="V24" i="23"/>
  <c r="V22" i="23"/>
  <c r="V20" i="23"/>
  <c r="V18" i="23"/>
  <c r="V16" i="23"/>
  <c r="T18" i="23"/>
  <c r="V15" i="23"/>
  <c r="V21" i="23"/>
  <c r="L15" i="23"/>
  <c r="Z25" i="23"/>
  <c r="Z29" i="23"/>
  <c r="Z33" i="23"/>
  <c r="Z34" i="23"/>
  <c r="L13" i="25"/>
  <c r="N21" i="25"/>
  <c r="L25" i="25"/>
  <c r="L29" i="25"/>
  <c r="L33" i="25"/>
  <c r="L34" i="25"/>
  <c r="N16" i="26"/>
  <c r="N20" i="26"/>
  <c r="L22" i="26"/>
  <c r="L24" i="26"/>
  <c r="L13" i="28"/>
  <c r="N21" i="28"/>
  <c r="L25" i="28"/>
  <c r="L29" i="28"/>
  <c r="L33" i="28"/>
  <c r="L34" i="28"/>
  <c r="N16" i="29"/>
  <c r="N20" i="29"/>
  <c r="Z33" i="29"/>
  <c r="L20" i="32"/>
  <c r="L24" i="34"/>
  <c r="X15" i="37"/>
  <c r="N34" i="37"/>
  <c r="N15" i="20"/>
  <c r="L21" i="20"/>
  <c r="N15" i="22"/>
  <c r="L21" i="22"/>
  <c r="L16" i="23"/>
  <c r="L20" i="23"/>
  <c r="N13" i="25"/>
  <c r="N22" i="25"/>
  <c r="N24" i="25"/>
  <c r="L13" i="26"/>
  <c r="N21" i="26"/>
  <c r="L25" i="26"/>
  <c r="L29" i="26"/>
  <c r="L33" i="26"/>
  <c r="L34" i="26"/>
  <c r="N13" i="28"/>
  <c r="N22" i="28"/>
  <c r="N24" i="28"/>
  <c r="L13" i="29"/>
  <c r="N21" i="29"/>
  <c r="X13" i="31"/>
  <c r="X20" i="32"/>
  <c r="L20" i="35"/>
  <c r="L29" i="38"/>
  <c r="L13" i="19"/>
  <c r="N21" i="19"/>
  <c r="L25" i="19"/>
  <c r="L29" i="19"/>
  <c r="L33" i="19"/>
  <c r="L34" i="19"/>
  <c r="N16" i="20"/>
  <c r="N20" i="20"/>
  <c r="L22" i="20"/>
  <c r="L24" i="20"/>
  <c r="N16" i="22"/>
  <c r="N20" i="22"/>
  <c r="L22" i="22"/>
  <c r="L24" i="22"/>
  <c r="N15" i="23"/>
  <c r="L21" i="23"/>
  <c r="X15" i="25"/>
  <c r="N25" i="25"/>
  <c r="N29" i="25"/>
  <c r="N33" i="25"/>
  <c r="N34" i="25"/>
  <c r="N13" i="26"/>
  <c r="N22" i="26"/>
  <c r="N24" i="26"/>
  <c r="X15" i="28"/>
  <c r="N25" i="28"/>
  <c r="N29" i="28"/>
  <c r="N33" i="28"/>
  <c r="N34" i="28"/>
  <c r="N13" i="29"/>
  <c r="L15" i="32"/>
  <c r="Z25" i="32"/>
  <c r="Z33" i="32"/>
  <c r="N16" i="34"/>
  <c r="N25" i="37"/>
  <c r="Z22" i="29"/>
  <c r="Z24" i="29"/>
  <c r="V21" i="31"/>
  <c r="V20" i="31"/>
  <c r="V18" i="31"/>
  <c r="V16" i="31"/>
  <c r="T18" i="31"/>
  <c r="V15" i="31"/>
  <c r="V24" i="31"/>
  <c r="V22" i="31"/>
  <c r="V33" i="31"/>
  <c r="V25" i="31"/>
  <c r="Z12" i="31"/>
  <c r="V31" i="31"/>
  <c r="V36" i="31"/>
  <c r="V29" i="31"/>
  <c r="V27" i="31"/>
  <c r="V34" i="31"/>
  <c r="L15" i="31"/>
  <c r="Z25" i="31"/>
  <c r="Z29" i="31"/>
  <c r="Z33" i="31"/>
  <c r="Z34" i="31"/>
  <c r="R24" i="32"/>
  <c r="R22" i="32"/>
  <c r="R21" i="32"/>
  <c r="R20" i="32"/>
  <c r="R18" i="32"/>
  <c r="R16" i="32"/>
  <c r="R36" i="32"/>
  <c r="R34" i="32"/>
  <c r="R33" i="32"/>
  <c r="R31" i="32"/>
  <c r="R29" i="32"/>
  <c r="R27" i="32"/>
  <c r="R25" i="32"/>
  <c r="X12" i="32"/>
  <c r="P18" i="32"/>
  <c r="R15" i="32"/>
  <c r="Z22" i="32"/>
  <c r="Z24" i="32"/>
  <c r="L16" i="34"/>
  <c r="L20" i="34"/>
  <c r="V21" i="35"/>
  <c r="V20" i="35"/>
  <c r="V18" i="35"/>
  <c r="V16" i="35"/>
  <c r="T18" i="35"/>
  <c r="V15" i="35"/>
  <c r="V24" i="35"/>
  <c r="V22" i="35"/>
  <c r="V27" i="35"/>
  <c r="V36" i="35"/>
  <c r="V25" i="35"/>
  <c r="V34" i="35"/>
  <c r="V33" i="35"/>
  <c r="Z12" i="35"/>
  <c r="V29" i="35"/>
  <c r="V31" i="35"/>
  <c r="L15" i="35"/>
  <c r="Z25" i="35"/>
  <c r="Z29" i="35"/>
  <c r="Z33" i="35"/>
  <c r="Z34" i="35"/>
  <c r="L13" i="37"/>
  <c r="N21" i="37"/>
  <c r="L25" i="37"/>
  <c r="L29" i="37"/>
  <c r="L33" i="37"/>
  <c r="L34" i="37"/>
  <c r="N16" i="38"/>
  <c r="N20" i="38"/>
  <c r="L22" i="38"/>
  <c r="L24" i="38"/>
  <c r="L24" i="40"/>
  <c r="X25" i="46"/>
  <c r="N16" i="31"/>
  <c r="N20" i="31"/>
  <c r="L22" i="31"/>
  <c r="L24" i="31"/>
  <c r="N15" i="32"/>
  <c r="L21" i="32"/>
  <c r="L13" i="34"/>
  <c r="N21" i="34"/>
  <c r="L25" i="34"/>
  <c r="L29" i="34"/>
  <c r="L33" i="34"/>
  <c r="L34" i="34"/>
  <c r="N16" i="35"/>
  <c r="N20" i="35"/>
  <c r="L22" i="35"/>
  <c r="L24" i="35"/>
  <c r="F21" i="37"/>
  <c r="F20" i="37"/>
  <c r="F18" i="37"/>
  <c r="F16" i="37"/>
  <c r="D18" i="37"/>
  <c r="F15" i="37"/>
  <c r="L12" i="37"/>
  <c r="F24" i="37"/>
  <c r="F22" i="37"/>
  <c r="F36" i="37"/>
  <c r="F25" i="37"/>
  <c r="F34" i="37"/>
  <c r="F33" i="37"/>
  <c r="F31" i="37"/>
  <c r="F27" i="37"/>
  <c r="F29" i="37"/>
  <c r="X16" i="37"/>
  <c r="X20" i="37"/>
  <c r="X15" i="38"/>
  <c r="N25" i="38"/>
  <c r="N29" i="38"/>
  <c r="N33" i="38"/>
  <c r="N34" i="38"/>
  <c r="N20" i="40"/>
  <c r="Z20" i="49"/>
  <c r="L13" i="31"/>
  <c r="N21" i="31"/>
  <c r="L25" i="31"/>
  <c r="L29" i="31"/>
  <c r="L33" i="31"/>
  <c r="L34" i="31"/>
  <c r="N16" i="32"/>
  <c r="N20" i="32"/>
  <c r="L22" i="32"/>
  <c r="L24" i="32"/>
  <c r="N13" i="34"/>
  <c r="N22" i="34"/>
  <c r="N24" i="34"/>
  <c r="L13" i="35"/>
  <c r="N21" i="35"/>
  <c r="L25" i="35"/>
  <c r="L29" i="35"/>
  <c r="L33" i="35"/>
  <c r="L34" i="35"/>
  <c r="H18" i="37"/>
  <c r="J15" i="37"/>
  <c r="N12" i="37"/>
  <c r="J36" i="37"/>
  <c r="J34" i="37"/>
  <c r="J33" i="37"/>
  <c r="J31" i="37"/>
  <c r="J29" i="37"/>
  <c r="J27" i="37"/>
  <c r="J25" i="37"/>
  <c r="J20" i="37"/>
  <c r="J18" i="37"/>
  <c r="J16" i="37"/>
  <c r="J24" i="37"/>
  <c r="J22" i="37"/>
  <c r="J21" i="37"/>
  <c r="X13" i="37"/>
  <c r="Z15" i="37"/>
  <c r="X21" i="37"/>
  <c r="F20" i="38"/>
  <c r="F18" i="38"/>
  <c r="F16" i="38"/>
  <c r="D18" i="38"/>
  <c r="F15" i="38"/>
  <c r="L12" i="38"/>
  <c r="F21" i="38"/>
  <c r="F29" i="38"/>
  <c r="F27" i="38"/>
  <c r="F36" i="38"/>
  <c r="F25" i="38"/>
  <c r="F34" i="38"/>
  <c r="F24" i="38"/>
  <c r="F33" i="38"/>
  <c r="F31" i="38"/>
  <c r="F22" i="38"/>
  <c r="X16" i="38"/>
  <c r="X20" i="38"/>
  <c r="L13" i="40"/>
  <c r="L25" i="40"/>
  <c r="L33" i="40"/>
  <c r="N20" i="41"/>
  <c r="Z13" i="47"/>
  <c r="N13" i="31"/>
  <c r="N22" i="31"/>
  <c r="N24" i="31"/>
  <c r="L13" i="32"/>
  <c r="N21" i="32"/>
  <c r="L25" i="32"/>
  <c r="L29" i="32"/>
  <c r="L33" i="32"/>
  <c r="L34" i="32"/>
  <c r="X15" i="34"/>
  <c r="N25" i="34"/>
  <c r="N29" i="34"/>
  <c r="N33" i="34"/>
  <c r="N34" i="34"/>
  <c r="N13" i="35"/>
  <c r="N22" i="35"/>
  <c r="N24" i="35"/>
  <c r="Z13" i="37"/>
  <c r="Z16" i="37"/>
  <c r="Z20" i="37"/>
  <c r="X22" i="37"/>
  <c r="X24" i="37"/>
  <c r="N12" i="38"/>
  <c r="J36" i="38"/>
  <c r="J34" i="38"/>
  <c r="J33" i="38"/>
  <c r="J31" i="38"/>
  <c r="J29" i="38"/>
  <c r="J27" i="38"/>
  <c r="J25" i="38"/>
  <c r="J24" i="38"/>
  <c r="J22" i="38"/>
  <c r="H18" i="38"/>
  <c r="J15" i="38"/>
  <c r="J20" i="38"/>
  <c r="J18" i="38"/>
  <c r="J16" i="38"/>
  <c r="J21" i="38"/>
  <c r="X13" i="38"/>
  <c r="Z15" i="38"/>
  <c r="X21" i="38"/>
  <c r="X25" i="40"/>
  <c r="X33" i="40"/>
  <c r="Z13" i="41"/>
  <c r="Z20" i="41"/>
  <c r="N13" i="43"/>
  <c r="N22" i="29"/>
  <c r="N24" i="29"/>
  <c r="X15" i="31"/>
  <c r="N25" i="31"/>
  <c r="N29" i="31"/>
  <c r="N33" i="31"/>
  <c r="N34" i="31"/>
  <c r="N13" i="32"/>
  <c r="N22" i="32"/>
  <c r="N24" i="32"/>
  <c r="L12" i="34"/>
  <c r="F36" i="34"/>
  <c r="F34" i="34"/>
  <c r="F33" i="34"/>
  <c r="F31" i="34"/>
  <c r="F29" i="34"/>
  <c r="F27" i="34"/>
  <c r="F25" i="34"/>
  <c r="F24" i="34"/>
  <c r="F22" i="34"/>
  <c r="D18" i="34"/>
  <c r="F15" i="34"/>
  <c r="F16" i="34"/>
  <c r="F21" i="34"/>
  <c r="F18" i="34"/>
  <c r="F20" i="34"/>
  <c r="X16" i="34"/>
  <c r="X20" i="34"/>
  <c r="X15" i="35"/>
  <c r="N25" i="35"/>
  <c r="N29" i="35"/>
  <c r="N33" i="35"/>
  <c r="N34" i="35"/>
  <c r="Z21" i="37"/>
  <c r="X25" i="37"/>
  <c r="X29" i="37"/>
  <c r="X33" i="37"/>
  <c r="X34" i="37"/>
  <c r="Z13" i="38"/>
  <c r="Z16" i="38"/>
  <c r="Z20" i="38"/>
  <c r="X22" i="38"/>
  <c r="X24" i="38"/>
  <c r="N15" i="41"/>
  <c r="L21" i="41"/>
  <c r="Z22" i="43"/>
  <c r="X16" i="44"/>
  <c r="Z20" i="47"/>
  <c r="X29" i="49"/>
  <c r="L12" i="31"/>
  <c r="F36" i="31"/>
  <c r="F34" i="31"/>
  <c r="F33" i="31"/>
  <c r="F31" i="31"/>
  <c r="F29" i="31"/>
  <c r="F27" i="31"/>
  <c r="F25" i="31"/>
  <c r="F24" i="31"/>
  <c r="F22" i="31"/>
  <c r="F21" i="31"/>
  <c r="F15" i="31"/>
  <c r="F20" i="31"/>
  <c r="F18" i="31"/>
  <c r="D18" i="31"/>
  <c r="F16" i="31"/>
  <c r="X16" i="31"/>
  <c r="X20" i="31"/>
  <c r="X15" i="32"/>
  <c r="N25" i="32"/>
  <c r="N29" i="32"/>
  <c r="N33" i="32"/>
  <c r="N34" i="32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J15" i="34"/>
  <c r="H18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21" i="35"/>
  <c r="F20" i="35"/>
  <c r="F18" i="35"/>
  <c r="D18" i="35"/>
  <c r="F16" i="35"/>
  <c r="F15" i="35"/>
  <c r="X16" i="35"/>
  <c r="X20" i="35"/>
  <c r="X12" i="37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P18" i="37"/>
  <c r="R15" i="37"/>
  <c r="Z22" i="37"/>
  <c r="Z24" i="37"/>
  <c r="Z21" i="38"/>
  <c r="X25" i="38"/>
  <c r="X29" i="38"/>
  <c r="X33" i="38"/>
  <c r="X34" i="38"/>
  <c r="N21" i="40"/>
  <c r="L34" i="40"/>
  <c r="X13" i="50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X13" i="35"/>
  <c r="Z15" i="35"/>
  <c r="X21" i="35"/>
  <c r="Z12" i="37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T18" i="37"/>
  <c r="V15" i="37"/>
  <c r="L15" i="37"/>
  <c r="Z25" i="37"/>
  <c r="Z29" i="37"/>
  <c r="Z33" i="37"/>
  <c r="Z34" i="37"/>
  <c r="X12" i="38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Z22" i="38"/>
  <c r="Z24" i="38"/>
  <c r="Z21" i="40"/>
  <c r="X34" i="40"/>
  <c r="X15" i="43"/>
  <c r="X20" i="44"/>
  <c r="Z13" i="50"/>
  <c r="Z13" i="31"/>
  <c r="Z16" i="31"/>
  <c r="Z20" i="31"/>
  <c r="X22" i="31"/>
  <c r="X24" i="31"/>
  <c r="N12" i="32"/>
  <c r="J24" i="32"/>
  <c r="J22" i="32"/>
  <c r="J21" i="32"/>
  <c r="J20" i="32"/>
  <c r="J18" i="32"/>
  <c r="J16" i="32"/>
  <c r="H18" i="32"/>
  <c r="J15" i="32"/>
  <c r="J33" i="32"/>
  <c r="J25" i="32"/>
  <c r="J31" i="32"/>
  <c r="J36" i="32"/>
  <c r="J29" i="32"/>
  <c r="J34" i="32"/>
  <c r="J27" i="32"/>
  <c r="X13" i="32"/>
  <c r="Z15" i="32"/>
  <c r="X21" i="32"/>
  <c r="Z21" i="34"/>
  <c r="X25" i="34"/>
  <c r="X29" i="34"/>
  <c r="X33" i="34"/>
  <c r="X34" i="34"/>
  <c r="Z13" i="35"/>
  <c r="Z16" i="35"/>
  <c r="Z20" i="35"/>
  <c r="X22" i="35"/>
  <c r="X24" i="35"/>
  <c r="L16" i="37"/>
  <c r="L20" i="37"/>
  <c r="Z12" i="38"/>
  <c r="V36" i="38"/>
  <c r="V34" i="38"/>
  <c r="V33" i="38"/>
  <c r="V31" i="38"/>
  <c r="V29" i="38"/>
  <c r="V27" i="38"/>
  <c r="V25" i="38"/>
  <c r="V24" i="38"/>
  <c r="V22" i="38"/>
  <c r="V21" i="38"/>
  <c r="V20" i="38"/>
  <c r="V18" i="38"/>
  <c r="V16" i="38"/>
  <c r="T18" i="38"/>
  <c r="V15" i="38"/>
  <c r="L15" i="38"/>
  <c r="Z25" i="38"/>
  <c r="Z29" i="38"/>
  <c r="Z33" i="38"/>
  <c r="Z34" i="38"/>
  <c r="N16" i="40"/>
  <c r="L22" i="40"/>
  <c r="X25" i="47"/>
  <c r="Z21" i="31"/>
  <c r="X25" i="31"/>
  <c r="X29" i="31"/>
  <c r="X33" i="31"/>
  <c r="X34" i="31"/>
  <c r="Z13" i="32"/>
  <c r="Z16" i="32"/>
  <c r="Z20" i="32"/>
  <c r="X22" i="32"/>
  <c r="X24" i="32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X12" i="34"/>
  <c r="Z22" i="34"/>
  <c r="Z24" i="34"/>
  <c r="Z21" i="35"/>
  <c r="X25" i="35"/>
  <c r="X29" i="35"/>
  <c r="X33" i="35"/>
  <c r="X34" i="35"/>
  <c r="N15" i="37"/>
  <c r="L21" i="37"/>
  <c r="L16" i="38"/>
  <c r="L20" i="38"/>
  <c r="L29" i="40"/>
  <c r="N16" i="41"/>
  <c r="L22" i="41"/>
  <c r="X22" i="50"/>
  <c r="Z21" i="29"/>
  <c r="X25" i="29"/>
  <c r="X29" i="29"/>
  <c r="X33" i="29"/>
  <c r="X34" i="29"/>
  <c r="R36" i="31"/>
  <c r="R34" i="31"/>
  <c r="R33" i="31"/>
  <c r="R31" i="31"/>
  <c r="R29" i="31"/>
  <c r="R27" i="31"/>
  <c r="R25" i="31"/>
  <c r="R24" i="31"/>
  <c r="R22" i="31"/>
  <c r="R21" i="31"/>
  <c r="P18" i="31"/>
  <c r="R15" i="31"/>
  <c r="R20" i="31"/>
  <c r="X12" i="31"/>
  <c r="R18" i="31"/>
  <c r="R16" i="31"/>
  <c r="Z22" i="31"/>
  <c r="Z24" i="31"/>
  <c r="Z21" i="32"/>
  <c r="X25" i="32"/>
  <c r="X29" i="32"/>
  <c r="X33" i="32"/>
  <c r="X34" i="32"/>
  <c r="V24" i="34"/>
  <c r="V22" i="34"/>
  <c r="V21" i="34"/>
  <c r="V20" i="34"/>
  <c r="V18" i="34"/>
  <c r="V16" i="34"/>
  <c r="T18" i="34"/>
  <c r="V15" i="34"/>
  <c r="V36" i="34"/>
  <c r="V34" i="34"/>
  <c r="V33" i="34"/>
  <c r="V31" i="34"/>
  <c r="V29" i="34"/>
  <c r="V27" i="34"/>
  <c r="V25" i="34"/>
  <c r="Z12" i="34"/>
  <c r="L15" i="34"/>
  <c r="Z25" i="34"/>
  <c r="Z29" i="34"/>
  <c r="Z33" i="34"/>
  <c r="Z34" i="34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X12" i="35"/>
  <c r="Z22" i="35"/>
  <c r="Z24" i="35"/>
  <c r="N16" i="37"/>
  <c r="N20" i="37"/>
  <c r="L22" i="37"/>
  <c r="L24" i="37"/>
  <c r="N15" i="38"/>
  <c r="L21" i="38"/>
  <c r="X29" i="40"/>
  <c r="Z16" i="41"/>
  <c r="X22" i="41"/>
  <c r="N25" i="44"/>
  <c r="X33" i="47"/>
  <c r="N15" i="40"/>
  <c r="L21" i="40"/>
  <c r="L16" i="41"/>
  <c r="L20" i="41"/>
  <c r="L13" i="43"/>
  <c r="N21" i="43"/>
  <c r="L25" i="43"/>
  <c r="L29" i="43"/>
  <c r="L33" i="43"/>
  <c r="N16" i="44"/>
  <c r="N20" i="44"/>
  <c r="L22" i="44"/>
  <c r="N33" i="44"/>
  <c r="N13" i="46"/>
  <c r="L13" i="47"/>
  <c r="L25" i="47"/>
  <c r="L33" i="47"/>
  <c r="N13" i="40"/>
  <c r="N22" i="40"/>
  <c r="N24" i="40"/>
  <c r="L13" i="41"/>
  <c r="N21" i="41"/>
  <c r="L25" i="41"/>
  <c r="L29" i="41"/>
  <c r="L33" i="41"/>
  <c r="L34" i="41"/>
  <c r="F36" i="43"/>
  <c r="F34" i="43"/>
  <c r="F33" i="43"/>
  <c r="F31" i="43"/>
  <c r="F29" i="43"/>
  <c r="F27" i="43"/>
  <c r="F25" i="43"/>
  <c r="F21" i="43"/>
  <c r="F20" i="43"/>
  <c r="F18" i="43"/>
  <c r="F16" i="43"/>
  <c r="F22" i="43"/>
  <c r="D18" i="43"/>
  <c r="F15" i="43"/>
  <c r="F24" i="43"/>
  <c r="L12" i="43"/>
  <c r="X16" i="43"/>
  <c r="X20" i="43"/>
  <c r="X25" i="43"/>
  <c r="X29" i="43"/>
  <c r="X33" i="43"/>
  <c r="Z13" i="44"/>
  <c r="Z16" i="44"/>
  <c r="Z20" i="44"/>
  <c r="X22" i="44"/>
  <c r="X33" i="44"/>
  <c r="N21" i="47"/>
  <c r="L34" i="47"/>
  <c r="Z15" i="50"/>
  <c r="X15" i="40"/>
  <c r="N25" i="40"/>
  <c r="N29" i="40"/>
  <c r="N33" i="40"/>
  <c r="N34" i="40"/>
  <c r="N13" i="41"/>
  <c r="N22" i="41"/>
  <c r="N24" i="41"/>
  <c r="H18" i="43"/>
  <c r="J15" i="43"/>
  <c r="J22" i="43"/>
  <c r="J34" i="43"/>
  <c r="J31" i="43"/>
  <c r="J27" i="43"/>
  <c r="J24" i="43"/>
  <c r="N12" i="43"/>
  <c r="J20" i="43"/>
  <c r="J18" i="43"/>
  <c r="J16" i="43"/>
  <c r="J33" i="43"/>
  <c r="J29" i="43"/>
  <c r="J25" i="43"/>
  <c r="J21" i="43"/>
  <c r="J36" i="43"/>
  <c r="X13" i="43"/>
  <c r="Z15" i="43"/>
  <c r="X21" i="43"/>
  <c r="X25" i="44"/>
  <c r="X29" i="44"/>
  <c r="Z21" i="46"/>
  <c r="X34" i="46"/>
  <c r="Z21" i="49"/>
  <c r="X24" i="50"/>
  <c r="L13" i="53"/>
  <c r="D18" i="40"/>
  <c r="F15" i="40"/>
  <c r="L12" i="40"/>
  <c r="F36" i="40"/>
  <c r="F34" i="40"/>
  <c r="F33" i="40"/>
  <c r="F31" i="40"/>
  <c r="F29" i="40"/>
  <c r="F27" i="40"/>
  <c r="F25" i="40"/>
  <c r="F20" i="40"/>
  <c r="F18" i="40"/>
  <c r="F16" i="40"/>
  <c r="F22" i="40"/>
  <c r="F21" i="40"/>
  <c r="F24" i="40"/>
  <c r="X16" i="40"/>
  <c r="X20" i="40"/>
  <c r="X15" i="41"/>
  <c r="N25" i="41"/>
  <c r="N29" i="41"/>
  <c r="N33" i="41"/>
  <c r="N34" i="41"/>
  <c r="Z13" i="43"/>
  <c r="Z16" i="43"/>
  <c r="Z20" i="43"/>
  <c r="Z21" i="43"/>
  <c r="N34" i="44"/>
  <c r="Z21" i="47"/>
  <c r="X34" i="47"/>
  <c r="Z13" i="49"/>
  <c r="X22" i="49"/>
  <c r="J36" i="40"/>
  <c r="J34" i="40"/>
  <c r="J33" i="40"/>
  <c r="J31" i="40"/>
  <c r="J29" i="40"/>
  <c r="J27" i="40"/>
  <c r="J25" i="40"/>
  <c r="J24" i="40"/>
  <c r="J22" i="40"/>
  <c r="J21" i="40"/>
  <c r="J16" i="40"/>
  <c r="J15" i="40"/>
  <c r="J20" i="40"/>
  <c r="H18" i="40"/>
  <c r="J18" i="40"/>
  <c r="N12" i="40"/>
  <c r="X13" i="40"/>
  <c r="Z15" i="40"/>
  <c r="X21" i="40"/>
  <c r="F36" i="41"/>
  <c r="F34" i="41"/>
  <c r="F33" i="41"/>
  <c r="F31" i="41"/>
  <c r="F29" i="41"/>
  <c r="F27" i="41"/>
  <c r="F25" i="41"/>
  <c r="F24" i="41"/>
  <c r="F22" i="41"/>
  <c r="D18" i="41"/>
  <c r="F15" i="41"/>
  <c r="F16" i="41"/>
  <c r="F21" i="41"/>
  <c r="F20" i="41"/>
  <c r="F18" i="41"/>
  <c r="L12" i="41"/>
  <c r="X16" i="41"/>
  <c r="X20" i="41"/>
  <c r="L34" i="43"/>
  <c r="L24" i="44"/>
  <c r="N22" i="46"/>
  <c r="L29" i="47"/>
  <c r="X33" i="49"/>
  <c r="Z16" i="50"/>
  <c r="Z13" i="40"/>
  <c r="Z16" i="40"/>
  <c r="Z20" i="40"/>
  <c r="X22" i="40"/>
  <c r="X24" i="40"/>
  <c r="N12" i="41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J15" i="41"/>
  <c r="H18" i="41"/>
  <c r="X13" i="41"/>
  <c r="Z15" i="41"/>
  <c r="X21" i="41"/>
  <c r="R21" i="43"/>
  <c r="R34" i="43"/>
  <c r="R31" i="43"/>
  <c r="R27" i="43"/>
  <c r="R24" i="43"/>
  <c r="X12" i="43"/>
  <c r="R36" i="43"/>
  <c r="R33" i="43"/>
  <c r="R29" i="43"/>
  <c r="R25" i="43"/>
  <c r="R20" i="43"/>
  <c r="R18" i="43"/>
  <c r="R16" i="43"/>
  <c r="P18" i="43"/>
  <c r="R15" i="43"/>
  <c r="R22" i="43"/>
  <c r="X15" i="44"/>
  <c r="X34" i="44"/>
  <c r="X29" i="46"/>
  <c r="Z16" i="47"/>
  <c r="X22" i="47"/>
  <c r="X24" i="49"/>
  <c r="R20" i="52"/>
  <c r="R18" i="52"/>
  <c r="R16" i="52"/>
  <c r="P18" i="52"/>
  <c r="R15" i="52"/>
  <c r="X12" i="52"/>
  <c r="R21" i="52"/>
  <c r="R36" i="52"/>
  <c r="R29" i="52"/>
  <c r="R22" i="52"/>
  <c r="R34" i="52"/>
  <c r="R27" i="52"/>
  <c r="R33" i="52"/>
  <c r="R25" i="52"/>
  <c r="R24" i="52"/>
  <c r="R31" i="52"/>
  <c r="V36" i="43"/>
  <c r="V34" i="43"/>
  <c r="V33" i="43"/>
  <c r="V31" i="43"/>
  <c r="V29" i="43"/>
  <c r="V27" i="43"/>
  <c r="V25" i="43"/>
  <c r="V24" i="43"/>
  <c r="Z12" i="43"/>
  <c r="V21" i="43"/>
  <c r="V20" i="43"/>
  <c r="V18" i="43"/>
  <c r="V16" i="43"/>
  <c r="T18" i="43"/>
  <c r="V15" i="43"/>
  <c r="V22" i="43"/>
  <c r="L15" i="43"/>
  <c r="F24" i="44"/>
  <c r="F22" i="44"/>
  <c r="F20" i="44"/>
  <c r="F18" i="44"/>
  <c r="F16" i="44"/>
  <c r="F36" i="44"/>
  <c r="F34" i="44"/>
  <c r="F33" i="44"/>
  <c r="F31" i="44"/>
  <c r="F29" i="44"/>
  <c r="F27" i="44"/>
  <c r="F25" i="44"/>
  <c r="L12" i="44"/>
  <c r="F21" i="44"/>
  <c r="D18" i="44"/>
  <c r="F15" i="44"/>
  <c r="Z22" i="46"/>
  <c r="X29" i="47"/>
  <c r="X34" i="49"/>
  <c r="N13" i="52"/>
  <c r="L25" i="53"/>
  <c r="X12" i="40"/>
  <c r="R36" i="40"/>
  <c r="R34" i="40"/>
  <c r="R33" i="40"/>
  <c r="R31" i="40"/>
  <c r="R29" i="40"/>
  <c r="R27" i="40"/>
  <c r="R25" i="40"/>
  <c r="R21" i="40"/>
  <c r="R20" i="40"/>
  <c r="R18" i="40"/>
  <c r="R16" i="40"/>
  <c r="P18" i="40"/>
  <c r="R15" i="40"/>
  <c r="R22" i="40"/>
  <c r="R24" i="40"/>
  <c r="Z22" i="40"/>
  <c r="Z24" i="40"/>
  <c r="Z21" i="41"/>
  <c r="X25" i="41"/>
  <c r="X29" i="41"/>
  <c r="X33" i="41"/>
  <c r="X34" i="41"/>
  <c r="L16" i="43"/>
  <c r="L20" i="43"/>
  <c r="X34" i="43"/>
  <c r="X24" i="44"/>
  <c r="N24" i="46"/>
  <c r="Z16" i="49"/>
  <c r="V36" i="40"/>
  <c r="V34" i="40"/>
  <c r="V33" i="40"/>
  <c r="V31" i="40"/>
  <c r="V29" i="40"/>
  <c r="V27" i="40"/>
  <c r="V25" i="40"/>
  <c r="V24" i="40"/>
  <c r="V22" i="40"/>
  <c r="V21" i="40"/>
  <c r="T18" i="40"/>
  <c r="V15" i="40"/>
  <c r="Z12" i="40"/>
  <c r="V16" i="40"/>
  <c r="V20" i="40"/>
  <c r="V18" i="40"/>
  <c r="L15" i="40"/>
  <c r="Z25" i="40"/>
  <c r="Z29" i="40"/>
  <c r="Z33" i="40"/>
  <c r="Z34" i="40"/>
  <c r="R36" i="41"/>
  <c r="R34" i="41"/>
  <c r="R33" i="41"/>
  <c r="R31" i="41"/>
  <c r="R29" i="41"/>
  <c r="R27" i="41"/>
  <c r="R25" i="41"/>
  <c r="R24" i="41"/>
  <c r="R22" i="41"/>
  <c r="R20" i="41"/>
  <c r="R18" i="41"/>
  <c r="R16" i="41"/>
  <c r="P18" i="41"/>
  <c r="R15" i="41"/>
  <c r="X12" i="41"/>
  <c r="R21" i="41"/>
  <c r="Z22" i="41"/>
  <c r="Z24" i="41"/>
  <c r="N15" i="43"/>
  <c r="L21" i="43"/>
  <c r="Z24" i="43"/>
  <c r="Z21" i="44"/>
  <c r="X24" i="47"/>
  <c r="X25" i="49"/>
  <c r="Z20" i="50"/>
  <c r="X29" i="50"/>
  <c r="L33" i="53"/>
  <c r="L16" i="40"/>
  <c r="L20" i="40"/>
  <c r="V24" i="41"/>
  <c r="V22" i="41"/>
  <c r="V21" i="41"/>
  <c r="V20" i="41"/>
  <c r="V18" i="41"/>
  <c r="V16" i="41"/>
  <c r="V36" i="41"/>
  <c r="V34" i="41"/>
  <c r="V33" i="41"/>
  <c r="V31" i="41"/>
  <c r="V29" i="41"/>
  <c r="V27" i="41"/>
  <c r="V25" i="41"/>
  <c r="V15" i="41"/>
  <c r="Z12" i="41"/>
  <c r="T18" i="41"/>
  <c r="L15" i="41"/>
  <c r="Z25" i="41"/>
  <c r="Z29" i="41"/>
  <c r="Z33" i="41"/>
  <c r="Z34" i="41"/>
  <c r="N16" i="43"/>
  <c r="N20" i="43"/>
  <c r="L16" i="44"/>
  <c r="L20" i="44"/>
  <c r="R20" i="46"/>
  <c r="R18" i="46"/>
  <c r="R16" i="46"/>
  <c r="P18" i="46"/>
  <c r="R15" i="46"/>
  <c r="X12" i="46"/>
  <c r="R21" i="46"/>
  <c r="R31" i="46"/>
  <c r="R24" i="46"/>
  <c r="R36" i="46"/>
  <c r="R29" i="46"/>
  <c r="R22" i="46"/>
  <c r="R34" i="46"/>
  <c r="R27" i="46"/>
  <c r="R33" i="46"/>
  <c r="R25" i="46"/>
  <c r="Z24" i="46"/>
  <c r="J29" i="50"/>
  <c r="J24" i="50"/>
  <c r="J22" i="50"/>
  <c r="J31" i="50"/>
  <c r="J21" i="50"/>
  <c r="J20" i="50"/>
  <c r="J18" i="50"/>
  <c r="J16" i="50"/>
  <c r="J33" i="50"/>
  <c r="H18" i="50"/>
  <c r="J15" i="50"/>
  <c r="J34" i="50"/>
  <c r="J36" i="50"/>
  <c r="N12" i="50"/>
  <c r="J27" i="50"/>
  <c r="J25" i="50"/>
  <c r="X21" i="50"/>
  <c r="Z24" i="52"/>
  <c r="N25" i="43"/>
  <c r="N29" i="43"/>
  <c r="N33" i="43"/>
  <c r="N34" i="43"/>
  <c r="N13" i="44"/>
  <c r="N22" i="44"/>
  <c r="N24" i="44"/>
  <c r="Z13" i="46"/>
  <c r="Z16" i="46"/>
  <c r="Z20" i="46"/>
  <c r="X22" i="46"/>
  <c r="X24" i="46"/>
  <c r="J36" i="47"/>
  <c r="J34" i="47"/>
  <c r="J33" i="47"/>
  <c r="J31" i="47"/>
  <c r="J29" i="47"/>
  <c r="J27" i="47"/>
  <c r="J25" i="47"/>
  <c r="J24" i="47"/>
  <c r="J22" i="47"/>
  <c r="J21" i="47"/>
  <c r="H18" i="47"/>
  <c r="J15" i="47"/>
  <c r="N12" i="47"/>
  <c r="J18" i="47"/>
  <c r="J16" i="47"/>
  <c r="J20" i="47"/>
  <c r="X13" i="47"/>
  <c r="Z15" i="47"/>
  <c r="X21" i="47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N12" i="49"/>
  <c r="X13" i="49"/>
  <c r="Z15" i="49"/>
  <c r="X21" i="49"/>
  <c r="F27" i="50"/>
  <c r="F25" i="50"/>
  <c r="F29" i="50"/>
  <c r="F24" i="50"/>
  <c r="F22" i="50"/>
  <c r="F31" i="50"/>
  <c r="F21" i="50"/>
  <c r="F20" i="50"/>
  <c r="F18" i="50"/>
  <c r="F16" i="50"/>
  <c r="F33" i="50"/>
  <c r="D18" i="50"/>
  <c r="F15" i="50"/>
  <c r="F34" i="50"/>
  <c r="F36" i="50"/>
  <c r="L12" i="50"/>
  <c r="X16" i="50"/>
  <c r="X20" i="50"/>
  <c r="Z33" i="50"/>
  <c r="X24" i="53"/>
  <c r="X22" i="43"/>
  <c r="X24" i="43"/>
  <c r="J20" i="44"/>
  <c r="J18" i="44"/>
  <c r="J16" i="44"/>
  <c r="J21" i="44"/>
  <c r="J36" i="44"/>
  <c r="N12" i="44"/>
  <c r="J31" i="44"/>
  <c r="J27" i="44"/>
  <c r="J24" i="44"/>
  <c r="J34" i="44"/>
  <c r="H18" i="44"/>
  <c r="J15" i="44"/>
  <c r="J22" i="44"/>
  <c r="J33" i="44"/>
  <c r="J25" i="44"/>
  <c r="J29" i="44"/>
  <c r="X13" i="44"/>
  <c r="Z15" i="44"/>
  <c r="X21" i="44"/>
  <c r="Z12" i="46"/>
  <c r="V36" i="46"/>
  <c r="V34" i="46"/>
  <c r="V33" i="46"/>
  <c r="V31" i="46"/>
  <c r="V29" i="46"/>
  <c r="V27" i="46"/>
  <c r="V25" i="46"/>
  <c r="V24" i="46"/>
  <c r="V22" i="46"/>
  <c r="T18" i="46"/>
  <c r="V15" i="46"/>
  <c r="V18" i="46"/>
  <c r="V16" i="46"/>
  <c r="V21" i="46"/>
  <c r="V20" i="46"/>
  <c r="L15" i="46"/>
  <c r="Z25" i="46"/>
  <c r="Z29" i="46"/>
  <c r="Z33" i="46"/>
  <c r="Z34" i="46"/>
  <c r="P18" i="47"/>
  <c r="R15" i="47"/>
  <c r="X12" i="47"/>
  <c r="R36" i="47"/>
  <c r="R34" i="47"/>
  <c r="R33" i="47"/>
  <c r="R31" i="47"/>
  <c r="R29" i="47"/>
  <c r="R27" i="47"/>
  <c r="R25" i="47"/>
  <c r="R20" i="47"/>
  <c r="R18" i="47"/>
  <c r="R16" i="47"/>
  <c r="R24" i="47"/>
  <c r="R22" i="47"/>
  <c r="R21" i="47"/>
  <c r="Z22" i="47"/>
  <c r="Z24" i="47"/>
  <c r="P18" i="49"/>
  <c r="R15" i="49"/>
  <c r="X12" i="49"/>
  <c r="R36" i="49"/>
  <c r="R34" i="49"/>
  <c r="R33" i="49"/>
  <c r="R31" i="49"/>
  <c r="R29" i="49"/>
  <c r="R27" i="49"/>
  <c r="R25" i="49"/>
  <c r="R20" i="49"/>
  <c r="R18" i="49"/>
  <c r="R16" i="49"/>
  <c r="R24" i="49"/>
  <c r="R22" i="49"/>
  <c r="R21" i="49"/>
  <c r="Z22" i="49"/>
  <c r="Z24" i="49"/>
  <c r="Z21" i="50"/>
  <c r="X25" i="50"/>
  <c r="L34" i="50"/>
  <c r="X25" i="52"/>
  <c r="X33" i="52"/>
  <c r="Z13" i="53"/>
  <c r="Z20" i="53"/>
  <c r="L16" i="46"/>
  <c r="L20" i="46"/>
  <c r="Z12" i="47"/>
  <c r="V36" i="47"/>
  <c r="V34" i="47"/>
  <c r="V33" i="47"/>
  <c r="V31" i="47"/>
  <c r="V29" i="47"/>
  <c r="V27" i="47"/>
  <c r="V25" i="47"/>
  <c r="V24" i="47"/>
  <c r="V22" i="47"/>
  <c r="V21" i="47"/>
  <c r="V18" i="47"/>
  <c r="T18" i="47"/>
  <c r="V16" i="47"/>
  <c r="V15" i="47"/>
  <c r="V20" i="47"/>
  <c r="L15" i="47"/>
  <c r="Z25" i="47"/>
  <c r="Z29" i="47"/>
  <c r="Z33" i="47"/>
  <c r="Z34" i="47"/>
  <c r="Z12" i="49"/>
  <c r="V36" i="49"/>
  <c r="V34" i="49"/>
  <c r="V33" i="49"/>
  <c r="V31" i="49"/>
  <c r="V29" i="49"/>
  <c r="V27" i="49"/>
  <c r="V25" i="49"/>
  <c r="V24" i="49"/>
  <c r="V22" i="49"/>
  <c r="V21" i="49"/>
  <c r="T18" i="49"/>
  <c r="V16" i="49"/>
  <c r="V15" i="49"/>
  <c r="V18" i="49"/>
  <c r="V20" i="49"/>
  <c r="L15" i="49"/>
  <c r="Z25" i="49"/>
  <c r="Z29" i="49"/>
  <c r="Z33" i="49"/>
  <c r="Z34" i="49"/>
  <c r="R33" i="50"/>
  <c r="R34" i="50"/>
  <c r="R36" i="50"/>
  <c r="X12" i="50"/>
  <c r="R27" i="50"/>
  <c r="R25" i="50"/>
  <c r="R29" i="50"/>
  <c r="R24" i="50"/>
  <c r="R22" i="50"/>
  <c r="P18" i="50"/>
  <c r="R15" i="50"/>
  <c r="R31" i="50"/>
  <c r="R20" i="50"/>
  <c r="R18" i="50"/>
  <c r="R16" i="50"/>
  <c r="R21" i="50"/>
  <c r="Z22" i="50"/>
  <c r="Z24" i="50"/>
  <c r="Z29" i="50"/>
  <c r="X25" i="53"/>
  <c r="X33" i="53"/>
  <c r="N15" i="46"/>
  <c r="L21" i="46"/>
  <c r="L16" i="47"/>
  <c r="L20" i="47"/>
  <c r="L16" i="49"/>
  <c r="L20" i="49"/>
  <c r="V34" i="50"/>
  <c r="V36" i="50"/>
  <c r="Z12" i="50"/>
  <c r="V27" i="50"/>
  <c r="V25" i="50"/>
  <c r="V29" i="50"/>
  <c r="V24" i="50"/>
  <c r="V22" i="50"/>
  <c r="V21" i="50"/>
  <c r="V31" i="50"/>
  <c r="V20" i="50"/>
  <c r="V18" i="50"/>
  <c r="V16" i="50"/>
  <c r="T18" i="50"/>
  <c r="V15" i="50"/>
  <c r="V33" i="50"/>
  <c r="L15" i="50"/>
  <c r="Z25" i="50"/>
  <c r="L33" i="50"/>
  <c r="N34" i="50"/>
  <c r="N21" i="53"/>
  <c r="L34" i="53"/>
  <c r="Z25" i="43"/>
  <c r="Z29" i="43"/>
  <c r="Z33" i="43"/>
  <c r="Z34" i="43"/>
  <c r="R36" i="44"/>
  <c r="R34" i="44"/>
  <c r="R33" i="44"/>
  <c r="R31" i="44"/>
  <c r="R29" i="44"/>
  <c r="R27" i="44"/>
  <c r="R25" i="44"/>
  <c r="R20" i="44"/>
  <c r="R18" i="44"/>
  <c r="R16" i="44"/>
  <c r="X12" i="44"/>
  <c r="R24" i="44"/>
  <c r="R21" i="44"/>
  <c r="P18" i="44"/>
  <c r="R15" i="44"/>
  <c r="R22" i="44"/>
  <c r="Z22" i="44"/>
  <c r="Z24" i="44"/>
  <c r="N16" i="46"/>
  <c r="N20" i="46"/>
  <c r="L22" i="46"/>
  <c r="L24" i="46"/>
  <c r="N15" i="47"/>
  <c r="L21" i="47"/>
  <c r="N15" i="49"/>
  <c r="L21" i="49"/>
  <c r="L16" i="50"/>
  <c r="L20" i="50"/>
  <c r="Z21" i="52"/>
  <c r="X34" i="52"/>
  <c r="Z12" i="44"/>
  <c r="V24" i="44"/>
  <c r="V22" i="44"/>
  <c r="V21" i="44"/>
  <c r="V31" i="44"/>
  <c r="V27" i="44"/>
  <c r="V18" i="44"/>
  <c r="T18" i="44"/>
  <c r="V15" i="44"/>
  <c r="V34" i="44"/>
  <c r="V29" i="44"/>
  <c r="V25" i="44"/>
  <c r="V33" i="44"/>
  <c r="V20" i="44"/>
  <c r="V16" i="44"/>
  <c r="V36" i="44"/>
  <c r="L15" i="44"/>
  <c r="Z25" i="44"/>
  <c r="Z29" i="44"/>
  <c r="Z33" i="44"/>
  <c r="Z34" i="44"/>
  <c r="L13" i="46"/>
  <c r="N21" i="46"/>
  <c r="L25" i="46"/>
  <c r="L29" i="46"/>
  <c r="L33" i="46"/>
  <c r="L34" i="46"/>
  <c r="N16" i="47"/>
  <c r="N20" i="47"/>
  <c r="L22" i="47"/>
  <c r="L24" i="47"/>
  <c r="N16" i="49"/>
  <c r="N20" i="49"/>
  <c r="L22" i="49"/>
  <c r="L24" i="49"/>
  <c r="N15" i="50"/>
  <c r="L21" i="50"/>
  <c r="N33" i="50"/>
  <c r="Z21" i="53"/>
  <c r="X34" i="53"/>
  <c r="L13" i="49"/>
  <c r="N21" i="49"/>
  <c r="L25" i="49"/>
  <c r="L29" i="49"/>
  <c r="L33" i="49"/>
  <c r="L34" i="49"/>
  <c r="N16" i="50"/>
  <c r="N20" i="50"/>
  <c r="L22" i="50"/>
  <c r="L24" i="50"/>
  <c r="L29" i="50"/>
  <c r="N22" i="52"/>
  <c r="L29" i="53"/>
  <c r="L22" i="43"/>
  <c r="L24" i="43"/>
  <c r="N15" i="44"/>
  <c r="L21" i="44"/>
  <c r="X15" i="46"/>
  <c r="N25" i="46"/>
  <c r="N29" i="46"/>
  <c r="N33" i="46"/>
  <c r="N34" i="46"/>
  <c r="N13" i="47"/>
  <c r="N22" i="47"/>
  <c r="N24" i="47"/>
  <c r="N13" i="49"/>
  <c r="N22" i="49"/>
  <c r="N24" i="49"/>
  <c r="L13" i="50"/>
  <c r="N21" i="50"/>
  <c r="L25" i="50"/>
  <c r="X29" i="52"/>
  <c r="Z16" i="53"/>
  <c r="X22" i="53"/>
  <c r="F24" i="46"/>
  <c r="F22" i="46"/>
  <c r="F21" i="46"/>
  <c r="F20" i="46"/>
  <c r="F18" i="46"/>
  <c r="F16" i="46"/>
  <c r="D18" i="46"/>
  <c r="F15" i="46"/>
  <c r="L12" i="46"/>
  <c r="F31" i="46"/>
  <c r="F36" i="46"/>
  <c r="F29" i="46"/>
  <c r="F34" i="46"/>
  <c r="F27" i="46"/>
  <c r="F33" i="46"/>
  <c r="F25" i="46"/>
  <c r="X16" i="46"/>
  <c r="X20" i="46"/>
  <c r="X15" i="47"/>
  <c r="N25" i="47"/>
  <c r="N29" i="47"/>
  <c r="N33" i="47"/>
  <c r="N34" i="47"/>
  <c r="X15" i="49"/>
  <c r="N25" i="49"/>
  <c r="N29" i="49"/>
  <c r="N33" i="49"/>
  <c r="N34" i="49"/>
  <c r="N13" i="50"/>
  <c r="N22" i="50"/>
  <c r="N24" i="50"/>
  <c r="N29" i="50"/>
  <c r="Z34" i="50"/>
  <c r="Z22" i="52"/>
  <c r="X29" i="53"/>
  <c r="N22" i="43"/>
  <c r="N24" i="43"/>
  <c r="L13" i="44"/>
  <c r="N21" i="44"/>
  <c r="L25" i="44"/>
  <c r="L29" i="44"/>
  <c r="L33" i="44"/>
  <c r="L34" i="44"/>
  <c r="J36" i="46"/>
  <c r="J34" i="46"/>
  <c r="J33" i="46"/>
  <c r="J31" i="46"/>
  <c r="J29" i="46"/>
  <c r="J27" i="46"/>
  <c r="J25" i="46"/>
  <c r="J24" i="46"/>
  <c r="J22" i="46"/>
  <c r="J20" i="46"/>
  <c r="J18" i="46"/>
  <c r="J16" i="46"/>
  <c r="H18" i="46"/>
  <c r="J15" i="46"/>
  <c r="N12" i="46"/>
  <c r="J21" i="46"/>
  <c r="X13" i="46"/>
  <c r="Z15" i="46"/>
  <c r="X21" i="46"/>
  <c r="F36" i="47"/>
  <c r="F34" i="47"/>
  <c r="F33" i="47"/>
  <c r="F31" i="47"/>
  <c r="F29" i="47"/>
  <c r="F27" i="47"/>
  <c r="F25" i="47"/>
  <c r="F21" i="47"/>
  <c r="F20" i="47"/>
  <c r="F18" i="47"/>
  <c r="F16" i="47"/>
  <c r="D18" i="47"/>
  <c r="F15" i="47"/>
  <c r="L12" i="47"/>
  <c r="F24" i="47"/>
  <c r="F22" i="47"/>
  <c r="X16" i="47"/>
  <c r="X20" i="47"/>
  <c r="F36" i="49"/>
  <c r="F34" i="49"/>
  <c r="F33" i="49"/>
  <c r="F31" i="49"/>
  <c r="F29" i="49"/>
  <c r="F27" i="49"/>
  <c r="F25" i="49"/>
  <c r="F24" i="49"/>
  <c r="F22" i="49"/>
  <c r="F21" i="49"/>
  <c r="F20" i="49"/>
  <c r="F18" i="49"/>
  <c r="F16" i="49"/>
  <c r="D18" i="49"/>
  <c r="F15" i="49"/>
  <c r="L12" i="49"/>
  <c r="X16" i="49"/>
  <c r="X20" i="49"/>
  <c r="X15" i="50"/>
  <c r="N25" i="50"/>
  <c r="N24" i="52"/>
  <c r="X33" i="50"/>
  <c r="X34" i="50"/>
  <c r="Z13" i="52"/>
  <c r="Z16" i="52"/>
  <c r="Z20" i="52"/>
  <c r="X22" i="52"/>
  <c r="X24" i="52"/>
  <c r="J36" i="53"/>
  <c r="J34" i="53"/>
  <c r="J33" i="53"/>
  <c r="J31" i="53"/>
  <c r="J29" i="53"/>
  <c r="J27" i="53"/>
  <c r="J25" i="53"/>
  <c r="J24" i="53"/>
  <c r="J22" i="53"/>
  <c r="J21" i="53"/>
  <c r="H18" i="53"/>
  <c r="J15" i="53"/>
  <c r="J18" i="53"/>
  <c r="J16" i="53"/>
  <c r="J20" i="53"/>
  <c r="N12" i="53"/>
  <c r="X13" i="53"/>
  <c r="Z15" i="53"/>
  <c r="X21" i="53"/>
  <c r="Z12" i="52"/>
  <c r="V36" i="52"/>
  <c r="V34" i="52"/>
  <c r="V33" i="52"/>
  <c r="V31" i="52"/>
  <c r="V29" i="52"/>
  <c r="V27" i="52"/>
  <c r="V25" i="52"/>
  <c r="V24" i="52"/>
  <c r="V22" i="52"/>
  <c r="T18" i="52"/>
  <c r="V15" i="52"/>
  <c r="V16" i="52"/>
  <c r="V21" i="52"/>
  <c r="V20" i="52"/>
  <c r="V18" i="52"/>
  <c r="L15" i="52"/>
  <c r="Z25" i="52"/>
  <c r="Z29" i="52"/>
  <c r="Z33" i="52"/>
  <c r="Z34" i="52"/>
  <c r="P18" i="53"/>
  <c r="R15" i="53"/>
  <c r="X12" i="53"/>
  <c r="R36" i="53"/>
  <c r="R34" i="53"/>
  <c r="R33" i="53"/>
  <c r="R31" i="53"/>
  <c r="R29" i="53"/>
  <c r="R27" i="53"/>
  <c r="R25" i="53"/>
  <c r="R20" i="53"/>
  <c r="R18" i="53"/>
  <c r="R16" i="53"/>
  <c r="R22" i="53"/>
  <c r="R21" i="53"/>
  <c r="R24" i="53"/>
  <c r="Z22" i="53"/>
  <c r="Z24" i="53"/>
  <c r="L16" i="52"/>
  <c r="L20" i="52"/>
  <c r="Z12" i="53"/>
  <c r="V36" i="53"/>
  <c r="V34" i="53"/>
  <c r="V33" i="53"/>
  <c r="V31" i="53"/>
  <c r="V29" i="53"/>
  <c r="V27" i="53"/>
  <c r="V25" i="53"/>
  <c r="V24" i="53"/>
  <c r="V22" i="53"/>
  <c r="V21" i="53"/>
  <c r="V16" i="53"/>
  <c r="V15" i="53"/>
  <c r="V20" i="53"/>
  <c r="T18" i="53"/>
  <c r="V18" i="53"/>
  <c r="L15" i="53"/>
  <c r="Z25" i="53"/>
  <c r="Z29" i="53"/>
  <c r="Z33" i="53"/>
  <c r="Z34" i="53"/>
  <c r="N15" i="52"/>
  <c r="L21" i="52"/>
  <c r="L16" i="53"/>
  <c r="L20" i="53"/>
  <c r="N16" i="52"/>
  <c r="N20" i="52"/>
  <c r="L22" i="52"/>
  <c r="L24" i="52"/>
  <c r="N15" i="53"/>
  <c r="L21" i="53"/>
  <c r="L13" i="52"/>
  <c r="N21" i="52"/>
  <c r="L25" i="52"/>
  <c r="L29" i="52"/>
  <c r="L33" i="52"/>
  <c r="L34" i="52"/>
  <c r="N16" i="53"/>
  <c r="N20" i="53"/>
  <c r="L22" i="53"/>
  <c r="L24" i="53"/>
  <c r="X15" i="52"/>
  <c r="N25" i="52"/>
  <c r="N29" i="52"/>
  <c r="N33" i="52"/>
  <c r="N34" i="52"/>
  <c r="N13" i="53"/>
  <c r="N22" i="53"/>
  <c r="N24" i="53"/>
  <c r="F24" i="52"/>
  <c r="F22" i="52"/>
  <c r="F21" i="52"/>
  <c r="F20" i="52"/>
  <c r="F18" i="52"/>
  <c r="F16" i="52"/>
  <c r="D18" i="52"/>
  <c r="F15" i="52"/>
  <c r="L12" i="52"/>
  <c r="F31" i="52"/>
  <c r="F36" i="52"/>
  <c r="F29" i="52"/>
  <c r="F34" i="52"/>
  <c r="F27" i="52"/>
  <c r="F25" i="52"/>
  <c r="F33" i="52"/>
  <c r="X16" i="52"/>
  <c r="X20" i="52"/>
  <c r="X15" i="53"/>
  <c r="N25" i="53"/>
  <c r="N29" i="53"/>
  <c r="N33" i="53"/>
  <c r="N34" i="53"/>
  <c r="J36" i="52"/>
  <c r="J34" i="52"/>
  <c r="J33" i="52"/>
  <c r="J31" i="52"/>
  <c r="J29" i="52"/>
  <c r="J27" i="52"/>
  <c r="J25" i="52"/>
  <c r="J24" i="52"/>
  <c r="J22" i="52"/>
  <c r="J20" i="52"/>
  <c r="J18" i="52"/>
  <c r="J16" i="52"/>
  <c r="H18" i="52"/>
  <c r="J15" i="52"/>
  <c r="J21" i="52"/>
  <c r="N12" i="52"/>
  <c r="X13" i="52"/>
  <c r="Z15" i="52"/>
  <c r="X21" i="52"/>
  <c r="F36" i="53"/>
  <c r="F34" i="53"/>
  <c r="F33" i="53"/>
  <c r="F31" i="53"/>
  <c r="F29" i="53"/>
  <c r="F27" i="53"/>
  <c r="F25" i="53"/>
  <c r="F21" i="53"/>
  <c r="F20" i="53"/>
  <c r="F18" i="53"/>
  <c r="F16" i="53"/>
  <c r="D18" i="53"/>
  <c r="F15" i="53"/>
  <c r="F24" i="53"/>
  <c r="F22" i="53"/>
  <c r="L12" i="53"/>
  <c r="X16" i="53"/>
  <c r="X20" i="53"/>
  <c r="X20" i="112"/>
  <c r="R21" i="110"/>
  <c r="R20" i="110"/>
  <c r="R18" i="110"/>
  <c r="R16" i="110"/>
  <c r="P18" i="110"/>
  <c r="R15" i="110"/>
  <c r="X12" i="110"/>
  <c r="R24" i="110"/>
  <c r="R22" i="110"/>
  <c r="R29" i="110"/>
  <c r="R27" i="110"/>
  <c r="R25" i="110"/>
  <c r="R34" i="110"/>
  <c r="R31" i="110"/>
  <c r="R36" i="110"/>
  <c r="R33" i="110"/>
  <c r="X24" i="111"/>
  <c r="Z13" i="111"/>
  <c r="Z22" i="110"/>
  <c r="Z16" i="111"/>
  <c r="Z24" i="110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Z20" i="111"/>
  <c r="X22" i="111"/>
  <c r="X16" i="112"/>
  <c r="Z21" i="110"/>
  <c r="X25" i="110"/>
  <c r="X29" i="110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T18" i="110"/>
  <c r="V15" i="110"/>
  <c r="Z12" i="110"/>
  <c r="V36" i="110"/>
  <c r="V34" i="110"/>
  <c r="V33" i="110"/>
  <c r="V31" i="110"/>
  <c r="V29" i="110"/>
  <c r="V27" i="110"/>
  <c r="V25" i="110"/>
  <c r="V24" i="110"/>
  <c r="V22" i="110"/>
  <c r="V20" i="110"/>
  <c r="V18" i="110"/>
  <c r="V16" i="110"/>
  <c r="V21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24" i="112"/>
  <c r="J22" i="112"/>
  <c r="J36" i="112"/>
  <c r="J34" i="112"/>
  <c r="J33" i="112"/>
  <c r="J31" i="112"/>
  <c r="J29" i="112"/>
  <c r="J27" i="112"/>
  <c r="J25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0" i="111"/>
  <c r="R18" i="111"/>
  <c r="R16" i="111"/>
  <c r="R21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R15" i="112"/>
  <c r="P18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N143" i="3"/>
  <c r="N246" i="3"/>
  <c r="Z349" i="3"/>
  <c r="Z308" i="3"/>
  <c r="N308" i="3"/>
  <c r="R369" i="3"/>
  <c r="R357" i="3"/>
  <c r="R361" i="3"/>
  <c r="R363" i="3"/>
  <c r="R360" i="3"/>
  <c r="R350" i="3"/>
  <c r="R343" i="3"/>
  <c r="R342" i="3"/>
  <c r="R322" i="3"/>
  <c r="R298" i="3"/>
  <c r="R294" i="3"/>
  <c r="R290" i="3"/>
  <c r="R286" i="3"/>
  <c r="R282" i="3"/>
  <c r="R278" i="3"/>
  <c r="R274" i="3"/>
  <c r="R270" i="3"/>
  <c r="R266" i="3"/>
  <c r="R258" i="3"/>
  <c r="R243" i="3"/>
  <c r="R242" i="3"/>
  <c r="R202" i="3"/>
  <c r="R198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55" i="3"/>
  <c r="R321" i="3"/>
  <c r="R301" i="3"/>
  <c r="R293" i="3"/>
  <c r="R289" i="3"/>
  <c r="R273" i="3"/>
  <c r="R201" i="3"/>
  <c r="R173" i="3"/>
  <c r="R161" i="3"/>
  <c r="R248" i="3"/>
  <c r="R352" i="3"/>
  <c r="R337" i="3"/>
  <c r="R333" i="3"/>
  <c r="R329" i="3"/>
  <c r="R318" i="3"/>
  <c r="R317" i="3"/>
  <c r="R306" i="3"/>
  <c r="R305" i="3"/>
  <c r="R250" i="3"/>
  <c r="R249" i="3"/>
  <c r="R238" i="3"/>
  <c r="R237" i="3"/>
  <c r="R229" i="3"/>
  <c r="R225" i="3"/>
  <c r="R221" i="3"/>
  <c r="R195" i="3"/>
  <c r="R183" i="3"/>
  <c r="R163" i="3"/>
  <c r="R147" i="3"/>
  <c r="R277" i="3"/>
  <c r="R332" i="3"/>
  <c r="R224" i="3"/>
  <c r="R345" i="3"/>
  <c r="R344" i="3"/>
  <c r="R313" i="3"/>
  <c r="R312" i="3"/>
  <c r="R244" i="3"/>
  <c r="R216" i="3"/>
  <c r="R212" i="3"/>
  <c r="R203" i="3"/>
  <c r="R364" i="3"/>
  <c r="R358" i="3"/>
  <c r="R353" i="3"/>
  <c r="R323" i="3"/>
  <c r="R319" i="3"/>
  <c r="R308" i="3"/>
  <c r="R307" i="3"/>
  <c r="R299" i="3"/>
  <c r="R295" i="3"/>
  <c r="R291" i="3"/>
  <c r="R287" i="3"/>
  <c r="R283" i="3"/>
  <c r="R279" i="3"/>
  <c r="R275" i="3"/>
  <c r="R271" i="3"/>
  <c r="R267" i="3"/>
  <c r="R260" i="3"/>
  <c r="R259" i="3"/>
  <c r="R252" i="3"/>
  <c r="R251" i="3"/>
  <c r="R346" i="3"/>
  <c r="R338" i="3"/>
  <c r="R334" i="3"/>
  <c r="R330" i="3"/>
  <c r="R314" i="3"/>
  <c r="R231" i="3"/>
  <c r="R230" i="3"/>
  <c r="R226" i="3"/>
  <c r="R222" i="3"/>
  <c r="R143" i="3"/>
  <c r="X12" i="3"/>
  <c r="Z12" i="3" s="1"/>
  <c r="R197" i="3"/>
  <c r="R362" i="3"/>
  <c r="R309" i="3"/>
  <c r="R262" i="3"/>
  <c r="R261" i="3"/>
  <c r="R254" i="3"/>
  <c r="R253" i="3"/>
  <c r="R246" i="3"/>
  <c r="R245" i="3"/>
  <c r="R217" i="3"/>
  <c r="R213" i="3"/>
  <c r="R302" i="3"/>
  <c r="R281" i="3"/>
  <c r="R348" i="3"/>
  <c r="R316" i="3"/>
  <c r="R354" i="3"/>
  <c r="R325" i="3"/>
  <c r="R324" i="3"/>
  <c r="R320" i="3"/>
  <c r="R300" i="3"/>
  <c r="R296" i="3"/>
  <c r="R292" i="3"/>
  <c r="R288" i="3"/>
  <c r="R284" i="3"/>
  <c r="R280" i="3"/>
  <c r="R276" i="3"/>
  <c r="R272" i="3"/>
  <c r="R268" i="3"/>
  <c r="R240" i="3"/>
  <c r="R233" i="3"/>
  <c r="R232" i="3"/>
  <c r="R209" i="3"/>
  <c r="R204" i="3"/>
  <c r="R200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297" i="3"/>
  <c r="R269" i="3"/>
  <c r="R169" i="3"/>
  <c r="R145" i="3"/>
  <c r="R373" i="3"/>
  <c r="R365" i="3"/>
  <c r="R355" i="3"/>
  <c r="R347" i="3"/>
  <c r="R340" i="3"/>
  <c r="R339" i="3"/>
  <c r="R335" i="3"/>
  <c r="R331" i="3"/>
  <c r="R315" i="3"/>
  <c r="R264" i="3"/>
  <c r="R263" i="3"/>
  <c r="R255" i="3"/>
  <c r="R247" i="3"/>
  <c r="R227" i="3"/>
  <c r="R223" i="3"/>
  <c r="R208" i="3"/>
  <c r="R206" i="3"/>
  <c r="R356" i="3"/>
  <c r="R341" i="3"/>
  <c r="R177" i="3"/>
  <c r="R165" i="3"/>
  <c r="R153" i="3"/>
  <c r="R349" i="3"/>
  <c r="R359" i="3"/>
  <c r="R326" i="3"/>
  <c r="R310" i="3"/>
  <c r="R234" i="3"/>
  <c r="R218" i="3"/>
  <c r="R214" i="3"/>
  <c r="R210" i="3"/>
  <c r="P206" i="3"/>
  <c r="R285" i="3"/>
  <c r="R241" i="3"/>
  <c r="R193" i="3"/>
  <c r="R185" i="3"/>
  <c r="R181" i="3"/>
  <c r="R157" i="3"/>
  <c r="R256" i="3"/>
  <c r="R228" i="3"/>
  <c r="R374" i="3"/>
  <c r="R328" i="3"/>
  <c r="R327" i="3"/>
  <c r="R311" i="3"/>
  <c r="R304" i="3"/>
  <c r="R303" i="3"/>
  <c r="R236" i="3"/>
  <c r="R235" i="3"/>
  <c r="R220" i="3"/>
  <c r="R219" i="3"/>
  <c r="R215" i="3"/>
  <c r="R211" i="3"/>
  <c r="R239" i="3"/>
  <c r="R199" i="3"/>
  <c r="R191" i="3"/>
  <c r="R187" i="3"/>
  <c r="R179" i="3"/>
  <c r="R175" i="3"/>
  <c r="R171" i="3"/>
  <c r="R167" i="3"/>
  <c r="R159" i="3"/>
  <c r="R151" i="3"/>
  <c r="R265" i="3"/>
  <c r="R189" i="3"/>
  <c r="R149" i="3"/>
  <c r="R336" i="3"/>
  <c r="R257" i="3"/>
  <c r="N254" i="3"/>
  <c r="F325" i="12"/>
  <c r="F297" i="12"/>
  <c r="F293" i="12"/>
  <c r="F277" i="12"/>
  <c r="F221" i="12"/>
  <c r="F213" i="12"/>
  <c r="F212" i="12"/>
  <c r="F193" i="12"/>
  <c r="F189" i="12"/>
  <c r="F313" i="12"/>
  <c r="F304" i="12"/>
  <c r="F303" i="12"/>
  <c r="F288" i="12"/>
  <c r="F272" i="12"/>
  <c r="F264" i="12"/>
  <c r="F263" i="12"/>
  <c r="F200" i="12"/>
  <c r="F199" i="12"/>
  <c r="F184" i="12"/>
  <c r="F180" i="12"/>
  <c r="F176" i="12"/>
  <c r="F175" i="12"/>
  <c r="F314" i="12"/>
  <c r="F283" i="12"/>
  <c r="F259" i="12"/>
  <c r="F255" i="12"/>
  <c r="F251" i="12"/>
  <c r="F247" i="12"/>
  <c r="F243" i="12"/>
  <c r="F239" i="12"/>
  <c r="F235" i="12"/>
  <c r="F231" i="12"/>
  <c r="F223" i="12"/>
  <c r="F222" i="12"/>
  <c r="F207" i="12"/>
  <c r="F174" i="12"/>
  <c r="F167" i="12"/>
  <c r="F163" i="12"/>
  <c r="F159" i="12"/>
  <c r="F155" i="12"/>
  <c r="F151" i="12"/>
  <c r="F147" i="12"/>
  <c r="F143" i="12"/>
  <c r="F139" i="12"/>
  <c r="F135" i="12"/>
  <c r="F131" i="12"/>
  <c r="F127" i="12"/>
  <c r="F123" i="12"/>
  <c r="F119" i="12"/>
  <c r="F315" i="12"/>
  <c r="F306" i="12"/>
  <c r="F305" i="12"/>
  <c r="F298" i="12"/>
  <c r="F294" i="12"/>
  <c r="F290" i="12"/>
  <c r="F289" i="12"/>
  <c r="F278" i="12"/>
  <c r="F266" i="12"/>
  <c r="F265" i="12"/>
  <c r="F214" i="12"/>
  <c r="F316" i="12"/>
  <c r="F273" i="12"/>
  <c r="F225" i="12"/>
  <c r="F224" i="12"/>
  <c r="F201" i="12"/>
  <c r="F185" i="12"/>
  <c r="F181" i="12"/>
  <c r="F177" i="12"/>
  <c r="F317" i="12"/>
  <c r="F284" i="12"/>
  <c r="F280" i="12"/>
  <c r="F279" i="12"/>
  <c r="F268" i="12"/>
  <c r="F267" i="12"/>
  <c r="F260" i="12"/>
  <c r="F256" i="12"/>
  <c r="F252" i="12"/>
  <c r="F248" i="12"/>
  <c r="F244" i="12"/>
  <c r="F240" i="12"/>
  <c r="F236" i="12"/>
  <c r="F232" i="12"/>
  <c r="F216" i="12"/>
  <c r="F215" i="12"/>
  <c r="F208" i="12"/>
  <c r="F168" i="12"/>
  <c r="F164" i="12"/>
  <c r="F160" i="12"/>
  <c r="F156" i="12"/>
  <c r="F152" i="12"/>
  <c r="F148" i="12"/>
  <c r="F144" i="12"/>
  <c r="F140" i="12"/>
  <c r="F136" i="12"/>
  <c r="F132" i="12"/>
  <c r="F128" i="12"/>
  <c r="F124" i="12"/>
  <c r="F120" i="12"/>
  <c r="F318" i="12"/>
  <c r="F307" i="12"/>
  <c r="F299" i="12"/>
  <c r="F295" i="12"/>
  <c r="F291" i="12"/>
  <c r="F275" i="12"/>
  <c r="F274" i="12"/>
  <c r="F227" i="12"/>
  <c r="F226" i="12"/>
  <c r="F203" i="12"/>
  <c r="F202" i="12"/>
  <c r="F195" i="12"/>
  <c r="F191" i="12"/>
  <c r="F187" i="12"/>
  <c r="F186" i="12"/>
  <c r="F319" i="12"/>
  <c r="F270" i="12"/>
  <c r="F269" i="12"/>
  <c r="F218" i="12"/>
  <c r="F217" i="12"/>
  <c r="F210" i="12"/>
  <c r="F209" i="12"/>
  <c r="F182" i="12"/>
  <c r="F178" i="12"/>
  <c r="L12" i="12"/>
  <c r="N12" i="12" s="1"/>
  <c r="F320" i="12"/>
  <c r="F301" i="12"/>
  <c r="F300" i="12"/>
  <c r="F285" i="12"/>
  <c r="F281" i="12"/>
  <c r="F261" i="12"/>
  <c r="F257" i="12"/>
  <c r="F253" i="12"/>
  <c r="F249" i="12"/>
  <c r="F245" i="12"/>
  <c r="F241" i="12"/>
  <c r="F237" i="12"/>
  <c r="F233" i="12"/>
  <c r="F229" i="12"/>
  <c r="F228" i="12"/>
  <c r="F205" i="12"/>
  <c r="F204" i="12"/>
  <c r="F169" i="12"/>
  <c r="F165" i="12"/>
  <c r="F161" i="12"/>
  <c r="F157" i="12"/>
  <c r="F153" i="12"/>
  <c r="F149" i="12"/>
  <c r="F145" i="12"/>
  <c r="F141" i="12"/>
  <c r="F137" i="12"/>
  <c r="F133" i="12"/>
  <c r="F129" i="12"/>
  <c r="F125" i="12"/>
  <c r="F121" i="12"/>
  <c r="F310" i="12"/>
  <c r="F309" i="12"/>
  <c r="F302" i="12"/>
  <c r="F282" i="12"/>
  <c r="F262" i="12"/>
  <c r="F258" i="12"/>
  <c r="F254" i="12"/>
  <c r="F250" i="12"/>
  <c r="F246" i="12"/>
  <c r="F242" i="12"/>
  <c r="F238" i="12"/>
  <c r="F234" i="12"/>
  <c r="F230" i="12"/>
  <c r="F206" i="12"/>
  <c r="F198" i="12"/>
  <c r="F197" i="12"/>
  <c r="F170" i="12"/>
  <c r="F166" i="12"/>
  <c r="F162" i="12"/>
  <c r="F158" i="12"/>
  <c r="F154" i="12"/>
  <c r="F150" i="12"/>
  <c r="F146" i="12"/>
  <c r="F142" i="12"/>
  <c r="F138" i="12"/>
  <c r="F134" i="12"/>
  <c r="F130" i="12"/>
  <c r="F126" i="12"/>
  <c r="F122" i="12"/>
  <c r="F118" i="12"/>
  <c r="F117" i="12"/>
  <c r="F220" i="12"/>
  <c r="F286" i="12"/>
  <c r="F190" i="12"/>
  <c r="F219" i="12"/>
  <c r="D172" i="12"/>
  <c r="F276" i="12"/>
  <c r="F211" i="12"/>
  <c r="F192" i="12"/>
  <c r="F292" i="12"/>
  <c r="F183" i="12"/>
  <c r="F179" i="12"/>
  <c r="F308" i="12"/>
  <c r="F194" i="12"/>
  <c r="F321" i="12"/>
  <c r="F196" i="12"/>
  <c r="F296" i="12"/>
  <c r="F287" i="12"/>
  <c r="F188" i="12"/>
  <c r="F271" i="12"/>
  <c r="N231" i="3"/>
  <c r="N257" i="3"/>
  <c r="Z302" i="3"/>
  <c r="Z252" i="3"/>
  <c r="Z143" i="3"/>
  <c r="F152" i="3"/>
  <c r="F188" i="3"/>
  <c r="F200" i="3"/>
  <c r="F268" i="3"/>
  <c r="X13" i="3"/>
  <c r="Z13" i="3" s="1"/>
  <c r="J172" i="3"/>
  <c r="J196" i="3"/>
  <c r="J200" i="3"/>
  <c r="J232" i="3"/>
  <c r="J162" i="3"/>
  <c r="V146" i="3"/>
  <c r="V150" i="3"/>
  <c r="V154" i="3"/>
  <c r="V158" i="3"/>
  <c r="V162" i="3"/>
  <c r="V166" i="3"/>
  <c r="V170" i="3"/>
  <c r="V174" i="3"/>
  <c r="V178" i="3"/>
  <c r="V182" i="3"/>
  <c r="V186" i="3"/>
  <c r="V190" i="3"/>
  <c r="V194" i="3"/>
  <c r="V198" i="3"/>
  <c r="V202" i="3"/>
  <c r="J208" i="3"/>
  <c r="J210" i="3"/>
  <c r="J214" i="3"/>
  <c r="J218" i="3"/>
  <c r="F223" i="3"/>
  <c r="F227" i="3"/>
  <c r="J234" i="3"/>
  <c r="V238" i="3"/>
  <c r="V242" i="3"/>
  <c r="F246" i="3"/>
  <c r="F247" i="3"/>
  <c r="V250" i="3"/>
  <c r="F254" i="3"/>
  <c r="F255" i="3"/>
  <c r="V258" i="3"/>
  <c r="F262" i="3"/>
  <c r="F263" i="3"/>
  <c r="J264" i="3"/>
  <c r="V266" i="3"/>
  <c r="V270" i="3"/>
  <c r="V274" i="3"/>
  <c r="V278" i="3"/>
  <c r="V282" i="3"/>
  <c r="V286" i="3"/>
  <c r="V290" i="3"/>
  <c r="V294" i="3"/>
  <c r="V298" i="3"/>
  <c r="V306" i="3"/>
  <c r="J310" i="3"/>
  <c r="F315" i="3"/>
  <c r="V318" i="3"/>
  <c r="V322" i="3"/>
  <c r="J326" i="3"/>
  <c r="F331" i="3"/>
  <c r="F335" i="3"/>
  <c r="F339" i="3"/>
  <c r="J340" i="3"/>
  <c r="V342" i="3"/>
  <c r="F347" i="3"/>
  <c r="V350" i="3"/>
  <c r="J355" i="3"/>
  <c r="V357" i="3"/>
  <c r="F359" i="3"/>
  <c r="V360" i="3"/>
  <c r="F373" i="3"/>
  <c r="J75" i="9"/>
  <c r="J77" i="9"/>
  <c r="J89" i="9"/>
  <c r="J91" i="9"/>
  <c r="L95" i="9"/>
  <c r="N95" i="9" s="1"/>
  <c r="N197" i="12"/>
  <c r="L197" i="12"/>
  <c r="X224" i="12"/>
  <c r="L309" i="12"/>
  <c r="N309" i="12" s="1"/>
  <c r="P312" i="12"/>
  <c r="X312" i="12" s="1"/>
  <c r="Z312" i="12" s="1"/>
  <c r="Z221" i="15"/>
  <c r="X221" i="15"/>
  <c r="N245" i="18"/>
  <c r="L245" i="18"/>
  <c r="J245" i="18"/>
  <c r="L17" i="27"/>
  <c r="D12" i="27"/>
  <c r="F148" i="3"/>
  <c r="F284" i="3"/>
  <c r="F320" i="3"/>
  <c r="X215" i="12"/>
  <c r="Z215" i="12" s="1"/>
  <c r="J164" i="3"/>
  <c r="F213" i="3"/>
  <c r="F217" i="3"/>
  <c r="J262" i="3"/>
  <c r="F308" i="3"/>
  <c r="J324" i="3"/>
  <c r="L12" i="3"/>
  <c r="N12" i="3" s="1"/>
  <c r="J143" i="3"/>
  <c r="V145" i="3"/>
  <c r="V149" i="3"/>
  <c r="V153" i="3"/>
  <c r="V157" i="3"/>
  <c r="V161" i="3"/>
  <c r="V165" i="3"/>
  <c r="V169" i="3"/>
  <c r="V173" i="3"/>
  <c r="V177" i="3"/>
  <c r="V181" i="3"/>
  <c r="V185" i="3"/>
  <c r="V189" i="3"/>
  <c r="V193" i="3"/>
  <c r="V197" i="3"/>
  <c r="V201" i="3"/>
  <c r="J213" i="3"/>
  <c r="J217" i="3"/>
  <c r="F222" i="3"/>
  <c r="F226" i="3"/>
  <c r="F230" i="3"/>
  <c r="J231" i="3"/>
  <c r="X236" i="3"/>
  <c r="Z236" i="3" s="1"/>
  <c r="V241" i="3"/>
  <c r="J245" i="3"/>
  <c r="J253" i="3"/>
  <c r="V257" i="3"/>
  <c r="J261" i="3"/>
  <c r="V265" i="3"/>
  <c r="V269" i="3"/>
  <c r="V273" i="3"/>
  <c r="V277" i="3"/>
  <c r="V281" i="3"/>
  <c r="V285" i="3"/>
  <c r="V289" i="3"/>
  <c r="V293" i="3"/>
  <c r="V297" i="3"/>
  <c r="V301" i="3"/>
  <c r="J309" i="3"/>
  <c r="F313" i="3"/>
  <c r="F314" i="3"/>
  <c r="V321" i="3"/>
  <c r="F330" i="3"/>
  <c r="F334" i="3"/>
  <c r="F338" i="3"/>
  <c r="V341" i="3"/>
  <c r="F345" i="3"/>
  <c r="F346" i="3"/>
  <c r="V349" i="3"/>
  <c r="D352" i="3"/>
  <c r="L352" i="3" s="1"/>
  <c r="N352" i="3" s="1"/>
  <c r="V356" i="3"/>
  <c r="J48" i="9"/>
  <c r="Z95" i="9"/>
  <c r="Z197" i="12"/>
  <c r="N267" i="12"/>
  <c r="N305" i="12"/>
  <c r="Z309" i="12"/>
  <c r="F168" i="3"/>
  <c r="F172" i="3"/>
  <c r="F180" i="3"/>
  <c r="F296" i="3"/>
  <c r="J188" i="3"/>
  <c r="J240" i="3"/>
  <c r="J288" i="3"/>
  <c r="J296" i="3"/>
  <c r="V328" i="3"/>
  <c r="J373" i="3"/>
  <c r="Z224" i="12"/>
  <c r="F147" i="3"/>
  <c r="F151" i="3"/>
  <c r="F155" i="3"/>
  <c r="F159" i="3"/>
  <c r="F163" i="3"/>
  <c r="F167" i="3"/>
  <c r="F171" i="3"/>
  <c r="F175" i="3"/>
  <c r="F179" i="3"/>
  <c r="F183" i="3"/>
  <c r="F187" i="3"/>
  <c r="F191" i="3"/>
  <c r="F195" i="3"/>
  <c r="F199" i="3"/>
  <c r="F203" i="3"/>
  <c r="V210" i="3"/>
  <c r="V214" i="3"/>
  <c r="V218" i="3"/>
  <c r="Z220" i="3"/>
  <c r="J222" i="3"/>
  <c r="J226" i="3"/>
  <c r="J230" i="3"/>
  <c r="V234" i="3"/>
  <c r="F238" i="3"/>
  <c r="F239" i="3"/>
  <c r="F250" i="3"/>
  <c r="F251" i="3"/>
  <c r="J252" i="3"/>
  <c r="F259" i="3"/>
  <c r="J260" i="3"/>
  <c r="F267" i="3"/>
  <c r="F271" i="3"/>
  <c r="F275" i="3"/>
  <c r="F279" i="3"/>
  <c r="F283" i="3"/>
  <c r="F287" i="3"/>
  <c r="F291" i="3"/>
  <c r="F295" i="3"/>
  <c r="F299" i="3"/>
  <c r="V302" i="3"/>
  <c r="Z304" i="3"/>
  <c r="F306" i="3"/>
  <c r="F307" i="3"/>
  <c r="J308" i="3"/>
  <c r="V310" i="3"/>
  <c r="J314" i="3"/>
  <c r="F318" i="3"/>
  <c r="F319" i="3"/>
  <c r="F323" i="3"/>
  <c r="V326" i="3"/>
  <c r="J330" i="3"/>
  <c r="J334" i="3"/>
  <c r="J338" i="3"/>
  <c r="J346" i="3"/>
  <c r="F352" i="3"/>
  <c r="F353" i="3"/>
  <c r="V359" i="3"/>
  <c r="F361" i="3"/>
  <c r="F31" i="6"/>
  <c r="F29" i="6"/>
  <c r="F28" i="6"/>
  <c r="F26" i="6"/>
  <c r="L12" i="6"/>
  <c r="D16" i="6"/>
  <c r="F24" i="6"/>
  <c r="J56" i="9"/>
  <c r="Z59" i="9"/>
  <c r="Z61" i="9"/>
  <c r="X61" i="9"/>
  <c r="N69" i="9"/>
  <c r="J84" i="9"/>
  <c r="N289" i="12"/>
  <c r="N321" i="18"/>
  <c r="F363" i="3"/>
  <c r="F364" i="3"/>
  <c r="F369" i="3"/>
  <c r="F356" i="3"/>
  <c r="F358" i="3"/>
  <c r="F362" i="3"/>
  <c r="F204" i="3"/>
  <c r="J354" i="3"/>
  <c r="V215" i="12"/>
  <c r="J147" i="3"/>
  <c r="J151" i="3"/>
  <c r="J155" i="3"/>
  <c r="J159" i="3"/>
  <c r="J163" i="3"/>
  <c r="J167" i="3"/>
  <c r="J171" i="3"/>
  <c r="J175" i="3"/>
  <c r="J179" i="3"/>
  <c r="J183" i="3"/>
  <c r="J187" i="3"/>
  <c r="J191" i="3"/>
  <c r="J195" i="3"/>
  <c r="J199" i="3"/>
  <c r="J203" i="3"/>
  <c r="T206" i="3"/>
  <c r="F212" i="3"/>
  <c r="F216" i="3"/>
  <c r="V223" i="3"/>
  <c r="V227" i="3"/>
  <c r="J239" i="3"/>
  <c r="F243" i="3"/>
  <c r="F244" i="3"/>
  <c r="V247" i="3"/>
  <c r="J251" i="3"/>
  <c r="V255" i="3"/>
  <c r="J259" i="3"/>
  <c r="V263" i="3"/>
  <c r="J267" i="3"/>
  <c r="J271" i="3"/>
  <c r="J275" i="3"/>
  <c r="J279" i="3"/>
  <c r="J283" i="3"/>
  <c r="J287" i="3"/>
  <c r="J291" i="3"/>
  <c r="J295" i="3"/>
  <c r="J299" i="3"/>
  <c r="J307" i="3"/>
  <c r="F312" i="3"/>
  <c r="J313" i="3"/>
  <c r="V315" i="3"/>
  <c r="J319" i="3"/>
  <c r="J323" i="3"/>
  <c r="V331" i="3"/>
  <c r="V335" i="3"/>
  <c r="V339" i="3"/>
  <c r="F343" i="3"/>
  <c r="F344" i="3"/>
  <c r="J345" i="3"/>
  <c r="V347" i="3"/>
  <c r="V355" i="3"/>
  <c r="J358" i="3"/>
  <c r="J361" i="3"/>
  <c r="J69" i="9"/>
  <c r="X307" i="15"/>
  <c r="Z307" i="15" s="1"/>
  <c r="P299" i="15"/>
  <c r="X299" i="15" s="1"/>
  <c r="Z299" i="15" s="1"/>
  <c r="F176" i="3"/>
  <c r="F276" i="3"/>
  <c r="F292" i="3"/>
  <c r="J148" i="3"/>
  <c r="J176" i="3"/>
  <c r="J204" i="3"/>
  <c r="F260" i="3"/>
  <c r="J276" i="3"/>
  <c r="F309" i="3"/>
  <c r="J320" i="3"/>
  <c r="V374" i="3"/>
  <c r="V373" i="3"/>
  <c r="V369" i="3"/>
  <c r="V358" i="3"/>
  <c r="V362" i="3"/>
  <c r="V364" i="3"/>
  <c r="V352" i="3"/>
  <c r="V144" i="3"/>
  <c r="V148" i="3"/>
  <c r="V152" i="3"/>
  <c r="V156" i="3"/>
  <c r="V160" i="3"/>
  <c r="V164" i="3"/>
  <c r="V168" i="3"/>
  <c r="V172" i="3"/>
  <c r="V176" i="3"/>
  <c r="V180" i="3"/>
  <c r="V184" i="3"/>
  <c r="V188" i="3"/>
  <c r="V192" i="3"/>
  <c r="V196" i="3"/>
  <c r="V200" i="3"/>
  <c r="V204" i="3"/>
  <c r="V206" i="3"/>
  <c r="V208" i="3"/>
  <c r="J212" i="3"/>
  <c r="J216" i="3"/>
  <c r="F220" i="3"/>
  <c r="F221" i="3"/>
  <c r="F225" i="3"/>
  <c r="F229" i="3"/>
  <c r="V232" i="3"/>
  <c r="F236" i="3"/>
  <c r="F237" i="3"/>
  <c r="J238" i="3"/>
  <c r="V240" i="3"/>
  <c r="J244" i="3"/>
  <c r="F249" i="3"/>
  <c r="J250" i="3"/>
  <c r="V264" i="3"/>
  <c r="V268" i="3"/>
  <c r="V272" i="3"/>
  <c r="V276" i="3"/>
  <c r="V280" i="3"/>
  <c r="V284" i="3"/>
  <c r="V288" i="3"/>
  <c r="V292" i="3"/>
  <c r="V296" i="3"/>
  <c r="V300" i="3"/>
  <c r="F304" i="3"/>
  <c r="F305" i="3"/>
  <c r="J306" i="3"/>
  <c r="J312" i="3"/>
  <c r="F317" i="3"/>
  <c r="J318" i="3"/>
  <c r="V320" i="3"/>
  <c r="V324" i="3"/>
  <c r="F328" i="3"/>
  <c r="F329" i="3"/>
  <c r="F333" i="3"/>
  <c r="F337" i="3"/>
  <c r="V340" i="3"/>
  <c r="J344" i="3"/>
  <c r="V354" i="3"/>
  <c r="H16" i="6"/>
  <c r="J36" i="9"/>
  <c r="L74" i="9"/>
  <c r="J96" i="9"/>
  <c r="X267" i="12"/>
  <c r="Z267" i="12" s="1"/>
  <c r="Z305" i="12"/>
  <c r="F143" i="3"/>
  <c r="F184" i="3"/>
  <c r="F196" i="3"/>
  <c r="F240" i="3"/>
  <c r="J364" i="3"/>
  <c r="J365" i="3"/>
  <c r="J353" i="3"/>
  <c r="J369" i="3"/>
  <c r="J357" i="3"/>
  <c r="J359" i="3"/>
  <c r="J363" i="3"/>
  <c r="J144" i="3"/>
  <c r="J156" i="3"/>
  <c r="J184" i="3"/>
  <c r="J272" i="3"/>
  <c r="J300" i="3"/>
  <c r="Z117" i="12"/>
  <c r="Z279" i="12"/>
  <c r="X279" i="12"/>
  <c r="F146" i="3"/>
  <c r="F150" i="3"/>
  <c r="F154" i="3"/>
  <c r="F158" i="3"/>
  <c r="F162" i="3"/>
  <c r="F166" i="3"/>
  <c r="F170" i="3"/>
  <c r="F174" i="3"/>
  <c r="F178" i="3"/>
  <c r="F182" i="3"/>
  <c r="F186" i="3"/>
  <c r="F190" i="3"/>
  <c r="F194" i="3"/>
  <c r="F198" i="3"/>
  <c r="F202" i="3"/>
  <c r="V209" i="3"/>
  <c r="V213" i="3"/>
  <c r="V217" i="3"/>
  <c r="J221" i="3"/>
  <c r="J225" i="3"/>
  <c r="J229" i="3"/>
  <c r="V233" i="3"/>
  <c r="J237" i="3"/>
  <c r="F242" i="3"/>
  <c r="J243" i="3"/>
  <c r="V245" i="3"/>
  <c r="J249" i="3"/>
  <c r="V253" i="3"/>
  <c r="F257" i="3"/>
  <c r="F258" i="3"/>
  <c r="V261" i="3"/>
  <c r="F266" i="3"/>
  <c r="F270" i="3"/>
  <c r="F274" i="3"/>
  <c r="F278" i="3"/>
  <c r="F282" i="3"/>
  <c r="F286" i="3"/>
  <c r="F290" i="3"/>
  <c r="F294" i="3"/>
  <c r="F298" i="3"/>
  <c r="J305" i="3"/>
  <c r="V309" i="3"/>
  <c r="J317" i="3"/>
  <c r="F322" i="3"/>
  <c r="V325" i="3"/>
  <c r="J329" i="3"/>
  <c r="J333" i="3"/>
  <c r="J337" i="3"/>
  <c r="F342" i="3"/>
  <c r="J343" i="3"/>
  <c r="F349" i="3"/>
  <c r="F350" i="3"/>
  <c r="F360" i="3"/>
  <c r="Z69" i="9"/>
  <c r="X69" i="9"/>
  <c r="N74" i="9"/>
  <c r="N194" i="15"/>
  <c r="L194" i="15"/>
  <c r="J146" i="3"/>
  <c r="J182" i="3"/>
  <c r="J194" i="3"/>
  <c r="F235" i="3"/>
  <c r="J236" i="3"/>
  <c r="J242" i="3"/>
  <c r="J258" i="3"/>
  <c r="J266" i="3"/>
  <c r="J270" i="3"/>
  <c r="J274" i="3"/>
  <c r="J278" i="3"/>
  <c r="J282" i="3"/>
  <c r="J286" i="3"/>
  <c r="J290" i="3"/>
  <c r="J294" i="3"/>
  <c r="J298" i="3"/>
  <c r="F302" i="3"/>
  <c r="F303" i="3"/>
  <c r="J304" i="3"/>
  <c r="F311" i="3"/>
  <c r="V314" i="3"/>
  <c r="J322" i="3"/>
  <c r="F327" i="3"/>
  <c r="J328" i="3"/>
  <c r="V330" i="3"/>
  <c r="V334" i="3"/>
  <c r="V338" i="3"/>
  <c r="J342" i="3"/>
  <c r="V346" i="3"/>
  <c r="J350" i="3"/>
  <c r="F357" i="3"/>
  <c r="J360" i="3"/>
  <c r="F374" i="3"/>
  <c r="F164" i="3"/>
  <c r="F192" i="3"/>
  <c r="F272" i="3"/>
  <c r="F280" i="3"/>
  <c r="F354" i="3"/>
  <c r="F365" i="3"/>
  <c r="J168" i="3"/>
  <c r="J180" i="3"/>
  <c r="F245" i="3"/>
  <c r="J254" i="3"/>
  <c r="J268" i="3"/>
  <c r="J154" i="3"/>
  <c r="J166" i="3"/>
  <c r="J170" i="3"/>
  <c r="J174" i="3"/>
  <c r="J178" i="3"/>
  <c r="J220" i="3"/>
  <c r="V143" i="3"/>
  <c r="V147" i="3"/>
  <c r="V151" i="3"/>
  <c r="V155" i="3"/>
  <c r="V159" i="3"/>
  <c r="V163" i="3"/>
  <c r="V167" i="3"/>
  <c r="V171" i="3"/>
  <c r="V175" i="3"/>
  <c r="V179" i="3"/>
  <c r="V183" i="3"/>
  <c r="V187" i="3"/>
  <c r="V191" i="3"/>
  <c r="V195" i="3"/>
  <c r="V199" i="3"/>
  <c r="V203" i="3"/>
  <c r="D206" i="3"/>
  <c r="F206" i="3" s="1"/>
  <c r="J211" i="3"/>
  <c r="J215" i="3"/>
  <c r="J219" i="3"/>
  <c r="F224" i="3"/>
  <c r="F228" i="3"/>
  <c r="V231" i="3"/>
  <c r="J235" i="3"/>
  <c r="V239" i="3"/>
  <c r="F248" i="3"/>
  <c r="V251" i="3"/>
  <c r="F256" i="3"/>
  <c r="J257" i="3"/>
  <c r="V259" i="3"/>
  <c r="V267" i="3"/>
  <c r="V271" i="3"/>
  <c r="V275" i="3"/>
  <c r="V279" i="3"/>
  <c r="V283" i="3"/>
  <c r="V287" i="3"/>
  <c r="V291" i="3"/>
  <c r="V295" i="3"/>
  <c r="V299" i="3"/>
  <c r="J303" i="3"/>
  <c r="V307" i="3"/>
  <c r="J311" i="3"/>
  <c r="F316" i="3"/>
  <c r="V319" i="3"/>
  <c r="V323" i="3"/>
  <c r="J327" i="3"/>
  <c r="F332" i="3"/>
  <c r="F336" i="3"/>
  <c r="F348" i="3"/>
  <c r="J349" i="3"/>
  <c r="P352" i="3"/>
  <c r="X352" i="3" s="1"/>
  <c r="Z352" i="3" s="1"/>
  <c r="V353" i="3"/>
  <c r="V361" i="3"/>
  <c r="J98" i="9"/>
  <c r="J90" i="9"/>
  <c r="J86" i="9"/>
  <c r="J78" i="9"/>
  <c r="J58" i="9"/>
  <c r="J50" i="9"/>
  <c r="J32" i="9"/>
  <c r="J79" i="9"/>
  <c r="J73" i="9"/>
  <c r="J59" i="9"/>
  <c r="J41" i="9"/>
  <c r="J37" i="9"/>
  <c r="J33" i="9"/>
  <c r="J80" i="9"/>
  <c r="J74" i="9"/>
  <c r="J68" i="9"/>
  <c r="J60" i="9"/>
  <c r="J28" i="9"/>
  <c r="J24" i="9"/>
  <c r="J92" i="9"/>
  <c r="J70" i="9"/>
  <c r="J62" i="9"/>
  <c r="J52" i="9"/>
  <c r="J42" i="9"/>
  <c r="J38" i="9"/>
  <c r="J34" i="9"/>
  <c r="J20" i="9"/>
  <c r="J103" i="9"/>
  <c r="J101" i="9"/>
  <c r="J93" i="9"/>
  <c r="J81" i="9"/>
  <c r="J63" i="9"/>
  <c r="J53" i="9"/>
  <c r="J43" i="9"/>
  <c r="J29" i="9"/>
  <c r="J25" i="9"/>
  <c r="J21" i="9"/>
  <c r="J19" i="9"/>
  <c r="J17" i="9"/>
  <c r="J15" i="9"/>
  <c r="J88" i="9"/>
  <c r="J82" i="9"/>
  <c r="J76" i="9"/>
  <c r="J64" i="9"/>
  <c r="J44" i="9"/>
  <c r="H17" i="9"/>
  <c r="J105" i="9"/>
  <c r="J83" i="9"/>
  <c r="J71" i="9"/>
  <c r="J65" i="9"/>
  <c r="J45" i="9"/>
  <c r="J39" i="9"/>
  <c r="J35" i="9"/>
  <c r="J94" i="9"/>
  <c r="J66" i="9"/>
  <c r="J54" i="9"/>
  <c r="J46" i="9"/>
  <c r="J30" i="9"/>
  <c r="J26" i="9"/>
  <c r="J22" i="9"/>
  <c r="N12" i="9"/>
  <c r="J97" i="9"/>
  <c r="J85" i="9"/>
  <c r="J67" i="9"/>
  <c r="J57" i="9"/>
  <c r="J49" i="9"/>
  <c r="J31" i="9"/>
  <c r="J27" i="9"/>
  <c r="J23" i="9"/>
  <c r="L47" i="9"/>
  <c r="N47" i="9" s="1"/>
  <c r="D312" i="12"/>
  <c r="L312" i="12" s="1"/>
  <c r="N312" i="12" s="1"/>
  <c r="L320" i="12"/>
  <c r="N320" i="12" s="1"/>
  <c r="N296" i="15"/>
  <c r="F156" i="3"/>
  <c r="F160" i="3"/>
  <c r="F232" i="3"/>
  <c r="F288" i="3"/>
  <c r="F324" i="3"/>
  <c r="J160" i="3"/>
  <c r="J192" i="3"/>
  <c r="J246" i="3"/>
  <c r="F252" i="3"/>
  <c r="F261" i="3"/>
  <c r="J284" i="3"/>
  <c r="J292" i="3"/>
  <c r="J158" i="3"/>
  <c r="J186" i="3"/>
  <c r="J190" i="3"/>
  <c r="J198" i="3"/>
  <c r="J202" i="3"/>
  <c r="F211" i="3"/>
  <c r="F219" i="3"/>
  <c r="F145" i="3"/>
  <c r="F149" i="3"/>
  <c r="F153" i="3"/>
  <c r="F157" i="3"/>
  <c r="F161" i="3"/>
  <c r="F165" i="3"/>
  <c r="F169" i="3"/>
  <c r="F173" i="3"/>
  <c r="F177" i="3"/>
  <c r="F181" i="3"/>
  <c r="F185" i="3"/>
  <c r="F189" i="3"/>
  <c r="F193" i="3"/>
  <c r="F197" i="3"/>
  <c r="F201" i="3"/>
  <c r="F208" i="3"/>
  <c r="V212" i="3"/>
  <c r="V216" i="3"/>
  <c r="J224" i="3"/>
  <c r="J228" i="3"/>
  <c r="F241" i="3"/>
  <c r="V244" i="3"/>
  <c r="J248" i="3"/>
  <c r="V252" i="3"/>
  <c r="J256" i="3"/>
  <c r="V260" i="3"/>
  <c r="F264" i="3"/>
  <c r="F265" i="3"/>
  <c r="F269" i="3"/>
  <c r="F273" i="3"/>
  <c r="F277" i="3"/>
  <c r="F281" i="3"/>
  <c r="F285" i="3"/>
  <c r="F289" i="3"/>
  <c r="F293" i="3"/>
  <c r="F297" i="3"/>
  <c r="F301" i="3"/>
  <c r="J302" i="3"/>
  <c r="V308" i="3"/>
  <c r="V312" i="3"/>
  <c r="J316" i="3"/>
  <c r="F321" i="3"/>
  <c r="J332" i="3"/>
  <c r="J336" i="3"/>
  <c r="F340" i="3"/>
  <c r="F341" i="3"/>
  <c r="V344" i="3"/>
  <c r="J348" i="3"/>
  <c r="L349" i="3"/>
  <c r="N349" i="3" s="1"/>
  <c r="J356" i="3"/>
  <c r="J374" i="3"/>
  <c r="F14" i="6"/>
  <c r="F18" i="6"/>
  <c r="P110" i="9"/>
  <c r="N45" i="9"/>
  <c r="J47" i="9"/>
  <c r="J51" i="9"/>
  <c r="N55" i="9"/>
  <c r="L55" i="9"/>
  <c r="Z74" i="9"/>
  <c r="J107" i="9"/>
  <c r="N215" i="12"/>
  <c r="N219" i="12"/>
  <c r="Z258" i="15"/>
  <c r="F144" i="3"/>
  <c r="F231" i="3"/>
  <c r="F300" i="3"/>
  <c r="J152" i="3"/>
  <c r="F253" i="3"/>
  <c r="J280" i="3"/>
  <c r="J362" i="3"/>
  <c r="J150" i="3"/>
  <c r="F215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J193" i="3"/>
  <c r="J197" i="3"/>
  <c r="J201" i="3"/>
  <c r="H206" i="3"/>
  <c r="J206" i="3" s="1"/>
  <c r="F209" i="3"/>
  <c r="F210" i="3"/>
  <c r="F214" i="3"/>
  <c r="F218" i="3"/>
  <c r="V221" i="3"/>
  <c r="V225" i="3"/>
  <c r="V229" i="3"/>
  <c r="F233" i="3"/>
  <c r="F234" i="3"/>
  <c r="V237" i="3"/>
  <c r="J241" i="3"/>
  <c r="V249" i="3"/>
  <c r="J265" i="3"/>
  <c r="J269" i="3"/>
  <c r="J273" i="3"/>
  <c r="J277" i="3"/>
  <c r="J281" i="3"/>
  <c r="J285" i="3"/>
  <c r="J289" i="3"/>
  <c r="J293" i="3"/>
  <c r="J297" i="3"/>
  <c r="J301" i="3"/>
  <c r="V305" i="3"/>
  <c r="F310" i="3"/>
  <c r="V313" i="3"/>
  <c r="V317" i="3"/>
  <c r="J321" i="3"/>
  <c r="F325" i="3"/>
  <c r="F326" i="3"/>
  <c r="V329" i="3"/>
  <c r="V333" i="3"/>
  <c r="V337" i="3"/>
  <c r="J341" i="3"/>
  <c r="V345" i="3"/>
  <c r="F355" i="3"/>
  <c r="J55" i="9"/>
  <c r="J87" i="9"/>
  <c r="P12" i="12"/>
  <c r="X13" i="12"/>
  <c r="Z13" i="12" s="1"/>
  <c r="L117" i="12"/>
  <c r="N117" i="12" s="1"/>
  <c r="N224" i="12"/>
  <c r="N279" i="12"/>
  <c r="N286" i="12"/>
  <c r="N225" i="18"/>
  <c r="Z12" i="6"/>
  <c r="Z14" i="6"/>
  <c r="Z18" i="6"/>
  <c r="Z20" i="6"/>
  <c r="J26" i="6"/>
  <c r="J28" i="6"/>
  <c r="J29" i="6"/>
  <c r="J31" i="6"/>
  <c r="D12" i="9"/>
  <c r="V15" i="9"/>
  <c r="V17" i="9"/>
  <c r="V19" i="9"/>
  <c r="R24" i="9"/>
  <c r="R28" i="9"/>
  <c r="V43" i="9"/>
  <c r="V51" i="9"/>
  <c r="R60" i="9"/>
  <c r="R61" i="9"/>
  <c r="V63" i="9"/>
  <c r="R68" i="9"/>
  <c r="R69" i="9"/>
  <c r="V75" i="9"/>
  <c r="R80" i="9"/>
  <c r="V87" i="9"/>
  <c r="V91" i="9"/>
  <c r="V99" i="9"/>
  <c r="V101" i="9"/>
  <c r="J175" i="12"/>
  <c r="V177" i="12"/>
  <c r="V181" i="12"/>
  <c r="V185" i="12"/>
  <c r="J189" i="12"/>
  <c r="J193" i="12"/>
  <c r="J199" i="12"/>
  <c r="V201" i="12"/>
  <c r="V209" i="12"/>
  <c r="J213" i="12"/>
  <c r="V217" i="12"/>
  <c r="J221" i="12"/>
  <c r="V225" i="12"/>
  <c r="J263" i="12"/>
  <c r="V269" i="12"/>
  <c r="V273" i="12"/>
  <c r="J277" i="12"/>
  <c r="J293" i="12"/>
  <c r="J297" i="12"/>
  <c r="J303" i="12"/>
  <c r="V317" i="12"/>
  <c r="J325" i="12"/>
  <c r="J306" i="15"/>
  <c r="J287" i="15"/>
  <c r="J277" i="15"/>
  <c r="J261" i="15"/>
  <c r="J253" i="15"/>
  <c r="J249" i="15"/>
  <c r="J245" i="15"/>
  <c r="J241" i="15"/>
  <c r="J237" i="15"/>
  <c r="J233" i="15"/>
  <c r="J229" i="15"/>
  <c r="J225" i="15"/>
  <c r="J219" i="15"/>
  <c r="J209" i="15"/>
  <c r="J189" i="15"/>
  <c r="J185" i="15"/>
  <c r="J307" i="15"/>
  <c r="J288" i="15"/>
  <c r="J278" i="15"/>
  <c r="J272" i="15"/>
  <c r="J220" i="15"/>
  <c r="J210" i="15"/>
  <c r="J196" i="15"/>
  <c r="J180" i="15"/>
  <c r="J176" i="15"/>
  <c r="J172" i="15"/>
  <c r="J114" i="15"/>
  <c r="J308" i="15"/>
  <c r="J295" i="15"/>
  <c r="J283" i="15"/>
  <c r="J279" i="15"/>
  <c r="J267" i="15"/>
  <c r="J221" i="15"/>
  <c r="J211" i="15"/>
  <c r="J203" i="15"/>
  <c r="J197" i="15"/>
  <c r="J181" i="15"/>
  <c r="J163" i="15"/>
  <c r="J159" i="15"/>
  <c r="J155" i="15"/>
  <c r="J151" i="15"/>
  <c r="J147" i="15"/>
  <c r="J143" i="15"/>
  <c r="J139" i="15"/>
  <c r="J135" i="15"/>
  <c r="J131" i="15"/>
  <c r="J127" i="15"/>
  <c r="J123" i="15"/>
  <c r="J119" i="15"/>
  <c r="J115" i="15"/>
  <c r="J297" i="15"/>
  <c r="J289" i="15"/>
  <c r="J273" i="15"/>
  <c r="J213" i="15"/>
  <c r="J205" i="15"/>
  <c r="J199" i="15"/>
  <c r="J177" i="15"/>
  <c r="J173" i="15"/>
  <c r="J312" i="15"/>
  <c r="J290" i="15"/>
  <c r="J284" i="15"/>
  <c r="J280" i="15"/>
  <c r="J268" i="15"/>
  <c r="J214" i="15"/>
  <c r="J200" i="15"/>
  <c r="J164" i="15"/>
  <c r="J160" i="15"/>
  <c r="J156" i="15"/>
  <c r="J152" i="15"/>
  <c r="J148" i="15"/>
  <c r="J144" i="15"/>
  <c r="J140" i="15"/>
  <c r="J136" i="15"/>
  <c r="J132" i="15"/>
  <c r="J128" i="15"/>
  <c r="J124" i="15"/>
  <c r="J120" i="15"/>
  <c r="J116" i="15"/>
  <c r="J300" i="15"/>
  <c r="J299" i="15"/>
  <c r="J291" i="15"/>
  <c r="J263" i="15"/>
  <c r="J255" i="15"/>
  <c r="J251" i="15"/>
  <c r="J247" i="15"/>
  <c r="J243" i="15"/>
  <c r="J239" i="15"/>
  <c r="J235" i="15"/>
  <c r="J231" i="15"/>
  <c r="J227" i="15"/>
  <c r="J223" i="15"/>
  <c r="J215" i="15"/>
  <c r="J191" i="15"/>
  <c r="J187" i="15"/>
  <c r="J183" i="15"/>
  <c r="J301" i="15"/>
  <c r="J292" i="15"/>
  <c r="J274" i="15"/>
  <c r="J256" i="15"/>
  <c r="J206" i="15"/>
  <c r="J192" i="15"/>
  <c r="J178" i="15"/>
  <c r="J174" i="15"/>
  <c r="J302" i="15"/>
  <c r="J293" i="15"/>
  <c r="J285" i="15"/>
  <c r="J281" i="15"/>
  <c r="J275" i="15"/>
  <c r="J269" i="15"/>
  <c r="J257" i="15"/>
  <c r="J207" i="15"/>
  <c r="J201" i="15"/>
  <c r="J193" i="15"/>
  <c r="J165" i="15"/>
  <c r="J161" i="15"/>
  <c r="J157" i="15"/>
  <c r="J153" i="15"/>
  <c r="J149" i="15"/>
  <c r="J145" i="15"/>
  <c r="J141" i="15"/>
  <c r="J137" i="15"/>
  <c r="J133" i="15"/>
  <c r="J129" i="15"/>
  <c r="J125" i="15"/>
  <c r="J121" i="15"/>
  <c r="J117" i="15"/>
  <c r="J305" i="15"/>
  <c r="J294" i="15"/>
  <c r="J286" i="15"/>
  <c r="J282" i="15"/>
  <c r="J266" i="15"/>
  <c r="J260" i="15"/>
  <c r="J218" i="15"/>
  <c r="J202" i="15"/>
  <c r="H167" i="15"/>
  <c r="J162" i="15"/>
  <c r="J158" i="15"/>
  <c r="J154" i="15"/>
  <c r="J150" i="15"/>
  <c r="J146" i="15"/>
  <c r="J142" i="15"/>
  <c r="J138" i="15"/>
  <c r="J134" i="15"/>
  <c r="J130" i="15"/>
  <c r="J126" i="15"/>
  <c r="J122" i="15"/>
  <c r="J118" i="15"/>
  <c r="J184" i="15"/>
  <c r="J186" i="15"/>
  <c r="J188" i="15"/>
  <c r="J190" i="15"/>
  <c r="Z197" i="15"/>
  <c r="X197" i="15"/>
  <c r="J204" i="15"/>
  <c r="J258" i="15"/>
  <c r="Z218" i="18"/>
  <c r="N129" i="27"/>
  <c r="L129" i="27"/>
  <c r="V50" i="9"/>
  <c r="V58" i="9"/>
  <c r="V74" i="9"/>
  <c r="V78" i="9"/>
  <c r="V86" i="9"/>
  <c r="V90" i="9"/>
  <c r="V98" i="9"/>
  <c r="V176" i="12"/>
  <c r="V180" i="12"/>
  <c r="V184" i="12"/>
  <c r="J188" i="12"/>
  <c r="J192" i="12"/>
  <c r="J196" i="12"/>
  <c r="V200" i="12"/>
  <c r="J220" i="12"/>
  <c r="V224" i="12"/>
  <c r="V264" i="12"/>
  <c r="V272" i="12"/>
  <c r="J276" i="12"/>
  <c r="J286" i="12"/>
  <c r="V288" i="12"/>
  <c r="J292" i="12"/>
  <c r="J296" i="12"/>
  <c r="V304" i="12"/>
  <c r="J308" i="12"/>
  <c r="V314" i="12"/>
  <c r="J321" i="12"/>
  <c r="X204" i="15"/>
  <c r="Z204" i="15" s="1"/>
  <c r="J222" i="15"/>
  <c r="J224" i="15"/>
  <c r="J226" i="15"/>
  <c r="Z256" i="15"/>
  <c r="N292" i="15"/>
  <c r="N195" i="18"/>
  <c r="X304" i="18"/>
  <c r="Z304" i="18" s="1"/>
  <c r="P12" i="27"/>
  <c r="X13" i="27"/>
  <c r="J14" i="6"/>
  <c r="J16" i="6"/>
  <c r="J18" i="6"/>
  <c r="J20" i="6"/>
  <c r="R26" i="6"/>
  <c r="R28" i="6"/>
  <c r="R29" i="6"/>
  <c r="R31" i="6"/>
  <c r="V23" i="9"/>
  <c r="V27" i="9"/>
  <c r="V31" i="9"/>
  <c r="R36" i="9"/>
  <c r="R40" i="9"/>
  <c r="R48" i="9"/>
  <c r="R49" i="9"/>
  <c r="R56" i="9"/>
  <c r="R57" i="9"/>
  <c r="V59" i="9"/>
  <c r="V67" i="9"/>
  <c r="R72" i="9"/>
  <c r="V79" i="9"/>
  <c r="R84" i="9"/>
  <c r="R85" i="9"/>
  <c r="R96" i="9"/>
  <c r="R97" i="9"/>
  <c r="J121" i="12"/>
  <c r="J125" i="12"/>
  <c r="J129" i="12"/>
  <c r="J133" i="12"/>
  <c r="J137" i="12"/>
  <c r="J141" i="12"/>
  <c r="J145" i="12"/>
  <c r="J149" i="12"/>
  <c r="J153" i="12"/>
  <c r="J157" i="12"/>
  <c r="J161" i="12"/>
  <c r="J165" i="12"/>
  <c r="J169" i="12"/>
  <c r="T172" i="12"/>
  <c r="V189" i="12"/>
  <c r="V193" i="12"/>
  <c r="J205" i="12"/>
  <c r="V213" i="12"/>
  <c r="J219" i="12"/>
  <c r="V221" i="12"/>
  <c r="J229" i="12"/>
  <c r="J233" i="12"/>
  <c r="J237" i="12"/>
  <c r="J241" i="12"/>
  <c r="J245" i="12"/>
  <c r="J249" i="12"/>
  <c r="J253" i="12"/>
  <c r="J257" i="12"/>
  <c r="J261" i="12"/>
  <c r="V265" i="12"/>
  <c r="V277" i="12"/>
  <c r="J281" i="12"/>
  <c r="J285" i="12"/>
  <c r="V289" i="12"/>
  <c r="V293" i="12"/>
  <c r="V297" i="12"/>
  <c r="J301" i="12"/>
  <c r="V305" i="12"/>
  <c r="V313" i="12"/>
  <c r="J320" i="12"/>
  <c r="V325" i="12"/>
  <c r="J171" i="15"/>
  <c r="V204" i="15"/>
  <c r="Z210" i="15"/>
  <c r="X212" i="15"/>
  <c r="Z212" i="15" s="1"/>
  <c r="J228" i="15"/>
  <c r="J230" i="15"/>
  <c r="N275" i="15"/>
  <c r="L275" i="15"/>
  <c r="X296" i="15"/>
  <c r="Z296" i="15" s="1"/>
  <c r="Z240" i="18"/>
  <c r="V32" i="9"/>
  <c r="V36" i="9"/>
  <c r="V40" i="9"/>
  <c r="V48" i="9"/>
  <c r="V56" i="9"/>
  <c r="V72" i="9"/>
  <c r="V84" i="9"/>
  <c r="V96" i="9"/>
  <c r="V118" i="12"/>
  <c r="V122" i="12"/>
  <c r="V126" i="12"/>
  <c r="V130" i="12"/>
  <c r="V134" i="12"/>
  <c r="V138" i="12"/>
  <c r="V142" i="12"/>
  <c r="V146" i="12"/>
  <c r="V150" i="12"/>
  <c r="V154" i="12"/>
  <c r="V158" i="12"/>
  <c r="V162" i="12"/>
  <c r="V166" i="12"/>
  <c r="V170" i="12"/>
  <c r="V172" i="12"/>
  <c r="V174" i="12"/>
  <c r="J178" i="12"/>
  <c r="J182" i="12"/>
  <c r="V198" i="12"/>
  <c r="J204" i="12"/>
  <c r="V206" i="12"/>
  <c r="J210" i="12"/>
  <c r="J218" i="12"/>
  <c r="V222" i="12"/>
  <c r="J228" i="12"/>
  <c r="V230" i="12"/>
  <c r="V234" i="12"/>
  <c r="V238" i="12"/>
  <c r="V242" i="12"/>
  <c r="V246" i="12"/>
  <c r="V250" i="12"/>
  <c r="V254" i="12"/>
  <c r="V258" i="12"/>
  <c r="V262" i="12"/>
  <c r="J270" i="12"/>
  <c r="V282" i="12"/>
  <c r="J300" i="12"/>
  <c r="V302" i="12"/>
  <c r="V310" i="12"/>
  <c r="V312" i="12"/>
  <c r="J319" i="12"/>
  <c r="J232" i="15"/>
  <c r="J234" i="15"/>
  <c r="J259" i="15"/>
  <c r="P12" i="18"/>
  <c r="Z287" i="18"/>
  <c r="X287" i="18"/>
  <c r="Z321" i="18"/>
  <c r="P12" i="24"/>
  <c r="X40" i="24"/>
  <c r="V24" i="6"/>
  <c r="V26" i="6"/>
  <c r="V28" i="6"/>
  <c r="V29" i="6"/>
  <c r="V31" i="6"/>
  <c r="X12" i="9"/>
  <c r="Z12" i="9" s="1"/>
  <c r="R22" i="9"/>
  <c r="R26" i="9"/>
  <c r="R30" i="9"/>
  <c r="R46" i="9"/>
  <c r="R47" i="9"/>
  <c r="V49" i="9"/>
  <c r="R54" i="9"/>
  <c r="R55" i="9"/>
  <c r="V57" i="9"/>
  <c r="R66" i="9"/>
  <c r="V77" i="9"/>
  <c r="V85" i="9"/>
  <c r="V89" i="9"/>
  <c r="R94" i="9"/>
  <c r="R95" i="9"/>
  <c r="V97" i="9"/>
  <c r="R107" i="9"/>
  <c r="R110" i="9"/>
  <c r="V175" i="12"/>
  <c r="V179" i="12"/>
  <c r="V183" i="12"/>
  <c r="J187" i="12"/>
  <c r="J191" i="12"/>
  <c r="J195" i="12"/>
  <c r="V199" i="12"/>
  <c r="J203" i="12"/>
  <c r="J209" i="12"/>
  <c r="V211" i="12"/>
  <c r="J217" i="12"/>
  <c r="J227" i="12"/>
  <c r="V263" i="12"/>
  <c r="J269" i="12"/>
  <c r="V271" i="12"/>
  <c r="J275" i="12"/>
  <c r="V287" i="12"/>
  <c r="J291" i="12"/>
  <c r="J295" i="12"/>
  <c r="J299" i="12"/>
  <c r="V303" i="12"/>
  <c r="J307" i="12"/>
  <c r="J318" i="12"/>
  <c r="L207" i="15"/>
  <c r="N207" i="15" s="1"/>
  <c r="J236" i="15"/>
  <c r="J238" i="15"/>
  <c r="J271" i="15"/>
  <c r="X275" i="15"/>
  <c r="Z275" i="15" s="1"/>
  <c r="X16" i="18"/>
  <c r="Z243" i="18"/>
  <c r="V287" i="18"/>
  <c r="Z307" i="18"/>
  <c r="P16" i="6"/>
  <c r="V22" i="9"/>
  <c r="V26" i="9"/>
  <c r="V30" i="9"/>
  <c r="R39" i="9"/>
  <c r="V46" i="9"/>
  <c r="V54" i="9"/>
  <c r="V66" i="9"/>
  <c r="R71" i="9"/>
  <c r="R83" i="9"/>
  <c r="V94" i="9"/>
  <c r="R105" i="9"/>
  <c r="J120" i="12"/>
  <c r="J124" i="12"/>
  <c r="J128" i="12"/>
  <c r="J132" i="12"/>
  <c r="J136" i="12"/>
  <c r="J140" i="12"/>
  <c r="J144" i="12"/>
  <c r="J148" i="12"/>
  <c r="J152" i="12"/>
  <c r="J156" i="12"/>
  <c r="J160" i="12"/>
  <c r="J164" i="12"/>
  <c r="J168" i="12"/>
  <c r="J186" i="12"/>
  <c r="V188" i="12"/>
  <c r="V192" i="12"/>
  <c r="V196" i="12"/>
  <c r="J202" i="12"/>
  <c r="J208" i="12"/>
  <c r="V212" i="12"/>
  <c r="J216" i="12"/>
  <c r="V220" i="12"/>
  <c r="J226" i="12"/>
  <c r="J232" i="12"/>
  <c r="J236" i="12"/>
  <c r="J240" i="12"/>
  <c r="J244" i="12"/>
  <c r="J248" i="12"/>
  <c r="J252" i="12"/>
  <c r="J256" i="12"/>
  <c r="J260" i="12"/>
  <c r="J268" i="12"/>
  <c r="J274" i="12"/>
  <c r="V276" i="12"/>
  <c r="J280" i="12"/>
  <c r="J284" i="12"/>
  <c r="V292" i="12"/>
  <c r="V296" i="12"/>
  <c r="V308" i="12"/>
  <c r="J317" i="12"/>
  <c r="P12" i="15"/>
  <c r="L181" i="15"/>
  <c r="N181" i="15" s="1"/>
  <c r="J240" i="15"/>
  <c r="J242" i="15"/>
  <c r="L154" i="24"/>
  <c r="N154" i="24" s="1"/>
  <c r="J316" i="12"/>
  <c r="V321" i="12"/>
  <c r="X207" i="15"/>
  <c r="Z207" i="15" s="1"/>
  <c r="F114" i="21"/>
  <c r="F106" i="21"/>
  <c r="F102" i="21"/>
  <c r="F74" i="21"/>
  <c r="F73" i="21"/>
  <c r="F54" i="21"/>
  <c r="F50" i="21"/>
  <c r="F46" i="21"/>
  <c r="F97" i="21"/>
  <c r="F96" i="21"/>
  <c r="F85" i="21"/>
  <c r="F41" i="21"/>
  <c r="F37" i="21"/>
  <c r="F116" i="21"/>
  <c r="F115" i="21"/>
  <c r="F92" i="21"/>
  <c r="F76" i="21"/>
  <c r="F75" i="21"/>
  <c r="F64" i="21"/>
  <c r="F56" i="21"/>
  <c r="F55" i="21"/>
  <c r="F28" i="21"/>
  <c r="F86" i="21"/>
  <c r="F78" i="21"/>
  <c r="F77" i="21"/>
  <c r="F66" i="21"/>
  <c r="F65" i="21"/>
  <c r="F58" i="21"/>
  <c r="F57" i="21"/>
  <c r="F42" i="21"/>
  <c r="F38" i="21"/>
  <c r="F118" i="21"/>
  <c r="F109" i="21"/>
  <c r="F108" i="21"/>
  <c r="F93" i="21"/>
  <c r="F29" i="21"/>
  <c r="F122" i="21"/>
  <c r="F104" i="21"/>
  <c r="F100" i="21"/>
  <c r="F88" i="21"/>
  <c r="F87" i="21"/>
  <c r="F80" i="21"/>
  <c r="F79" i="21"/>
  <c r="F68" i="21"/>
  <c r="F67" i="21"/>
  <c r="F60" i="21"/>
  <c r="F59" i="21"/>
  <c r="F52" i="21"/>
  <c r="F48" i="21"/>
  <c r="L12" i="21"/>
  <c r="F111" i="21"/>
  <c r="F110" i="21"/>
  <c r="F43" i="21"/>
  <c r="F39" i="21"/>
  <c r="F35" i="21"/>
  <c r="F34" i="21"/>
  <c r="F94" i="21"/>
  <c r="F82" i="21"/>
  <c r="F81" i="21"/>
  <c r="F70" i="21"/>
  <c r="F69" i="21"/>
  <c r="F62" i="21"/>
  <c r="F61" i="21"/>
  <c r="F95" i="21"/>
  <c r="F91" i="21"/>
  <c r="F90" i="21"/>
  <c r="F113" i="21"/>
  <c r="F105" i="21"/>
  <c r="F103" i="21"/>
  <c r="F33" i="21"/>
  <c r="F107" i="21"/>
  <c r="F84" i="21"/>
  <c r="F72" i="21"/>
  <c r="F98" i="21"/>
  <c r="F44" i="21"/>
  <c r="F36" i="21"/>
  <c r="F40" i="21"/>
  <c r="F112" i="21"/>
  <c r="F53" i="21"/>
  <c r="F51" i="21"/>
  <c r="D31" i="21"/>
  <c r="F89" i="21"/>
  <c r="F83" i="21"/>
  <c r="F71" i="21"/>
  <c r="F49" i="21"/>
  <c r="F26" i="21"/>
  <c r="F47" i="21"/>
  <c r="F45" i="21"/>
  <c r="F27" i="21"/>
  <c r="L165" i="30"/>
  <c r="N165" i="30" s="1"/>
  <c r="D164" i="30"/>
  <c r="L164" i="30" s="1"/>
  <c r="T16" i="6"/>
  <c r="V44" i="9"/>
  <c r="V64" i="9"/>
  <c r="V76" i="9"/>
  <c r="R81" i="9"/>
  <c r="R82" i="9"/>
  <c r="V88" i="9"/>
  <c r="R93" i="9"/>
  <c r="V178" i="12"/>
  <c r="V182" i="12"/>
  <c r="J190" i="12"/>
  <c r="J194" i="12"/>
  <c r="V210" i="12"/>
  <c r="J214" i="12"/>
  <c r="V218" i="12"/>
  <c r="J224" i="12"/>
  <c r="J266" i="12"/>
  <c r="V270" i="12"/>
  <c r="J278" i="12"/>
  <c r="V286" i="12"/>
  <c r="J290" i="12"/>
  <c r="J294" i="12"/>
  <c r="J298" i="12"/>
  <c r="J306" i="12"/>
  <c r="J315" i="12"/>
  <c r="V320" i="12"/>
  <c r="J167" i="15"/>
  <c r="N170" i="15"/>
  <c r="L170" i="15"/>
  <c r="L197" i="15"/>
  <c r="N197" i="15" s="1"/>
  <c r="J248" i="15"/>
  <c r="J250" i="15"/>
  <c r="J265" i="15"/>
  <c r="J276" i="15"/>
  <c r="F63" i="21"/>
  <c r="Z93" i="27"/>
  <c r="Z52" i="39"/>
  <c r="V14" i="6"/>
  <c r="V16" i="6"/>
  <c r="V18" i="6"/>
  <c r="V20" i="6"/>
  <c r="R15" i="9"/>
  <c r="R17" i="9"/>
  <c r="R19" i="9"/>
  <c r="V21" i="9"/>
  <c r="V25" i="9"/>
  <c r="V29" i="9"/>
  <c r="R34" i="9"/>
  <c r="R38" i="9"/>
  <c r="R42" i="9"/>
  <c r="R43" i="9"/>
  <c r="V45" i="9"/>
  <c r="V53" i="9"/>
  <c r="R62" i="9"/>
  <c r="R63" i="9"/>
  <c r="V65" i="9"/>
  <c r="R70" i="9"/>
  <c r="V81" i="9"/>
  <c r="V93" i="9"/>
  <c r="R101" i="9"/>
  <c r="R103" i="9"/>
  <c r="J119" i="12"/>
  <c r="J123" i="12"/>
  <c r="J127" i="12"/>
  <c r="J131" i="12"/>
  <c r="J135" i="12"/>
  <c r="J139" i="12"/>
  <c r="J143" i="12"/>
  <c r="J147" i="12"/>
  <c r="J151" i="12"/>
  <c r="J155" i="12"/>
  <c r="J159" i="12"/>
  <c r="J163" i="12"/>
  <c r="J167" i="12"/>
  <c r="H172" i="12"/>
  <c r="V187" i="12"/>
  <c r="V191" i="12"/>
  <c r="V195" i="12"/>
  <c r="V203" i="12"/>
  <c r="J207" i="12"/>
  <c r="V219" i="12"/>
  <c r="J223" i="12"/>
  <c r="V227" i="12"/>
  <c r="J231" i="12"/>
  <c r="J235" i="12"/>
  <c r="J239" i="12"/>
  <c r="J243" i="12"/>
  <c r="J247" i="12"/>
  <c r="J251" i="12"/>
  <c r="J255" i="12"/>
  <c r="J259" i="12"/>
  <c r="J265" i="12"/>
  <c r="V275" i="12"/>
  <c r="J283" i="12"/>
  <c r="J289" i="12"/>
  <c r="V291" i="12"/>
  <c r="V295" i="12"/>
  <c r="V299" i="12"/>
  <c r="J305" i="12"/>
  <c r="V307" i="12"/>
  <c r="J314" i="12"/>
  <c r="V319" i="12"/>
  <c r="J170" i="15"/>
  <c r="J217" i="15"/>
  <c r="L221" i="15"/>
  <c r="N221" i="15" s="1"/>
  <c r="J252" i="15"/>
  <c r="J254" i="15"/>
  <c r="L258" i="15"/>
  <c r="N258" i="15" s="1"/>
  <c r="D299" i="15"/>
  <c r="L299" i="15" s="1"/>
  <c r="N299" i="15" s="1"/>
  <c r="D12" i="18"/>
  <c r="N299" i="18"/>
  <c r="F101" i="21"/>
  <c r="T17" i="9"/>
  <c r="R20" i="9"/>
  <c r="V34" i="9"/>
  <c r="V38" i="9"/>
  <c r="V42" i="9"/>
  <c r="R51" i="9"/>
  <c r="R52" i="9"/>
  <c r="V62" i="9"/>
  <c r="V70" i="9"/>
  <c r="R75" i="9"/>
  <c r="R87" i="9"/>
  <c r="R91" i="9"/>
  <c r="R92" i="9"/>
  <c r="V120" i="12"/>
  <c r="V124" i="12"/>
  <c r="V128" i="12"/>
  <c r="V132" i="12"/>
  <c r="V136" i="12"/>
  <c r="V140" i="12"/>
  <c r="V144" i="12"/>
  <c r="V148" i="12"/>
  <c r="V152" i="12"/>
  <c r="V156" i="12"/>
  <c r="V160" i="12"/>
  <c r="V164" i="12"/>
  <c r="V168" i="12"/>
  <c r="J174" i="12"/>
  <c r="J176" i="12"/>
  <c r="J180" i="12"/>
  <c r="J184" i="12"/>
  <c r="J200" i="12"/>
  <c r="V204" i="12"/>
  <c r="V208" i="12"/>
  <c r="V216" i="12"/>
  <c r="J222" i="12"/>
  <c r="V228" i="12"/>
  <c r="V232" i="12"/>
  <c r="V236" i="12"/>
  <c r="V240" i="12"/>
  <c r="V244" i="12"/>
  <c r="V248" i="12"/>
  <c r="V252" i="12"/>
  <c r="V256" i="12"/>
  <c r="V260" i="12"/>
  <c r="J264" i="12"/>
  <c r="V268" i="12"/>
  <c r="J272" i="12"/>
  <c r="V280" i="12"/>
  <c r="V284" i="12"/>
  <c r="J288" i="12"/>
  <c r="V300" i="12"/>
  <c r="J304" i="12"/>
  <c r="J312" i="12"/>
  <c r="D12" i="15"/>
  <c r="J175" i="15"/>
  <c r="Z181" i="15"/>
  <c r="X181" i="15"/>
  <c r="Z199" i="15"/>
  <c r="J208" i="15"/>
  <c r="L270" i="15"/>
  <c r="N270" i="15" s="1"/>
  <c r="N278" i="15"/>
  <c r="X299" i="18"/>
  <c r="Z299" i="18" s="1"/>
  <c r="L325" i="18"/>
  <c r="N325" i="18" s="1"/>
  <c r="P328" i="18"/>
  <c r="X328" i="18" s="1"/>
  <c r="Z328" i="18" s="1"/>
  <c r="D328" i="18"/>
  <c r="L328" i="18" s="1"/>
  <c r="N328" i="18" s="1"/>
  <c r="L336" i="18"/>
  <c r="N336" i="18" s="1"/>
  <c r="F99" i="21"/>
  <c r="V182" i="15"/>
  <c r="V186" i="15"/>
  <c r="V190" i="15"/>
  <c r="V198" i="15"/>
  <c r="V214" i="15"/>
  <c r="V222" i="15"/>
  <c r="V226" i="15"/>
  <c r="V230" i="15"/>
  <c r="V234" i="15"/>
  <c r="V238" i="15"/>
  <c r="V242" i="15"/>
  <c r="V246" i="15"/>
  <c r="V250" i="15"/>
  <c r="V254" i="15"/>
  <c r="V262" i="15"/>
  <c r="V290" i="15"/>
  <c r="J133" i="18"/>
  <c r="J137" i="18"/>
  <c r="J141" i="18"/>
  <c r="J145" i="18"/>
  <c r="J149" i="18"/>
  <c r="J153" i="18"/>
  <c r="J157" i="18"/>
  <c r="J161" i="18"/>
  <c r="J165" i="18"/>
  <c r="J169" i="18"/>
  <c r="J173" i="18"/>
  <c r="J177" i="18"/>
  <c r="J181" i="18"/>
  <c r="J185" i="18"/>
  <c r="J189" i="18"/>
  <c r="J207" i="18"/>
  <c r="V209" i="18"/>
  <c r="V213" i="18"/>
  <c r="V217" i="18"/>
  <c r="J223" i="18"/>
  <c r="J229" i="18"/>
  <c r="V233" i="18"/>
  <c r="J237" i="18"/>
  <c r="V241" i="18"/>
  <c r="J247" i="18"/>
  <c r="V249" i="18"/>
  <c r="V253" i="18"/>
  <c r="V257" i="18"/>
  <c r="V261" i="18"/>
  <c r="V265" i="18"/>
  <c r="V269" i="18"/>
  <c r="V273" i="18"/>
  <c r="V277" i="18"/>
  <c r="V281" i="18"/>
  <c r="V289" i="18"/>
  <c r="V293" i="18"/>
  <c r="J297" i="18"/>
  <c r="V305" i="18"/>
  <c r="J309" i="18"/>
  <c r="J313" i="18"/>
  <c r="J319" i="18"/>
  <c r="V333" i="18"/>
  <c r="N33" i="21"/>
  <c r="N59" i="21"/>
  <c r="L65" i="21"/>
  <c r="V82" i="21"/>
  <c r="Z118" i="21"/>
  <c r="X118" i="21"/>
  <c r="Z108" i="24"/>
  <c r="X112" i="24"/>
  <c r="Z112" i="24" s="1"/>
  <c r="X146" i="24"/>
  <c r="Z146" i="24" s="1"/>
  <c r="L65" i="27"/>
  <c r="N65" i="27" s="1"/>
  <c r="J85" i="27"/>
  <c r="X95" i="27"/>
  <c r="Z95" i="27" s="1"/>
  <c r="Z124" i="27"/>
  <c r="V181" i="15"/>
  <c r="V185" i="15"/>
  <c r="V189" i="15"/>
  <c r="V197" i="15"/>
  <c r="V209" i="15"/>
  <c r="V221" i="15"/>
  <c r="V225" i="15"/>
  <c r="V229" i="15"/>
  <c r="V233" i="15"/>
  <c r="V237" i="15"/>
  <c r="V241" i="15"/>
  <c r="V245" i="15"/>
  <c r="V249" i="15"/>
  <c r="V253" i="15"/>
  <c r="V261" i="15"/>
  <c r="V277" i="15"/>
  <c r="V307" i="15"/>
  <c r="J136" i="18"/>
  <c r="J140" i="18"/>
  <c r="J144" i="18"/>
  <c r="J148" i="18"/>
  <c r="J152" i="18"/>
  <c r="J156" i="18"/>
  <c r="J160" i="18"/>
  <c r="J164" i="18"/>
  <c r="J168" i="18"/>
  <c r="J172" i="18"/>
  <c r="J176" i="18"/>
  <c r="J180" i="18"/>
  <c r="J184" i="18"/>
  <c r="J188" i="18"/>
  <c r="H193" i="18"/>
  <c r="J193" i="18" s="1"/>
  <c r="V208" i="18"/>
  <c r="V212" i="18"/>
  <c r="V216" i="18"/>
  <c r="V224" i="18"/>
  <c r="J228" i="18"/>
  <c r="V240" i="18"/>
  <c r="J244" i="18"/>
  <c r="V248" i="18"/>
  <c r="V252" i="18"/>
  <c r="V256" i="18"/>
  <c r="V260" i="18"/>
  <c r="V264" i="18"/>
  <c r="V268" i="18"/>
  <c r="V272" i="18"/>
  <c r="V276" i="18"/>
  <c r="V280" i="18"/>
  <c r="V284" i="18"/>
  <c r="V292" i="18"/>
  <c r="J296" i="18"/>
  <c r="V304" i="18"/>
  <c r="J308" i="18"/>
  <c r="J312" i="18"/>
  <c r="V320" i="18"/>
  <c r="J324" i="18"/>
  <c r="V330" i="18"/>
  <c r="J337" i="18"/>
  <c r="V109" i="21"/>
  <c r="V93" i="21"/>
  <c r="V81" i="21"/>
  <c r="V69" i="21"/>
  <c r="V61" i="21"/>
  <c r="V33" i="21"/>
  <c r="V29" i="21"/>
  <c r="V122" i="21"/>
  <c r="V112" i="21"/>
  <c r="V104" i="21"/>
  <c r="V100" i="21"/>
  <c r="V88" i="21"/>
  <c r="V80" i="21"/>
  <c r="V68" i="21"/>
  <c r="V60" i="21"/>
  <c r="V52" i="21"/>
  <c r="V48" i="21"/>
  <c r="V44" i="21"/>
  <c r="T31" i="21"/>
  <c r="V31" i="21" s="1"/>
  <c r="V111" i="21"/>
  <c r="V83" i="21"/>
  <c r="V71" i="21"/>
  <c r="V43" i="21"/>
  <c r="V39" i="21"/>
  <c r="V35" i="21"/>
  <c r="V113" i="21"/>
  <c r="V105" i="21"/>
  <c r="V101" i="21"/>
  <c r="V89" i="21"/>
  <c r="V73" i="21"/>
  <c r="V53" i="21"/>
  <c r="V49" i="21"/>
  <c r="V45" i="21"/>
  <c r="V96" i="21"/>
  <c r="V84" i="21"/>
  <c r="V72" i="21"/>
  <c r="V40" i="21"/>
  <c r="V36" i="21"/>
  <c r="V115" i="21"/>
  <c r="V95" i="21"/>
  <c r="V91" i="21"/>
  <c r="V75" i="21"/>
  <c r="V63" i="21"/>
  <c r="V55" i="21"/>
  <c r="V27" i="21"/>
  <c r="V114" i="21"/>
  <c r="V106" i="21"/>
  <c r="V102" i="21"/>
  <c r="V98" i="21"/>
  <c r="V74" i="21"/>
  <c r="V54" i="21"/>
  <c r="V50" i="21"/>
  <c r="V46" i="21"/>
  <c r="V97" i="21"/>
  <c r="V85" i="21"/>
  <c r="V77" i="21"/>
  <c r="V65" i="21"/>
  <c r="V110" i="21"/>
  <c r="V86" i="21"/>
  <c r="V78" i="21"/>
  <c r="Z59" i="21"/>
  <c r="L71" i="21"/>
  <c r="L83" i="21"/>
  <c r="X154" i="24"/>
  <c r="N158" i="24"/>
  <c r="J81" i="27"/>
  <c r="Z129" i="27"/>
  <c r="X95" i="30"/>
  <c r="L28" i="33"/>
  <c r="D12" i="33"/>
  <c r="V114" i="15"/>
  <c r="V118" i="15"/>
  <c r="V122" i="15"/>
  <c r="V126" i="15"/>
  <c r="V130" i="15"/>
  <c r="V134" i="15"/>
  <c r="V138" i="15"/>
  <c r="V142" i="15"/>
  <c r="V146" i="15"/>
  <c r="V150" i="15"/>
  <c r="V154" i="15"/>
  <c r="V158" i="15"/>
  <c r="V162" i="15"/>
  <c r="V202" i="15"/>
  <c r="V210" i="15"/>
  <c r="V218" i="15"/>
  <c r="V266" i="15"/>
  <c r="V278" i="15"/>
  <c r="V282" i="15"/>
  <c r="V286" i="15"/>
  <c r="V294" i="15"/>
  <c r="V306" i="15"/>
  <c r="V133" i="18"/>
  <c r="V137" i="18"/>
  <c r="V141" i="18"/>
  <c r="V145" i="18"/>
  <c r="V149" i="18"/>
  <c r="V153" i="18"/>
  <c r="V157" i="18"/>
  <c r="V161" i="18"/>
  <c r="V165" i="18"/>
  <c r="V169" i="18"/>
  <c r="V173" i="18"/>
  <c r="V177" i="18"/>
  <c r="V181" i="18"/>
  <c r="V185" i="18"/>
  <c r="V189" i="18"/>
  <c r="J195" i="18"/>
  <c r="J197" i="18"/>
  <c r="J201" i="18"/>
  <c r="J205" i="18"/>
  <c r="J221" i="18"/>
  <c r="V225" i="18"/>
  <c r="V229" i="18"/>
  <c r="V237" i="18"/>
  <c r="J243" i="18"/>
  <c r="V285" i="18"/>
  <c r="V297" i="18"/>
  <c r="J301" i="18"/>
  <c r="J307" i="18"/>
  <c r="V309" i="18"/>
  <c r="V313" i="18"/>
  <c r="J317" i="18"/>
  <c r="V321" i="18"/>
  <c r="V329" i="18"/>
  <c r="N87" i="21"/>
  <c r="J110" i="27"/>
  <c r="Z95" i="30"/>
  <c r="V95" i="30"/>
  <c r="X13" i="33"/>
  <c r="Z13" i="33" s="1"/>
  <c r="P12" i="33"/>
  <c r="V171" i="15"/>
  <c r="V175" i="15"/>
  <c r="V179" i="15"/>
  <c r="V195" i="15"/>
  <c r="V219" i="15"/>
  <c r="V259" i="15"/>
  <c r="V271" i="15"/>
  <c r="V287" i="15"/>
  <c r="V305" i="15"/>
  <c r="J339" i="18"/>
  <c r="J344" i="18"/>
  <c r="J196" i="18"/>
  <c r="V198" i="18"/>
  <c r="V202" i="18"/>
  <c r="V206" i="18"/>
  <c r="J210" i="18"/>
  <c r="J214" i="18"/>
  <c r="J220" i="18"/>
  <c r="V222" i="18"/>
  <c r="V230" i="18"/>
  <c r="J234" i="18"/>
  <c r="V238" i="18"/>
  <c r="J242" i="18"/>
  <c r="V246" i="18"/>
  <c r="J250" i="18"/>
  <c r="J254" i="18"/>
  <c r="J258" i="18"/>
  <c r="J262" i="18"/>
  <c r="J266" i="18"/>
  <c r="J270" i="18"/>
  <c r="J274" i="18"/>
  <c r="J278" i="18"/>
  <c r="J282" i="18"/>
  <c r="J290" i="18"/>
  <c r="V302" i="18"/>
  <c r="J306" i="18"/>
  <c r="J316" i="18"/>
  <c r="V318" i="18"/>
  <c r="V326" i="18"/>
  <c r="V328" i="18"/>
  <c r="J335" i="18"/>
  <c r="V339" i="18"/>
  <c r="N26" i="21"/>
  <c r="Z67" i="21"/>
  <c r="N71" i="21"/>
  <c r="J71" i="21"/>
  <c r="N83" i="21"/>
  <c r="Z154" i="24"/>
  <c r="N100" i="27"/>
  <c r="L100" i="27"/>
  <c r="J106" i="27"/>
  <c r="N133" i="27"/>
  <c r="T167" i="15"/>
  <c r="V184" i="15"/>
  <c r="V188" i="15"/>
  <c r="V208" i="15"/>
  <c r="V216" i="15"/>
  <c r="V224" i="15"/>
  <c r="V228" i="15"/>
  <c r="V232" i="15"/>
  <c r="V236" i="15"/>
  <c r="V240" i="15"/>
  <c r="V244" i="15"/>
  <c r="V248" i="15"/>
  <c r="V252" i="15"/>
  <c r="V260" i="15"/>
  <c r="V264" i="15"/>
  <c r="V276" i="15"/>
  <c r="V304" i="15"/>
  <c r="J135" i="18"/>
  <c r="J139" i="18"/>
  <c r="J143" i="18"/>
  <c r="J147" i="18"/>
  <c r="J151" i="18"/>
  <c r="J155" i="18"/>
  <c r="J159" i="18"/>
  <c r="J163" i="18"/>
  <c r="J167" i="18"/>
  <c r="J171" i="18"/>
  <c r="J175" i="18"/>
  <c r="J179" i="18"/>
  <c r="J183" i="18"/>
  <c r="J187" i="18"/>
  <c r="J191" i="18"/>
  <c r="V207" i="18"/>
  <c r="V211" i="18"/>
  <c r="V215" i="18"/>
  <c r="J219" i="18"/>
  <c r="V223" i="18"/>
  <c r="J227" i="18"/>
  <c r="J233" i="18"/>
  <c r="V235" i="18"/>
  <c r="V247" i="18"/>
  <c r="V251" i="18"/>
  <c r="V255" i="18"/>
  <c r="V259" i="18"/>
  <c r="V263" i="18"/>
  <c r="V267" i="18"/>
  <c r="V271" i="18"/>
  <c r="V275" i="18"/>
  <c r="V279" i="18"/>
  <c r="V283" i="18"/>
  <c r="J289" i="18"/>
  <c r="V291" i="18"/>
  <c r="J295" i="18"/>
  <c r="J311" i="18"/>
  <c r="J315" i="18"/>
  <c r="V319" i="18"/>
  <c r="J323" i="18"/>
  <c r="J334" i="18"/>
  <c r="J26" i="21"/>
  <c r="V56" i="21"/>
  <c r="V67" i="21"/>
  <c r="X71" i="21"/>
  <c r="N77" i="21"/>
  <c r="X83" i="21"/>
  <c r="V116" i="21"/>
  <c r="N149" i="24"/>
  <c r="X162" i="24"/>
  <c r="J100" i="27"/>
  <c r="J130" i="27"/>
  <c r="V117" i="15"/>
  <c r="V121" i="15"/>
  <c r="V125" i="15"/>
  <c r="V129" i="15"/>
  <c r="V133" i="15"/>
  <c r="V137" i="15"/>
  <c r="V141" i="15"/>
  <c r="V145" i="15"/>
  <c r="V149" i="15"/>
  <c r="V153" i="15"/>
  <c r="V157" i="15"/>
  <c r="V161" i="15"/>
  <c r="V165" i="15"/>
  <c r="V167" i="15"/>
  <c r="V169" i="15"/>
  <c r="V193" i="15"/>
  <c r="V201" i="15"/>
  <c r="V217" i="15"/>
  <c r="V257" i="15"/>
  <c r="V265" i="15"/>
  <c r="V269" i="15"/>
  <c r="V281" i="15"/>
  <c r="V285" i="15"/>
  <c r="V293" i="15"/>
  <c r="V303" i="15"/>
  <c r="V132" i="18"/>
  <c r="V136" i="18"/>
  <c r="V140" i="18"/>
  <c r="V144" i="18"/>
  <c r="V148" i="18"/>
  <c r="V152" i="18"/>
  <c r="V156" i="18"/>
  <c r="V160" i="18"/>
  <c r="V164" i="18"/>
  <c r="V168" i="18"/>
  <c r="V172" i="18"/>
  <c r="V176" i="18"/>
  <c r="V180" i="18"/>
  <c r="V184" i="18"/>
  <c r="V188" i="18"/>
  <c r="J200" i="18"/>
  <c r="J204" i="18"/>
  <c r="J218" i="18"/>
  <c r="V228" i="18"/>
  <c r="J232" i="18"/>
  <c r="V236" i="18"/>
  <c r="V244" i="18"/>
  <c r="J288" i="18"/>
  <c r="J294" i="18"/>
  <c r="V296" i="18"/>
  <c r="J300" i="18"/>
  <c r="V308" i="18"/>
  <c r="V312" i="18"/>
  <c r="V324" i="18"/>
  <c r="J333" i="18"/>
  <c r="V338" i="18"/>
  <c r="L26" i="21"/>
  <c r="L44" i="21"/>
  <c r="X67" i="21"/>
  <c r="Z83" i="21"/>
  <c r="Z108" i="21"/>
  <c r="X108" i="21"/>
  <c r="N121" i="24"/>
  <c r="Z133" i="27"/>
  <c r="J241" i="18"/>
  <c r="V245" i="18"/>
  <c r="J249" i="18"/>
  <c r="J253" i="18"/>
  <c r="J257" i="18"/>
  <c r="J261" i="18"/>
  <c r="J265" i="18"/>
  <c r="J269" i="18"/>
  <c r="J273" i="18"/>
  <c r="J277" i="18"/>
  <c r="J281" i="18"/>
  <c r="J287" i="18"/>
  <c r="J293" i="18"/>
  <c r="J299" i="18"/>
  <c r="V301" i="18"/>
  <c r="J305" i="18"/>
  <c r="V317" i="18"/>
  <c r="V325" i="18"/>
  <c r="J332" i="18"/>
  <c r="P12" i="21"/>
  <c r="X13" i="21"/>
  <c r="Z13" i="21" s="1"/>
  <c r="Z117" i="24"/>
  <c r="X117" i="24"/>
  <c r="J131" i="27"/>
  <c r="J123" i="27"/>
  <c r="J117" i="27"/>
  <c r="J111" i="27"/>
  <c r="J107" i="27"/>
  <c r="J103" i="27"/>
  <c r="J93" i="27"/>
  <c r="J77" i="27"/>
  <c r="J59" i="27"/>
  <c r="J55" i="27"/>
  <c r="J51" i="27"/>
  <c r="J47" i="27"/>
  <c r="J124" i="27"/>
  <c r="J118" i="27"/>
  <c r="J112" i="27"/>
  <c r="J94" i="27"/>
  <c r="J86" i="27"/>
  <c r="J82" i="27"/>
  <c r="J78" i="27"/>
  <c r="J134" i="27"/>
  <c r="J133" i="27"/>
  <c r="J125" i="27"/>
  <c r="J113" i="27"/>
  <c r="J95" i="27"/>
  <c r="J73" i="27"/>
  <c r="J69" i="27"/>
  <c r="J135" i="27"/>
  <c r="J108" i="27"/>
  <c r="J104" i="27"/>
  <c r="J96" i="27"/>
  <c r="J60" i="27"/>
  <c r="J56" i="27"/>
  <c r="J52" i="27"/>
  <c r="J48" i="27"/>
  <c r="J136" i="27"/>
  <c r="J119" i="27"/>
  <c r="J97" i="27"/>
  <c r="J87" i="27"/>
  <c r="J83" i="27"/>
  <c r="J79" i="27"/>
  <c r="J137" i="27"/>
  <c r="J126" i="27"/>
  <c r="J120" i="27"/>
  <c r="J114" i="27"/>
  <c r="J98" i="27"/>
  <c r="J88" i="27"/>
  <c r="J74" i="27"/>
  <c r="J70" i="27"/>
  <c r="J44" i="27"/>
  <c r="J127" i="27"/>
  <c r="J121" i="27"/>
  <c r="J109" i="27"/>
  <c r="J105" i="27"/>
  <c r="J89" i="27"/>
  <c r="J61" i="27"/>
  <c r="J57" i="27"/>
  <c r="J53" i="27"/>
  <c r="J49" i="27"/>
  <c r="J45" i="27"/>
  <c r="J128" i="27"/>
  <c r="J90" i="27"/>
  <c r="J84" i="27"/>
  <c r="J80" i="27"/>
  <c r="J66" i="27"/>
  <c r="J141" i="27"/>
  <c r="J129" i="27"/>
  <c r="J115" i="27"/>
  <c r="J99" i="27"/>
  <c r="J91" i="27"/>
  <c r="J75" i="27"/>
  <c r="J71" i="27"/>
  <c r="J67" i="27"/>
  <c r="J65" i="27"/>
  <c r="J63" i="27"/>
  <c r="J116" i="27"/>
  <c r="J102" i="27"/>
  <c r="J92" i="27"/>
  <c r="J76" i="27"/>
  <c r="J72" i="27"/>
  <c r="J68" i="27"/>
  <c r="L85" i="33"/>
  <c r="N85" i="33" s="1"/>
  <c r="V183" i="15"/>
  <c r="V187" i="15"/>
  <c r="V191" i="15"/>
  <c r="V207" i="15"/>
  <c r="V215" i="15"/>
  <c r="V223" i="15"/>
  <c r="V227" i="15"/>
  <c r="V231" i="15"/>
  <c r="V235" i="15"/>
  <c r="V239" i="15"/>
  <c r="V243" i="15"/>
  <c r="V247" i="15"/>
  <c r="V251" i="15"/>
  <c r="V255" i="15"/>
  <c r="X258" i="15"/>
  <c r="V263" i="15"/>
  <c r="X270" i="15"/>
  <c r="Z270" i="15" s="1"/>
  <c r="V275" i="15"/>
  <c r="V291" i="15"/>
  <c r="L296" i="15"/>
  <c r="V301" i="15"/>
  <c r="V344" i="18"/>
  <c r="J134" i="18"/>
  <c r="J138" i="18"/>
  <c r="J142" i="18"/>
  <c r="J146" i="18"/>
  <c r="J150" i="18"/>
  <c r="J154" i="18"/>
  <c r="J158" i="18"/>
  <c r="J162" i="18"/>
  <c r="J166" i="18"/>
  <c r="J170" i="18"/>
  <c r="J174" i="18"/>
  <c r="J178" i="18"/>
  <c r="J182" i="18"/>
  <c r="J186" i="18"/>
  <c r="J190" i="18"/>
  <c r="T193" i="18"/>
  <c r="V210" i="18"/>
  <c r="V214" i="18"/>
  <c r="J226" i="18"/>
  <c r="V234" i="18"/>
  <c r="J240" i="18"/>
  <c r="V242" i="18"/>
  <c r="V250" i="18"/>
  <c r="V254" i="18"/>
  <c r="V258" i="18"/>
  <c r="V262" i="18"/>
  <c r="V266" i="18"/>
  <c r="V270" i="18"/>
  <c r="V274" i="18"/>
  <c r="V278" i="18"/>
  <c r="V282" i="18"/>
  <c r="J286" i="18"/>
  <c r="V290" i="18"/>
  <c r="J298" i="18"/>
  <c r="J304" i="18"/>
  <c r="V306" i="18"/>
  <c r="J310" i="18"/>
  <c r="J314" i="18"/>
  <c r="J322" i="18"/>
  <c r="J331" i="18"/>
  <c r="V336" i="18"/>
  <c r="N44" i="21"/>
  <c r="Z75" i="21"/>
  <c r="Z77" i="21"/>
  <c r="V117" i="24"/>
  <c r="J46" i="27"/>
  <c r="Z112" i="27"/>
  <c r="Z117" i="27"/>
  <c r="J122" i="27"/>
  <c r="J85" i="33"/>
  <c r="V116" i="15"/>
  <c r="V120" i="15"/>
  <c r="V124" i="15"/>
  <c r="V128" i="15"/>
  <c r="V132" i="15"/>
  <c r="V136" i="15"/>
  <c r="V140" i="15"/>
  <c r="V144" i="15"/>
  <c r="V148" i="15"/>
  <c r="V152" i="15"/>
  <c r="V156" i="15"/>
  <c r="V160" i="15"/>
  <c r="V164" i="15"/>
  <c r="V192" i="15"/>
  <c r="V200" i="15"/>
  <c r="V256" i="15"/>
  <c r="V268" i="15"/>
  <c r="V280" i="15"/>
  <c r="V284" i="15"/>
  <c r="V292" i="15"/>
  <c r="V300" i="15"/>
  <c r="V312" i="15"/>
  <c r="V135" i="18"/>
  <c r="V139" i="18"/>
  <c r="V143" i="18"/>
  <c r="V147" i="18"/>
  <c r="V151" i="18"/>
  <c r="V155" i="18"/>
  <c r="V159" i="18"/>
  <c r="V163" i="18"/>
  <c r="V167" i="18"/>
  <c r="V171" i="18"/>
  <c r="V175" i="18"/>
  <c r="V179" i="18"/>
  <c r="V183" i="18"/>
  <c r="V187" i="18"/>
  <c r="V191" i="18"/>
  <c r="V195" i="18"/>
  <c r="J199" i="18"/>
  <c r="J203" i="18"/>
  <c r="V219" i="18"/>
  <c r="J225" i="18"/>
  <c r="V227" i="18"/>
  <c r="J231" i="18"/>
  <c r="J239" i="18"/>
  <c r="L240" i="18"/>
  <c r="N240" i="18" s="1"/>
  <c r="V243" i="18"/>
  <c r="J285" i="18"/>
  <c r="V295" i="18"/>
  <c r="J303" i="18"/>
  <c r="L304" i="18"/>
  <c r="N304" i="18" s="1"/>
  <c r="V307" i="18"/>
  <c r="V311" i="18"/>
  <c r="V315" i="18"/>
  <c r="J321" i="18"/>
  <c r="V323" i="18"/>
  <c r="J330" i="18"/>
  <c r="V335" i="18"/>
  <c r="J340" i="18"/>
  <c r="N57" i="21"/>
  <c r="L90" i="21"/>
  <c r="N90" i="21" s="1"/>
  <c r="D12" i="24"/>
  <c r="J50" i="27"/>
  <c r="H63" i="27"/>
  <c r="V173" i="15"/>
  <c r="V177" i="15"/>
  <c r="V205" i="15"/>
  <c r="V213" i="15"/>
  <c r="V273" i="15"/>
  <c r="V289" i="15"/>
  <c r="V297" i="15"/>
  <c r="V196" i="18"/>
  <c r="V200" i="18"/>
  <c r="V204" i="18"/>
  <c r="J208" i="18"/>
  <c r="J212" i="18"/>
  <c r="J216" i="18"/>
  <c r="V220" i="18"/>
  <c r="J224" i="18"/>
  <c r="J230" i="18"/>
  <c r="V232" i="18"/>
  <c r="J238" i="18"/>
  <c r="J248" i="18"/>
  <c r="J252" i="18"/>
  <c r="J256" i="18"/>
  <c r="J260" i="18"/>
  <c r="J264" i="18"/>
  <c r="J268" i="18"/>
  <c r="J272" i="18"/>
  <c r="J276" i="18"/>
  <c r="J280" i="18"/>
  <c r="J284" i="18"/>
  <c r="V288" i="18"/>
  <c r="J292" i="18"/>
  <c r="V300" i="18"/>
  <c r="V316" i="18"/>
  <c r="J320" i="18"/>
  <c r="J328" i="18"/>
  <c r="J329" i="18"/>
  <c r="V334" i="18"/>
  <c r="V34" i="21"/>
  <c r="X57" i="21"/>
  <c r="Z57" i="21" s="1"/>
  <c r="V70" i="21"/>
  <c r="J90" i="21"/>
  <c r="N112" i="24"/>
  <c r="N146" i="24"/>
  <c r="J54" i="27"/>
  <c r="J58" i="27"/>
  <c r="N95" i="27"/>
  <c r="D12" i="39"/>
  <c r="L13" i="39"/>
  <c r="N13" i="39" s="1"/>
  <c r="J96" i="21"/>
  <c r="J102" i="21"/>
  <c r="J106" i="21"/>
  <c r="J114" i="21"/>
  <c r="V163" i="24"/>
  <c r="V165" i="24"/>
  <c r="V96" i="27"/>
  <c r="V104" i="27"/>
  <c r="V108" i="27"/>
  <c r="V120" i="27"/>
  <c r="V136" i="27"/>
  <c r="J44" i="30"/>
  <c r="V77" i="30"/>
  <c r="V111" i="30"/>
  <c r="Z135" i="30"/>
  <c r="Z34" i="33"/>
  <c r="V65" i="33"/>
  <c r="V77" i="33"/>
  <c r="V114" i="33"/>
  <c r="P12" i="36"/>
  <c r="X14" i="36"/>
  <c r="F50" i="36"/>
  <c r="F95" i="36"/>
  <c r="L52" i="39"/>
  <c r="N52" i="39" s="1"/>
  <c r="J83" i="21"/>
  <c r="J89" i="21"/>
  <c r="J101" i="21"/>
  <c r="J105" i="21"/>
  <c r="J113" i="21"/>
  <c r="H83" i="24"/>
  <c r="J83" i="24" s="1"/>
  <c r="V102" i="24"/>
  <c r="V106" i="24"/>
  <c r="J112" i="24"/>
  <c r="V114" i="24"/>
  <c r="J122" i="24"/>
  <c r="J126" i="24"/>
  <c r="J130" i="24"/>
  <c r="J134" i="24"/>
  <c r="J138" i="24"/>
  <c r="J142" i="24"/>
  <c r="V146" i="24"/>
  <c r="J150" i="24"/>
  <c r="V154" i="24"/>
  <c r="V162" i="24"/>
  <c r="J170" i="24"/>
  <c r="V55" i="27"/>
  <c r="V59" i="27"/>
  <c r="V95" i="27"/>
  <c r="V103" i="27"/>
  <c r="V107" i="27"/>
  <c r="V111" i="27"/>
  <c r="V123" i="27"/>
  <c r="V131" i="27"/>
  <c r="V133" i="27"/>
  <c r="D12" i="30"/>
  <c r="Z103" i="30"/>
  <c r="N35" i="36"/>
  <c r="Z89" i="36"/>
  <c r="L133" i="36"/>
  <c r="N133" i="36" s="1"/>
  <c r="X138" i="36"/>
  <c r="Z138" i="36" s="1"/>
  <c r="P136" i="36"/>
  <c r="X136" i="36" s="1"/>
  <c r="Z136" i="36" s="1"/>
  <c r="H31" i="21"/>
  <c r="J44" i="21"/>
  <c r="J62" i="21"/>
  <c r="J70" i="21"/>
  <c r="J82" i="21"/>
  <c r="J94" i="21"/>
  <c r="J112" i="21"/>
  <c r="J57" i="24"/>
  <c r="V59" i="24"/>
  <c r="V63" i="24"/>
  <c r="V67" i="24"/>
  <c r="V71" i="24"/>
  <c r="V75" i="24"/>
  <c r="V79" i="24"/>
  <c r="J85" i="24"/>
  <c r="J87" i="24"/>
  <c r="J91" i="24"/>
  <c r="J95" i="24"/>
  <c r="J111" i="24"/>
  <c r="V115" i="24"/>
  <c r="J121" i="24"/>
  <c r="V123" i="24"/>
  <c r="V127" i="24"/>
  <c r="V131" i="24"/>
  <c r="V135" i="24"/>
  <c r="V139" i="24"/>
  <c r="V143" i="24"/>
  <c r="J149" i="24"/>
  <c r="V151" i="24"/>
  <c r="V159" i="24"/>
  <c r="V68" i="27"/>
  <c r="V72" i="27"/>
  <c r="V76" i="27"/>
  <c r="V92" i="27"/>
  <c r="V112" i="27"/>
  <c r="V116" i="27"/>
  <c r="V124" i="27"/>
  <c r="J158" i="30"/>
  <c r="J146" i="30"/>
  <c r="J140" i="30"/>
  <c r="J110" i="30"/>
  <c r="J92" i="30"/>
  <c r="J88" i="30"/>
  <c r="J84" i="30"/>
  <c r="J171" i="30"/>
  <c r="J159" i="30"/>
  <c r="J151" i="30"/>
  <c r="J147" i="30"/>
  <c r="J111" i="30"/>
  <c r="J93" i="30"/>
  <c r="J79" i="30"/>
  <c r="J75" i="30"/>
  <c r="J134" i="30"/>
  <c r="J126" i="30"/>
  <c r="J122" i="30"/>
  <c r="J118" i="30"/>
  <c r="J112" i="30"/>
  <c r="J102" i="30"/>
  <c r="J94" i="30"/>
  <c r="J66" i="30"/>
  <c r="J62" i="30"/>
  <c r="J58" i="30"/>
  <c r="J54" i="30"/>
  <c r="J50" i="30"/>
  <c r="J46" i="30"/>
  <c r="J160" i="30"/>
  <c r="J152" i="30"/>
  <c r="J148" i="30"/>
  <c r="J136" i="30"/>
  <c r="J114" i="30"/>
  <c r="J104" i="30"/>
  <c r="J96" i="30"/>
  <c r="J80" i="30"/>
  <c r="J76" i="30"/>
  <c r="J161" i="30"/>
  <c r="J153" i="30"/>
  <c r="J127" i="30"/>
  <c r="J123" i="30"/>
  <c r="J119" i="30"/>
  <c r="J115" i="30"/>
  <c r="J105" i="30"/>
  <c r="J67" i="30"/>
  <c r="J63" i="30"/>
  <c r="J59" i="30"/>
  <c r="J55" i="30"/>
  <c r="J51" i="30"/>
  <c r="J47" i="30"/>
  <c r="J162" i="30"/>
  <c r="J154" i="30"/>
  <c r="J142" i="30"/>
  <c r="J128" i="30"/>
  <c r="J106" i="30"/>
  <c r="J90" i="30"/>
  <c r="J86" i="30"/>
  <c r="J72" i="30"/>
  <c r="J149" i="30"/>
  <c r="J143" i="30"/>
  <c r="J137" i="30"/>
  <c r="J129" i="30"/>
  <c r="J107" i="30"/>
  <c r="J97" i="30"/>
  <c r="J81" i="30"/>
  <c r="J77" i="30"/>
  <c r="J73" i="30"/>
  <c r="J71" i="30"/>
  <c r="J69" i="30"/>
  <c r="J165" i="30"/>
  <c r="J164" i="30"/>
  <c r="J144" i="30"/>
  <c r="J130" i="30"/>
  <c r="J124" i="30"/>
  <c r="J120" i="30"/>
  <c r="J116" i="30"/>
  <c r="J108" i="30"/>
  <c r="J98" i="30"/>
  <c r="J82" i="30"/>
  <c r="H69" i="30"/>
  <c r="J64" i="30"/>
  <c r="J60" i="30"/>
  <c r="J56" i="30"/>
  <c r="J52" i="30"/>
  <c r="J48" i="30"/>
  <c r="J157" i="30"/>
  <c r="J145" i="30"/>
  <c r="J139" i="30"/>
  <c r="J133" i="30"/>
  <c r="J125" i="30"/>
  <c r="J121" i="30"/>
  <c r="J117" i="30"/>
  <c r="J109" i="30"/>
  <c r="J101" i="30"/>
  <c r="J65" i="30"/>
  <c r="J61" i="30"/>
  <c r="J57" i="30"/>
  <c r="J53" i="30"/>
  <c r="J49" i="30"/>
  <c r="J45" i="30"/>
  <c r="V44" i="30"/>
  <c r="N71" i="30"/>
  <c r="V73" i="30"/>
  <c r="J78" i="30"/>
  <c r="V103" i="30"/>
  <c r="V126" i="30"/>
  <c r="N130" i="30"/>
  <c r="J132" i="30"/>
  <c r="H112" i="33"/>
  <c r="L106" i="33"/>
  <c r="D103" i="33"/>
  <c r="L103" i="33" s="1"/>
  <c r="N103" i="33" s="1"/>
  <c r="F137" i="36"/>
  <c r="F128" i="36"/>
  <c r="F127" i="36"/>
  <c r="F96" i="36"/>
  <c r="F88" i="36"/>
  <c r="F87" i="36"/>
  <c r="F68" i="36"/>
  <c r="F28" i="36"/>
  <c r="F27" i="36"/>
  <c r="F138" i="36"/>
  <c r="F136" i="36"/>
  <c r="F107" i="36"/>
  <c r="F79" i="36"/>
  <c r="F78" i="36"/>
  <c r="F63" i="36"/>
  <c r="F62" i="36"/>
  <c r="F55" i="36"/>
  <c r="F51" i="36"/>
  <c r="F47" i="36"/>
  <c r="F46" i="36"/>
  <c r="F139" i="36"/>
  <c r="F130" i="36"/>
  <c r="F129" i="36"/>
  <c r="F122" i="36"/>
  <c r="F118" i="36"/>
  <c r="F114" i="36"/>
  <c r="F102" i="36"/>
  <c r="F90" i="36"/>
  <c r="F89" i="36"/>
  <c r="F70" i="36"/>
  <c r="F69" i="36"/>
  <c r="F42" i="36"/>
  <c r="F38" i="36"/>
  <c r="L12" i="36"/>
  <c r="N12" i="36" s="1"/>
  <c r="F140" i="36"/>
  <c r="F97" i="36"/>
  <c r="F81" i="36"/>
  <c r="F80" i="36"/>
  <c r="F65" i="36"/>
  <c r="F64" i="36"/>
  <c r="F29" i="36"/>
  <c r="F108" i="36"/>
  <c r="F104" i="36"/>
  <c r="F103" i="36"/>
  <c r="F92" i="36"/>
  <c r="F91" i="36"/>
  <c r="F72" i="36"/>
  <c r="F71" i="36"/>
  <c r="F56" i="36"/>
  <c r="F52" i="36"/>
  <c r="F48" i="36"/>
  <c r="F131" i="36"/>
  <c r="F123" i="36"/>
  <c r="F119" i="36"/>
  <c r="F115" i="36"/>
  <c r="F99" i="36"/>
  <c r="F98" i="36"/>
  <c r="F43" i="36"/>
  <c r="F39" i="36"/>
  <c r="F144" i="36"/>
  <c r="F110" i="36"/>
  <c r="F109" i="36"/>
  <c r="F94" i="36"/>
  <c r="F93" i="36"/>
  <c r="F82" i="36"/>
  <c r="F66" i="36"/>
  <c r="F58" i="36"/>
  <c r="F57" i="36"/>
  <c r="F30" i="36"/>
  <c r="F125" i="36"/>
  <c r="F124" i="36"/>
  <c r="F105" i="36"/>
  <c r="F73" i="36"/>
  <c r="F53" i="36"/>
  <c r="F49" i="36"/>
  <c r="F132" i="36"/>
  <c r="F120" i="36"/>
  <c r="F116" i="36"/>
  <c r="F100" i="36"/>
  <c r="F84" i="36"/>
  <c r="F83" i="36"/>
  <c r="F60" i="36"/>
  <c r="F59" i="36"/>
  <c r="F44" i="36"/>
  <c r="F40" i="36"/>
  <c r="F36" i="36"/>
  <c r="F35" i="36"/>
  <c r="F121" i="36"/>
  <c r="F117" i="36"/>
  <c r="F113" i="36"/>
  <c r="F112" i="36"/>
  <c r="F101" i="36"/>
  <c r="F77" i="36"/>
  <c r="F76" i="36"/>
  <c r="F61" i="36"/>
  <c r="F45" i="36"/>
  <c r="F41" i="36"/>
  <c r="F37" i="36"/>
  <c r="D32" i="36"/>
  <c r="X71" i="36"/>
  <c r="Z71" i="36" s="1"/>
  <c r="F74" i="36"/>
  <c r="X91" i="36"/>
  <c r="Z91" i="36" s="1"/>
  <c r="Z98" i="36"/>
  <c r="Z109" i="36"/>
  <c r="L16" i="45"/>
  <c r="D12" i="45"/>
  <c r="J31" i="21"/>
  <c r="J33" i="21"/>
  <c r="J35" i="21"/>
  <c r="J39" i="21"/>
  <c r="J43" i="21"/>
  <c r="J61" i="21"/>
  <c r="J69" i="21"/>
  <c r="J81" i="21"/>
  <c r="J111" i="21"/>
  <c r="J86" i="24"/>
  <c r="V88" i="24"/>
  <c r="V92" i="24"/>
  <c r="V96" i="24"/>
  <c r="J100" i="24"/>
  <c r="J104" i="24"/>
  <c r="J110" i="24"/>
  <c r="J120" i="24"/>
  <c r="V144" i="24"/>
  <c r="J148" i="24"/>
  <c r="V152" i="24"/>
  <c r="J156" i="24"/>
  <c r="V160" i="24"/>
  <c r="V77" i="27"/>
  <c r="V81" i="27"/>
  <c r="V85" i="27"/>
  <c r="V93" i="27"/>
  <c r="V101" i="27"/>
  <c r="V117" i="27"/>
  <c r="V160" i="30"/>
  <c r="V152" i="30"/>
  <c r="V148" i="30"/>
  <c r="V136" i="30"/>
  <c r="V128" i="30"/>
  <c r="V104" i="30"/>
  <c r="V96" i="30"/>
  <c r="V80" i="30"/>
  <c r="V76" i="30"/>
  <c r="V72" i="30"/>
  <c r="V143" i="30"/>
  <c r="V127" i="30"/>
  <c r="V123" i="30"/>
  <c r="V119" i="30"/>
  <c r="V115" i="30"/>
  <c r="V107" i="30"/>
  <c r="V71" i="30"/>
  <c r="V67" i="30"/>
  <c r="V63" i="30"/>
  <c r="V59" i="30"/>
  <c r="V55" i="30"/>
  <c r="V51" i="30"/>
  <c r="V47" i="30"/>
  <c r="V164" i="30"/>
  <c r="V162" i="30"/>
  <c r="V154" i="30"/>
  <c r="V142" i="30"/>
  <c r="V130" i="30"/>
  <c r="V106" i="30"/>
  <c r="V98" i="30"/>
  <c r="V90" i="30"/>
  <c r="V86" i="30"/>
  <c r="V82" i="30"/>
  <c r="T69" i="30"/>
  <c r="V166" i="30"/>
  <c r="V156" i="30"/>
  <c r="V144" i="30"/>
  <c r="V132" i="30"/>
  <c r="V124" i="30"/>
  <c r="V120" i="30"/>
  <c r="V116" i="30"/>
  <c r="V108" i="30"/>
  <c r="V100" i="30"/>
  <c r="V167" i="30"/>
  <c r="V155" i="30"/>
  <c r="V139" i="30"/>
  <c r="V131" i="30"/>
  <c r="V99" i="30"/>
  <c r="V91" i="30"/>
  <c r="V87" i="30"/>
  <c r="V83" i="30"/>
  <c r="V158" i="30"/>
  <c r="V150" i="30"/>
  <c r="V146" i="30"/>
  <c r="V138" i="30"/>
  <c r="V110" i="30"/>
  <c r="V78" i="30"/>
  <c r="V74" i="30"/>
  <c r="V157" i="30"/>
  <c r="V145" i="30"/>
  <c r="V133" i="30"/>
  <c r="V125" i="30"/>
  <c r="V121" i="30"/>
  <c r="V117" i="30"/>
  <c r="V109" i="30"/>
  <c r="V101" i="30"/>
  <c r="V93" i="30"/>
  <c r="V65" i="30"/>
  <c r="V61" i="30"/>
  <c r="V57" i="30"/>
  <c r="V53" i="30"/>
  <c r="V49" i="30"/>
  <c r="V45" i="30"/>
  <c r="V140" i="30"/>
  <c r="V112" i="30"/>
  <c r="V92" i="30"/>
  <c r="V88" i="30"/>
  <c r="V84" i="30"/>
  <c r="V161" i="30"/>
  <c r="V153" i="30"/>
  <c r="V141" i="30"/>
  <c r="V113" i="30"/>
  <c r="V105" i="30"/>
  <c r="V89" i="30"/>
  <c r="V85" i="30"/>
  <c r="N82" i="30"/>
  <c r="L98" i="30"/>
  <c r="N98" i="30" s="1"/>
  <c r="L112" i="30"/>
  <c r="N112" i="30" s="1"/>
  <c r="N114" i="30"/>
  <c r="V122" i="30"/>
  <c r="V134" i="30"/>
  <c r="J141" i="30"/>
  <c r="V147" i="30"/>
  <c r="J150" i="30"/>
  <c r="V57" i="33"/>
  <c r="V59" i="33"/>
  <c r="L72" i="33"/>
  <c r="N72" i="33" s="1"/>
  <c r="V85" i="33"/>
  <c r="F32" i="36"/>
  <c r="N59" i="36"/>
  <c r="N76" i="36"/>
  <c r="V98" i="36"/>
  <c r="N103" i="36"/>
  <c r="Z133" i="36"/>
  <c r="X133" i="42"/>
  <c r="Z133" i="42" s="1"/>
  <c r="P131" i="42"/>
  <c r="X131" i="42" s="1"/>
  <c r="Z131" i="42" s="1"/>
  <c r="N12" i="21"/>
  <c r="J34" i="21"/>
  <c r="J48" i="21"/>
  <c r="J52" i="21"/>
  <c r="J60" i="21"/>
  <c r="J68" i="21"/>
  <c r="J80" i="21"/>
  <c r="J88" i="21"/>
  <c r="J100" i="21"/>
  <c r="J104" i="21"/>
  <c r="J110" i="21"/>
  <c r="J122" i="21"/>
  <c r="J61" i="24"/>
  <c r="J65" i="24"/>
  <c r="J69" i="24"/>
  <c r="J73" i="24"/>
  <c r="J77" i="24"/>
  <c r="J81" i="24"/>
  <c r="V97" i="24"/>
  <c r="V101" i="24"/>
  <c r="V105" i="24"/>
  <c r="J109" i="24"/>
  <c r="V113" i="24"/>
  <c r="J119" i="24"/>
  <c r="J125" i="24"/>
  <c r="J129" i="24"/>
  <c r="J133" i="24"/>
  <c r="J137" i="24"/>
  <c r="J141" i="24"/>
  <c r="V157" i="24"/>
  <c r="J165" i="24"/>
  <c r="J166" i="24"/>
  <c r="V46" i="27"/>
  <c r="V50" i="27"/>
  <c r="V54" i="27"/>
  <c r="V58" i="27"/>
  <c r="V102" i="27"/>
  <c r="V106" i="27"/>
  <c r="V110" i="27"/>
  <c r="V122" i="27"/>
  <c r="V130" i="27"/>
  <c r="Z130" i="30"/>
  <c r="X130" i="30"/>
  <c r="J156" i="30"/>
  <c r="T112" i="33"/>
  <c r="L66" i="33"/>
  <c r="N66" i="33" s="1"/>
  <c r="F106" i="36"/>
  <c r="R75" i="42"/>
  <c r="J29" i="21"/>
  <c r="J59" i="21"/>
  <c r="J67" i="21"/>
  <c r="J79" i="21"/>
  <c r="J87" i="21"/>
  <c r="J93" i="21"/>
  <c r="J109" i="21"/>
  <c r="V58" i="24"/>
  <c r="V62" i="24"/>
  <c r="V66" i="24"/>
  <c r="V70" i="24"/>
  <c r="V74" i="24"/>
  <c r="V78" i="24"/>
  <c r="J90" i="24"/>
  <c r="J94" i="24"/>
  <c r="J108" i="24"/>
  <c r="J118" i="24"/>
  <c r="V122" i="24"/>
  <c r="V126" i="24"/>
  <c r="V130" i="24"/>
  <c r="V134" i="24"/>
  <c r="V138" i="24"/>
  <c r="V142" i="24"/>
  <c r="V150" i="24"/>
  <c r="V158" i="24"/>
  <c r="V170" i="24"/>
  <c r="V67" i="27"/>
  <c r="V71" i="27"/>
  <c r="V75" i="27"/>
  <c r="V91" i="27"/>
  <c r="V99" i="27"/>
  <c r="V115" i="27"/>
  <c r="V141" i="27"/>
  <c r="Z71" i="30"/>
  <c r="Z82" i="30"/>
  <c r="V94" i="30"/>
  <c r="Z98" i="30"/>
  <c r="X98" i="30"/>
  <c r="V102" i="30"/>
  <c r="Z132" i="30"/>
  <c r="L44" i="33"/>
  <c r="Z45" i="33"/>
  <c r="X66" i="33"/>
  <c r="Z66" i="33" s="1"/>
  <c r="N88" i="33"/>
  <c r="V94" i="33"/>
  <c r="F34" i="36"/>
  <c r="N112" i="36"/>
  <c r="F126" i="36"/>
  <c r="F134" i="36"/>
  <c r="Z78" i="39"/>
  <c r="X93" i="42"/>
  <c r="Z93" i="42" s="1"/>
  <c r="X15" i="48"/>
  <c r="P17" i="48"/>
  <c r="X112" i="30"/>
  <c r="Z112" i="30" s="1"/>
  <c r="N44" i="33"/>
  <c r="Z103" i="36"/>
  <c r="X103" i="36"/>
  <c r="N85" i="39"/>
  <c r="J47" i="21"/>
  <c r="J51" i="21"/>
  <c r="J57" i="21"/>
  <c r="J65" i="21"/>
  <c r="J77" i="21"/>
  <c r="J99" i="21"/>
  <c r="J103" i="21"/>
  <c r="J107" i="21"/>
  <c r="J60" i="24"/>
  <c r="J64" i="24"/>
  <c r="J68" i="24"/>
  <c r="J72" i="24"/>
  <c r="J76" i="24"/>
  <c r="J80" i="24"/>
  <c r="T83" i="24"/>
  <c r="V100" i="24"/>
  <c r="V104" i="24"/>
  <c r="V112" i="24"/>
  <c r="J116" i="24"/>
  <c r="V120" i="24"/>
  <c r="J124" i="24"/>
  <c r="J128" i="24"/>
  <c r="J132" i="24"/>
  <c r="J136" i="24"/>
  <c r="J140" i="24"/>
  <c r="J146" i="24"/>
  <c r="V148" i="24"/>
  <c r="J154" i="24"/>
  <c r="V156" i="24"/>
  <c r="J162" i="24"/>
  <c r="V45" i="27"/>
  <c r="V49" i="27"/>
  <c r="V53" i="27"/>
  <c r="V57" i="27"/>
  <c r="V61" i="27"/>
  <c r="V63" i="27"/>
  <c r="V65" i="27"/>
  <c r="V89" i="27"/>
  <c r="V105" i="27"/>
  <c r="V109" i="27"/>
  <c r="V121" i="27"/>
  <c r="V129" i="27"/>
  <c r="Z100" i="30"/>
  <c r="V114" i="30"/>
  <c r="J131" i="30"/>
  <c r="Z156" i="30"/>
  <c r="X164" i="30"/>
  <c r="J112" i="33"/>
  <c r="X44" i="33"/>
  <c r="Z44" i="33" s="1"/>
  <c r="X55" i="33"/>
  <c r="Z55" i="33" s="1"/>
  <c r="X72" i="33"/>
  <c r="Z72" i="33" s="1"/>
  <c r="N97" i="33"/>
  <c r="L97" i="33"/>
  <c r="F54" i="36"/>
  <c r="P12" i="39"/>
  <c r="J85" i="39"/>
  <c r="L100" i="45"/>
  <c r="N100" i="45" s="1"/>
  <c r="J28" i="21"/>
  <c r="J56" i="21"/>
  <c r="J64" i="21"/>
  <c r="J76" i="21"/>
  <c r="J92" i="21"/>
  <c r="J98" i="21"/>
  <c r="J116" i="21"/>
  <c r="V57" i="24"/>
  <c r="V61" i="24"/>
  <c r="V65" i="24"/>
  <c r="V69" i="24"/>
  <c r="V73" i="24"/>
  <c r="V77" i="24"/>
  <c r="V81" i="24"/>
  <c r="V83" i="24"/>
  <c r="V85" i="24"/>
  <c r="J89" i="24"/>
  <c r="J93" i="24"/>
  <c r="V109" i="24"/>
  <c r="J115" i="24"/>
  <c r="V121" i="24"/>
  <c r="V125" i="24"/>
  <c r="V129" i="24"/>
  <c r="V133" i="24"/>
  <c r="V137" i="24"/>
  <c r="V141" i="24"/>
  <c r="J145" i="24"/>
  <c r="V149" i="24"/>
  <c r="J153" i="24"/>
  <c r="J161" i="24"/>
  <c r="V66" i="27"/>
  <c r="V70" i="27"/>
  <c r="V74" i="27"/>
  <c r="V90" i="27"/>
  <c r="V98" i="27"/>
  <c r="V114" i="27"/>
  <c r="V126" i="27"/>
  <c r="T139" i="27"/>
  <c r="P12" i="30"/>
  <c r="J83" i="30"/>
  <c r="J85" i="30"/>
  <c r="J87" i="30"/>
  <c r="J89" i="30"/>
  <c r="J91" i="30"/>
  <c r="J99" i="30"/>
  <c r="J113" i="30"/>
  <c r="V129" i="30"/>
  <c r="J135" i="30"/>
  <c r="N164" i="30"/>
  <c r="V104" i="33"/>
  <c r="V76" i="33"/>
  <c r="V64" i="33"/>
  <c r="V60" i="33"/>
  <c r="V56" i="33"/>
  <c r="V105" i="33"/>
  <c r="V95" i="33"/>
  <c r="V91" i="33"/>
  <c r="V83" i="33"/>
  <c r="V75" i="33"/>
  <c r="V51" i="33"/>
  <c r="V47" i="33"/>
  <c r="V106" i="33"/>
  <c r="V90" i="33"/>
  <c r="V66" i="33"/>
  <c r="V38" i="33"/>
  <c r="V34" i="33"/>
  <c r="V107" i="33"/>
  <c r="V97" i="33"/>
  <c r="V108" i="33"/>
  <c r="V96" i="33"/>
  <c r="V92" i="33"/>
  <c r="V84" i="33"/>
  <c r="V68" i="33"/>
  <c r="V52" i="33"/>
  <c r="V48" i="33"/>
  <c r="V109" i="33"/>
  <c r="V79" i="33"/>
  <c r="V67" i="33"/>
  <c r="V39" i="33"/>
  <c r="V35" i="33"/>
  <c r="V112" i="33"/>
  <c r="V110" i="33"/>
  <c r="V98" i="33"/>
  <c r="V86" i="33"/>
  <c r="V78" i="33"/>
  <c r="V70" i="33"/>
  <c r="V62" i="33"/>
  <c r="V58" i="33"/>
  <c r="V93" i="33"/>
  <c r="V81" i="33"/>
  <c r="V69" i="33"/>
  <c r="V53" i="33"/>
  <c r="V49" i="33"/>
  <c r="V45" i="33"/>
  <c r="V100" i="33"/>
  <c r="V88" i="33"/>
  <c r="V80" i="33"/>
  <c r="V72" i="33"/>
  <c r="V44" i="33"/>
  <c r="V42" i="33"/>
  <c r="V40" i="33"/>
  <c r="V36" i="33"/>
  <c r="V103" i="33"/>
  <c r="V101" i="33"/>
  <c r="V89" i="33"/>
  <c r="V73" i="33"/>
  <c r="V37" i="33"/>
  <c r="N34" i="33"/>
  <c r="J34" i="33"/>
  <c r="V55" i="33"/>
  <c r="V74" i="33"/>
  <c r="V82" i="33"/>
  <c r="Z88" i="33"/>
  <c r="F85" i="36"/>
  <c r="T152" i="39"/>
  <c r="T141" i="42"/>
  <c r="V137" i="42"/>
  <c r="J37" i="21"/>
  <c r="J41" i="21"/>
  <c r="J55" i="21"/>
  <c r="J75" i="21"/>
  <c r="J85" i="21"/>
  <c r="J97" i="21"/>
  <c r="V86" i="24"/>
  <c r="V90" i="24"/>
  <c r="V94" i="24"/>
  <c r="J98" i="24"/>
  <c r="J102" i="24"/>
  <c r="J106" i="24"/>
  <c r="V110" i="24"/>
  <c r="J114" i="24"/>
  <c r="V118" i="24"/>
  <c r="J144" i="24"/>
  <c r="J152" i="24"/>
  <c r="V166" i="24"/>
  <c r="V79" i="27"/>
  <c r="V83" i="27"/>
  <c r="V87" i="27"/>
  <c r="V119" i="27"/>
  <c r="V127" i="27"/>
  <c r="V137" i="27"/>
  <c r="J138" i="30"/>
  <c r="J155" i="30"/>
  <c r="Z164" i="30"/>
  <c r="V171" i="30"/>
  <c r="V46" i="33"/>
  <c r="F75" i="36"/>
  <c r="N83" i="36"/>
  <c r="N85" i="36"/>
  <c r="L85" i="36"/>
  <c r="X41" i="39"/>
  <c r="Z41" i="39" s="1"/>
  <c r="N90" i="39"/>
  <c r="J49" i="33"/>
  <c r="J53" i="33"/>
  <c r="J69" i="33"/>
  <c r="J79" i="33"/>
  <c r="J93" i="33"/>
  <c r="J110" i="33"/>
  <c r="J28" i="36"/>
  <c r="J46" i="36"/>
  <c r="V48" i="36"/>
  <c r="V52" i="36"/>
  <c r="V56" i="36"/>
  <c r="J62" i="36"/>
  <c r="J68" i="36"/>
  <c r="V72" i="36"/>
  <c r="J78" i="36"/>
  <c r="J88" i="36"/>
  <c r="V92" i="36"/>
  <c r="J96" i="36"/>
  <c r="V104" i="36"/>
  <c r="V108" i="36"/>
  <c r="V124" i="36"/>
  <c r="J128" i="36"/>
  <c r="J136" i="36"/>
  <c r="J137" i="36"/>
  <c r="J35" i="39"/>
  <c r="V55" i="39"/>
  <c r="J66" i="39"/>
  <c r="L69" i="39"/>
  <c r="N69" i="39" s="1"/>
  <c r="J70" i="39"/>
  <c r="J75" i="39"/>
  <c r="V76" i="39"/>
  <c r="N108" i="39"/>
  <c r="V112" i="39"/>
  <c r="V130" i="39"/>
  <c r="L133" i="39"/>
  <c r="N133" i="39" s="1"/>
  <c r="V140" i="39"/>
  <c r="R69" i="42"/>
  <c r="J48" i="33"/>
  <c r="J52" i="33"/>
  <c r="J66" i="33"/>
  <c r="J84" i="33"/>
  <c r="J92" i="33"/>
  <c r="J96" i="33"/>
  <c r="J107" i="33"/>
  <c r="H32" i="36"/>
  <c r="J32" i="36" s="1"/>
  <c r="V47" i="36"/>
  <c r="V51" i="36"/>
  <c r="V55" i="36"/>
  <c r="V63" i="36"/>
  <c r="J67" i="36"/>
  <c r="V71" i="36"/>
  <c r="J75" i="36"/>
  <c r="V79" i="36"/>
  <c r="J85" i="36"/>
  <c r="V91" i="36"/>
  <c r="J95" i="36"/>
  <c r="V103" i="36"/>
  <c r="V107" i="36"/>
  <c r="J111" i="36"/>
  <c r="J133" i="36"/>
  <c r="V139" i="36"/>
  <c r="J34" i="39"/>
  <c r="J52" i="39"/>
  <c r="J60" i="39"/>
  <c r="V61" i="39"/>
  <c r="L63" i="39"/>
  <c r="N63" i="39" s="1"/>
  <c r="J64" i="39"/>
  <c r="V67" i="39"/>
  <c r="J69" i="39"/>
  <c r="J72" i="39"/>
  <c r="Z88" i="39"/>
  <c r="J90" i="39"/>
  <c r="L94" i="39"/>
  <c r="V110" i="39"/>
  <c r="J113" i="39"/>
  <c r="L115" i="39"/>
  <c r="N115" i="39" s="1"/>
  <c r="V129" i="39"/>
  <c r="J133" i="39"/>
  <c r="J135" i="39"/>
  <c r="N142" i="39"/>
  <c r="X145" i="39"/>
  <c r="P142" i="39"/>
  <c r="X142" i="39" s="1"/>
  <c r="Z142" i="39" s="1"/>
  <c r="J150" i="39"/>
  <c r="N45" i="42"/>
  <c r="X98" i="42"/>
  <c r="N128" i="42"/>
  <c r="X76" i="56"/>
  <c r="Z76" i="56" s="1"/>
  <c r="J57" i="33"/>
  <c r="J61" i="33"/>
  <c r="J65" i="33"/>
  <c r="J77" i="33"/>
  <c r="J91" i="33"/>
  <c r="J106" i="33"/>
  <c r="V28" i="36"/>
  <c r="J34" i="36"/>
  <c r="J36" i="36"/>
  <c r="J40" i="36"/>
  <c r="J44" i="36"/>
  <c r="J60" i="36"/>
  <c r="V64" i="36"/>
  <c r="V68" i="36"/>
  <c r="J74" i="36"/>
  <c r="V80" i="36"/>
  <c r="J84" i="36"/>
  <c r="V88" i="36"/>
  <c r="V96" i="36"/>
  <c r="J100" i="36"/>
  <c r="J116" i="36"/>
  <c r="J120" i="36"/>
  <c r="V128" i="36"/>
  <c r="J132" i="36"/>
  <c r="V138" i="36"/>
  <c r="J33" i="39"/>
  <c r="J43" i="39"/>
  <c r="J47" i="39"/>
  <c r="J51" i="39"/>
  <c r="X85" i="39"/>
  <c r="J123" i="39"/>
  <c r="R104" i="42"/>
  <c r="R103" i="42"/>
  <c r="R99" i="42"/>
  <c r="R88" i="42"/>
  <c r="R87" i="42"/>
  <c r="R60" i="42"/>
  <c r="R59" i="42"/>
  <c r="R43" i="42"/>
  <c r="R39" i="42"/>
  <c r="R35" i="42"/>
  <c r="P31" i="42"/>
  <c r="R126" i="42"/>
  <c r="R119" i="42"/>
  <c r="R118" i="42"/>
  <c r="R114" i="42"/>
  <c r="R110" i="42"/>
  <c r="R94" i="42"/>
  <c r="R78" i="42"/>
  <c r="R67" i="42"/>
  <c r="R66" i="42"/>
  <c r="R139" i="42"/>
  <c r="R105" i="42"/>
  <c r="R89" i="42"/>
  <c r="R62" i="42"/>
  <c r="R61" i="42"/>
  <c r="R53" i="42"/>
  <c r="R49" i="42"/>
  <c r="R26" i="42"/>
  <c r="R120" i="42"/>
  <c r="R100" i="42"/>
  <c r="R128" i="42"/>
  <c r="R127" i="42"/>
  <c r="R115" i="42"/>
  <c r="R111" i="42"/>
  <c r="R95" i="42"/>
  <c r="R80" i="42"/>
  <c r="R79" i="42"/>
  <c r="R63" i="42"/>
  <c r="R27" i="42"/>
  <c r="R107" i="42"/>
  <c r="R106" i="42"/>
  <c r="R90" i="42"/>
  <c r="R71" i="42"/>
  <c r="R70" i="42"/>
  <c r="R54" i="42"/>
  <c r="R50" i="42"/>
  <c r="R46" i="42"/>
  <c r="R129" i="42"/>
  <c r="R122" i="42"/>
  <c r="R121" i="42"/>
  <c r="R101" i="42"/>
  <c r="R82" i="42"/>
  <c r="R81" i="42"/>
  <c r="R41" i="42"/>
  <c r="R37" i="42"/>
  <c r="R132" i="42"/>
  <c r="R116" i="42"/>
  <c r="R112" i="42"/>
  <c r="R108" i="42"/>
  <c r="R96" i="42"/>
  <c r="R73" i="42"/>
  <c r="R72" i="42"/>
  <c r="R64" i="42"/>
  <c r="R28" i="42"/>
  <c r="R133" i="42"/>
  <c r="R124" i="42"/>
  <c r="R123" i="42"/>
  <c r="R91" i="42"/>
  <c r="R84" i="42"/>
  <c r="R83" i="42"/>
  <c r="R56" i="42"/>
  <c r="R55" i="42"/>
  <c r="R51" i="42"/>
  <c r="R47" i="42"/>
  <c r="R93" i="42"/>
  <c r="R92" i="42"/>
  <c r="R77" i="42"/>
  <c r="R76" i="42"/>
  <c r="R52" i="42"/>
  <c r="R48" i="42"/>
  <c r="R33" i="42"/>
  <c r="R31" i="42"/>
  <c r="X12" i="42"/>
  <c r="Z12" i="42" s="1"/>
  <c r="X33" i="42"/>
  <c r="Z33" i="42" s="1"/>
  <c r="N58" i="42"/>
  <c r="L58" i="42"/>
  <c r="R68" i="42"/>
  <c r="Z77" i="42"/>
  <c r="X77" i="42"/>
  <c r="R98" i="42"/>
  <c r="R113" i="42"/>
  <c r="L16" i="54"/>
  <c r="D22" i="54"/>
  <c r="J76" i="33"/>
  <c r="J90" i="33"/>
  <c r="J105" i="33"/>
  <c r="J35" i="36"/>
  <c r="J49" i="36"/>
  <c r="J53" i="36"/>
  <c r="J59" i="36"/>
  <c r="V69" i="36"/>
  <c r="J73" i="36"/>
  <c r="V77" i="36"/>
  <c r="J83" i="36"/>
  <c r="V89" i="36"/>
  <c r="V101" i="36"/>
  <c r="J105" i="36"/>
  <c r="V113" i="36"/>
  <c r="V117" i="36"/>
  <c r="V121" i="36"/>
  <c r="J125" i="36"/>
  <c r="V129" i="36"/>
  <c r="V137" i="36"/>
  <c r="J146" i="39"/>
  <c r="J99" i="39"/>
  <c r="J87" i="39"/>
  <c r="J79" i="39"/>
  <c r="J114" i="39"/>
  <c r="J110" i="39"/>
  <c r="J88" i="39"/>
  <c r="J80" i="39"/>
  <c r="J62" i="39"/>
  <c r="J58" i="39"/>
  <c r="J137" i="39"/>
  <c r="J129" i="39"/>
  <c r="J125" i="39"/>
  <c r="J121" i="39"/>
  <c r="J115" i="39"/>
  <c r="J105" i="39"/>
  <c r="J89" i="39"/>
  <c r="J81" i="39"/>
  <c r="J131" i="39"/>
  <c r="J111" i="39"/>
  <c r="J91" i="39"/>
  <c r="J83" i="39"/>
  <c r="J138" i="39"/>
  <c r="J126" i="39"/>
  <c r="J122" i="39"/>
  <c r="J106" i="39"/>
  <c r="J92" i="39"/>
  <c r="J139" i="39"/>
  <c r="J117" i="39"/>
  <c r="J101" i="39"/>
  <c r="J93" i="39"/>
  <c r="J140" i="39"/>
  <c r="J132" i="39"/>
  <c r="J118" i="39"/>
  <c r="J112" i="39"/>
  <c r="J94" i="39"/>
  <c r="J84" i="39"/>
  <c r="J74" i="39"/>
  <c r="J68" i="39"/>
  <c r="J145" i="39"/>
  <c r="J136" i="39"/>
  <c r="J128" i="39"/>
  <c r="J124" i="39"/>
  <c r="J120" i="39"/>
  <c r="J104" i="39"/>
  <c r="J98" i="39"/>
  <c r="J78" i="39"/>
  <c r="J56" i="39"/>
  <c r="Z80" i="39"/>
  <c r="J82" i="39"/>
  <c r="Z85" i="39"/>
  <c r="J119" i="39"/>
  <c r="X133" i="39"/>
  <c r="Z133" i="39" s="1"/>
  <c r="J144" i="39"/>
  <c r="R45" i="42"/>
  <c r="Z98" i="42"/>
  <c r="J47" i="33"/>
  <c r="J51" i="33"/>
  <c r="J75" i="33"/>
  <c r="J83" i="33"/>
  <c r="J95" i="33"/>
  <c r="J103" i="33"/>
  <c r="J104" i="33"/>
  <c r="J30" i="36"/>
  <c r="V46" i="36"/>
  <c r="V50" i="36"/>
  <c r="V54" i="36"/>
  <c r="J58" i="36"/>
  <c r="V62" i="36"/>
  <c r="J66" i="36"/>
  <c r="V78" i="36"/>
  <c r="J82" i="36"/>
  <c r="V86" i="36"/>
  <c r="J94" i="36"/>
  <c r="V106" i="36"/>
  <c r="J110" i="36"/>
  <c r="J124" i="36"/>
  <c r="V126" i="36"/>
  <c r="V134" i="36"/>
  <c r="V136" i="36"/>
  <c r="J144" i="36"/>
  <c r="H38" i="39"/>
  <c r="V57" i="39"/>
  <c r="J63" i="39"/>
  <c r="V64" i="39"/>
  <c r="J71" i="39"/>
  <c r="V87" i="39"/>
  <c r="V90" i="39"/>
  <c r="N96" i="39"/>
  <c r="V99" i="39"/>
  <c r="J103" i="39"/>
  <c r="J107" i="39"/>
  <c r="X115" i="39"/>
  <c r="Z115" i="39" s="1"/>
  <c r="V137" i="39"/>
  <c r="R58" i="42"/>
  <c r="R74" i="42"/>
  <c r="L107" i="42"/>
  <c r="N107" i="42" s="1"/>
  <c r="R134" i="42"/>
  <c r="J56" i="33"/>
  <c r="J60" i="33"/>
  <c r="J64" i="33"/>
  <c r="J74" i="33"/>
  <c r="V27" i="36"/>
  <c r="J39" i="36"/>
  <c r="J43" i="36"/>
  <c r="J57" i="36"/>
  <c r="V67" i="36"/>
  <c r="V75" i="36"/>
  <c r="V87" i="36"/>
  <c r="J93" i="36"/>
  <c r="V95" i="36"/>
  <c r="J99" i="36"/>
  <c r="J109" i="36"/>
  <c r="V111" i="36"/>
  <c r="J115" i="36"/>
  <c r="J119" i="36"/>
  <c r="J123" i="36"/>
  <c r="V127" i="36"/>
  <c r="J131" i="36"/>
  <c r="V34" i="39"/>
  <c r="J40" i="39"/>
  <c r="J42" i="39"/>
  <c r="J46" i="39"/>
  <c r="J50" i="39"/>
  <c r="J59" i="39"/>
  <c r="V60" i="39"/>
  <c r="V65" i="39"/>
  <c r="V84" i="39"/>
  <c r="X90" i="39"/>
  <c r="Z90" i="39" s="1"/>
  <c r="J96" i="39"/>
  <c r="J109" i="39"/>
  <c r="V115" i="39"/>
  <c r="V121" i="39"/>
  <c r="Z56" i="42"/>
  <c r="Z58" i="42"/>
  <c r="V58" i="42"/>
  <c r="N80" i="42"/>
  <c r="J80" i="42"/>
  <c r="J107" i="42"/>
  <c r="R109" i="42"/>
  <c r="J48" i="36"/>
  <c r="J52" i="36"/>
  <c r="J56" i="36"/>
  <c r="J72" i="36"/>
  <c r="J92" i="36"/>
  <c r="J98" i="36"/>
  <c r="J104" i="36"/>
  <c r="J108" i="36"/>
  <c r="J134" i="39"/>
  <c r="D12" i="42"/>
  <c r="L34" i="42"/>
  <c r="N34" i="42" s="1"/>
  <c r="J42" i="33"/>
  <c r="J44" i="33"/>
  <c r="J46" i="33"/>
  <c r="J50" i="33"/>
  <c r="J54" i="33"/>
  <c r="J72" i="33"/>
  <c r="J82" i="33"/>
  <c r="J88" i="33"/>
  <c r="J94" i="33"/>
  <c r="J100" i="33"/>
  <c r="P103" i="33"/>
  <c r="X103" i="33" s="1"/>
  <c r="Z103" i="33" s="1"/>
  <c r="J114" i="33"/>
  <c r="J29" i="36"/>
  <c r="T32" i="36"/>
  <c r="V49" i="36"/>
  <c r="V53" i="36"/>
  <c r="J65" i="36"/>
  <c r="J71" i="36"/>
  <c r="V73" i="36"/>
  <c r="J81" i="36"/>
  <c r="V85" i="36"/>
  <c r="J91" i="36"/>
  <c r="J97" i="36"/>
  <c r="J103" i="36"/>
  <c r="V105" i="36"/>
  <c r="V125" i="36"/>
  <c r="V133" i="36"/>
  <c r="J140" i="36"/>
  <c r="V139" i="39"/>
  <c r="V131" i="39"/>
  <c r="V111" i="39"/>
  <c r="V91" i="39"/>
  <c r="V83" i="39"/>
  <c r="V138" i="39"/>
  <c r="V126" i="39"/>
  <c r="V122" i="39"/>
  <c r="V118" i="39"/>
  <c r="V106" i="39"/>
  <c r="V94" i="39"/>
  <c r="V74" i="39"/>
  <c r="V66" i="39"/>
  <c r="V133" i="39"/>
  <c r="V117" i="39"/>
  <c r="V101" i="39"/>
  <c r="V93" i="39"/>
  <c r="V85" i="39"/>
  <c r="V73" i="39"/>
  <c r="V143" i="39"/>
  <c r="V135" i="39"/>
  <c r="V127" i="39"/>
  <c r="V123" i="39"/>
  <c r="V119" i="39"/>
  <c r="V107" i="39"/>
  <c r="V103" i="39"/>
  <c r="V95" i="39"/>
  <c r="V75" i="39"/>
  <c r="V144" i="39"/>
  <c r="V134" i="39"/>
  <c r="V102" i="39"/>
  <c r="V98" i="39"/>
  <c r="V86" i="39"/>
  <c r="V78" i="39"/>
  <c r="V70" i="39"/>
  <c r="V145" i="39"/>
  <c r="V113" i="39"/>
  <c r="V109" i="39"/>
  <c r="V97" i="39"/>
  <c r="V148" i="39"/>
  <c r="V146" i="39"/>
  <c r="V136" i="39"/>
  <c r="V128" i="39"/>
  <c r="V124" i="39"/>
  <c r="V120" i="39"/>
  <c r="V104" i="39"/>
  <c r="V88" i="39"/>
  <c r="V80" i="39"/>
  <c r="V152" i="39"/>
  <c r="V150" i="39"/>
  <c r="V116" i="39"/>
  <c r="V100" i="39"/>
  <c r="V92" i="39"/>
  <c r="V72" i="39"/>
  <c r="J36" i="39"/>
  <c r="V52" i="39"/>
  <c r="V56" i="39"/>
  <c r="J67" i="39"/>
  <c r="V68" i="39"/>
  <c r="V89" i="39"/>
  <c r="V105" i="39"/>
  <c r="J116" i="39"/>
  <c r="L118" i="39"/>
  <c r="N118" i="39" s="1"/>
  <c r="J130" i="39"/>
  <c r="V132" i="39"/>
  <c r="X34" i="42"/>
  <c r="Z34" i="42" s="1"/>
  <c r="R36" i="42"/>
  <c r="R40" i="42"/>
  <c r="R42" i="42"/>
  <c r="R86" i="42"/>
  <c r="R97" i="42"/>
  <c r="L14" i="51"/>
  <c r="D12" i="51"/>
  <c r="J45" i="33"/>
  <c r="J59" i="33"/>
  <c r="J63" i="33"/>
  <c r="J71" i="33"/>
  <c r="J81" i="33"/>
  <c r="J87" i="33"/>
  <c r="J99" i="33"/>
  <c r="V30" i="36"/>
  <c r="V32" i="36"/>
  <c r="V34" i="36"/>
  <c r="J38" i="36"/>
  <c r="J42" i="36"/>
  <c r="V58" i="36"/>
  <c r="J64" i="36"/>
  <c r="V66" i="36"/>
  <c r="J70" i="36"/>
  <c r="V74" i="36"/>
  <c r="J80" i="36"/>
  <c r="V82" i="36"/>
  <c r="J90" i="36"/>
  <c r="V94" i="36"/>
  <c r="J102" i="36"/>
  <c r="V110" i="36"/>
  <c r="J114" i="36"/>
  <c r="J118" i="36"/>
  <c r="J122" i="36"/>
  <c r="J130" i="36"/>
  <c r="J139" i="36"/>
  <c r="V144" i="36"/>
  <c r="J45" i="39"/>
  <c r="J49" i="39"/>
  <c r="V59" i="39"/>
  <c r="V71" i="39"/>
  <c r="J100" i="39"/>
  <c r="R34" i="42"/>
  <c r="R44" i="42"/>
  <c r="R65" i="42"/>
  <c r="L71" i="42"/>
  <c r="N71" i="42" s="1"/>
  <c r="Z86" i="42"/>
  <c r="V86" i="42"/>
  <c r="J36" i="33"/>
  <c r="J40" i="33"/>
  <c r="J70" i="33"/>
  <c r="J80" i="33"/>
  <c r="V35" i="36"/>
  <c r="V39" i="36"/>
  <c r="V43" i="36"/>
  <c r="J47" i="36"/>
  <c r="J51" i="36"/>
  <c r="J55" i="36"/>
  <c r="V59" i="36"/>
  <c r="J63" i="36"/>
  <c r="J69" i="36"/>
  <c r="J79" i="36"/>
  <c r="V83" i="36"/>
  <c r="J89" i="36"/>
  <c r="V99" i="36"/>
  <c r="J107" i="36"/>
  <c r="V115" i="36"/>
  <c r="V119" i="36"/>
  <c r="V123" i="36"/>
  <c r="J129" i="36"/>
  <c r="V50" i="39"/>
  <c r="J54" i="39"/>
  <c r="J61" i="39"/>
  <c r="V62" i="39"/>
  <c r="V63" i="39"/>
  <c r="Z76" i="39"/>
  <c r="V81" i="39"/>
  <c r="L85" i="39"/>
  <c r="J95" i="39"/>
  <c r="V96" i="39"/>
  <c r="J102" i="39"/>
  <c r="V114" i="39"/>
  <c r="Z130" i="39"/>
  <c r="J143" i="39"/>
  <c r="V34" i="42"/>
  <c r="R57" i="42"/>
  <c r="J71" i="42"/>
  <c r="R125" i="42"/>
  <c r="N55" i="48"/>
  <c r="V35" i="42"/>
  <c r="V39" i="42"/>
  <c r="V43" i="42"/>
  <c r="J47" i="42"/>
  <c r="J51" i="42"/>
  <c r="J55" i="42"/>
  <c r="V59" i="42"/>
  <c r="V67" i="42"/>
  <c r="J73" i="42"/>
  <c r="J83" i="42"/>
  <c r="V87" i="42"/>
  <c r="J91" i="42"/>
  <c r="V99" i="42"/>
  <c r="V103" i="42"/>
  <c r="V119" i="42"/>
  <c r="J123" i="42"/>
  <c r="J131" i="42"/>
  <c r="J132" i="42"/>
  <c r="Z43" i="48"/>
  <c r="Z45" i="48"/>
  <c r="T78" i="57"/>
  <c r="Z16" i="57"/>
  <c r="V98" i="42"/>
  <c r="V102" i="42"/>
  <c r="J106" i="42"/>
  <c r="J128" i="42"/>
  <c r="V134" i="42"/>
  <c r="N28" i="45"/>
  <c r="N60" i="45"/>
  <c r="L60" i="45"/>
  <c r="Z53" i="48"/>
  <c r="T129" i="51"/>
  <c r="L18" i="57"/>
  <c r="N18" i="57" s="1"/>
  <c r="L13" i="42"/>
  <c r="N13" i="42" s="1"/>
  <c r="J27" i="42"/>
  <c r="J45" i="42"/>
  <c r="V47" i="42"/>
  <c r="V51" i="42"/>
  <c r="V55" i="42"/>
  <c r="J63" i="42"/>
  <c r="J69" i="42"/>
  <c r="V75" i="42"/>
  <c r="J79" i="42"/>
  <c r="V83" i="42"/>
  <c r="V91" i="42"/>
  <c r="J95" i="42"/>
  <c r="J111" i="42"/>
  <c r="J115" i="42"/>
  <c r="V123" i="42"/>
  <c r="J127" i="42"/>
  <c r="V133" i="42"/>
  <c r="Z71" i="45"/>
  <c r="X71" i="45"/>
  <c r="N80" i="45"/>
  <c r="Z98" i="45"/>
  <c r="Z55" i="48"/>
  <c r="L61" i="51"/>
  <c r="N61" i="51" s="1"/>
  <c r="N89" i="51"/>
  <c r="J127" i="51"/>
  <c r="J36" i="42"/>
  <c r="J40" i="42"/>
  <c r="J44" i="42"/>
  <c r="V56" i="42"/>
  <c r="J62" i="42"/>
  <c r="V64" i="42"/>
  <c r="J68" i="42"/>
  <c r="V72" i="42"/>
  <c r="V84" i="42"/>
  <c r="V96" i="42"/>
  <c r="J100" i="42"/>
  <c r="V108" i="42"/>
  <c r="V112" i="42"/>
  <c r="V116" i="42"/>
  <c r="J120" i="42"/>
  <c r="V124" i="42"/>
  <c r="V132" i="42"/>
  <c r="Z69" i="45"/>
  <c r="X100" i="45"/>
  <c r="Z100" i="45" s="1"/>
  <c r="T34" i="55"/>
  <c r="Z16" i="55"/>
  <c r="X19" i="56"/>
  <c r="Z19" i="56" s="1"/>
  <c r="V37" i="42"/>
  <c r="V41" i="42"/>
  <c r="J49" i="42"/>
  <c r="J53" i="42"/>
  <c r="J61" i="42"/>
  <c r="J67" i="42"/>
  <c r="V73" i="42"/>
  <c r="V81" i="42"/>
  <c r="J89" i="42"/>
  <c r="V101" i="42"/>
  <c r="J105" i="42"/>
  <c r="J119" i="42"/>
  <c r="V121" i="42"/>
  <c r="V129" i="42"/>
  <c r="V131" i="42"/>
  <c r="J139" i="42"/>
  <c r="Z56" i="45"/>
  <c r="X60" i="45"/>
  <c r="Z60" i="45" s="1"/>
  <c r="N104" i="45"/>
  <c r="L104" i="45"/>
  <c r="D12" i="48"/>
  <c r="L13" i="48"/>
  <c r="N13" i="48" s="1"/>
  <c r="R68" i="57"/>
  <c r="R67" i="57"/>
  <c r="R60" i="57"/>
  <c r="R59" i="57"/>
  <c r="R52" i="57"/>
  <c r="R51" i="57"/>
  <c r="R40" i="57"/>
  <c r="R39" i="57"/>
  <c r="R35" i="57"/>
  <c r="R31" i="57"/>
  <c r="R80" i="57"/>
  <c r="R26" i="57"/>
  <c r="R22" i="57"/>
  <c r="R85" i="57"/>
  <c r="R82" i="57"/>
  <c r="R69" i="57"/>
  <c r="R61" i="57"/>
  <c r="R54" i="57"/>
  <c r="R53" i="57"/>
  <c r="R42" i="57"/>
  <c r="R41" i="57"/>
  <c r="R55" i="57"/>
  <c r="R44" i="57"/>
  <c r="R43" i="57"/>
  <c r="R27" i="57"/>
  <c r="R23" i="57"/>
  <c r="R71" i="57"/>
  <c r="R70" i="57"/>
  <c r="R62" i="57"/>
  <c r="R46" i="57"/>
  <c r="R45" i="57"/>
  <c r="R73" i="57"/>
  <c r="R72" i="57"/>
  <c r="R56" i="57"/>
  <c r="R29" i="57"/>
  <c r="R28" i="57"/>
  <c r="R24" i="57"/>
  <c r="R20" i="57"/>
  <c r="R64" i="57"/>
  <c r="R63" i="57"/>
  <c r="R48" i="57"/>
  <c r="R47" i="57"/>
  <c r="R66" i="57"/>
  <c r="R58" i="57"/>
  <c r="R33" i="57"/>
  <c r="R78" i="57"/>
  <c r="R50" i="57"/>
  <c r="R76" i="57"/>
  <c r="R38" i="57"/>
  <c r="R36" i="57"/>
  <c r="R25" i="57"/>
  <c r="R34" i="57"/>
  <c r="R21" i="57"/>
  <c r="X12" i="57"/>
  <c r="R65" i="57"/>
  <c r="R57" i="57"/>
  <c r="R74" i="57"/>
  <c r="R37" i="57"/>
  <c r="P16" i="57"/>
  <c r="R16" i="57"/>
  <c r="R30" i="57"/>
  <c r="R14" i="57"/>
  <c r="R32" i="57"/>
  <c r="R18" i="57"/>
  <c r="R49" i="57"/>
  <c r="H31" i="42"/>
  <c r="V46" i="42"/>
  <c r="V50" i="42"/>
  <c r="V54" i="42"/>
  <c r="J60" i="42"/>
  <c r="J66" i="42"/>
  <c r="V70" i="42"/>
  <c r="J78" i="42"/>
  <c r="V82" i="42"/>
  <c r="J88" i="42"/>
  <c r="V90" i="42"/>
  <c r="J94" i="42"/>
  <c r="J104" i="42"/>
  <c r="V106" i="42"/>
  <c r="J110" i="42"/>
  <c r="J114" i="42"/>
  <c r="J118" i="42"/>
  <c r="V122" i="42"/>
  <c r="J126" i="42"/>
  <c r="N73" i="48"/>
  <c r="J115" i="51"/>
  <c r="J107" i="51"/>
  <c r="J85" i="51"/>
  <c r="J79" i="51"/>
  <c r="J75" i="51"/>
  <c r="J61" i="51"/>
  <c r="J116" i="51"/>
  <c r="J108" i="51"/>
  <c r="J86" i="51"/>
  <c r="J117" i="51"/>
  <c r="J109" i="51"/>
  <c r="J101" i="51"/>
  <c r="J97" i="51"/>
  <c r="J87" i="51"/>
  <c r="H58" i="51"/>
  <c r="J53" i="51"/>
  <c r="J49" i="51"/>
  <c r="J45" i="51"/>
  <c r="J41" i="51"/>
  <c r="J120" i="51"/>
  <c r="J119" i="51"/>
  <c r="J89" i="51"/>
  <c r="J71" i="51"/>
  <c r="J67" i="51"/>
  <c r="J63" i="51"/>
  <c r="J121" i="51"/>
  <c r="J110" i="51"/>
  <c r="J102" i="51"/>
  <c r="J98" i="51"/>
  <c r="J90" i="51"/>
  <c r="J72" i="51"/>
  <c r="J122" i="51"/>
  <c r="J111" i="51"/>
  <c r="J91" i="51"/>
  <c r="J81" i="51"/>
  <c r="J77" i="51"/>
  <c r="J73" i="51"/>
  <c r="J123" i="51"/>
  <c r="J112" i="51"/>
  <c r="J92" i="51"/>
  <c r="J103" i="51"/>
  <c r="J99" i="51"/>
  <c r="J114" i="51"/>
  <c r="J106" i="51"/>
  <c r="J100" i="51"/>
  <c r="J96" i="51"/>
  <c r="J84" i="51"/>
  <c r="J56" i="51"/>
  <c r="J52" i="51"/>
  <c r="J48" i="51"/>
  <c r="J44" i="51"/>
  <c r="J94" i="51"/>
  <c r="J80" i="51"/>
  <c r="J58" i="51"/>
  <c r="J47" i="51"/>
  <c r="J113" i="51"/>
  <c r="J78" i="51"/>
  <c r="J66" i="51"/>
  <c r="J42" i="51"/>
  <c r="J105" i="51"/>
  <c r="J76" i="51"/>
  <c r="J64" i="51"/>
  <c r="J55" i="51"/>
  <c r="J40" i="51"/>
  <c r="J83" i="51"/>
  <c r="J69" i="51"/>
  <c r="J62" i="51"/>
  <c r="J50" i="51"/>
  <c r="J95" i="51"/>
  <c r="J74" i="51"/>
  <c r="J60" i="51"/>
  <c r="J93" i="51"/>
  <c r="J88" i="51"/>
  <c r="J43" i="51"/>
  <c r="J65" i="51"/>
  <c r="J51" i="51"/>
  <c r="J104" i="51"/>
  <c r="J46" i="51"/>
  <c r="J82" i="51"/>
  <c r="V127" i="42"/>
  <c r="Z104" i="45"/>
  <c r="X104" i="45"/>
  <c r="J34" i="42"/>
  <c r="V36" i="42"/>
  <c r="V40" i="42"/>
  <c r="V44" i="42"/>
  <c r="J48" i="42"/>
  <c r="J52" i="42"/>
  <c r="J58" i="42"/>
  <c r="V68" i="42"/>
  <c r="J76" i="42"/>
  <c r="V80" i="42"/>
  <c r="J86" i="42"/>
  <c r="J92" i="42"/>
  <c r="J98" i="42"/>
  <c r="V100" i="42"/>
  <c r="V120" i="42"/>
  <c r="V128" i="42"/>
  <c r="J135" i="42"/>
  <c r="N63" i="45"/>
  <c r="N43" i="48"/>
  <c r="J29" i="42"/>
  <c r="V45" i="42"/>
  <c r="V49" i="42"/>
  <c r="V53" i="42"/>
  <c r="J57" i="42"/>
  <c r="V61" i="42"/>
  <c r="J65" i="42"/>
  <c r="V69" i="42"/>
  <c r="J75" i="42"/>
  <c r="X80" i="42"/>
  <c r="Z80" i="42" s="1"/>
  <c r="J85" i="42"/>
  <c r="L86" i="42"/>
  <c r="N86" i="42" s="1"/>
  <c r="V89" i="42"/>
  <c r="J97" i="42"/>
  <c r="L98" i="42"/>
  <c r="N98" i="42" s="1"/>
  <c r="V105" i="42"/>
  <c r="J109" i="42"/>
  <c r="J113" i="42"/>
  <c r="J117" i="42"/>
  <c r="J125" i="42"/>
  <c r="X128" i="42"/>
  <c r="Z128" i="42" s="1"/>
  <c r="J134" i="42"/>
  <c r="V139" i="42"/>
  <c r="V141" i="42"/>
  <c r="P12" i="45"/>
  <c r="X13" i="45"/>
  <c r="N65" i="45"/>
  <c r="L65" i="45"/>
  <c r="X43" i="48"/>
  <c r="N49" i="48"/>
  <c r="Z62" i="48"/>
  <c r="X62" i="48"/>
  <c r="V26" i="42"/>
  <c r="J38" i="42"/>
  <c r="J42" i="42"/>
  <c r="J56" i="42"/>
  <c r="V62" i="42"/>
  <c r="V66" i="42"/>
  <c r="J74" i="42"/>
  <c r="V78" i="42"/>
  <c r="J84" i="42"/>
  <c r="V94" i="42"/>
  <c r="J102" i="42"/>
  <c r="V110" i="42"/>
  <c r="V114" i="42"/>
  <c r="V118" i="42"/>
  <c r="J124" i="42"/>
  <c r="H26" i="45"/>
  <c r="N21" i="45"/>
  <c r="Z40" i="45"/>
  <c r="Z51" i="45"/>
  <c r="X51" i="45"/>
  <c r="J65" i="45"/>
  <c r="T106" i="45"/>
  <c r="Z41" i="48"/>
  <c r="N51" i="48"/>
  <c r="V62" i="48"/>
  <c r="R68" i="48"/>
  <c r="Z70" i="48"/>
  <c r="P12" i="51"/>
  <c r="J70" i="51"/>
  <c r="N104" i="51"/>
  <c r="L104" i="51"/>
  <c r="V29" i="45"/>
  <c r="V33" i="45"/>
  <c r="V37" i="45"/>
  <c r="J41" i="45"/>
  <c r="J45" i="45"/>
  <c r="J49" i="45"/>
  <c r="V53" i="45"/>
  <c r="J57" i="45"/>
  <c r="V61" i="45"/>
  <c r="J67" i="45"/>
  <c r="V73" i="45"/>
  <c r="J77" i="45"/>
  <c r="V85" i="45"/>
  <c r="V89" i="45"/>
  <c r="V93" i="45"/>
  <c r="J97" i="45"/>
  <c r="V101" i="45"/>
  <c r="V20" i="48"/>
  <c r="V24" i="48"/>
  <c r="V28" i="48"/>
  <c r="J32" i="48"/>
  <c r="R33" i="48"/>
  <c r="J36" i="48"/>
  <c r="R37" i="48"/>
  <c r="J40" i="48"/>
  <c r="V44" i="48"/>
  <c r="J52" i="48"/>
  <c r="V56" i="48"/>
  <c r="J60" i="48"/>
  <c r="R61" i="48"/>
  <c r="R62" i="48"/>
  <c r="V64" i="48"/>
  <c r="R69" i="48"/>
  <c r="R70" i="48"/>
  <c r="V64" i="51"/>
  <c r="Z83" i="51"/>
  <c r="N87" i="51"/>
  <c r="L87" i="51"/>
  <c r="N18" i="56"/>
  <c r="L49" i="56"/>
  <c r="N49" i="56" s="1"/>
  <c r="V54" i="56"/>
  <c r="R78" i="58"/>
  <c r="R76" i="58"/>
  <c r="R60" i="58"/>
  <c r="R53" i="58"/>
  <c r="R52" i="58"/>
  <c r="R41" i="58"/>
  <c r="R40" i="58"/>
  <c r="R36" i="58"/>
  <c r="R32" i="58"/>
  <c r="X12" i="58"/>
  <c r="R67" i="58"/>
  <c r="R27" i="58"/>
  <c r="R23" i="58"/>
  <c r="R85" i="58"/>
  <c r="R82" i="58"/>
  <c r="R62" i="58"/>
  <c r="R61" i="58"/>
  <c r="R37" i="58"/>
  <c r="R33" i="58"/>
  <c r="R18" i="58"/>
  <c r="R16" i="58"/>
  <c r="R14" i="58"/>
  <c r="R69" i="58"/>
  <c r="R68" i="58"/>
  <c r="R56" i="58"/>
  <c r="R45" i="58"/>
  <c r="R44" i="58"/>
  <c r="R28" i="58"/>
  <c r="R24" i="58"/>
  <c r="R20" i="58"/>
  <c r="P16" i="58"/>
  <c r="R64" i="58"/>
  <c r="R63" i="58"/>
  <c r="R71" i="58"/>
  <c r="R70" i="58"/>
  <c r="R47" i="58"/>
  <c r="R46" i="58"/>
  <c r="R38" i="58"/>
  <c r="R34" i="58"/>
  <c r="R65" i="58"/>
  <c r="R57" i="58"/>
  <c r="R30" i="58"/>
  <c r="R29" i="58"/>
  <c r="R25" i="58"/>
  <c r="R21" i="58"/>
  <c r="R74" i="58"/>
  <c r="R66" i="58"/>
  <c r="R59" i="58"/>
  <c r="R58" i="58"/>
  <c r="R51" i="58"/>
  <c r="R50" i="58"/>
  <c r="R26" i="58"/>
  <c r="R22" i="58"/>
  <c r="R80" i="58"/>
  <c r="R39" i="58"/>
  <c r="R19" i="58"/>
  <c r="R35" i="58"/>
  <c r="R31" i="58"/>
  <c r="R54" i="58"/>
  <c r="R48" i="58"/>
  <c r="R72" i="58"/>
  <c r="R42" i="58"/>
  <c r="R73" i="58"/>
  <c r="R49" i="58"/>
  <c r="V32" i="45"/>
  <c r="V36" i="45"/>
  <c r="J44" i="45"/>
  <c r="J48" i="45"/>
  <c r="V60" i="45"/>
  <c r="J64" i="45"/>
  <c r="V68" i="45"/>
  <c r="J76" i="45"/>
  <c r="V88" i="45"/>
  <c r="V92" i="45"/>
  <c r="V100" i="45"/>
  <c r="J104" i="45"/>
  <c r="V23" i="48"/>
  <c r="V27" i="48"/>
  <c r="J31" i="48"/>
  <c r="R32" i="48"/>
  <c r="J35" i="48"/>
  <c r="R36" i="48"/>
  <c r="J39" i="48"/>
  <c r="R40" i="48"/>
  <c r="R41" i="48"/>
  <c r="V43" i="48"/>
  <c r="J49" i="48"/>
  <c r="R52" i="48"/>
  <c r="R53" i="48"/>
  <c r="V55" i="48"/>
  <c r="J59" i="48"/>
  <c r="R60" i="48"/>
  <c r="V67" i="48"/>
  <c r="Z87" i="51"/>
  <c r="X87" i="51"/>
  <c r="N91" i="51"/>
  <c r="J22" i="54"/>
  <c r="J20" i="54"/>
  <c r="J18" i="54"/>
  <c r="J16" i="54"/>
  <c r="J14" i="54"/>
  <c r="H16" i="54"/>
  <c r="J24" i="54"/>
  <c r="J31" i="54"/>
  <c r="J29" i="54"/>
  <c r="J28" i="54"/>
  <c r="J26" i="54"/>
  <c r="N12" i="54"/>
  <c r="N29" i="54"/>
  <c r="D34" i="55"/>
  <c r="V65" i="56"/>
  <c r="N80" i="56"/>
  <c r="L80" i="56"/>
  <c r="V41" i="45"/>
  <c r="V45" i="45"/>
  <c r="V49" i="45"/>
  <c r="V57" i="45"/>
  <c r="J63" i="45"/>
  <c r="V69" i="45"/>
  <c r="J75" i="45"/>
  <c r="V77" i="45"/>
  <c r="J81" i="45"/>
  <c r="V97" i="45"/>
  <c r="H17" i="48"/>
  <c r="J30" i="48"/>
  <c r="V32" i="48"/>
  <c r="V36" i="48"/>
  <c r="V40" i="48"/>
  <c r="J48" i="48"/>
  <c r="V52" i="48"/>
  <c r="V60" i="48"/>
  <c r="V68" i="48"/>
  <c r="V121" i="51"/>
  <c r="V111" i="51"/>
  <c r="V91" i="51"/>
  <c r="V71" i="51"/>
  <c r="V67" i="51"/>
  <c r="V63" i="51"/>
  <c r="V122" i="51"/>
  <c r="V110" i="51"/>
  <c r="V102" i="51"/>
  <c r="V98" i="51"/>
  <c r="V90" i="51"/>
  <c r="V125" i="51"/>
  <c r="V123" i="51"/>
  <c r="V93" i="51"/>
  <c r="V81" i="51"/>
  <c r="V77" i="51"/>
  <c r="V73" i="51"/>
  <c r="V103" i="51"/>
  <c r="V99" i="51"/>
  <c r="V95" i="51"/>
  <c r="V83" i="51"/>
  <c r="V55" i="51"/>
  <c r="V51" i="51"/>
  <c r="V47" i="51"/>
  <c r="V43" i="51"/>
  <c r="V114" i="51"/>
  <c r="V106" i="51"/>
  <c r="V94" i="51"/>
  <c r="V82" i="51"/>
  <c r="V78" i="51"/>
  <c r="V74" i="51"/>
  <c r="V129" i="51"/>
  <c r="V127" i="51"/>
  <c r="V113" i="51"/>
  <c r="V105" i="51"/>
  <c r="V85" i="51"/>
  <c r="V69" i="51"/>
  <c r="V65" i="51"/>
  <c r="V61" i="51"/>
  <c r="V116" i="51"/>
  <c r="V108" i="51"/>
  <c r="V100" i="51"/>
  <c r="V96" i="51"/>
  <c r="V84" i="51"/>
  <c r="V115" i="51"/>
  <c r="V107" i="51"/>
  <c r="V120" i="51"/>
  <c r="V88" i="51"/>
  <c r="V80" i="51"/>
  <c r="V76" i="51"/>
  <c r="V72" i="51"/>
  <c r="V44" i="51"/>
  <c r="V49" i="51"/>
  <c r="V54" i="51"/>
  <c r="V68" i="51"/>
  <c r="V87" i="51"/>
  <c r="V117" i="51"/>
  <c r="X122" i="51"/>
  <c r="P119" i="51"/>
  <c r="X119" i="51" s="1"/>
  <c r="Z119" i="51" s="1"/>
  <c r="V43" i="56"/>
  <c r="Z47" i="56"/>
  <c r="V49" i="56"/>
  <c r="N53" i="56"/>
  <c r="P86" i="56"/>
  <c r="N14" i="57"/>
  <c r="L14" i="57"/>
  <c r="R43" i="58"/>
  <c r="J54" i="45"/>
  <c r="V58" i="45"/>
  <c r="J62" i="45"/>
  <c r="V66" i="45"/>
  <c r="J74" i="45"/>
  <c r="J80" i="45"/>
  <c r="V82" i="45"/>
  <c r="J86" i="45"/>
  <c r="J90" i="45"/>
  <c r="J94" i="45"/>
  <c r="V98" i="45"/>
  <c r="J102" i="45"/>
  <c r="V108" i="45"/>
  <c r="V41" i="48"/>
  <c r="J47" i="48"/>
  <c r="V53" i="48"/>
  <c r="J65" i="48"/>
  <c r="R66" i="48"/>
  <c r="J73" i="48"/>
  <c r="J74" i="48"/>
  <c r="R78" i="48"/>
  <c r="V75" i="51"/>
  <c r="V89" i="51"/>
  <c r="N93" i="51"/>
  <c r="L93" i="51"/>
  <c r="P34" i="55"/>
  <c r="X16" i="55"/>
  <c r="Z80" i="56"/>
  <c r="X80" i="56"/>
  <c r="P62" i="61"/>
  <c r="J29" i="45"/>
  <c r="V31" i="45"/>
  <c r="V35" i="45"/>
  <c r="V39" i="45"/>
  <c r="J43" i="45"/>
  <c r="J47" i="45"/>
  <c r="J53" i="45"/>
  <c r="V55" i="45"/>
  <c r="V67" i="45"/>
  <c r="J73" i="45"/>
  <c r="J79" i="45"/>
  <c r="J85" i="45"/>
  <c r="V87" i="45"/>
  <c r="V91" i="45"/>
  <c r="V95" i="45"/>
  <c r="Z12" i="48"/>
  <c r="J20" i="48"/>
  <c r="V22" i="48"/>
  <c r="V26" i="48"/>
  <c r="R31" i="48"/>
  <c r="J34" i="48"/>
  <c r="R35" i="48"/>
  <c r="J38" i="48"/>
  <c r="R39" i="48"/>
  <c r="J46" i="48"/>
  <c r="V50" i="48"/>
  <c r="J58" i="48"/>
  <c r="R59" i="48"/>
  <c r="J64" i="48"/>
  <c r="V66" i="48"/>
  <c r="V78" i="48"/>
  <c r="V41" i="51"/>
  <c r="V46" i="51"/>
  <c r="N60" i="51"/>
  <c r="Z61" i="51"/>
  <c r="V70" i="51"/>
  <c r="V104" i="51"/>
  <c r="V112" i="51"/>
  <c r="V62" i="56"/>
  <c r="V75" i="56"/>
  <c r="X18" i="57"/>
  <c r="Z18" i="57" s="1"/>
  <c r="Z66" i="59"/>
  <c r="J24" i="45"/>
  <c r="V40" i="45"/>
  <c r="V44" i="45"/>
  <c r="V48" i="45"/>
  <c r="J52" i="45"/>
  <c r="V56" i="45"/>
  <c r="V64" i="45"/>
  <c r="J72" i="45"/>
  <c r="V76" i="45"/>
  <c r="J84" i="45"/>
  <c r="V96" i="45"/>
  <c r="V31" i="48"/>
  <c r="V35" i="48"/>
  <c r="V39" i="48"/>
  <c r="J45" i="48"/>
  <c r="R48" i="48"/>
  <c r="R49" i="48"/>
  <c r="V51" i="48"/>
  <c r="J57" i="48"/>
  <c r="V59" i="48"/>
  <c r="J63" i="48"/>
  <c r="J71" i="48"/>
  <c r="V56" i="51"/>
  <c r="V86" i="51"/>
  <c r="N108" i="51"/>
  <c r="Z22" i="55"/>
  <c r="N26" i="55"/>
  <c r="L26" i="55"/>
  <c r="F73" i="56"/>
  <c r="F72" i="56"/>
  <c r="F41" i="56"/>
  <c r="F40" i="56"/>
  <c r="F68" i="56"/>
  <c r="F67" i="56"/>
  <c r="F60" i="56"/>
  <c r="F52" i="56"/>
  <c r="F51" i="56"/>
  <c r="F36" i="56"/>
  <c r="F32" i="56"/>
  <c r="L12" i="56"/>
  <c r="F89" i="56"/>
  <c r="F86" i="56"/>
  <c r="F75" i="56"/>
  <c r="F74" i="56"/>
  <c r="F43" i="56"/>
  <c r="F42" i="56"/>
  <c r="F27" i="56"/>
  <c r="F23" i="56"/>
  <c r="F77" i="56"/>
  <c r="F76" i="56"/>
  <c r="F69" i="56"/>
  <c r="F45" i="56"/>
  <c r="F44" i="56"/>
  <c r="F37" i="56"/>
  <c r="F33" i="56"/>
  <c r="F56" i="56"/>
  <c r="F55" i="56"/>
  <c r="F28" i="56"/>
  <c r="F24" i="56"/>
  <c r="F20" i="56"/>
  <c r="F19" i="56"/>
  <c r="F63" i="56"/>
  <c r="F18" i="56"/>
  <c r="F16" i="56"/>
  <c r="F14" i="56"/>
  <c r="F78" i="56"/>
  <c r="F70" i="56"/>
  <c r="F58" i="56"/>
  <c r="F57" i="56"/>
  <c r="F46" i="56"/>
  <c r="F38" i="56"/>
  <c r="F34" i="56"/>
  <c r="F30" i="56"/>
  <c r="F29" i="56"/>
  <c r="D16" i="56"/>
  <c r="F25" i="56"/>
  <c r="F21" i="56"/>
  <c r="F84" i="56"/>
  <c r="F66" i="56"/>
  <c r="F65" i="56"/>
  <c r="F50" i="56"/>
  <c r="F49" i="56"/>
  <c r="F26" i="56"/>
  <c r="F22" i="56"/>
  <c r="F59" i="56"/>
  <c r="Z93" i="51"/>
  <c r="X93" i="51"/>
  <c r="P26" i="54"/>
  <c r="N44" i="56"/>
  <c r="L44" i="56"/>
  <c r="Z14" i="57"/>
  <c r="X14" i="57"/>
  <c r="V30" i="45"/>
  <c r="V34" i="45"/>
  <c r="V38" i="45"/>
  <c r="J42" i="45"/>
  <c r="J46" i="45"/>
  <c r="J50" i="45"/>
  <c r="V54" i="45"/>
  <c r="J60" i="45"/>
  <c r="V62" i="45"/>
  <c r="J70" i="45"/>
  <c r="V74" i="45"/>
  <c r="J78" i="45"/>
  <c r="V86" i="45"/>
  <c r="V90" i="45"/>
  <c r="V94" i="45"/>
  <c r="J100" i="45"/>
  <c r="V102" i="45"/>
  <c r="V104" i="45"/>
  <c r="V106" i="45"/>
  <c r="R15" i="48"/>
  <c r="R17" i="48"/>
  <c r="R19" i="48"/>
  <c r="V21" i="48"/>
  <c r="V25" i="48"/>
  <c r="V29" i="48"/>
  <c r="J33" i="48"/>
  <c r="R34" i="48"/>
  <c r="J37" i="48"/>
  <c r="R38" i="48"/>
  <c r="J43" i="48"/>
  <c r="R46" i="48"/>
  <c r="R47" i="48"/>
  <c r="V49" i="48"/>
  <c r="J55" i="48"/>
  <c r="R58" i="48"/>
  <c r="J61" i="48"/>
  <c r="V65" i="48"/>
  <c r="J69" i="48"/>
  <c r="R73" i="48"/>
  <c r="R74" i="48"/>
  <c r="V48" i="51"/>
  <c r="V53" i="51"/>
  <c r="N18" i="55"/>
  <c r="Z24" i="55"/>
  <c r="V16" i="56"/>
  <c r="V25" i="56"/>
  <c r="X55" i="56"/>
  <c r="Z55" i="56" s="1"/>
  <c r="N61" i="56"/>
  <c r="H16" i="57"/>
  <c r="N20" i="59"/>
  <c r="R47" i="60"/>
  <c r="R55" i="60"/>
  <c r="R54" i="60"/>
  <c r="R38" i="60"/>
  <c r="R34" i="60"/>
  <c r="R30" i="60"/>
  <c r="R25" i="60"/>
  <c r="R21" i="60"/>
  <c r="R57" i="60"/>
  <c r="R56" i="60"/>
  <c r="R48" i="60"/>
  <c r="R40" i="60"/>
  <c r="R39" i="60"/>
  <c r="R35" i="60"/>
  <c r="R31" i="60"/>
  <c r="R58" i="60"/>
  <c r="R26" i="60"/>
  <c r="R22" i="60"/>
  <c r="R62" i="60"/>
  <c r="R60" i="60"/>
  <c r="R50" i="60"/>
  <c r="R49" i="60"/>
  <c r="R42" i="60"/>
  <c r="R41" i="60"/>
  <c r="R36" i="60"/>
  <c r="R32" i="60"/>
  <c r="X12" i="60"/>
  <c r="R52" i="60"/>
  <c r="R51" i="60"/>
  <c r="R44" i="60"/>
  <c r="R43" i="60"/>
  <c r="R27" i="60"/>
  <c r="R23" i="60"/>
  <c r="R29" i="60"/>
  <c r="R28" i="60"/>
  <c r="R24" i="60"/>
  <c r="R20" i="60"/>
  <c r="P16" i="60"/>
  <c r="R19" i="60"/>
  <c r="R45" i="60"/>
  <c r="R16" i="60"/>
  <c r="R64" i="60"/>
  <c r="R14" i="60"/>
  <c r="R46" i="60"/>
  <c r="R37" i="60"/>
  <c r="R18" i="60"/>
  <c r="R66" i="60"/>
  <c r="R33" i="60"/>
  <c r="V43" i="45"/>
  <c r="V47" i="45"/>
  <c r="J59" i="45"/>
  <c r="V63" i="45"/>
  <c r="J69" i="45"/>
  <c r="V75" i="45"/>
  <c r="V79" i="45"/>
  <c r="J83" i="45"/>
  <c r="J99" i="45"/>
  <c r="T17" i="48"/>
  <c r="V30" i="48"/>
  <c r="V34" i="48"/>
  <c r="V38" i="48"/>
  <c r="J42" i="48"/>
  <c r="L43" i="48"/>
  <c r="V46" i="48"/>
  <c r="X49" i="48"/>
  <c r="Z49" i="48" s="1"/>
  <c r="J54" i="48"/>
  <c r="L55" i="48"/>
  <c r="V58" i="48"/>
  <c r="R63" i="48"/>
  <c r="R64" i="48"/>
  <c r="J68" i="48"/>
  <c r="R71" i="48"/>
  <c r="V74" i="48"/>
  <c r="Z60" i="51"/>
  <c r="V101" i="51"/>
  <c r="Z108" i="51"/>
  <c r="V119" i="51"/>
  <c r="X26" i="55"/>
  <c r="Z26" i="55" s="1"/>
  <c r="V56" i="56"/>
  <c r="V28" i="56"/>
  <c r="V24" i="56"/>
  <c r="V20" i="56"/>
  <c r="V63" i="56"/>
  <c r="V47" i="56"/>
  <c r="V82" i="56"/>
  <c r="V80" i="56"/>
  <c r="V78" i="56"/>
  <c r="V70" i="56"/>
  <c r="V58" i="56"/>
  <c r="V46" i="56"/>
  <c r="V38" i="56"/>
  <c r="V34" i="56"/>
  <c r="V30" i="56"/>
  <c r="V72" i="56"/>
  <c r="V64" i="56"/>
  <c r="V48" i="56"/>
  <c r="V40" i="56"/>
  <c r="V71" i="56"/>
  <c r="V67" i="56"/>
  <c r="V59" i="56"/>
  <c r="V51" i="56"/>
  <c r="V39" i="56"/>
  <c r="V35" i="56"/>
  <c r="V31" i="56"/>
  <c r="V89" i="56"/>
  <c r="V86" i="56"/>
  <c r="V84" i="56"/>
  <c r="V74" i="56"/>
  <c r="V66" i="56"/>
  <c r="V50" i="56"/>
  <c r="V42" i="56"/>
  <c r="V26" i="56"/>
  <c r="V22" i="56"/>
  <c r="V73" i="56"/>
  <c r="V61" i="56"/>
  <c r="V53" i="56"/>
  <c r="V41" i="56"/>
  <c r="V76" i="56"/>
  <c r="V68" i="56"/>
  <c r="V60" i="56"/>
  <c r="V52" i="56"/>
  <c r="V44" i="56"/>
  <c r="V36" i="56"/>
  <c r="V32" i="56"/>
  <c r="Z12" i="56"/>
  <c r="V77" i="56"/>
  <c r="V69" i="56"/>
  <c r="V57" i="56"/>
  <c r="V45" i="56"/>
  <c r="V37" i="56"/>
  <c r="V33" i="56"/>
  <c r="V29" i="56"/>
  <c r="T16" i="56"/>
  <c r="Z42" i="56"/>
  <c r="V55" i="56"/>
  <c r="N76" i="56"/>
  <c r="L76" i="56"/>
  <c r="R55" i="58"/>
  <c r="V24" i="45"/>
  <c r="V26" i="45"/>
  <c r="V28" i="45"/>
  <c r="J32" i="45"/>
  <c r="J36" i="45"/>
  <c r="V52" i="45"/>
  <c r="J58" i="45"/>
  <c r="J68" i="45"/>
  <c r="V72" i="45"/>
  <c r="V80" i="45"/>
  <c r="J88" i="45"/>
  <c r="J92" i="45"/>
  <c r="J98" i="45"/>
  <c r="V15" i="48"/>
  <c r="V17" i="48"/>
  <c r="V19" i="48"/>
  <c r="J23" i="48"/>
  <c r="R24" i="48"/>
  <c r="J27" i="48"/>
  <c r="R28" i="48"/>
  <c r="J41" i="48"/>
  <c r="R44" i="48"/>
  <c r="R45" i="48"/>
  <c r="V47" i="48"/>
  <c r="J53" i="48"/>
  <c r="R56" i="48"/>
  <c r="V63" i="48"/>
  <c r="V71" i="48"/>
  <c r="V45" i="51"/>
  <c r="V50" i="51"/>
  <c r="V60" i="51"/>
  <c r="V62" i="51"/>
  <c r="V92" i="51"/>
  <c r="Z95" i="51"/>
  <c r="V97" i="51"/>
  <c r="N111" i="51"/>
  <c r="X12" i="56"/>
  <c r="V21" i="56"/>
  <c r="V23" i="56"/>
  <c r="X44" i="56"/>
  <c r="Z44" i="56" s="1"/>
  <c r="N65" i="56"/>
  <c r="L65" i="56"/>
  <c r="Z15" i="59"/>
  <c r="T17" i="59"/>
  <c r="Z44" i="61"/>
  <c r="R24" i="54"/>
  <c r="X12" i="55"/>
  <c r="R19" i="56"/>
  <c r="J41" i="56"/>
  <c r="J51" i="56"/>
  <c r="R54" i="56"/>
  <c r="R55" i="56"/>
  <c r="R62" i="56"/>
  <c r="J67" i="56"/>
  <c r="J73" i="56"/>
  <c r="L12" i="57"/>
  <c r="J51" i="57"/>
  <c r="Z58" i="57"/>
  <c r="Z60" i="57"/>
  <c r="Z68" i="57"/>
  <c r="L18" i="58"/>
  <c r="N18" i="58" s="1"/>
  <c r="X59" i="58"/>
  <c r="Z59" i="58" s="1"/>
  <c r="Z69" i="58"/>
  <c r="X15" i="59"/>
  <c r="Z18" i="61"/>
  <c r="Z58" i="63"/>
  <c r="X58" i="63"/>
  <c r="R23" i="55"/>
  <c r="R24" i="55"/>
  <c r="R73" i="56"/>
  <c r="R74" i="56"/>
  <c r="J80" i="56"/>
  <c r="J82" i="56"/>
  <c r="R86" i="56"/>
  <c r="R89" i="56"/>
  <c r="V85" i="57"/>
  <c r="V82" i="57"/>
  <c r="V80" i="57"/>
  <c r="V54" i="57"/>
  <c r="V42" i="57"/>
  <c r="V26" i="57"/>
  <c r="V69" i="57"/>
  <c r="V61" i="57"/>
  <c r="V53" i="57"/>
  <c r="V41" i="57"/>
  <c r="V44" i="57"/>
  <c r="V36" i="57"/>
  <c r="V32" i="57"/>
  <c r="V70" i="57"/>
  <c r="V62" i="57"/>
  <c r="V46" i="57"/>
  <c r="V73" i="57"/>
  <c r="V45" i="57"/>
  <c r="V37" i="57"/>
  <c r="V33" i="57"/>
  <c r="V29" i="57"/>
  <c r="V72" i="57"/>
  <c r="V64" i="57"/>
  <c r="V56" i="57"/>
  <c r="V48" i="57"/>
  <c r="V63" i="57"/>
  <c r="V47" i="57"/>
  <c r="V78" i="57"/>
  <c r="V76" i="57"/>
  <c r="V74" i="57"/>
  <c r="V66" i="57"/>
  <c r="V58" i="57"/>
  <c r="V50" i="57"/>
  <c r="V38" i="57"/>
  <c r="V34" i="57"/>
  <c r="V30" i="57"/>
  <c r="V67" i="57"/>
  <c r="V59" i="57"/>
  <c r="V51" i="57"/>
  <c r="V39" i="57"/>
  <c r="V14" i="57"/>
  <c r="V16" i="57"/>
  <c r="V18" i="57"/>
  <c r="V19" i="57"/>
  <c r="V55" i="57"/>
  <c r="Z51" i="58"/>
  <c r="N44" i="59"/>
  <c r="N60" i="59"/>
  <c r="Z68" i="59"/>
  <c r="D119" i="51"/>
  <c r="L119" i="51" s="1"/>
  <c r="N119" i="51" s="1"/>
  <c r="T16" i="54"/>
  <c r="H16" i="55"/>
  <c r="L16" i="55" s="1"/>
  <c r="F19" i="55"/>
  <c r="F20" i="55"/>
  <c r="J21" i="56"/>
  <c r="R22" i="56"/>
  <c r="J25" i="56"/>
  <c r="R26" i="56"/>
  <c r="J47" i="56"/>
  <c r="R50" i="56"/>
  <c r="R51" i="56"/>
  <c r="R66" i="56"/>
  <c r="R67" i="56"/>
  <c r="R84" i="56"/>
  <c r="V57" i="57"/>
  <c r="V65" i="57"/>
  <c r="N71" i="57"/>
  <c r="Z18" i="58"/>
  <c r="N64" i="58"/>
  <c r="F31" i="59"/>
  <c r="X44" i="59"/>
  <c r="Z44" i="59" s="1"/>
  <c r="Z18" i="60"/>
  <c r="Z44" i="60"/>
  <c r="N50" i="60"/>
  <c r="V14" i="61"/>
  <c r="V23" i="61"/>
  <c r="V14" i="54"/>
  <c r="V16" i="54"/>
  <c r="V18" i="54"/>
  <c r="V20" i="54"/>
  <c r="V22" i="54"/>
  <c r="F26" i="54"/>
  <c r="F28" i="54"/>
  <c r="F29" i="54"/>
  <c r="F31" i="54"/>
  <c r="J14" i="55"/>
  <c r="J16" i="55"/>
  <c r="J18" i="55"/>
  <c r="J20" i="55"/>
  <c r="R21" i="55"/>
  <c r="R22" i="55"/>
  <c r="V24" i="55"/>
  <c r="F28" i="55"/>
  <c r="F29" i="55"/>
  <c r="R32" i="55"/>
  <c r="R34" i="55"/>
  <c r="J30" i="56"/>
  <c r="R31" i="56"/>
  <c r="J34" i="56"/>
  <c r="R35" i="56"/>
  <c r="J38" i="56"/>
  <c r="R39" i="56"/>
  <c r="R40" i="56"/>
  <c r="J46" i="56"/>
  <c r="J58" i="56"/>
  <c r="R59" i="56"/>
  <c r="J70" i="56"/>
  <c r="R71" i="56"/>
  <c r="R72" i="56"/>
  <c r="J78" i="56"/>
  <c r="Z12" i="57"/>
  <c r="V21" i="57"/>
  <c r="V23" i="57"/>
  <c r="V27" i="57"/>
  <c r="F44" i="57"/>
  <c r="J71" i="57"/>
  <c r="X62" i="58"/>
  <c r="Z62" i="58" s="1"/>
  <c r="Z20" i="59"/>
  <c r="F54" i="59"/>
  <c r="Z58" i="59"/>
  <c r="F72" i="59"/>
  <c r="X46" i="60"/>
  <c r="Z46" i="60" s="1"/>
  <c r="V60" i="61"/>
  <c r="R30" i="55"/>
  <c r="H16" i="56"/>
  <c r="R48" i="56"/>
  <c r="R49" i="56"/>
  <c r="J57" i="56"/>
  <c r="J63" i="56"/>
  <c r="R64" i="56"/>
  <c r="R65" i="56"/>
  <c r="D16" i="57"/>
  <c r="F20" i="57"/>
  <c r="V25" i="57"/>
  <c r="F33" i="57"/>
  <c r="N44" i="57"/>
  <c r="N46" i="57"/>
  <c r="Z60" i="59"/>
  <c r="N19" i="63"/>
  <c r="V22" i="55"/>
  <c r="F26" i="55"/>
  <c r="F27" i="55"/>
  <c r="J28" i="55"/>
  <c r="V30" i="55"/>
  <c r="V32" i="55"/>
  <c r="V34" i="55"/>
  <c r="F38" i="55"/>
  <c r="F41" i="55"/>
  <c r="J14" i="56"/>
  <c r="J16" i="56"/>
  <c r="J18" i="56"/>
  <c r="J20" i="56"/>
  <c r="R21" i="56"/>
  <c r="J24" i="56"/>
  <c r="R25" i="56"/>
  <c r="J28" i="56"/>
  <c r="J56" i="56"/>
  <c r="R80" i="56"/>
  <c r="R82" i="56"/>
  <c r="F14" i="57"/>
  <c r="F16" i="57"/>
  <c r="F18" i="57"/>
  <c r="X29" i="57"/>
  <c r="Z29" i="57" s="1"/>
  <c r="V31" i="57"/>
  <c r="X44" i="57"/>
  <c r="J46" i="57"/>
  <c r="N50" i="57"/>
  <c r="N52" i="57"/>
  <c r="Z71" i="57"/>
  <c r="X14" i="58"/>
  <c r="P12" i="59"/>
  <c r="X13" i="59"/>
  <c r="Z13" i="59" s="1"/>
  <c r="F23" i="59"/>
  <c r="L49" i="59"/>
  <c r="N49" i="59" s="1"/>
  <c r="X14" i="60"/>
  <c r="X19" i="61"/>
  <c r="Z44" i="57"/>
  <c r="Z19" i="61"/>
  <c r="N64" i="63"/>
  <c r="L64" i="63"/>
  <c r="F14" i="54"/>
  <c r="F16" i="54"/>
  <c r="F18" i="54"/>
  <c r="F20" i="54"/>
  <c r="R14" i="55"/>
  <c r="R16" i="55"/>
  <c r="R18" i="55"/>
  <c r="F24" i="55"/>
  <c r="F25" i="55"/>
  <c r="J26" i="55"/>
  <c r="R29" i="55"/>
  <c r="J38" i="55"/>
  <c r="J41" i="55"/>
  <c r="J44" i="56"/>
  <c r="J54" i="56"/>
  <c r="J62" i="56"/>
  <c r="R63" i="56"/>
  <c r="J76" i="56"/>
  <c r="N19" i="57"/>
  <c r="V40" i="57"/>
  <c r="Z48" i="57"/>
  <c r="N58" i="57"/>
  <c r="N60" i="57"/>
  <c r="F62" i="57"/>
  <c r="N68" i="57"/>
  <c r="L45" i="58"/>
  <c r="N69" i="58"/>
  <c r="X19" i="59"/>
  <c r="V51" i="61"/>
  <c r="V69" i="61"/>
  <c r="V66" i="61"/>
  <c r="V64" i="61"/>
  <c r="V54" i="61"/>
  <c r="V46" i="61"/>
  <c r="V57" i="61"/>
  <c r="V45" i="61"/>
  <c r="V56" i="61"/>
  <c r="V48" i="61"/>
  <c r="V40" i="61"/>
  <c r="V41" i="61"/>
  <c r="V29" i="61"/>
  <c r="V24" i="61"/>
  <c r="V20" i="61"/>
  <c r="V42" i="61"/>
  <c r="V28" i="61"/>
  <c r="V38" i="61"/>
  <c r="V35" i="61"/>
  <c r="V32" i="61"/>
  <c r="V55" i="61"/>
  <c r="V25" i="61"/>
  <c r="V21" i="61"/>
  <c r="V62" i="61"/>
  <c r="V49" i="61"/>
  <c r="V52" i="61"/>
  <c r="V30" i="61"/>
  <c r="V58" i="61"/>
  <c r="V53" i="61"/>
  <c r="V50" i="61"/>
  <c r="V43" i="61"/>
  <c r="V39" i="61"/>
  <c r="V36" i="61"/>
  <c r="V26" i="61"/>
  <c r="V22" i="61"/>
  <c r="V33" i="61"/>
  <c r="V47" i="61"/>
  <c r="V44" i="61"/>
  <c r="Z12" i="61"/>
  <c r="V37" i="61"/>
  <c r="T16" i="61"/>
  <c r="X16" i="61" s="1"/>
  <c r="V19" i="61"/>
  <c r="R19" i="55"/>
  <c r="F36" i="55"/>
  <c r="J75" i="56"/>
  <c r="F63" i="57"/>
  <c r="F47" i="57"/>
  <c r="F46" i="57"/>
  <c r="F74" i="57"/>
  <c r="F73" i="57"/>
  <c r="F38" i="57"/>
  <c r="F34" i="57"/>
  <c r="F30" i="57"/>
  <c r="F29" i="57"/>
  <c r="F65" i="57"/>
  <c r="F64" i="57"/>
  <c r="F57" i="57"/>
  <c r="F49" i="57"/>
  <c r="F48" i="57"/>
  <c r="F78" i="57"/>
  <c r="F76" i="57"/>
  <c r="F67" i="57"/>
  <c r="F66" i="57"/>
  <c r="F59" i="57"/>
  <c r="F58" i="57"/>
  <c r="F51" i="57"/>
  <c r="F50" i="57"/>
  <c r="F39" i="57"/>
  <c r="F35" i="57"/>
  <c r="F31" i="57"/>
  <c r="F80" i="57"/>
  <c r="F69" i="57"/>
  <c r="F68" i="57"/>
  <c r="F61" i="57"/>
  <c r="F60" i="57"/>
  <c r="F53" i="57"/>
  <c r="F52" i="57"/>
  <c r="F41" i="57"/>
  <c r="F40" i="57"/>
  <c r="F36" i="57"/>
  <c r="F32" i="57"/>
  <c r="F85" i="57"/>
  <c r="F82" i="57"/>
  <c r="F55" i="57"/>
  <c r="F54" i="57"/>
  <c r="F43" i="57"/>
  <c r="F42" i="57"/>
  <c r="F27" i="57"/>
  <c r="F23" i="57"/>
  <c r="F72" i="57"/>
  <c r="F71" i="57"/>
  <c r="F56" i="57"/>
  <c r="V20" i="57"/>
  <c r="F26" i="57"/>
  <c r="F45" i="57"/>
  <c r="Z50" i="57"/>
  <c r="H78" i="58"/>
  <c r="N16" i="58"/>
  <c r="N45" i="58"/>
  <c r="F65" i="59"/>
  <c r="F57" i="59"/>
  <c r="F41" i="59"/>
  <c r="F37" i="59"/>
  <c r="F33" i="59"/>
  <c r="F52" i="59"/>
  <c r="F51" i="59"/>
  <c r="F28" i="59"/>
  <c r="F24" i="59"/>
  <c r="F81" i="59"/>
  <c r="F78" i="59"/>
  <c r="F67" i="59"/>
  <c r="F66" i="59"/>
  <c r="F59" i="59"/>
  <c r="F58" i="59"/>
  <c r="F43" i="59"/>
  <c r="F42" i="59"/>
  <c r="F69" i="59"/>
  <c r="F68" i="59"/>
  <c r="F61" i="59"/>
  <c r="F60" i="59"/>
  <c r="F45" i="59"/>
  <c r="F44" i="59"/>
  <c r="F29" i="59"/>
  <c r="F25" i="59"/>
  <c r="F21" i="59"/>
  <c r="F20" i="59"/>
  <c r="F19" i="59"/>
  <c r="F17" i="59"/>
  <c r="F15" i="59"/>
  <c r="F55" i="59"/>
  <c r="F39" i="59"/>
  <c r="F35" i="59"/>
  <c r="D17" i="59"/>
  <c r="F70" i="59"/>
  <c r="F62" i="59"/>
  <c r="F46" i="59"/>
  <c r="F30" i="59"/>
  <c r="F26" i="59"/>
  <c r="F22" i="59"/>
  <c r="L12" i="59"/>
  <c r="F76" i="59"/>
  <c r="F50" i="59"/>
  <c r="F49" i="59"/>
  <c r="Z19" i="59"/>
  <c r="F34" i="59"/>
  <c r="H74" i="59"/>
  <c r="N40" i="60"/>
  <c r="X12" i="61"/>
  <c r="N29" i="61"/>
  <c r="V31" i="61"/>
  <c r="R26" i="54"/>
  <c r="R28" i="54"/>
  <c r="R29" i="54"/>
  <c r="V14" i="55"/>
  <c r="V16" i="55"/>
  <c r="F22" i="55"/>
  <c r="F23" i="55"/>
  <c r="J24" i="55"/>
  <c r="R27" i="55"/>
  <c r="F32" i="55"/>
  <c r="N12" i="56"/>
  <c r="R14" i="56"/>
  <c r="R16" i="56"/>
  <c r="R18" i="56"/>
  <c r="J32" i="56"/>
  <c r="R33" i="56"/>
  <c r="J36" i="56"/>
  <c r="R37" i="56"/>
  <c r="J42" i="56"/>
  <c r="R45" i="56"/>
  <c r="J52" i="56"/>
  <c r="J60" i="56"/>
  <c r="J68" i="56"/>
  <c r="R69" i="56"/>
  <c r="J74" i="56"/>
  <c r="J86" i="56"/>
  <c r="J74" i="57"/>
  <c r="J64" i="57"/>
  <c r="J48" i="57"/>
  <c r="J38" i="57"/>
  <c r="J34" i="57"/>
  <c r="J30" i="57"/>
  <c r="J65" i="57"/>
  <c r="J57" i="57"/>
  <c r="J49" i="57"/>
  <c r="J25" i="57"/>
  <c r="J21" i="57"/>
  <c r="J78" i="57"/>
  <c r="J76" i="57"/>
  <c r="J66" i="57"/>
  <c r="J58" i="57"/>
  <c r="J50" i="57"/>
  <c r="J80" i="57"/>
  <c r="J68" i="57"/>
  <c r="J60" i="57"/>
  <c r="J52" i="57"/>
  <c r="J40" i="57"/>
  <c r="J26" i="57"/>
  <c r="J22" i="57"/>
  <c r="J69" i="57"/>
  <c r="J61" i="57"/>
  <c r="J53" i="57"/>
  <c r="J41" i="57"/>
  <c r="J85" i="57"/>
  <c r="J82" i="57"/>
  <c r="J54" i="57"/>
  <c r="J42" i="57"/>
  <c r="J55" i="57"/>
  <c r="J43" i="57"/>
  <c r="J27" i="57"/>
  <c r="J23" i="57"/>
  <c r="J70" i="57"/>
  <c r="J62" i="57"/>
  <c r="J44" i="57"/>
  <c r="J73" i="57"/>
  <c r="J63" i="57"/>
  <c r="J47" i="57"/>
  <c r="V22" i="57"/>
  <c r="V24" i="57"/>
  <c r="V28" i="57"/>
  <c r="J32" i="57"/>
  <c r="V35" i="57"/>
  <c r="J45" i="57"/>
  <c r="V52" i="57"/>
  <c r="T16" i="58"/>
  <c r="V19" i="59"/>
  <c r="F27" i="59"/>
  <c r="F32" i="59"/>
  <c r="F36" i="59"/>
  <c r="F38" i="59"/>
  <c r="F40" i="59"/>
  <c r="F53" i="59"/>
  <c r="T16" i="60"/>
  <c r="X29" i="60"/>
  <c r="Z29" i="60" s="1"/>
  <c r="N42" i="60"/>
  <c r="D16" i="58"/>
  <c r="J21" i="58"/>
  <c r="J25" i="58"/>
  <c r="J29" i="58"/>
  <c r="F45" i="58"/>
  <c r="F46" i="58"/>
  <c r="J47" i="58"/>
  <c r="V53" i="58"/>
  <c r="J57" i="58"/>
  <c r="J65" i="58"/>
  <c r="F69" i="58"/>
  <c r="F70" i="58"/>
  <c r="J71" i="58"/>
  <c r="V45" i="59"/>
  <c r="J57" i="59"/>
  <c r="V61" i="59"/>
  <c r="J65" i="59"/>
  <c r="V69" i="59"/>
  <c r="F32" i="60"/>
  <c r="F36" i="60"/>
  <c r="J51" i="60"/>
  <c r="V55" i="60"/>
  <c r="R51" i="61"/>
  <c r="R69" i="61"/>
  <c r="R66" i="61"/>
  <c r="R44" i="61"/>
  <c r="R43" i="61"/>
  <c r="R27" i="61"/>
  <c r="R55" i="61"/>
  <c r="R54" i="61"/>
  <c r="R46" i="61"/>
  <c r="R45" i="61"/>
  <c r="R37" i="61"/>
  <c r="R33" i="61"/>
  <c r="R62" i="61"/>
  <c r="R60" i="61"/>
  <c r="R50" i="61"/>
  <c r="R49" i="61"/>
  <c r="R19" i="61"/>
  <c r="F22" i="61"/>
  <c r="F26" i="61"/>
  <c r="R31" i="61"/>
  <c r="R34" i="61"/>
  <c r="R48" i="61"/>
  <c r="N50" i="61"/>
  <c r="L53" i="61"/>
  <c r="N53" i="61" s="1"/>
  <c r="V103" i="63"/>
  <c r="V95" i="63"/>
  <c r="V83" i="63"/>
  <c r="V71" i="63"/>
  <c r="V59" i="63"/>
  <c r="V51" i="63"/>
  <c r="V47" i="63"/>
  <c r="V102" i="63"/>
  <c r="V94" i="63"/>
  <c r="V90" i="63"/>
  <c r="V78" i="63"/>
  <c r="V70" i="63"/>
  <c r="V62" i="63"/>
  <c r="V46" i="63"/>
  <c r="V38" i="63"/>
  <c r="V34" i="63"/>
  <c r="V30" i="63"/>
  <c r="V97" i="63"/>
  <c r="V85" i="63"/>
  <c r="V73" i="63"/>
  <c r="V61" i="63"/>
  <c r="V53" i="63"/>
  <c r="V106" i="63"/>
  <c r="V104" i="63"/>
  <c r="V96" i="63"/>
  <c r="V80" i="63"/>
  <c r="V72" i="63"/>
  <c r="V64" i="63"/>
  <c r="V48" i="63"/>
  <c r="V40" i="63"/>
  <c r="V107" i="63"/>
  <c r="V99" i="63"/>
  <c r="V91" i="63"/>
  <c r="V87" i="63"/>
  <c r="V79" i="63"/>
  <c r="V75" i="63"/>
  <c r="V63" i="63"/>
  <c r="V55" i="63"/>
  <c r="V39" i="63"/>
  <c r="V35" i="63"/>
  <c r="V31" i="63"/>
  <c r="V108" i="63"/>
  <c r="V98" i="63"/>
  <c r="V86" i="63"/>
  <c r="V74" i="63"/>
  <c r="V66" i="63"/>
  <c r="V54" i="63"/>
  <c r="V42" i="63"/>
  <c r="V26" i="63"/>
  <c r="V22" i="63"/>
  <c r="V109" i="63"/>
  <c r="V81" i="63"/>
  <c r="V65" i="63"/>
  <c r="V49" i="63"/>
  <c r="V41" i="63"/>
  <c r="V112" i="63"/>
  <c r="V110" i="63"/>
  <c r="V100" i="63"/>
  <c r="V92" i="63"/>
  <c r="V88" i="63"/>
  <c r="V76" i="63"/>
  <c r="V68" i="63"/>
  <c r="V56" i="63"/>
  <c r="V36" i="63"/>
  <c r="V32" i="63"/>
  <c r="Z12" i="63"/>
  <c r="V119" i="63"/>
  <c r="V116" i="63"/>
  <c r="V114" i="63"/>
  <c r="V84" i="63"/>
  <c r="V60" i="63"/>
  <c r="V52" i="63"/>
  <c r="V44" i="63"/>
  <c r="V28" i="63"/>
  <c r="V24" i="63"/>
  <c r="V20" i="63"/>
  <c r="T16" i="63"/>
  <c r="F31" i="63"/>
  <c r="L62" i="63"/>
  <c r="N62" i="63" s="1"/>
  <c r="V67" i="63"/>
  <c r="R88" i="63"/>
  <c r="R92" i="63"/>
  <c r="F104" i="63"/>
  <c r="V55" i="67"/>
  <c r="V47" i="67"/>
  <c r="V50" i="67"/>
  <c r="V38" i="67"/>
  <c r="V34" i="67"/>
  <c r="V30" i="67"/>
  <c r="V72" i="67"/>
  <c r="V69" i="67"/>
  <c r="V67" i="67"/>
  <c r="V49" i="67"/>
  <c r="V25" i="67"/>
  <c r="V21" i="67"/>
  <c r="V56" i="67"/>
  <c r="V40" i="67"/>
  <c r="V51" i="67"/>
  <c r="V39" i="67"/>
  <c r="V35" i="67"/>
  <c r="V31" i="67"/>
  <c r="V58" i="67"/>
  <c r="V42" i="67"/>
  <c r="V26" i="67"/>
  <c r="V22" i="67"/>
  <c r="V57" i="67"/>
  <c r="V53" i="67"/>
  <c r="V41" i="67"/>
  <c r="V60" i="67"/>
  <c r="V52" i="67"/>
  <c r="V44" i="67"/>
  <c r="V36" i="67"/>
  <c r="V32" i="67"/>
  <c r="Z12" i="67"/>
  <c r="V54" i="67"/>
  <c r="V46" i="67"/>
  <c r="V65" i="67"/>
  <c r="V63" i="67"/>
  <c r="V61" i="67"/>
  <c r="V45" i="67"/>
  <c r="V37" i="67"/>
  <c r="V33" i="67"/>
  <c r="V29" i="67"/>
  <c r="T16" i="67"/>
  <c r="V48" i="67"/>
  <c r="V28" i="67"/>
  <c r="V24" i="67"/>
  <c r="V20" i="67"/>
  <c r="V16" i="67"/>
  <c r="N19" i="67"/>
  <c r="V43" i="67"/>
  <c r="J14" i="58"/>
  <c r="J16" i="58"/>
  <c r="J18" i="58"/>
  <c r="J20" i="58"/>
  <c r="J24" i="58"/>
  <c r="J28" i="58"/>
  <c r="F33" i="58"/>
  <c r="F37" i="58"/>
  <c r="J44" i="58"/>
  <c r="V48" i="58"/>
  <c r="J56" i="58"/>
  <c r="F61" i="58"/>
  <c r="J62" i="58"/>
  <c r="J68" i="58"/>
  <c r="V72" i="58"/>
  <c r="J82" i="58"/>
  <c r="J85" i="58"/>
  <c r="V20" i="59"/>
  <c r="V24" i="59"/>
  <c r="V28" i="59"/>
  <c r="J32" i="59"/>
  <c r="J36" i="59"/>
  <c r="J40" i="59"/>
  <c r="V44" i="59"/>
  <c r="J48" i="59"/>
  <c r="V52" i="59"/>
  <c r="J56" i="59"/>
  <c r="V60" i="59"/>
  <c r="J64" i="59"/>
  <c r="V68" i="59"/>
  <c r="J72" i="59"/>
  <c r="J74" i="59"/>
  <c r="V14" i="60"/>
  <c r="V16" i="60"/>
  <c r="V18" i="60"/>
  <c r="J22" i="60"/>
  <c r="J26" i="60"/>
  <c r="F31" i="60"/>
  <c r="F35" i="60"/>
  <c r="F39" i="60"/>
  <c r="J40" i="60"/>
  <c r="V46" i="60"/>
  <c r="J58" i="60"/>
  <c r="V64" i="60"/>
  <c r="V66" i="60"/>
  <c r="V69" i="60"/>
  <c r="F21" i="61"/>
  <c r="F25" i="61"/>
  <c r="F29" i="61"/>
  <c r="J30" i="61"/>
  <c r="F49" i="61"/>
  <c r="R53" i="61"/>
  <c r="J55" i="61"/>
  <c r="F66" i="61"/>
  <c r="V21" i="63"/>
  <c r="V23" i="63"/>
  <c r="V58" i="63"/>
  <c r="F72" i="63"/>
  <c r="F91" i="63"/>
  <c r="N95" i="63"/>
  <c r="L97" i="63"/>
  <c r="N97" i="63" s="1"/>
  <c r="N106" i="63"/>
  <c r="Z19" i="67"/>
  <c r="X19" i="67"/>
  <c r="L50" i="67"/>
  <c r="N50" i="67" s="1"/>
  <c r="Z60" i="67"/>
  <c r="J19" i="58"/>
  <c r="V25" i="58"/>
  <c r="V29" i="58"/>
  <c r="J33" i="58"/>
  <c r="J37" i="58"/>
  <c r="F41" i="58"/>
  <c r="F42" i="58"/>
  <c r="J43" i="58"/>
  <c r="V49" i="58"/>
  <c r="F53" i="58"/>
  <c r="F54" i="58"/>
  <c r="J55" i="58"/>
  <c r="V57" i="58"/>
  <c r="J61" i="58"/>
  <c r="V65" i="58"/>
  <c r="V73" i="58"/>
  <c r="F80" i="58"/>
  <c r="V33" i="59"/>
  <c r="V37" i="59"/>
  <c r="V41" i="59"/>
  <c r="J47" i="59"/>
  <c r="V53" i="59"/>
  <c r="V57" i="59"/>
  <c r="J63" i="59"/>
  <c r="V65" i="59"/>
  <c r="F48" i="60"/>
  <c r="F55" i="60"/>
  <c r="F56" i="60"/>
  <c r="J57" i="60"/>
  <c r="D16" i="61"/>
  <c r="R22" i="61"/>
  <c r="R26" i="61"/>
  <c r="R36" i="61"/>
  <c r="F38" i="61"/>
  <c r="R39" i="61"/>
  <c r="F42" i="61"/>
  <c r="J49" i="61"/>
  <c r="Z50" i="61"/>
  <c r="X53" i="61"/>
  <c r="Z53" i="61" s="1"/>
  <c r="R58" i="61"/>
  <c r="J62" i="61"/>
  <c r="J42" i="58"/>
  <c r="J54" i="58"/>
  <c r="F67" i="58"/>
  <c r="F76" i="58"/>
  <c r="F78" i="58"/>
  <c r="J80" i="58"/>
  <c r="V58" i="59"/>
  <c r="V66" i="59"/>
  <c r="V76" i="59"/>
  <c r="F14" i="61"/>
  <c r="F16" i="61"/>
  <c r="F18" i="61"/>
  <c r="F28" i="61"/>
  <c r="F32" i="61"/>
  <c r="N42" i="61"/>
  <c r="R52" i="61"/>
  <c r="Z19" i="63"/>
  <c r="X19" i="63"/>
  <c r="L12" i="58"/>
  <c r="J23" i="58"/>
  <c r="J27" i="58"/>
  <c r="F32" i="58"/>
  <c r="F36" i="58"/>
  <c r="F40" i="58"/>
  <c r="J41" i="58"/>
  <c r="V47" i="58"/>
  <c r="F51" i="58"/>
  <c r="F52" i="58"/>
  <c r="J53" i="58"/>
  <c r="F59" i="58"/>
  <c r="F60" i="58"/>
  <c r="V63" i="58"/>
  <c r="J67" i="58"/>
  <c r="V71" i="58"/>
  <c r="V51" i="59"/>
  <c r="J55" i="59"/>
  <c r="D16" i="60"/>
  <c r="F29" i="60"/>
  <c r="F30" i="60"/>
  <c r="F34" i="60"/>
  <c r="F38" i="60"/>
  <c r="V49" i="60"/>
  <c r="F54" i="60"/>
  <c r="J55" i="60"/>
  <c r="H16" i="61"/>
  <c r="F19" i="61"/>
  <c r="F20" i="61"/>
  <c r="F24" i="61"/>
  <c r="J28" i="61"/>
  <c r="L42" i="61"/>
  <c r="X50" i="61"/>
  <c r="F57" i="61"/>
  <c r="F22" i="63"/>
  <c r="V43" i="63"/>
  <c r="F54" i="63"/>
  <c r="V57" i="63"/>
  <c r="F63" i="63"/>
  <c r="R68" i="63"/>
  <c r="V89" i="63"/>
  <c r="Z97" i="63"/>
  <c r="N12" i="58"/>
  <c r="J32" i="58"/>
  <c r="J36" i="58"/>
  <c r="J40" i="58"/>
  <c r="V44" i="58"/>
  <c r="J52" i="58"/>
  <c r="V56" i="58"/>
  <c r="J60" i="58"/>
  <c r="V64" i="58"/>
  <c r="V68" i="58"/>
  <c r="J76" i="58"/>
  <c r="J78" i="58"/>
  <c r="V32" i="59"/>
  <c r="V36" i="59"/>
  <c r="V40" i="59"/>
  <c r="V48" i="59"/>
  <c r="V56" i="59"/>
  <c r="V64" i="59"/>
  <c r="F14" i="60"/>
  <c r="F16" i="60"/>
  <c r="F18" i="60"/>
  <c r="V22" i="60"/>
  <c r="V26" i="60"/>
  <c r="J30" i="60"/>
  <c r="J34" i="60"/>
  <c r="J38" i="60"/>
  <c r="V42" i="60"/>
  <c r="F46" i="60"/>
  <c r="F47" i="60"/>
  <c r="V50" i="60"/>
  <c r="J54" i="60"/>
  <c r="V58" i="60"/>
  <c r="V60" i="60"/>
  <c r="V62" i="60"/>
  <c r="F66" i="60"/>
  <c r="F69" i="60"/>
  <c r="J14" i="61"/>
  <c r="J16" i="61"/>
  <c r="J18" i="61"/>
  <c r="J20" i="61"/>
  <c r="R21" i="61"/>
  <c r="J24" i="61"/>
  <c r="R25" i="61"/>
  <c r="J41" i="61"/>
  <c r="N40" i="63"/>
  <c r="L80" i="63"/>
  <c r="N80" i="63" s="1"/>
  <c r="N103" i="63"/>
  <c r="R110" i="63"/>
  <c r="Z18" i="67"/>
  <c r="Z44" i="67"/>
  <c r="Z50" i="67"/>
  <c r="H16" i="60"/>
  <c r="F56" i="61"/>
  <c r="F55" i="61"/>
  <c r="F47" i="61"/>
  <c r="F62" i="61"/>
  <c r="F60" i="61"/>
  <c r="F51" i="61"/>
  <c r="F50" i="61"/>
  <c r="F39" i="61"/>
  <c r="F35" i="61"/>
  <c r="F31" i="61"/>
  <c r="F64" i="61"/>
  <c r="F41" i="61"/>
  <c r="F40" i="61"/>
  <c r="F45" i="61"/>
  <c r="F44" i="61"/>
  <c r="F37" i="61"/>
  <c r="F33" i="61"/>
  <c r="F34" i="61"/>
  <c r="F48" i="61"/>
  <c r="F69" i="61"/>
  <c r="Z18" i="63"/>
  <c r="V14" i="58"/>
  <c r="V16" i="58"/>
  <c r="V18" i="58"/>
  <c r="J22" i="58"/>
  <c r="J26" i="58"/>
  <c r="F30" i="58"/>
  <c r="F31" i="58"/>
  <c r="F35" i="58"/>
  <c r="F39" i="58"/>
  <c r="V42" i="58"/>
  <c r="J50" i="58"/>
  <c r="V54" i="58"/>
  <c r="J58" i="58"/>
  <c r="V62" i="58"/>
  <c r="J66" i="58"/>
  <c r="J74" i="58"/>
  <c r="V80" i="58"/>
  <c r="V82" i="58"/>
  <c r="V85" i="58"/>
  <c r="J20" i="59"/>
  <c r="V22" i="59"/>
  <c r="V26" i="59"/>
  <c r="V30" i="59"/>
  <c r="J34" i="59"/>
  <c r="J38" i="59"/>
  <c r="J44" i="59"/>
  <c r="V46" i="59"/>
  <c r="J54" i="59"/>
  <c r="J60" i="59"/>
  <c r="V62" i="59"/>
  <c r="J68" i="59"/>
  <c r="V70" i="59"/>
  <c r="V72" i="59"/>
  <c r="J14" i="60"/>
  <c r="J16" i="60"/>
  <c r="J18" i="60"/>
  <c r="J20" i="60"/>
  <c r="J24" i="60"/>
  <c r="J28" i="60"/>
  <c r="F33" i="60"/>
  <c r="F37" i="60"/>
  <c r="V40" i="60"/>
  <c r="F44" i="60"/>
  <c r="F45" i="60"/>
  <c r="J46" i="60"/>
  <c r="V48" i="60"/>
  <c r="F52" i="60"/>
  <c r="F53" i="60"/>
  <c r="V56" i="60"/>
  <c r="J66" i="60"/>
  <c r="J69" i="60"/>
  <c r="J57" i="61"/>
  <c r="J58" i="61"/>
  <c r="J48" i="61"/>
  <c r="J64" i="61"/>
  <c r="J40" i="61"/>
  <c r="J69" i="61"/>
  <c r="J66" i="61"/>
  <c r="J52" i="61"/>
  <c r="J42" i="61"/>
  <c r="J36" i="61"/>
  <c r="J32" i="61"/>
  <c r="J56" i="61"/>
  <c r="J46" i="61"/>
  <c r="F23" i="61"/>
  <c r="F27" i="61"/>
  <c r="R28" i="61"/>
  <c r="R29" i="61"/>
  <c r="J31" i="61"/>
  <c r="J34" i="61"/>
  <c r="J37" i="61"/>
  <c r="N48" i="61"/>
  <c r="J60" i="61"/>
  <c r="F109" i="63"/>
  <c r="F100" i="63"/>
  <c r="F99" i="63"/>
  <c r="F92" i="63"/>
  <c r="F88" i="63"/>
  <c r="F87" i="63"/>
  <c r="F76" i="63"/>
  <c r="F75" i="63"/>
  <c r="F56" i="63"/>
  <c r="F55" i="63"/>
  <c r="F36" i="63"/>
  <c r="F32" i="63"/>
  <c r="L12" i="63"/>
  <c r="F110" i="63"/>
  <c r="F67" i="63"/>
  <c r="F66" i="63"/>
  <c r="F43" i="63"/>
  <c r="F42" i="63"/>
  <c r="F27" i="63"/>
  <c r="F23" i="63"/>
  <c r="F82" i="63"/>
  <c r="F50" i="63"/>
  <c r="F112" i="63"/>
  <c r="F101" i="63"/>
  <c r="F93" i="63"/>
  <c r="F89" i="63"/>
  <c r="F77" i="63"/>
  <c r="F69" i="63"/>
  <c r="F68" i="63"/>
  <c r="F57" i="63"/>
  <c r="F37" i="63"/>
  <c r="F33" i="63"/>
  <c r="F114" i="63"/>
  <c r="F44" i="63"/>
  <c r="F28" i="63"/>
  <c r="F24" i="63"/>
  <c r="F20" i="63"/>
  <c r="F19" i="63"/>
  <c r="F83" i="63"/>
  <c r="F59" i="63"/>
  <c r="F58" i="63"/>
  <c r="F51" i="63"/>
  <c r="F18" i="63"/>
  <c r="F16" i="63"/>
  <c r="F14" i="63"/>
  <c r="F102" i="63"/>
  <c r="F94" i="63"/>
  <c r="F90" i="63"/>
  <c r="F78" i="63"/>
  <c r="F70" i="63"/>
  <c r="F46" i="63"/>
  <c r="F45" i="63"/>
  <c r="F38" i="63"/>
  <c r="F34" i="63"/>
  <c r="F30" i="63"/>
  <c r="F29" i="63"/>
  <c r="D16" i="63"/>
  <c r="F119" i="63"/>
  <c r="F116" i="63"/>
  <c r="F85" i="63"/>
  <c r="F84" i="63"/>
  <c r="F61" i="63"/>
  <c r="F60" i="63"/>
  <c r="F53" i="63"/>
  <c r="F52" i="63"/>
  <c r="F25" i="63"/>
  <c r="F21" i="63"/>
  <c r="F108" i="63"/>
  <c r="F106" i="63"/>
  <c r="F81" i="63"/>
  <c r="F80" i="63"/>
  <c r="F65" i="63"/>
  <c r="F64" i="63"/>
  <c r="F49" i="63"/>
  <c r="F41" i="63"/>
  <c r="F40" i="63"/>
  <c r="F71" i="63"/>
  <c r="N73" i="63"/>
  <c r="L73" i="63"/>
  <c r="V82" i="63"/>
  <c r="F107" i="63"/>
  <c r="R112" i="63"/>
  <c r="V59" i="67"/>
  <c r="J31" i="58"/>
  <c r="J35" i="58"/>
  <c r="J39" i="58"/>
  <c r="V43" i="58"/>
  <c r="F47" i="58"/>
  <c r="F48" i="58"/>
  <c r="J49" i="58"/>
  <c r="V55" i="58"/>
  <c r="V67" i="58"/>
  <c r="F71" i="58"/>
  <c r="F72" i="58"/>
  <c r="J73" i="58"/>
  <c r="V31" i="59"/>
  <c r="V35" i="59"/>
  <c r="V39" i="59"/>
  <c r="V47" i="59"/>
  <c r="J53" i="59"/>
  <c r="V55" i="59"/>
  <c r="J59" i="59"/>
  <c r="J67" i="59"/>
  <c r="X40" i="60"/>
  <c r="Z40" i="60" s="1"/>
  <c r="L46" i="60"/>
  <c r="N46" i="60" s="1"/>
  <c r="J53" i="60"/>
  <c r="V57" i="60"/>
  <c r="F64" i="60"/>
  <c r="L12" i="61"/>
  <c r="R20" i="61"/>
  <c r="R24" i="61"/>
  <c r="R41" i="61"/>
  <c r="N44" i="61"/>
  <c r="R57" i="61"/>
  <c r="L60" i="61"/>
  <c r="X18" i="63"/>
  <c r="N71" i="63"/>
  <c r="F79" i="63"/>
  <c r="R146" i="68"/>
  <c r="R145" i="68"/>
  <c r="R110" i="68"/>
  <c r="R109" i="68"/>
  <c r="R85" i="68"/>
  <c r="R81" i="68"/>
  <c r="R101" i="68"/>
  <c r="R100" i="68"/>
  <c r="R72" i="68"/>
  <c r="R68" i="68"/>
  <c r="R64" i="68"/>
  <c r="R60" i="68"/>
  <c r="R56" i="68"/>
  <c r="R147" i="68"/>
  <c r="R140" i="68"/>
  <c r="R139" i="68"/>
  <c r="R132" i="68"/>
  <c r="R131" i="68"/>
  <c r="R127" i="68"/>
  <c r="R123" i="68"/>
  <c r="R119" i="68"/>
  <c r="R115" i="68"/>
  <c r="R111" i="68"/>
  <c r="R95" i="68"/>
  <c r="R91" i="68"/>
  <c r="R52" i="68"/>
  <c r="R141" i="68"/>
  <c r="R134" i="68"/>
  <c r="R133" i="68"/>
  <c r="R78" i="68"/>
  <c r="R73" i="68"/>
  <c r="R69" i="68"/>
  <c r="R65" i="68"/>
  <c r="R61" i="68"/>
  <c r="R128" i="68"/>
  <c r="R124" i="68"/>
  <c r="R120" i="68"/>
  <c r="R116" i="68"/>
  <c r="R112" i="68"/>
  <c r="R104" i="68"/>
  <c r="R96" i="68"/>
  <c r="R92" i="68"/>
  <c r="R77" i="68"/>
  <c r="R135" i="68"/>
  <c r="R88" i="68"/>
  <c r="R87" i="68"/>
  <c r="R83" i="68"/>
  <c r="R79" i="68"/>
  <c r="P75" i="68"/>
  <c r="R154" i="68"/>
  <c r="R142" i="68"/>
  <c r="R70" i="68"/>
  <c r="R66" i="68"/>
  <c r="R62" i="68"/>
  <c r="R58" i="68"/>
  <c r="R54" i="68"/>
  <c r="R138" i="68"/>
  <c r="R130" i="68"/>
  <c r="R126" i="68"/>
  <c r="R122" i="68"/>
  <c r="R118" i="68"/>
  <c r="R114" i="68"/>
  <c r="R99" i="68"/>
  <c r="R98" i="68"/>
  <c r="R94" i="68"/>
  <c r="R90" i="68"/>
  <c r="R121" i="68"/>
  <c r="R136" i="68"/>
  <c r="R117" i="68"/>
  <c r="R102" i="68"/>
  <c r="R113" i="68"/>
  <c r="R71" i="68"/>
  <c r="R67" i="68"/>
  <c r="X12" i="68"/>
  <c r="Z12" i="68" s="1"/>
  <c r="R143" i="68"/>
  <c r="R137" i="68"/>
  <c r="R63" i="68"/>
  <c r="R149" i="68"/>
  <c r="R103" i="68"/>
  <c r="R107" i="68"/>
  <c r="R59" i="68"/>
  <c r="R105" i="68"/>
  <c r="R86" i="68"/>
  <c r="R82" i="68"/>
  <c r="R80" i="68"/>
  <c r="R57" i="68"/>
  <c r="R144" i="68"/>
  <c r="R84" i="68"/>
  <c r="R150" i="68"/>
  <c r="R93" i="68"/>
  <c r="R55" i="68"/>
  <c r="R129" i="68"/>
  <c r="R97" i="68"/>
  <c r="R89" i="68"/>
  <c r="R125" i="68"/>
  <c r="R108" i="68"/>
  <c r="R106" i="68"/>
  <c r="R53" i="68"/>
  <c r="F21" i="58"/>
  <c r="F25" i="58"/>
  <c r="F29" i="58"/>
  <c r="J30" i="58"/>
  <c r="V32" i="58"/>
  <c r="V36" i="58"/>
  <c r="V40" i="58"/>
  <c r="J48" i="58"/>
  <c r="V52" i="58"/>
  <c r="F57" i="58"/>
  <c r="F64" i="58"/>
  <c r="J24" i="59"/>
  <c r="J28" i="59"/>
  <c r="J42" i="59"/>
  <c r="J52" i="59"/>
  <c r="J58" i="59"/>
  <c r="J66" i="59"/>
  <c r="J78" i="59"/>
  <c r="F23" i="60"/>
  <c r="F27" i="60"/>
  <c r="V30" i="60"/>
  <c r="V34" i="60"/>
  <c r="V38" i="60"/>
  <c r="F42" i="60"/>
  <c r="F43" i="60"/>
  <c r="J44" i="60"/>
  <c r="F50" i="60"/>
  <c r="F51" i="60"/>
  <c r="J52" i="60"/>
  <c r="F60" i="60"/>
  <c r="N12" i="61"/>
  <c r="R14" i="61"/>
  <c r="R16" i="61"/>
  <c r="R18" i="61"/>
  <c r="X42" i="61"/>
  <c r="Z42" i="61" s="1"/>
  <c r="J44" i="61"/>
  <c r="J47" i="61"/>
  <c r="X48" i="61"/>
  <c r="Z48" i="61" s="1"/>
  <c r="F53" i="61"/>
  <c r="R64" i="61"/>
  <c r="R114" i="63"/>
  <c r="R45" i="63"/>
  <c r="R44" i="63"/>
  <c r="R29" i="63"/>
  <c r="R28" i="63"/>
  <c r="R24" i="63"/>
  <c r="R20" i="63"/>
  <c r="P16" i="63"/>
  <c r="R119" i="63"/>
  <c r="R116" i="63"/>
  <c r="R84" i="63"/>
  <c r="R83" i="63"/>
  <c r="R60" i="63"/>
  <c r="R59" i="63"/>
  <c r="R52" i="63"/>
  <c r="R51" i="63"/>
  <c r="R103" i="63"/>
  <c r="R102" i="63"/>
  <c r="R95" i="63"/>
  <c r="R94" i="63"/>
  <c r="R90" i="63"/>
  <c r="R78" i="63"/>
  <c r="R71" i="63"/>
  <c r="R70" i="63"/>
  <c r="R47" i="63"/>
  <c r="R46" i="63"/>
  <c r="R38" i="63"/>
  <c r="R34" i="63"/>
  <c r="R30" i="63"/>
  <c r="R85" i="63"/>
  <c r="R62" i="63"/>
  <c r="R61" i="63"/>
  <c r="R53" i="63"/>
  <c r="R25" i="63"/>
  <c r="R21" i="63"/>
  <c r="R104" i="63"/>
  <c r="R97" i="63"/>
  <c r="R96" i="63"/>
  <c r="R73" i="63"/>
  <c r="R72" i="63"/>
  <c r="R48" i="63"/>
  <c r="R107" i="63"/>
  <c r="R106" i="63"/>
  <c r="R91" i="63"/>
  <c r="R80" i="63"/>
  <c r="R79" i="63"/>
  <c r="R64" i="63"/>
  <c r="R63" i="63"/>
  <c r="R40" i="63"/>
  <c r="R39" i="63"/>
  <c r="R35" i="63"/>
  <c r="R31" i="63"/>
  <c r="R108" i="63"/>
  <c r="R99" i="63"/>
  <c r="R98" i="63"/>
  <c r="R87" i="63"/>
  <c r="R86" i="63"/>
  <c r="R75" i="63"/>
  <c r="R74" i="63"/>
  <c r="R55" i="63"/>
  <c r="R54" i="63"/>
  <c r="R26" i="63"/>
  <c r="R22" i="63"/>
  <c r="R109" i="63"/>
  <c r="R81" i="63"/>
  <c r="R66" i="63"/>
  <c r="R65" i="63"/>
  <c r="R49" i="63"/>
  <c r="R42" i="63"/>
  <c r="R41" i="63"/>
  <c r="R101" i="63"/>
  <c r="R93" i="63"/>
  <c r="R89" i="63"/>
  <c r="R77" i="63"/>
  <c r="R69" i="63"/>
  <c r="R58" i="63"/>
  <c r="R57" i="63"/>
  <c r="R37" i="63"/>
  <c r="R33" i="63"/>
  <c r="R18" i="63"/>
  <c r="R16" i="63"/>
  <c r="R14" i="63"/>
  <c r="F35" i="63"/>
  <c r="F39" i="63"/>
  <c r="F48" i="63"/>
  <c r="V50" i="63"/>
  <c r="R67" i="63"/>
  <c r="V69" i="63"/>
  <c r="N12" i="63"/>
  <c r="J32" i="63"/>
  <c r="J36" i="63"/>
  <c r="J42" i="63"/>
  <c r="J56" i="63"/>
  <c r="J66" i="63"/>
  <c r="J76" i="63"/>
  <c r="J88" i="63"/>
  <c r="J92" i="63"/>
  <c r="J100" i="63"/>
  <c r="J109" i="63"/>
  <c r="N12" i="67"/>
  <c r="R14" i="67"/>
  <c r="R16" i="67"/>
  <c r="R18" i="67"/>
  <c r="J32" i="67"/>
  <c r="R33" i="67"/>
  <c r="J36" i="67"/>
  <c r="R37" i="67"/>
  <c r="F40" i="67"/>
  <c r="F41" i="67"/>
  <c r="J42" i="67"/>
  <c r="R45" i="67"/>
  <c r="R46" i="67"/>
  <c r="J52" i="67"/>
  <c r="F57" i="67"/>
  <c r="J58" i="67"/>
  <c r="R61" i="67"/>
  <c r="J66" i="68"/>
  <c r="V138" i="68"/>
  <c r="L144" i="68"/>
  <c r="N25" i="69"/>
  <c r="R29" i="69"/>
  <c r="Z35" i="69"/>
  <c r="V39" i="69"/>
  <c r="V41" i="69"/>
  <c r="V43" i="69"/>
  <c r="R52" i="69"/>
  <c r="Z68" i="69"/>
  <c r="D12" i="70"/>
  <c r="V97" i="70"/>
  <c r="L100" i="70"/>
  <c r="R19" i="67"/>
  <c r="R54" i="67"/>
  <c r="J70" i="68"/>
  <c r="H75" i="68"/>
  <c r="X108" i="68"/>
  <c r="Z108" i="68" s="1"/>
  <c r="J112" i="68"/>
  <c r="N144" i="68"/>
  <c r="R69" i="69"/>
  <c r="R53" i="69"/>
  <c r="R44" i="69"/>
  <c r="R40" i="69"/>
  <c r="R36" i="69"/>
  <c r="R17" i="69"/>
  <c r="R81" i="69"/>
  <c r="R64" i="69"/>
  <c r="R63" i="69"/>
  <c r="R31" i="69"/>
  <c r="R27" i="69"/>
  <c r="R65" i="69"/>
  <c r="R46" i="69"/>
  <c r="R45" i="69"/>
  <c r="R41" i="69"/>
  <c r="R37" i="69"/>
  <c r="R57" i="69"/>
  <c r="R56" i="69"/>
  <c r="R32" i="69"/>
  <c r="R28" i="69"/>
  <c r="R72" i="69"/>
  <c r="R71" i="69"/>
  <c r="R48" i="69"/>
  <c r="R47" i="69"/>
  <c r="R19" i="69"/>
  <c r="R66" i="69"/>
  <c r="R59" i="69"/>
  <c r="R58" i="69"/>
  <c r="R42" i="69"/>
  <c r="R38" i="69"/>
  <c r="X12" i="69"/>
  <c r="Z12" i="69" s="1"/>
  <c r="R77" i="69"/>
  <c r="R62" i="69"/>
  <c r="R35" i="69"/>
  <c r="R34" i="69"/>
  <c r="R30" i="69"/>
  <c r="R26" i="69"/>
  <c r="P22" i="69"/>
  <c r="R22" i="69" s="1"/>
  <c r="T22" i="69"/>
  <c r="V22" i="69" s="1"/>
  <c r="V35" i="69"/>
  <c r="R50" i="69"/>
  <c r="Z52" i="69"/>
  <c r="N102" i="70"/>
  <c r="R59" i="67"/>
  <c r="R60" i="67"/>
  <c r="D12" i="68"/>
  <c r="J75" i="68"/>
  <c r="J99" i="68"/>
  <c r="J116" i="68"/>
  <c r="N146" i="68"/>
  <c r="V64" i="69"/>
  <c r="V44" i="69"/>
  <c r="V40" i="69"/>
  <c r="V36" i="69"/>
  <c r="V81" i="69"/>
  <c r="V63" i="69"/>
  <c r="V55" i="69"/>
  <c r="V31" i="69"/>
  <c r="V27" i="69"/>
  <c r="V70" i="69"/>
  <c r="V54" i="69"/>
  <c r="V46" i="69"/>
  <c r="V18" i="69"/>
  <c r="V72" i="69"/>
  <c r="V56" i="69"/>
  <c r="V48" i="69"/>
  <c r="V32" i="69"/>
  <c r="V28" i="69"/>
  <c r="V71" i="69"/>
  <c r="V59" i="69"/>
  <c r="V47" i="69"/>
  <c r="V19" i="69"/>
  <c r="V74" i="69"/>
  <c r="V66" i="69"/>
  <c r="V58" i="69"/>
  <c r="V50" i="69"/>
  <c r="V42" i="69"/>
  <c r="V38" i="69"/>
  <c r="V73" i="69"/>
  <c r="V61" i="69"/>
  <c r="V49" i="69"/>
  <c r="V33" i="69"/>
  <c r="V29" i="69"/>
  <c r="V25" i="69"/>
  <c r="V69" i="69"/>
  <c r="V53" i="69"/>
  <c r="V17" i="69"/>
  <c r="V52" i="69"/>
  <c r="V129" i="70"/>
  <c r="V121" i="70"/>
  <c r="V109" i="70"/>
  <c r="V105" i="70"/>
  <c r="V89" i="70"/>
  <c r="V65" i="70"/>
  <c r="V61" i="70"/>
  <c r="V57" i="70"/>
  <c r="V53" i="70"/>
  <c r="V49" i="70"/>
  <c r="V45" i="70"/>
  <c r="V128" i="70"/>
  <c r="V100" i="70"/>
  <c r="V84" i="70"/>
  <c r="V80" i="70"/>
  <c r="T63" i="70"/>
  <c r="V63" i="70" s="1"/>
  <c r="V141" i="70"/>
  <c r="V115" i="70"/>
  <c r="V99" i="70"/>
  <c r="V91" i="70"/>
  <c r="V75" i="70"/>
  <c r="V71" i="70"/>
  <c r="V67" i="70"/>
  <c r="V130" i="70"/>
  <c r="V122" i="70"/>
  <c r="V110" i="70"/>
  <c r="V106" i="70"/>
  <c r="V102" i="70"/>
  <c r="V58" i="70"/>
  <c r="V54" i="70"/>
  <c r="V50" i="70"/>
  <c r="V46" i="70"/>
  <c r="V117" i="70"/>
  <c r="V101" i="70"/>
  <c r="V93" i="70"/>
  <c r="V85" i="70"/>
  <c r="V81" i="70"/>
  <c r="V77" i="70"/>
  <c r="V124" i="70"/>
  <c r="V116" i="70"/>
  <c r="V112" i="70"/>
  <c r="V92" i="70"/>
  <c r="V76" i="70"/>
  <c r="V72" i="70"/>
  <c r="V68" i="70"/>
  <c r="V133" i="70"/>
  <c r="V131" i="70"/>
  <c r="V123" i="70"/>
  <c r="V111" i="70"/>
  <c r="V107" i="70"/>
  <c r="V103" i="70"/>
  <c r="V95" i="70"/>
  <c r="V59" i="70"/>
  <c r="V55" i="70"/>
  <c r="V51" i="70"/>
  <c r="V47" i="70"/>
  <c r="V134" i="70"/>
  <c r="V118" i="70"/>
  <c r="V94" i="70"/>
  <c r="V86" i="70"/>
  <c r="V82" i="70"/>
  <c r="V78" i="70"/>
  <c r="V126" i="70"/>
  <c r="V114" i="70"/>
  <c r="V98" i="70"/>
  <c r="V90" i="70"/>
  <c r="V74" i="70"/>
  <c r="V70" i="70"/>
  <c r="V66" i="70"/>
  <c r="V127" i="70"/>
  <c r="V137" i="70"/>
  <c r="J136" i="68"/>
  <c r="J106" i="68"/>
  <c r="J84" i="68"/>
  <c r="J80" i="68"/>
  <c r="J143" i="68"/>
  <c r="J137" i="68"/>
  <c r="J107" i="68"/>
  <c r="J71" i="68"/>
  <c r="J67" i="68"/>
  <c r="J63" i="68"/>
  <c r="J59" i="68"/>
  <c r="J55" i="68"/>
  <c r="J144" i="68"/>
  <c r="J138" i="68"/>
  <c r="J130" i="68"/>
  <c r="J126" i="68"/>
  <c r="J122" i="68"/>
  <c r="J118" i="68"/>
  <c r="J114" i="68"/>
  <c r="J108" i="68"/>
  <c r="J98" i="68"/>
  <c r="J94" i="68"/>
  <c r="J90" i="68"/>
  <c r="J146" i="68"/>
  <c r="J110" i="68"/>
  <c r="J100" i="68"/>
  <c r="J72" i="68"/>
  <c r="J68" i="68"/>
  <c r="J64" i="68"/>
  <c r="J147" i="68"/>
  <c r="J139" i="68"/>
  <c r="J131" i="68"/>
  <c r="J127" i="68"/>
  <c r="J123" i="68"/>
  <c r="J119" i="68"/>
  <c r="J115" i="68"/>
  <c r="J111" i="68"/>
  <c r="J101" i="68"/>
  <c r="J95" i="68"/>
  <c r="J91" i="68"/>
  <c r="J140" i="68"/>
  <c r="J132" i="68"/>
  <c r="J102" i="68"/>
  <c r="J86" i="68"/>
  <c r="J82" i="68"/>
  <c r="J150" i="68"/>
  <c r="J149" i="68"/>
  <c r="J141" i="68"/>
  <c r="J133" i="68"/>
  <c r="J103" i="68"/>
  <c r="J73" i="68"/>
  <c r="J69" i="68"/>
  <c r="J65" i="68"/>
  <c r="J61" i="68"/>
  <c r="J57" i="68"/>
  <c r="J53" i="68"/>
  <c r="J129" i="68"/>
  <c r="J125" i="68"/>
  <c r="J121" i="68"/>
  <c r="J117" i="68"/>
  <c r="J113" i="68"/>
  <c r="J105" i="68"/>
  <c r="J97" i="68"/>
  <c r="J93" i="68"/>
  <c r="J89" i="68"/>
  <c r="J52" i="68"/>
  <c r="N78" i="68"/>
  <c r="L78" i="68"/>
  <c r="J120" i="68"/>
  <c r="V65" i="69"/>
  <c r="Z88" i="70"/>
  <c r="J48" i="63"/>
  <c r="J62" i="63"/>
  <c r="J72" i="63"/>
  <c r="J96" i="63"/>
  <c r="J104" i="63"/>
  <c r="F21" i="67"/>
  <c r="F25" i="67"/>
  <c r="R41" i="67"/>
  <c r="R42" i="67"/>
  <c r="F48" i="67"/>
  <c r="F49" i="67"/>
  <c r="J50" i="67"/>
  <c r="J56" i="67"/>
  <c r="R57" i="67"/>
  <c r="R58" i="67"/>
  <c r="F67" i="67"/>
  <c r="J78" i="68"/>
  <c r="V84" i="68"/>
  <c r="J88" i="68"/>
  <c r="Z99" i="68"/>
  <c r="N103" i="68"/>
  <c r="J109" i="68"/>
  <c r="V114" i="68"/>
  <c r="J124" i="68"/>
  <c r="Z144" i="68"/>
  <c r="N24" i="69"/>
  <c r="L24" i="69"/>
  <c r="Z25" i="69"/>
  <c r="F28" i="69"/>
  <c r="V34" i="69"/>
  <c r="F46" i="69"/>
  <c r="F55" i="69"/>
  <c r="R61" i="69"/>
  <c r="V67" i="69"/>
  <c r="Z74" i="69"/>
  <c r="V88" i="70"/>
  <c r="V96" i="70"/>
  <c r="V104" i="70"/>
  <c r="V108" i="70"/>
  <c r="N51" i="72"/>
  <c r="L51" i="72"/>
  <c r="N80" i="72"/>
  <c r="P12" i="73"/>
  <c r="X13" i="73"/>
  <c r="Z13" i="73" s="1"/>
  <c r="L22" i="73"/>
  <c r="D12" i="73"/>
  <c r="J21" i="63"/>
  <c r="J25" i="63"/>
  <c r="J47" i="63"/>
  <c r="J53" i="63"/>
  <c r="J61" i="63"/>
  <c r="J71" i="63"/>
  <c r="J85" i="63"/>
  <c r="J95" i="63"/>
  <c r="J103" i="63"/>
  <c r="P106" i="63"/>
  <c r="X106" i="63" s="1"/>
  <c r="Z106" i="63" s="1"/>
  <c r="D16" i="67"/>
  <c r="J21" i="67"/>
  <c r="R22" i="67"/>
  <c r="J25" i="67"/>
  <c r="R26" i="67"/>
  <c r="F29" i="67"/>
  <c r="F30" i="67"/>
  <c r="F34" i="67"/>
  <c r="F38" i="67"/>
  <c r="J49" i="67"/>
  <c r="F63" i="67"/>
  <c r="F65" i="67"/>
  <c r="J67" i="67"/>
  <c r="J54" i="68"/>
  <c r="V57" i="68"/>
  <c r="V80" i="68"/>
  <c r="V99" i="68"/>
  <c r="V118" i="68"/>
  <c r="J128" i="68"/>
  <c r="V144" i="68"/>
  <c r="X24" i="69"/>
  <c r="V30" i="69"/>
  <c r="R49" i="69"/>
  <c r="R51" i="69"/>
  <c r="Z61" i="69"/>
  <c r="V77" i="69"/>
  <c r="X88" i="70"/>
  <c r="V70" i="72"/>
  <c r="V62" i="72"/>
  <c r="V72" i="72"/>
  <c r="V64" i="72"/>
  <c r="V89" i="72"/>
  <c r="V80" i="72"/>
  <c r="V79" i="72"/>
  <c r="V75" i="72"/>
  <c r="V59" i="72"/>
  <c r="V39" i="72"/>
  <c r="V82" i="72"/>
  <c r="V58" i="72"/>
  <c r="V81" i="72"/>
  <c r="V69" i="72"/>
  <c r="V85" i="72"/>
  <c r="V83" i="72"/>
  <c r="V71" i="72"/>
  <c r="V63" i="72"/>
  <c r="V55" i="72"/>
  <c r="V49" i="72"/>
  <c r="V46" i="72"/>
  <c r="T27" i="72"/>
  <c r="V73" i="72"/>
  <c r="V43" i="72"/>
  <c r="V40" i="72"/>
  <c r="V35" i="72"/>
  <c r="V31" i="72"/>
  <c r="V68" i="72"/>
  <c r="V22" i="72"/>
  <c r="V66" i="72"/>
  <c r="V60" i="72"/>
  <c r="V51" i="72"/>
  <c r="V50" i="72"/>
  <c r="V77" i="72"/>
  <c r="V41" i="72"/>
  <c r="V36" i="72"/>
  <c r="V32" i="72"/>
  <c r="V61" i="72"/>
  <c r="V57" i="72"/>
  <c r="V56" i="72"/>
  <c r="V47" i="72"/>
  <c r="V23" i="72"/>
  <c r="V44" i="72"/>
  <c r="V53" i="72"/>
  <c r="V52" i="72"/>
  <c r="V37" i="72"/>
  <c r="V33" i="72"/>
  <c r="V67" i="72"/>
  <c r="V65" i="72"/>
  <c r="V42" i="72"/>
  <c r="V24" i="72"/>
  <c r="V54" i="72"/>
  <c r="V29" i="72"/>
  <c r="V25" i="72"/>
  <c r="N22" i="72"/>
  <c r="J22" i="72"/>
  <c r="N40" i="72"/>
  <c r="J51" i="72"/>
  <c r="J30" i="63"/>
  <c r="J34" i="63"/>
  <c r="J38" i="63"/>
  <c r="J46" i="63"/>
  <c r="J52" i="63"/>
  <c r="J60" i="63"/>
  <c r="J70" i="63"/>
  <c r="J78" i="63"/>
  <c r="J84" i="63"/>
  <c r="J90" i="63"/>
  <c r="J94" i="63"/>
  <c r="J102" i="63"/>
  <c r="J116" i="63"/>
  <c r="J119" i="63"/>
  <c r="F14" i="67"/>
  <c r="F16" i="67"/>
  <c r="F18" i="67"/>
  <c r="J30" i="67"/>
  <c r="R31" i="67"/>
  <c r="J34" i="67"/>
  <c r="R35" i="67"/>
  <c r="J38" i="67"/>
  <c r="R39" i="67"/>
  <c r="R40" i="67"/>
  <c r="F46" i="67"/>
  <c r="F47" i="67"/>
  <c r="J48" i="67"/>
  <c r="R51" i="67"/>
  <c r="F55" i="67"/>
  <c r="V59" i="68"/>
  <c r="N77" i="68"/>
  <c r="X78" i="68"/>
  <c r="Z78" i="68" s="1"/>
  <c r="J92" i="68"/>
  <c r="X99" i="68"/>
  <c r="V107" i="68"/>
  <c r="V122" i="68"/>
  <c r="L134" i="68"/>
  <c r="X137" i="68"/>
  <c r="Z137" i="68" s="1"/>
  <c r="R24" i="69"/>
  <c r="F26" i="69"/>
  <c r="J46" i="69"/>
  <c r="V51" i="69"/>
  <c r="X77" i="69"/>
  <c r="V87" i="70"/>
  <c r="H16" i="63"/>
  <c r="J29" i="63"/>
  <c r="J45" i="63"/>
  <c r="J51" i="63"/>
  <c r="J59" i="63"/>
  <c r="J83" i="63"/>
  <c r="H16" i="67"/>
  <c r="F19" i="67"/>
  <c r="F20" i="67"/>
  <c r="F24" i="67"/>
  <c r="F28" i="67"/>
  <c r="J29" i="67"/>
  <c r="J47" i="67"/>
  <c r="J55" i="67"/>
  <c r="R56" i="67"/>
  <c r="J63" i="67"/>
  <c r="J65" i="67"/>
  <c r="R69" i="67"/>
  <c r="R72" i="67"/>
  <c r="V140" i="68"/>
  <c r="V132" i="68"/>
  <c r="V100" i="68"/>
  <c r="V72" i="68"/>
  <c r="V68" i="68"/>
  <c r="V64" i="68"/>
  <c r="V60" i="68"/>
  <c r="V56" i="68"/>
  <c r="V149" i="68"/>
  <c r="V147" i="68"/>
  <c r="V139" i="68"/>
  <c r="V131" i="68"/>
  <c r="V127" i="68"/>
  <c r="V123" i="68"/>
  <c r="V119" i="68"/>
  <c r="V115" i="68"/>
  <c r="V111" i="68"/>
  <c r="V103" i="68"/>
  <c r="V95" i="68"/>
  <c r="V91" i="68"/>
  <c r="V150" i="68"/>
  <c r="V134" i="68"/>
  <c r="V102" i="68"/>
  <c r="V86" i="68"/>
  <c r="V82" i="68"/>
  <c r="V78" i="68"/>
  <c r="V128" i="68"/>
  <c r="V124" i="68"/>
  <c r="V120" i="68"/>
  <c r="V116" i="68"/>
  <c r="V112" i="68"/>
  <c r="V104" i="68"/>
  <c r="V96" i="68"/>
  <c r="V92" i="68"/>
  <c r="V88" i="68"/>
  <c r="T75" i="68"/>
  <c r="V75" i="68" s="1"/>
  <c r="V135" i="68"/>
  <c r="V87" i="68"/>
  <c r="V83" i="68"/>
  <c r="V79" i="68"/>
  <c r="V154" i="68"/>
  <c r="V142" i="68"/>
  <c r="V106" i="68"/>
  <c r="V70" i="68"/>
  <c r="V66" i="68"/>
  <c r="V62" i="68"/>
  <c r="V58" i="68"/>
  <c r="V137" i="68"/>
  <c r="V129" i="68"/>
  <c r="V125" i="68"/>
  <c r="V121" i="68"/>
  <c r="V117" i="68"/>
  <c r="V113" i="68"/>
  <c r="V105" i="68"/>
  <c r="V97" i="68"/>
  <c r="V93" i="68"/>
  <c r="V89" i="68"/>
  <c r="V145" i="68"/>
  <c r="V109" i="68"/>
  <c r="V101" i="68"/>
  <c r="V85" i="68"/>
  <c r="V81" i="68"/>
  <c r="V52" i="68"/>
  <c r="J56" i="68"/>
  <c r="V61" i="68"/>
  <c r="J77" i="68"/>
  <c r="J96" i="68"/>
  <c r="V126" i="68"/>
  <c r="V141" i="68"/>
  <c r="J145" i="68"/>
  <c r="R18" i="69"/>
  <c r="R20" i="69"/>
  <c r="Z24" i="69"/>
  <c r="R55" i="69"/>
  <c r="J57" i="69"/>
  <c r="R60" i="69"/>
  <c r="F62" i="69"/>
  <c r="F64" i="69"/>
  <c r="F86" i="69"/>
  <c r="P12" i="70"/>
  <c r="X13" i="70"/>
  <c r="V136" i="70"/>
  <c r="V38" i="72"/>
  <c r="J61" i="72"/>
  <c r="X67" i="72"/>
  <c r="V78" i="72"/>
  <c r="J44" i="63"/>
  <c r="J58" i="63"/>
  <c r="J114" i="63"/>
  <c r="R21" i="67"/>
  <c r="R25" i="67"/>
  <c r="F33" i="67"/>
  <c r="F37" i="67"/>
  <c r="F44" i="67"/>
  <c r="F45" i="67"/>
  <c r="J46" i="67"/>
  <c r="R49" i="67"/>
  <c r="R50" i="67"/>
  <c r="F60" i="67"/>
  <c r="F61" i="67"/>
  <c r="R67" i="67"/>
  <c r="J81" i="68"/>
  <c r="J83" i="68"/>
  <c r="J85" i="68"/>
  <c r="J87" i="68"/>
  <c r="Z88" i="68"/>
  <c r="V130" i="68"/>
  <c r="N134" i="68"/>
  <c r="V143" i="68"/>
  <c r="V20" i="69"/>
  <c r="V24" i="69"/>
  <c r="V26" i="69"/>
  <c r="Z46" i="69"/>
  <c r="X46" i="69"/>
  <c r="V60" i="69"/>
  <c r="R73" i="69"/>
  <c r="R75" i="69"/>
  <c r="V48" i="70"/>
  <c r="V52" i="70"/>
  <c r="V56" i="70"/>
  <c r="V60" i="70"/>
  <c r="V83" i="70"/>
  <c r="Z67" i="72"/>
  <c r="J57" i="63"/>
  <c r="J69" i="63"/>
  <c r="J77" i="63"/>
  <c r="J89" i="63"/>
  <c r="J93" i="63"/>
  <c r="J101" i="63"/>
  <c r="R30" i="67"/>
  <c r="R34" i="67"/>
  <c r="R38" i="67"/>
  <c r="F53" i="67"/>
  <c r="F54" i="67"/>
  <c r="J61" i="67"/>
  <c r="J58" i="68"/>
  <c r="J79" i="68"/>
  <c r="J134" i="68"/>
  <c r="J154" i="68"/>
  <c r="L68" i="69"/>
  <c r="N68" i="69" s="1"/>
  <c r="V75" i="69"/>
  <c r="V120" i="70"/>
  <c r="P133" i="70"/>
  <c r="X133" i="70" s="1"/>
  <c r="Z133" i="70" s="1"/>
  <c r="L19" i="63"/>
  <c r="J50" i="63"/>
  <c r="J68" i="63"/>
  <c r="X73" i="63"/>
  <c r="Z73" i="63" s="1"/>
  <c r="J82" i="63"/>
  <c r="X97" i="63"/>
  <c r="J112" i="63"/>
  <c r="L19" i="67"/>
  <c r="F23" i="67"/>
  <c r="F27" i="67"/>
  <c r="F42" i="67"/>
  <c r="F43" i="67"/>
  <c r="J44" i="67"/>
  <c r="R47" i="67"/>
  <c r="R48" i="67"/>
  <c r="J54" i="67"/>
  <c r="R55" i="67"/>
  <c r="F58" i="67"/>
  <c r="F59" i="67"/>
  <c r="J60" i="67"/>
  <c r="J60" i="68"/>
  <c r="V71" i="68"/>
  <c r="V73" i="68"/>
  <c r="Z77" i="68"/>
  <c r="J104" i="68"/>
  <c r="N108" i="68"/>
  <c r="L108" i="68"/>
  <c r="F73" i="69"/>
  <c r="F72" i="69"/>
  <c r="F49" i="69"/>
  <c r="F48" i="69"/>
  <c r="F33" i="69"/>
  <c r="F29" i="69"/>
  <c r="F60" i="69"/>
  <c r="F59" i="69"/>
  <c r="F20" i="69"/>
  <c r="F75" i="69"/>
  <c r="F74" i="69"/>
  <c r="F67" i="69"/>
  <c r="F51" i="69"/>
  <c r="F50" i="69"/>
  <c r="F43" i="69"/>
  <c r="F39" i="69"/>
  <c r="F69" i="69"/>
  <c r="F68" i="69"/>
  <c r="F53" i="69"/>
  <c r="F52" i="69"/>
  <c r="F24" i="69"/>
  <c r="F22" i="69"/>
  <c r="F79" i="69"/>
  <c r="F77" i="69"/>
  <c r="F44" i="69"/>
  <c r="F40" i="69"/>
  <c r="F36" i="69"/>
  <c r="F35" i="69"/>
  <c r="D22" i="69"/>
  <c r="F81" i="69"/>
  <c r="F63" i="69"/>
  <c r="F31" i="69"/>
  <c r="F27" i="69"/>
  <c r="F70" i="69"/>
  <c r="F54" i="69"/>
  <c r="F18" i="69"/>
  <c r="F17" i="69"/>
  <c r="F66" i="69"/>
  <c r="F58" i="69"/>
  <c r="F57" i="69"/>
  <c r="F42" i="69"/>
  <c r="F38" i="69"/>
  <c r="L12" i="69"/>
  <c r="N12" i="69" s="1"/>
  <c r="F19" i="69"/>
  <c r="R33" i="69"/>
  <c r="F47" i="69"/>
  <c r="N52" i="69"/>
  <c r="L52" i="69"/>
  <c r="F56" i="69"/>
  <c r="V62" i="69"/>
  <c r="V44" i="70"/>
  <c r="V69" i="70"/>
  <c r="V73" i="70"/>
  <c r="V79" i="70"/>
  <c r="X120" i="70"/>
  <c r="Z120" i="70" s="1"/>
  <c r="J23" i="63"/>
  <c r="J27" i="63"/>
  <c r="J43" i="63"/>
  <c r="J67" i="63"/>
  <c r="L12" i="67"/>
  <c r="P16" i="67"/>
  <c r="R20" i="67"/>
  <c r="J23" i="67"/>
  <c r="R24" i="67"/>
  <c r="J27" i="67"/>
  <c r="R28" i="67"/>
  <c r="R29" i="67"/>
  <c r="F32" i="67"/>
  <c r="F36" i="67"/>
  <c r="J43" i="67"/>
  <c r="J53" i="67"/>
  <c r="R63" i="67"/>
  <c r="J62" i="68"/>
  <c r="V77" i="68"/>
  <c r="N110" i="68"/>
  <c r="Z134" i="68"/>
  <c r="V136" i="68"/>
  <c r="J142" i="68"/>
  <c r="L14" i="69"/>
  <c r="N14" i="69" s="1"/>
  <c r="H79" i="69"/>
  <c r="F25" i="69"/>
  <c r="V37" i="69"/>
  <c r="R39" i="69"/>
  <c r="R43" i="69"/>
  <c r="V45" i="69"/>
  <c r="X52" i="69"/>
  <c r="V57" i="69"/>
  <c r="R68" i="69"/>
  <c r="R70" i="69"/>
  <c r="X44" i="70"/>
  <c r="Z44" i="70" s="1"/>
  <c r="Z97" i="70"/>
  <c r="V113" i="70"/>
  <c r="V119" i="70"/>
  <c r="V135" i="70"/>
  <c r="D12" i="72"/>
  <c r="L16" i="72"/>
  <c r="V34" i="72"/>
  <c r="V45" i="72"/>
  <c r="N80" i="73"/>
  <c r="J29" i="69"/>
  <c r="J33" i="69"/>
  <c r="J49" i="69"/>
  <c r="Z55" i="69"/>
  <c r="J59" i="69"/>
  <c r="J73" i="69"/>
  <c r="J78" i="70"/>
  <c r="J82" i="70"/>
  <c r="J86" i="70"/>
  <c r="J94" i="70"/>
  <c r="Z100" i="70"/>
  <c r="J112" i="70"/>
  <c r="J118" i="70"/>
  <c r="J124" i="70"/>
  <c r="P12" i="72"/>
  <c r="J33" i="72"/>
  <c r="J37" i="72"/>
  <c r="J52" i="72"/>
  <c r="L61" i="72"/>
  <c r="N67" i="72"/>
  <c r="L80" i="73"/>
  <c r="N82" i="73"/>
  <c r="Z104" i="73"/>
  <c r="N56" i="74"/>
  <c r="Z80" i="73"/>
  <c r="J37" i="69"/>
  <c r="J41" i="69"/>
  <c r="J45" i="69"/>
  <c r="J55" i="69"/>
  <c r="J65" i="69"/>
  <c r="J46" i="70"/>
  <c r="J50" i="70"/>
  <c r="J54" i="70"/>
  <c r="J58" i="70"/>
  <c r="H63" i="70"/>
  <c r="J100" i="70"/>
  <c r="J106" i="70"/>
  <c r="J110" i="70"/>
  <c r="J122" i="70"/>
  <c r="J130" i="70"/>
  <c r="J40" i="72"/>
  <c r="J50" i="72"/>
  <c r="J56" i="72"/>
  <c r="X61" i="72"/>
  <c r="L71" i="72"/>
  <c r="J81" i="72"/>
  <c r="D12" i="76"/>
  <c r="J18" i="69"/>
  <c r="J54" i="69"/>
  <c r="J64" i="69"/>
  <c r="J70" i="69"/>
  <c r="J63" i="70"/>
  <c r="J65" i="70"/>
  <c r="J67" i="70"/>
  <c r="J71" i="70"/>
  <c r="J75" i="70"/>
  <c r="J91" i="70"/>
  <c r="J99" i="70"/>
  <c r="J115" i="70"/>
  <c r="J129" i="70"/>
  <c r="J141" i="70"/>
  <c r="H27" i="72"/>
  <c r="T129" i="74"/>
  <c r="V54" i="74"/>
  <c r="L14" i="75"/>
  <c r="D12" i="75"/>
  <c r="J27" i="69"/>
  <c r="J31" i="69"/>
  <c r="J63" i="69"/>
  <c r="J81" i="69"/>
  <c r="J66" i="70"/>
  <c r="J80" i="70"/>
  <c r="J84" i="70"/>
  <c r="J90" i="70"/>
  <c r="J128" i="70"/>
  <c r="J27" i="72"/>
  <c r="J29" i="72"/>
  <c r="J31" i="72"/>
  <c r="J35" i="72"/>
  <c r="J39" i="72"/>
  <c r="N55" i="72"/>
  <c r="J68" i="72"/>
  <c r="N58" i="73"/>
  <c r="D12" i="74"/>
  <c r="H125" i="76"/>
  <c r="J36" i="69"/>
  <c r="J40" i="69"/>
  <c r="J44" i="69"/>
  <c r="J45" i="70"/>
  <c r="J49" i="70"/>
  <c r="J53" i="70"/>
  <c r="J57" i="70"/>
  <c r="J61" i="70"/>
  <c r="J89" i="70"/>
  <c r="J105" i="70"/>
  <c r="J109" i="70"/>
  <c r="J121" i="70"/>
  <c r="J127" i="70"/>
  <c r="J30" i="72"/>
  <c r="J46" i="72"/>
  <c r="J49" i="72"/>
  <c r="J137" i="70"/>
  <c r="Z85" i="73"/>
  <c r="J22" i="69"/>
  <c r="J24" i="69"/>
  <c r="J26" i="69"/>
  <c r="J30" i="69"/>
  <c r="J34" i="69"/>
  <c r="J52" i="69"/>
  <c r="J62" i="69"/>
  <c r="J68" i="69"/>
  <c r="J79" i="70"/>
  <c r="J83" i="70"/>
  <c r="J87" i="70"/>
  <c r="J97" i="70"/>
  <c r="J119" i="70"/>
  <c r="J136" i="70"/>
  <c r="J80" i="72"/>
  <c r="J58" i="72"/>
  <c r="J82" i="72"/>
  <c r="J76" i="72"/>
  <c r="J60" i="72"/>
  <c r="J83" i="72"/>
  <c r="J85" i="72"/>
  <c r="J77" i="72"/>
  <c r="J71" i="72"/>
  <c r="J63" i="72"/>
  <c r="J89" i="72"/>
  <c r="J73" i="72"/>
  <c r="J65" i="72"/>
  <c r="J53" i="72"/>
  <c r="J47" i="72"/>
  <c r="J43" i="72"/>
  <c r="J78" i="72"/>
  <c r="J74" i="72"/>
  <c r="J66" i="72"/>
  <c r="J54" i="72"/>
  <c r="J67" i="72"/>
  <c r="J79" i="72"/>
  <c r="J75" i="72"/>
  <c r="J34" i="72"/>
  <c r="J38" i="72"/>
  <c r="L80" i="72"/>
  <c r="N91" i="73"/>
  <c r="L102" i="73"/>
  <c r="N104" i="73"/>
  <c r="Z83" i="74"/>
  <c r="J39" i="69"/>
  <c r="J43" i="69"/>
  <c r="J51" i="69"/>
  <c r="J61" i="69"/>
  <c r="J67" i="69"/>
  <c r="J75" i="69"/>
  <c r="J48" i="70"/>
  <c r="J52" i="70"/>
  <c r="J56" i="70"/>
  <c r="J60" i="70"/>
  <c r="J96" i="70"/>
  <c r="L97" i="70"/>
  <c r="N97" i="70" s="1"/>
  <c r="J104" i="70"/>
  <c r="J108" i="70"/>
  <c r="J135" i="70"/>
  <c r="X22" i="72"/>
  <c r="Z22" i="72" s="1"/>
  <c r="J45" i="72"/>
  <c r="J20" i="69"/>
  <c r="J50" i="69"/>
  <c r="J60" i="69"/>
  <c r="J69" i="70"/>
  <c r="J73" i="70"/>
  <c r="J95" i="70"/>
  <c r="J113" i="70"/>
  <c r="J125" i="70"/>
  <c r="J133" i="70"/>
  <c r="J24" i="72"/>
  <c r="J42" i="72"/>
  <c r="J48" i="72"/>
  <c r="L67" i="72"/>
  <c r="J72" i="72"/>
  <c r="X102" i="73"/>
  <c r="Z67" i="74"/>
  <c r="V58" i="73"/>
  <c r="V62" i="73"/>
  <c r="V66" i="73"/>
  <c r="J70" i="73"/>
  <c r="J74" i="73"/>
  <c r="J78" i="73"/>
  <c r="V82" i="73"/>
  <c r="J86" i="73"/>
  <c r="V90" i="73"/>
  <c r="J94" i="73"/>
  <c r="J98" i="73"/>
  <c r="J104" i="73"/>
  <c r="V106" i="73"/>
  <c r="J116" i="73"/>
  <c r="J45" i="74"/>
  <c r="J64" i="74"/>
  <c r="J78" i="74"/>
  <c r="J92" i="74"/>
  <c r="Z103" i="74"/>
  <c r="Z62" i="75"/>
  <c r="J85" i="75"/>
  <c r="N119" i="76"/>
  <c r="F47" i="78"/>
  <c r="F43" i="78"/>
  <c r="F71" i="78"/>
  <c r="F62" i="78"/>
  <c r="F54" i="78"/>
  <c r="F53" i="78"/>
  <c r="F38" i="78"/>
  <c r="F34" i="78"/>
  <c r="F72" i="78"/>
  <c r="F25" i="78"/>
  <c r="F21" i="78"/>
  <c r="F20" i="78"/>
  <c r="F74" i="78"/>
  <c r="F63" i="78"/>
  <c r="F39" i="78"/>
  <c r="F35" i="78"/>
  <c r="F75" i="78"/>
  <c r="F26" i="78"/>
  <c r="F22" i="78"/>
  <c r="F65" i="78"/>
  <c r="F64" i="78"/>
  <c r="F57" i="78"/>
  <c r="F49" i="78"/>
  <c r="F36" i="78"/>
  <c r="F32" i="78"/>
  <c r="F31" i="78"/>
  <c r="F68" i="78"/>
  <c r="F67" i="78"/>
  <c r="F52" i="78"/>
  <c r="F51" i="78"/>
  <c r="F24" i="78"/>
  <c r="F60" i="78"/>
  <c r="F79" i="78"/>
  <c r="F37" i="78"/>
  <c r="F58" i="78"/>
  <c r="F40" i="78"/>
  <c r="F30" i="78"/>
  <c r="F73" i="78"/>
  <c r="F56" i="78"/>
  <c r="L12" i="78"/>
  <c r="F45" i="78"/>
  <c r="F33" i="78"/>
  <c r="F41" i="78"/>
  <c r="F61" i="78"/>
  <c r="F59" i="78"/>
  <c r="D28" i="78"/>
  <c r="F44" i="78"/>
  <c r="F42" i="78"/>
  <c r="F23" i="78"/>
  <c r="J35" i="79"/>
  <c r="Z59" i="80"/>
  <c r="V40" i="73"/>
  <c r="V44" i="73"/>
  <c r="V48" i="73"/>
  <c r="V52" i="73"/>
  <c r="J60" i="73"/>
  <c r="J64" i="73"/>
  <c r="J68" i="73"/>
  <c r="V80" i="73"/>
  <c r="J84" i="73"/>
  <c r="V88" i="73"/>
  <c r="J102" i="73"/>
  <c r="J112" i="73"/>
  <c r="N80" i="74"/>
  <c r="Z85" i="74"/>
  <c r="Z66" i="75"/>
  <c r="Z70" i="75"/>
  <c r="P12" i="76"/>
  <c r="X13" i="76"/>
  <c r="Z13" i="76" s="1"/>
  <c r="N108" i="76"/>
  <c r="X121" i="76"/>
  <c r="P119" i="76"/>
  <c r="X119" i="76" s="1"/>
  <c r="Z119" i="76" s="1"/>
  <c r="J20" i="80"/>
  <c r="V61" i="73"/>
  <c r="V65" i="73"/>
  <c r="J73" i="73"/>
  <c r="J77" i="73"/>
  <c r="V89" i="73"/>
  <c r="J93" i="73"/>
  <c r="J97" i="73"/>
  <c r="J101" i="73"/>
  <c r="V105" i="73"/>
  <c r="L36" i="74"/>
  <c r="N36" i="74" s="1"/>
  <c r="J39" i="74"/>
  <c r="J44" i="74"/>
  <c r="J47" i="74"/>
  <c r="J52" i="74"/>
  <c r="V85" i="74"/>
  <c r="J94" i="74"/>
  <c r="J96" i="74"/>
  <c r="J104" i="74"/>
  <c r="J106" i="74"/>
  <c r="J124" i="74"/>
  <c r="J89" i="75"/>
  <c r="J88" i="75"/>
  <c r="J80" i="75"/>
  <c r="J66" i="75"/>
  <c r="J90" i="75"/>
  <c r="J75" i="75"/>
  <c r="J67" i="75"/>
  <c r="J55" i="75"/>
  <c r="J51" i="75"/>
  <c r="J47" i="75"/>
  <c r="J92" i="75"/>
  <c r="J76" i="75"/>
  <c r="J68" i="75"/>
  <c r="J56" i="75"/>
  <c r="J42" i="75"/>
  <c r="J38" i="75"/>
  <c r="J81" i="75"/>
  <c r="J77" i="75"/>
  <c r="J69" i="75"/>
  <c r="J57" i="75"/>
  <c r="J94" i="75"/>
  <c r="J82" i="75"/>
  <c r="J70" i="75"/>
  <c r="J58" i="75"/>
  <c r="J52" i="75"/>
  <c r="J48" i="75"/>
  <c r="J83" i="75"/>
  <c r="J71" i="75"/>
  <c r="J59" i="75"/>
  <c r="J43" i="75"/>
  <c r="J39" i="75"/>
  <c r="J78" i="75"/>
  <c r="J60" i="75"/>
  <c r="J84" i="75"/>
  <c r="J72" i="75"/>
  <c r="J62" i="75"/>
  <c r="J44" i="75"/>
  <c r="J40" i="75"/>
  <c r="J36" i="75"/>
  <c r="J34" i="75"/>
  <c r="J32" i="75"/>
  <c r="J30" i="75"/>
  <c r="J65" i="75"/>
  <c r="J41" i="75"/>
  <c r="J37" i="75"/>
  <c r="L34" i="75"/>
  <c r="N34" i="75" s="1"/>
  <c r="J63" i="75"/>
  <c r="Z68" i="75"/>
  <c r="Z114" i="76"/>
  <c r="J38" i="73"/>
  <c r="J42" i="73"/>
  <c r="J46" i="73"/>
  <c r="J50" i="73"/>
  <c r="H55" i="73"/>
  <c r="V70" i="73"/>
  <c r="V74" i="73"/>
  <c r="V78" i="73"/>
  <c r="V86" i="73"/>
  <c r="V94" i="73"/>
  <c r="V98" i="73"/>
  <c r="J110" i="73"/>
  <c r="V116" i="73"/>
  <c r="J68" i="74"/>
  <c r="J84" i="74"/>
  <c r="X85" i="74"/>
  <c r="J89" i="74"/>
  <c r="J112" i="74"/>
  <c r="J50" i="75"/>
  <c r="J54" i="75"/>
  <c r="L40" i="76"/>
  <c r="N40" i="76" s="1"/>
  <c r="F66" i="78"/>
  <c r="J37" i="73"/>
  <c r="V39" i="73"/>
  <c r="V43" i="73"/>
  <c r="V47" i="73"/>
  <c r="V51" i="73"/>
  <c r="J57" i="73"/>
  <c r="J59" i="73"/>
  <c r="J63" i="73"/>
  <c r="J67" i="73"/>
  <c r="J83" i="73"/>
  <c r="V87" i="73"/>
  <c r="V103" i="73"/>
  <c r="J109" i="73"/>
  <c r="P12" i="74"/>
  <c r="L56" i="74"/>
  <c r="J72" i="74"/>
  <c r="J110" i="74"/>
  <c r="P12" i="75"/>
  <c r="X88" i="75"/>
  <c r="Z104" i="76"/>
  <c r="X104" i="76"/>
  <c r="F78" i="80"/>
  <c r="F77" i="80"/>
  <c r="F62" i="80"/>
  <c r="F61" i="80"/>
  <c r="F34" i="80"/>
  <c r="F30" i="80"/>
  <c r="F26" i="80"/>
  <c r="F25" i="80"/>
  <c r="F73" i="80"/>
  <c r="F53" i="80"/>
  <c r="F52" i="80"/>
  <c r="F24" i="80"/>
  <c r="F22" i="80"/>
  <c r="F80" i="80"/>
  <c r="F79" i="80"/>
  <c r="F68" i="80"/>
  <c r="F44" i="80"/>
  <c r="F40" i="80"/>
  <c r="F36" i="80"/>
  <c r="F35" i="80"/>
  <c r="D22" i="80"/>
  <c r="F63" i="80"/>
  <c r="F31" i="80"/>
  <c r="F27" i="80"/>
  <c r="F82" i="80"/>
  <c r="F81" i="80"/>
  <c r="F74" i="80"/>
  <c r="F70" i="80"/>
  <c r="F69" i="80"/>
  <c r="F54" i="80"/>
  <c r="F18" i="80"/>
  <c r="F17" i="80"/>
  <c r="F45" i="80"/>
  <c r="F41" i="80"/>
  <c r="F37" i="80"/>
  <c r="F64" i="80"/>
  <c r="F56" i="80"/>
  <c r="F55" i="80"/>
  <c r="F32" i="80"/>
  <c r="F28" i="80"/>
  <c r="F86" i="80"/>
  <c r="F84" i="80"/>
  <c r="F75" i="80"/>
  <c r="F71" i="80"/>
  <c r="F47" i="80"/>
  <c r="F46" i="80"/>
  <c r="F19" i="80"/>
  <c r="F88" i="80"/>
  <c r="F66" i="80"/>
  <c r="F65" i="80"/>
  <c r="F58" i="80"/>
  <c r="F57" i="80"/>
  <c r="F42" i="80"/>
  <c r="F38" i="80"/>
  <c r="F93" i="80"/>
  <c r="F90" i="80"/>
  <c r="F67" i="80"/>
  <c r="F51" i="80"/>
  <c r="F50" i="80"/>
  <c r="F43" i="80"/>
  <c r="F39" i="80"/>
  <c r="F59" i="80"/>
  <c r="F33" i="80"/>
  <c r="F49" i="80"/>
  <c r="F60" i="80"/>
  <c r="L12" i="80"/>
  <c r="F76" i="80"/>
  <c r="F48" i="80"/>
  <c r="J58" i="73"/>
  <c r="V60" i="73"/>
  <c r="V64" i="73"/>
  <c r="V68" i="73"/>
  <c r="J72" i="73"/>
  <c r="J76" i="73"/>
  <c r="J82" i="73"/>
  <c r="V84" i="73"/>
  <c r="J92" i="73"/>
  <c r="J96" i="73"/>
  <c r="J100" i="73"/>
  <c r="V104" i="73"/>
  <c r="J108" i="73"/>
  <c r="X13" i="74"/>
  <c r="Z13" i="74" s="1"/>
  <c r="J41" i="74"/>
  <c r="J49" i="74"/>
  <c r="J61" i="74"/>
  <c r="J70" i="74"/>
  <c r="J101" i="74"/>
  <c r="J118" i="74"/>
  <c r="Z76" i="75"/>
  <c r="Z88" i="75"/>
  <c r="N89" i="76"/>
  <c r="L89" i="76"/>
  <c r="T22" i="79"/>
  <c r="Z17" i="79"/>
  <c r="V17" i="79"/>
  <c r="J79" i="80"/>
  <c r="J73" i="80"/>
  <c r="J53" i="80"/>
  <c r="J35" i="80"/>
  <c r="H22" i="80"/>
  <c r="J80" i="80"/>
  <c r="J68" i="80"/>
  <c r="J44" i="80"/>
  <c r="J40" i="80"/>
  <c r="J36" i="80"/>
  <c r="J81" i="80"/>
  <c r="J69" i="80"/>
  <c r="J63" i="80"/>
  <c r="J31" i="80"/>
  <c r="J27" i="80"/>
  <c r="J17" i="80"/>
  <c r="J82" i="80"/>
  <c r="J74" i="80"/>
  <c r="J70" i="80"/>
  <c r="J54" i="80"/>
  <c r="J18" i="80"/>
  <c r="J55" i="80"/>
  <c r="J45" i="80"/>
  <c r="J41" i="80"/>
  <c r="J37" i="80"/>
  <c r="J84" i="80"/>
  <c r="J64" i="80"/>
  <c r="J56" i="80"/>
  <c r="J46" i="80"/>
  <c r="J32" i="80"/>
  <c r="J28" i="80"/>
  <c r="J75" i="80"/>
  <c r="J71" i="80"/>
  <c r="J65" i="80"/>
  <c r="J57" i="80"/>
  <c r="J47" i="80"/>
  <c r="J19" i="80"/>
  <c r="J88" i="80"/>
  <c r="J66" i="80"/>
  <c r="J58" i="80"/>
  <c r="J48" i="80"/>
  <c r="J42" i="80"/>
  <c r="J38" i="80"/>
  <c r="N12" i="80"/>
  <c r="J59" i="80"/>
  <c r="J49" i="80"/>
  <c r="J33" i="80"/>
  <c r="J29" i="80"/>
  <c r="J78" i="80"/>
  <c r="J62" i="80"/>
  <c r="J52" i="80"/>
  <c r="J34" i="80"/>
  <c r="J30" i="80"/>
  <c r="J26" i="80"/>
  <c r="J24" i="80"/>
  <c r="J22" i="80"/>
  <c r="J77" i="80"/>
  <c r="J67" i="80"/>
  <c r="J51" i="80"/>
  <c r="J43" i="80"/>
  <c r="J39" i="80"/>
  <c r="J25" i="80"/>
  <c r="J60" i="80"/>
  <c r="J50" i="80"/>
  <c r="J72" i="80"/>
  <c r="J61" i="80"/>
  <c r="R75" i="78"/>
  <c r="R64" i="78"/>
  <c r="R63" i="78"/>
  <c r="R40" i="78"/>
  <c r="R39" i="78"/>
  <c r="R35" i="78"/>
  <c r="R31" i="78"/>
  <c r="R26" i="78"/>
  <c r="R22" i="78"/>
  <c r="R65" i="78"/>
  <c r="R58" i="78"/>
  <c r="R57" i="78"/>
  <c r="R49" i="78"/>
  <c r="R45" i="78"/>
  <c r="R41" i="78"/>
  <c r="R30" i="78"/>
  <c r="R79" i="78"/>
  <c r="R60" i="78"/>
  <c r="R59" i="78"/>
  <c r="R23" i="78"/>
  <c r="R67" i="78"/>
  <c r="R66" i="78"/>
  <c r="R51" i="78"/>
  <c r="R50" i="78"/>
  <c r="R46" i="78"/>
  <c r="R42" i="78"/>
  <c r="R61" i="78"/>
  <c r="R68" i="78"/>
  <c r="R53" i="78"/>
  <c r="R52" i="78"/>
  <c r="R24" i="78"/>
  <c r="R74" i="78"/>
  <c r="R56" i="78"/>
  <c r="R48" i="78"/>
  <c r="R44" i="78"/>
  <c r="R47" i="78"/>
  <c r="R33" i="78"/>
  <c r="R71" i="78"/>
  <c r="R38" i="78"/>
  <c r="R43" i="78"/>
  <c r="R20" i="78"/>
  <c r="R54" i="78"/>
  <c r="R36" i="78"/>
  <c r="P28" i="78"/>
  <c r="R28" i="78" s="1"/>
  <c r="R25" i="78"/>
  <c r="R55" i="78"/>
  <c r="R34" i="78"/>
  <c r="R72" i="78"/>
  <c r="R32" i="78"/>
  <c r="R21" i="78"/>
  <c r="R73" i="78"/>
  <c r="X12" i="78"/>
  <c r="Z12" i="78" s="1"/>
  <c r="Z69" i="80"/>
  <c r="V69" i="80"/>
  <c r="V38" i="73"/>
  <c r="V42" i="73"/>
  <c r="V46" i="73"/>
  <c r="V50" i="73"/>
  <c r="J62" i="73"/>
  <c r="J66" i="73"/>
  <c r="X69" i="73"/>
  <c r="Z69" i="73" s="1"/>
  <c r="J80" i="73"/>
  <c r="X85" i="73"/>
  <c r="J90" i="73"/>
  <c r="L91" i="73"/>
  <c r="V102" i="73"/>
  <c r="J106" i="73"/>
  <c r="L107" i="73"/>
  <c r="V110" i="73"/>
  <c r="V112" i="73"/>
  <c r="J95" i="74"/>
  <c r="J91" i="74"/>
  <c r="J75" i="74"/>
  <c r="J71" i="74"/>
  <c r="J57" i="74"/>
  <c r="J122" i="74"/>
  <c r="J114" i="74"/>
  <c r="J102" i="74"/>
  <c r="J82" i="74"/>
  <c r="J66" i="74"/>
  <c r="J62" i="74"/>
  <c r="J58" i="74"/>
  <c r="J56" i="74"/>
  <c r="J54" i="74"/>
  <c r="J36" i="74"/>
  <c r="J109" i="74"/>
  <c r="J103" i="74"/>
  <c r="J83" i="74"/>
  <c r="J126" i="74"/>
  <c r="J115" i="74"/>
  <c r="J111" i="74"/>
  <c r="J85" i="74"/>
  <c r="J63" i="74"/>
  <c r="J59" i="74"/>
  <c r="J127" i="74"/>
  <c r="J116" i="74"/>
  <c r="J86" i="74"/>
  <c r="J50" i="74"/>
  <c r="J46" i="74"/>
  <c r="J42" i="74"/>
  <c r="J38" i="74"/>
  <c r="J117" i="74"/>
  <c r="J105" i="74"/>
  <c r="J97" i="74"/>
  <c r="J93" i="74"/>
  <c r="J77" i="74"/>
  <c r="J73" i="74"/>
  <c r="J69" i="74"/>
  <c r="J131" i="74"/>
  <c r="J119" i="74"/>
  <c r="J99" i="74"/>
  <c r="J87" i="74"/>
  <c r="J79" i="74"/>
  <c r="J108" i="74"/>
  <c r="Z57" i="74"/>
  <c r="J74" i="74"/>
  <c r="J88" i="74"/>
  <c r="J98" i="74"/>
  <c r="D124" i="74"/>
  <c r="L124" i="74" s="1"/>
  <c r="N124" i="74" s="1"/>
  <c r="N60" i="75"/>
  <c r="N73" i="75"/>
  <c r="J86" i="75"/>
  <c r="N87" i="76"/>
  <c r="F74" i="79"/>
  <c r="F62" i="79"/>
  <c r="F54" i="79"/>
  <c r="F53" i="79"/>
  <c r="F30" i="79"/>
  <c r="F26" i="79"/>
  <c r="F25" i="79"/>
  <c r="F69" i="79"/>
  <c r="F24" i="79"/>
  <c r="F22" i="79"/>
  <c r="F76" i="79"/>
  <c r="F75" i="79"/>
  <c r="F64" i="79"/>
  <c r="F63" i="79"/>
  <c r="F56" i="79"/>
  <c r="F55" i="79"/>
  <c r="F44" i="79"/>
  <c r="F40" i="79"/>
  <c r="F36" i="79"/>
  <c r="D22" i="79"/>
  <c r="F71" i="79"/>
  <c r="F70" i="79"/>
  <c r="F78" i="79"/>
  <c r="F77" i="79"/>
  <c r="F58" i="79"/>
  <c r="F57" i="79"/>
  <c r="F46" i="79"/>
  <c r="F45" i="79"/>
  <c r="F18" i="79"/>
  <c r="F17" i="79"/>
  <c r="F65" i="79"/>
  <c r="F41" i="79"/>
  <c r="F37" i="79"/>
  <c r="F72" i="79"/>
  <c r="F60" i="79"/>
  <c r="F59" i="79"/>
  <c r="F48" i="79"/>
  <c r="F47" i="79"/>
  <c r="F32" i="79"/>
  <c r="F28" i="79"/>
  <c r="F82" i="79"/>
  <c r="F80" i="79"/>
  <c r="F67" i="79"/>
  <c r="F66" i="79"/>
  <c r="F19" i="79"/>
  <c r="F89" i="79"/>
  <c r="F86" i="79"/>
  <c r="F43" i="79"/>
  <c r="F39" i="79"/>
  <c r="F35" i="79"/>
  <c r="F34" i="79"/>
  <c r="F50" i="79"/>
  <c r="F33" i="79"/>
  <c r="F31" i="79"/>
  <c r="F68" i="79"/>
  <c r="F51" i="79"/>
  <c r="F42" i="79"/>
  <c r="F38" i="79"/>
  <c r="F49" i="79"/>
  <c r="F20" i="79"/>
  <c r="F73" i="79"/>
  <c r="L12" i="79"/>
  <c r="N12" i="79" s="1"/>
  <c r="F61" i="79"/>
  <c r="F52" i="79"/>
  <c r="F29" i="79"/>
  <c r="F27" i="79"/>
  <c r="Z57" i="79"/>
  <c r="V57" i="79"/>
  <c r="V59" i="73"/>
  <c r="V63" i="73"/>
  <c r="V67" i="73"/>
  <c r="J71" i="73"/>
  <c r="J75" i="73"/>
  <c r="J79" i="73"/>
  <c r="V83" i="73"/>
  <c r="J89" i="73"/>
  <c r="J95" i="73"/>
  <c r="J99" i="73"/>
  <c r="Z36" i="74"/>
  <c r="J40" i="74"/>
  <c r="J43" i="74"/>
  <c r="J48" i="74"/>
  <c r="J51" i="74"/>
  <c r="L67" i="74"/>
  <c r="N67" i="74" s="1"/>
  <c r="J81" i="74"/>
  <c r="N88" i="74"/>
  <c r="L103" i="74"/>
  <c r="N103" i="74" s="1"/>
  <c r="J113" i="74"/>
  <c r="J125" i="74"/>
  <c r="N35" i="75"/>
  <c r="N62" i="75"/>
  <c r="J75" i="79"/>
  <c r="J69" i="79"/>
  <c r="J63" i="79"/>
  <c r="J55" i="79"/>
  <c r="H22" i="79"/>
  <c r="J76" i="79"/>
  <c r="J70" i="79"/>
  <c r="J64" i="79"/>
  <c r="J56" i="79"/>
  <c r="J44" i="79"/>
  <c r="J40" i="79"/>
  <c r="J36" i="79"/>
  <c r="J77" i="79"/>
  <c r="J71" i="79"/>
  <c r="J57" i="79"/>
  <c r="J45" i="79"/>
  <c r="J31" i="79"/>
  <c r="J27" i="79"/>
  <c r="J17" i="79"/>
  <c r="J78" i="79"/>
  <c r="J58" i="79"/>
  <c r="J46" i="79"/>
  <c r="J65" i="79"/>
  <c r="J59" i="79"/>
  <c r="J47" i="79"/>
  <c r="J41" i="79"/>
  <c r="J37" i="79"/>
  <c r="J80" i="79"/>
  <c r="J72" i="79"/>
  <c r="J66" i="79"/>
  <c r="J60" i="79"/>
  <c r="J48" i="79"/>
  <c r="J32" i="79"/>
  <c r="J28" i="79"/>
  <c r="J67" i="79"/>
  <c r="J49" i="79"/>
  <c r="J19" i="79"/>
  <c r="J84" i="79"/>
  <c r="J50" i="79"/>
  <c r="J42" i="79"/>
  <c r="J38" i="79"/>
  <c r="J74" i="79"/>
  <c r="J62" i="79"/>
  <c r="J54" i="79"/>
  <c r="J30" i="79"/>
  <c r="J26" i="79"/>
  <c r="J24" i="79"/>
  <c r="J22" i="79"/>
  <c r="J68" i="79"/>
  <c r="J53" i="79"/>
  <c r="J51" i="79"/>
  <c r="J34" i="79"/>
  <c r="J20" i="79"/>
  <c r="J18" i="79"/>
  <c r="J73" i="79"/>
  <c r="J33" i="79"/>
  <c r="J39" i="79"/>
  <c r="J44" i="73"/>
  <c r="J48" i="73"/>
  <c r="J52" i="73"/>
  <c r="T55" i="73"/>
  <c r="V72" i="73"/>
  <c r="V76" i="73"/>
  <c r="J88" i="73"/>
  <c r="V92" i="73"/>
  <c r="V96" i="73"/>
  <c r="V100" i="73"/>
  <c r="V108" i="73"/>
  <c r="J67" i="74"/>
  <c r="N83" i="74"/>
  <c r="L83" i="74"/>
  <c r="J100" i="74"/>
  <c r="H92" i="75"/>
  <c r="Z56" i="75"/>
  <c r="X83" i="76"/>
  <c r="Z83" i="76" s="1"/>
  <c r="F29" i="80"/>
  <c r="V37" i="73"/>
  <c r="V41" i="73"/>
  <c r="V45" i="73"/>
  <c r="V49" i="73"/>
  <c r="V53" i="73"/>
  <c r="V55" i="73"/>
  <c r="V57" i="73"/>
  <c r="J61" i="73"/>
  <c r="J65" i="73"/>
  <c r="V81" i="73"/>
  <c r="J87" i="73"/>
  <c r="H54" i="74"/>
  <c r="Z56" i="74"/>
  <c r="J60" i="74"/>
  <c r="J90" i="74"/>
  <c r="J107" i="74"/>
  <c r="X56" i="75"/>
  <c r="J64" i="75"/>
  <c r="J79" i="75"/>
  <c r="N72" i="76"/>
  <c r="V83" i="76"/>
  <c r="X95" i="76"/>
  <c r="Z95" i="76" s="1"/>
  <c r="Z70" i="79"/>
  <c r="F84" i="79"/>
  <c r="V116" i="74"/>
  <c r="V126" i="74"/>
  <c r="V61" i="76"/>
  <c r="V65" i="76"/>
  <c r="V69" i="76"/>
  <c r="V85" i="76"/>
  <c r="J91" i="76"/>
  <c r="V105" i="76"/>
  <c r="J111" i="76"/>
  <c r="V113" i="76"/>
  <c r="X17" i="79"/>
  <c r="X57" i="79"/>
  <c r="X70" i="79"/>
  <c r="T22" i="80"/>
  <c r="Z17" i="80"/>
  <c r="N59" i="80"/>
  <c r="X69" i="80"/>
  <c r="Z81" i="80"/>
  <c r="V81" i="80"/>
  <c r="X95" i="83"/>
  <c r="V67" i="74"/>
  <c r="V71" i="74"/>
  <c r="V75" i="74"/>
  <c r="V83" i="74"/>
  <c r="V91" i="74"/>
  <c r="V95" i="74"/>
  <c r="V103" i="74"/>
  <c r="V56" i="75"/>
  <c r="V68" i="75"/>
  <c r="V76" i="75"/>
  <c r="V80" i="75"/>
  <c r="V90" i="75"/>
  <c r="V64" i="76"/>
  <c r="V68" i="76"/>
  <c r="J76" i="76"/>
  <c r="J80" i="76"/>
  <c r="J88" i="76"/>
  <c r="V92" i="76"/>
  <c r="V104" i="76"/>
  <c r="V112" i="76"/>
  <c r="V121" i="76"/>
  <c r="Z60" i="78"/>
  <c r="Z70" i="78"/>
  <c r="R36" i="80"/>
  <c r="N50" i="80"/>
  <c r="L50" i="80"/>
  <c r="R80" i="80"/>
  <c r="X95" i="84"/>
  <c r="Z95" i="84"/>
  <c r="N28" i="78"/>
  <c r="H77" i="78"/>
  <c r="Z17" i="83"/>
  <c r="V17" i="83"/>
  <c r="Z25" i="92"/>
  <c r="V57" i="74"/>
  <c r="V61" i="74"/>
  <c r="V65" i="74"/>
  <c r="V81" i="74"/>
  <c r="V89" i="74"/>
  <c r="V101" i="74"/>
  <c r="V113" i="74"/>
  <c r="V121" i="74"/>
  <c r="V46" i="75"/>
  <c r="V50" i="75"/>
  <c r="V54" i="75"/>
  <c r="V66" i="75"/>
  <c r="V74" i="75"/>
  <c r="V86" i="75"/>
  <c r="V88" i="75"/>
  <c r="J40" i="76"/>
  <c r="V42" i="76"/>
  <c r="V46" i="76"/>
  <c r="V50" i="76"/>
  <c r="V54" i="76"/>
  <c r="J58" i="76"/>
  <c r="J60" i="76"/>
  <c r="J62" i="76"/>
  <c r="J66" i="76"/>
  <c r="J70" i="76"/>
  <c r="J86" i="76"/>
  <c r="V90" i="76"/>
  <c r="V98" i="76"/>
  <c r="V102" i="76"/>
  <c r="J108" i="76"/>
  <c r="V110" i="76"/>
  <c r="J116" i="76"/>
  <c r="J125" i="76"/>
  <c r="V64" i="78"/>
  <c r="Z25" i="79"/>
  <c r="N77" i="79"/>
  <c r="N17" i="82"/>
  <c r="J17" i="82"/>
  <c r="Z35" i="83"/>
  <c r="X54" i="91"/>
  <c r="Z54" i="91" s="1"/>
  <c r="V70" i="74"/>
  <c r="V74" i="74"/>
  <c r="V90" i="74"/>
  <c r="V94" i="74"/>
  <c r="V106" i="74"/>
  <c r="V63" i="75"/>
  <c r="V79" i="75"/>
  <c r="J61" i="76"/>
  <c r="V63" i="76"/>
  <c r="V67" i="76"/>
  <c r="V71" i="76"/>
  <c r="J75" i="76"/>
  <c r="J79" i="76"/>
  <c r="J85" i="76"/>
  <c r="V91" i="76"/>
  <c r="J107" i="76"/>
  <c r="V111" i="76"/>
  <c r="J115" i="76"/>
  <c r="V120" i="76"/>
  <c r="Z55" i="78"/>
  <c r="V59" i="78"/>
  <c r="N34" i="79"/>
  <c r="N49" i="79"/>
  <c r="Z63" i="79"/>
  <c r="X77" i="79"/>
  <c r="F84" i="83"/>
  <c r="F80" i="83"/>
  <c r="F68" i="83"/>
  <c r="F59" i="83"/>
  <c r="F58" i="83"/>
  <c r="F51" i="83"/>
  <c r="F50" i="83"/>
  <c r="F99" i="83"/>
  <c r="F85" i="83"/>
  <c r="F81" i="83"/>
  <c r="F69" i="83"/>
  <c r="F61" i="83"/>
  <c r="F60" i="83"/>
  <c r="F87" i="83"/>
  <c r="F86" i="83"/>
  <c r="F75" i="83"/>
  <c r="F71" i="83"/>
  <c r="F70" i="83"/>
  <c r="F63" i="83"/>
  <c r="F62" i="83"/>
  <c r="F104" i="83"/>
  <c r="F101" i="83"/>
  <c r="F82" i="83"/>
  <c r="F72" i="83"/>
  <c r="F93" i="83"/>
  <c r="F92" i="83"/>
  <c r="F73" i="83"/>
  <c r="F57" i="83"/>
  <c r="F56" i="83"/>
  <c r="F49" i="83"/>
  <c r="F48" i="83"/>
  <c r="F74" i="83"/>
  <c r="F64" i="83"/>
  <c r="F34" i="83"/>
  <c r="F30" i="83"/>
  <c r="F26" i="83"/>
  <c r="F25" i="83"/>
  <c r="F95" i="83"/>
  <c r="F52" i="83"/>
  <c r="F24" i="83"/>
  <c r="F22" i="83"/>
  <c r="F79" i="83"/>
  <c r="F44" i="83"/>
  <c r="F40" i="83"/>
  <c r="F36" i="83"/>
  <c r="F35" i="83"/>
  <c r="D22" i="83"/>
  <c r="F90" i="83"/>
  <c r="F83" i="83"/>
  <c r="F77" i="83"/>
  <c r="F55" i="83"/>
  <c r="F31" i="83"/>
  <c r="F27" i="83"/>
  <c r="F67" i="83"/>
  <c r="F53" i="83"/>
  <c r="F18" i="83"/>
  <c r="F17" i="83"/>
  <c r="F65" i="83"/>
  <c r="F45" i="83"/>
  <c r="F41" i="83"/>
  <c r="F37" i="83"/>
  <c r="F32" i="83"/>
  <c r="F28" i="83"/>
  <c r="F88" i="83"/>
  <c r="F46" i="83"/>
  <c r="F19" i="83"/>
  <c r="F97" i="83"/>
  <c r="F91" i="83"/>
  <c r="F78" i="83"/>
  <c r="F42" i="83"/>
  <c r="F38" i="83"/>
  <c r="L12" i="83"/>
  <c r="N12" i="83" s="1"/>
  <c r="F89" i="83"/>
  <c r="F43" i="83"/>
  <c r="F39" i="83"/>
  <c r="F29" i="83"/>
  <c r="R57" i="83"/>
  <c r="X90" i="83"/>
  <c r="Z90" i="83" s="1"/>
  <c r="V39" i="74"/>
  <c r="V43" i="74"/>
  <c r="V47" i="74"/>
  <c r="V51" i="74"/>
  <c r="V79" i="74"/>
  <c r="V87" i="74"/>
  <c r="V99" i="74"/>
  <c r="V107" i="74"/>
  <c r="V119" i="74"/>
  <c r="V131" i="74"/>
  <c r="V36" i="75"/>
  <c r="V40" i="75"/>
  <c r="V44" i="75"/>
  <c r="V64" i="75"/>
  <c r="V72" i="75"/>
  <c r="V84" i="75"/>
  <c r="J44" i="76"/>
  <c r="J48" i="76"/>
  <c r="J52" i="76"/>
  <c r="J56" i="76"/>
  <c r="V72" i="76"/>
  <c r="V76" i="76"/>
  <c r="V80" i="76"/>
  <c r="J84" i="76"/>
  <c r="V88" i="76"/>
  <c r="J96" i="76"/>
  <c r="J100" i="76"/>
  <c r="J106" i="76"/>
  <c r="J114" i="76"/>
  <c r="V119" i="76"/>
  <c r="J123" i="76"/>
  <c r="V45" i="79"/>
  <c r="N51" i="79"/>
  <c r="V32" i="82"/>
  <c r="T35" i="82"/>
  <c r="Z17" i="82"/>
  <c r="J95" i="83"/>
  <c r="J59" i="83"/>
  <c r="J74" i="83"/>
  <c r="J60" i="83"/>
  <c r="J52" i="83"/>
  <c r="J86" i="83"/>
  <c r="J70" i="83"/>
  <c r="J62" i="83"/>
  <c r="J87" i="83"/>
  <c r="J75" i="83"/>
  <c r="J71" i="83"/>
  <c r="J63" i="83"/>
  <c r="J88" i="83"/>
  <c r="J82" i="83"/>
  <c r="J76" i="83"/>
  <c r="J64" i="83"/>
  <c r="J54" i="83"/>
  <c r="J89" i="83"/>
  <c r="J77" i="83"/>
  <c r="J65" i="83"/>
  <c r="J91" i="83"/>
  <c r="J83" i="83"/>
  <c r="J79" i="83"/>
  <c r="J67" i="83"/>
  <c r="J55" i="83"/>
  <c r="J84" i="83"/>
  <c r="J80" i="83"/>
  <c r="J68" i="83"/>
  <c r="J58" i="83"/>
  <c r="J50" i="83"/>
  <c r="J92" i="83"/>
  <c r="J57" i="83"/>
  <c r="J35" i="83"/>
  <c r="H22" i="83"/>
  <c r="J90" i="83"/>
  <c r="J44" i="83"/>
  <c r="J40" i="83"/>
  <c r="J36" i="83"/>
  <c r="J31" i="83"/>
  <c r="J27" i="83"/>
  <c r="J17" i="83"/>
  <c r="J85" i="83"/>
  <c r="J81" i="83"/>
  <c r="J53" i="83"/>
  <c r="J49" i="83"/>
  <c r="J18" i="83"/>
  <c r="J99" i="83"/>
  <c r="J69" i="83"/>
  <c r="J45" i="83"/>
  <c r="J41" i="83"/>
  <c r="J37" i="83"/>
  <c r="J73" i="83"/>
  <c r="J46" i="83"/>
  <c r="J32" i="83"/>
  <c r="J28" i="83"/>
  <c r="J93" i="83"/>
  <c r="J78" i="83"/>
  <c r="J19" i="83"/>
  <c r="J56" i="83"/>
  <c r="J42" i="83"/>
  <c r="J38" i="83"/>
  <c r="J66" i="83"/>
  <c r="J61" i="83"/>
  <c r="J47" i="83"/>
  <c r="J33" i="83"/>
  <c r="J29" i="83"/>
  <c r="J48" i="83"/>
  <c r="J34" i="83"/>
  <c r="J30" i="83"/>
  <c r="J26" i="83"/>
  <c r="J24" i="83"/>
  <c r="J22" i="83"/>
  <c r="F76" i="83"/>
  <c r="H88" i="88"/>
  <c r="N23" i="88"/>
  <c r="T32" i="75"/>
  <c r="V41" i="76"/>
  <c r="V45" i="76"/>
  <c r="V49" i="76"/>
  <c r="V53" i="76"/>
  <c r="V89" i="76"/>
  <c r="V97" i="76"/>
  <c r="V101" i="76"/>
  <c r="J105" i="76"/>
  <c r="V109" i="76"/>
  <c r="J113" i="76"/>
  <c r="Z77" i="79"/>
  <c r="R82" i="80"/>
  <c r="R74" i="80"/>
  <c r="R70" i="80"/>
  <c r="R55" i="80"/>
  <c r="R54" i="80"/>
  <c r="R18" i="80"/>
  <c r="R84" i="80"/>
  <c r="R46" i="80"/>
  <c r="R45" i="80"/>
  <c r="R41" i="80"/>
  <c r="R37" i="80"/>
  <c r="R65" i="80"/>
  <c r="R64" i="80"/>
  <c r="R57" i="80"/>
  <c r="R56" i="80"/>
  <c r="R32" i="80"/>
  <c r="R28" i="80"/>
  <c r="R75" i="80"/>
  <c r="R71" i="80"/>
  <c r="R48" i="80"/>
  <c r="R47" i="80"/>
  <c r="R19" i="80"/>
  <c r="R88" i="80"/>
  <c r="R66" i="80"/>
  <c r="R59" i="80"/>
  <c r="R58" i="80"/>
  <c r="R42" i="80"/>
  <c r="R38" i="80"/>
  <c r="X12" i="80"/>
  <c r="Z12" i="80" s="1"/>
  <c r="R50" i="80"/>
  <c r="R49" i="80"/>
  <c r="R33" i="80"/>
  <c r="R29" i="80"/>
  <c r="R77" i="80"/>
  <c r="R76" i="80"/>
  <c r="R72" i="80"/>
  <c r="R61" i="80"/>
  <c r="R60" i="80"/>
  <c r="R25" i="80"/>
  <c r="R20" i="80"/>
  <c r="R67" i="80"/>
  <c r="R52" i="80"/>
  <c r="R51" i="80"/>
  <c r="R43" i="80"/>
  <c r="R39" i="80"/>
  <c r="R24" i="80"/>
  <c r="R22" i="80"/>
  <c r="R79" i="80"/>
  <c r="R78" i="80"/>
  <c r="R62" i="80"/>
  <c r="R35" i="80"/>
  <c r="R34" i="80"/>
  <c r="R30" i="80"/>
  <c r="R26" i="80"/>
  <c r="P22" i="80"/>
  <c r="R63" i="80"/>
  <c r="R31" i="80"/>
  <c r="R27" i="80"/>
  <c r="N56" i="84"/>
  <c r="N98" i="87"/>
  <c r="L98" i="87"/>
  <c r="V73" i="74"/>
  <c r="V77" i="74"/>
  <c r="V93" i="74"/>
  <c r="V97" i="74"/>
  <c r="V105" i="74"/>
  <c r="V117" i="74"/>
  <c r="V30" i="75"/>
  <c r="V34" i="75"/>
  <c r="V62" i="75"/>
  <c r="V127" i="76"/>
  <c r="V62" i="76"/>
  <c r="V66" i="76"/>
  <c r="V70" i="76"/>
  <c r="V86" i="76"/>
  <c r="J94" i="76"/>
  <c r="J104" i="76"/>
  <c r="V77" i="79"/>
  <c r="X13" i="80"/>
  <c r="N17" i="80"/>
  <c r="P12" i="82"/>
  <c r="X14" i="82"/>
  <c r="N35" i="87"/>
  <c r="V38" i="74"/>
  <c r="V42" i="74"/>
  <c r="V46" i="74"/>
  <c r="V50" i="74"/>
  <c r="V78" i="74"/>
  <c r="V86" i="74"/>
  <c r="V98" i="74"/>
  <c r="V118" i="74"/>
  <c r="X30" i="75"/>
  <c r="X34" i="75"/>
  <c r="Z34" i="75" s="1"/>
  <c r="V43" i="75"/>
  <c r="L56" i="75"/>
  <c r="N56" i="75" s="1"/>
  <c r="V59" i="75"/>
  <c r="X62" i="75"/>
  <c r="L68" i="75"/>
  <c r="N68" i="75" s="1"/>
  <c r="V71" i="75"/>
  <c r="L76" i="75"/>
  <c r="N76" i="75" s="1"/>
  <c r="V83" i="75"/>
  <c r="T58" i="76"/>
  <c r="V75" i="76"/>
  <c r="V79" i="76"/>
  <c r="V87" i="76"/>
  <c r="J93" i="76"/>
  <c r="J99" i="76"/>
  <c r="J103" i="76"/>
  <c r="L104" i="76"/>
  <c r="V107" i="76"/>
  <c r="V115" i="76"/>
  <c r="N30" i="78"/>
  <c r="N58" i="78"/>
  <c r="L60" i="78"/>
  <c r="N60" i="78" s="1"/>
  <c r="D70" i="78"/>
  <c r="L70" i="78" s="1"/>
  <c r="N70" i="78" s="1"/>
  <c r="P12" i="79"/>
  <c r="Z51" i="79"/>
  <c r="X17" i="80"/>
  <c r="R53" i="80"/>
  <c r="L59" i="80"/>
  <c r="X81" i="80"/>
  <c r="X62" i="83"/>
  <c r="Z62" i="83"/>
  <c r="V59" i="74"/>
  <c r="V63" i="74"/>
  <c r="V111" i="74"/>
  <c r="V115" i="74"/>
  <c r="V127" i="74"/>
  <c r="V48" i="75"/>
  <c r="V52" i="75"/>
  <c r="V60" i="75"/>
  <c r="V94" i="75"/>
  <c r="V40" i="76"/>
  <c r="V44" i="76"/>
  <c r="V48" i="76"/>
  <c r="V52" i="76"/>
  <c r="V56" i="76"/>
  <c r="V58" i="76"/>
  <c r="V60" i="76"/>
  <c r="J64" i="76"/>
  <c r="J68" i="76"/>
  <c r="V84" i="76"/>
  <c r="J92" i="76"/>
  <c r="V96" i="76"/>
  <c r="V100" i="76"/>
  <c r="V108" i="76"/>
  <c r="J112" i="76"/>
  <c r="V116" i="76"/>
  <c r="D119" i="76"/>
  <c r="L119" i="76" s="1"/>
  <c r="J121" i="76"/>
  <c r="V123" i="76"/>
  <c r="V58" i="78"/>
  <c r="V30" i="78"/>
  <c r="V28" i="78"/>
  <c r="V26" i="78"/>
  <c r="V22" i="78"/>
  <c r="V65" i="78"/>
  <c r="V57" i="78"/>
  <c r="V49" i="78"/>
  <c r="V45" i="78"/>
  <c r="V41" i="78"/>
  <c r="T28" i="78"/>
  <c r="V60" i="78"/>
  <c r="V36" i="78"/>
  <c r="V32" i="78"/>
  <c r="V66" i="78"/>
  <c r="V50" i="78"/>
  <c r="V46" i="78"/>
  <c r="V42" i="78"/>
  <c r="V61" i="78"/>
  <c r="V53" i="78"/>
  <c r="V37" i="78"/>
  <c r="V33" i="78"/>
  <c r="V70" i="78"/>
  <c r="V68" i="78"/>
  <c r="V52" i="78"/>
  <c r="V71" i="78"/>
  <c r="V55" i="78"/>
  <c r="V47" i="78"/>
  <c r="V43" i="78"/>
  <c r="V75" i="78"/>
  <c r="V63" i="78"/>
  <c r="V39" i="78"/>
  <c r="V35" i="78"/>
  <c r="V31" i="78"/>
  <c r="V24" i="78"/>
  <c r="L51" i="78"/>
  <c r="V56" i="78"/>
  <c r="L67" i="78"/>
  <c r="X13" i="79"/>
  <c r="N17" i="79"/>
  <c r="R17" i="80"/>
  <c r="Z35" i="80"/>
  <c r="N57" i="80"/>
  <c r="N69" i="80"/>
  <c r="R73" i="80"/>
  <c r="R81" i="80"/>
  <c r="F19" i="82"/>
  <c r="L12" i="82"/>
  <c r="F20" i="82"/>
  <c r="F26" i="82"/>
  <c r="F24" i="82"/>
  <c r="F30" i="82"/>
  <c r="D22" i="82"/>
  <c r="R88" i="83"/>
  <c r="R87" i="83"/>
  <c r="R76" i="83"/>
  <c r="R75" i="83"/>
  <c r="R71" i="83"/>
  <c r="R64" i="83"/>
  <c r="R63" i="83"/>
  <c r="R90" i="83"/>
  <c r="R89" i="83"/>
  <c r="R78" i="83"/>
  <c r="R77" i="83"/>
  <c r="R66" i="83"/>
  <c r="R65" i="83"/>
  <c r="R72" i="83"/>
  <c r="R92" i="83"/>
  <c r="R91" i="83"/>
  <c r="R83" i="83"/>
  <c r="R79" i="83"/>
  <c r="R67" i="83"/>
  <c r="R56" i="83"/>
  <c r="R55" i="83"/>
  <c r="R48" i="83"/>
  <c r="R47" i="83"/>
  <c r="R95" i="83"/>
  <c r="R84" i="83"/>
  <c r="R80" i="83"/>
  <c r="R68" i="83"/>
  <c r="R99" i="83"/>
  <c r="R86" i="83"/>
  <c r="R85" i="83"/>
  <c r="R81" i="83"/>
  <c r="R70" i="83"/>
  <c r="R69" i="83"/>
  <c r="R62" i="83"/>
  <c r="R61" i="83"/>
  <c r="R53" i="83"/>
  <c r="R49" i="83"/>
  <c r="R18" i="83"/>
  <c r="R60" i="83"/>
  <c r="R58" i="83"/>
  <c r="R46" i="83"/>
  <c r="R45" i="83"/>
  <c r="R41" i="83"/>
  <c r="R37" i="83"/>
  <c r="R50" i="83"/>
  <c r="R32" i="83"/>
  <c r="R28" i="83"/>
  <c r="R73" i="83"/>
  <c r="R19" i="83"/>
  <c r="R93" i="83"/>
  <c r="R42" i="83"/>
  <c r="R38" i="83"/>
  <c r="X12" i="83"/>
  <c r="Z12" i="83" s="1"/>
  <c r="R33" i="83"/>
  <c r="R29" i="83"/>
  <c r="R54" i="83"/>
  <c r="R25" i="83"/>
  <c r="R20" i="83"/>
  <c r="R82" i="83"/>
  <c r="R51" i="83"/>
  <c r="R43" i="83"/>
  <c r="R39" i="83"/>
  <c r="R24" i="83"/>
  <c r="R59" i="83"/>
  <c r="R35" i="83"/>
  <c r="R34" i="83"/>
  <c r="R30" i="83"/>
  <c r="R26" i="83"/>
  <c r="P22" i="83"/>
  <c r="R22" i="83" s="1"/>
  <c r="R31" i="83"/>
  <c r="R27" i="83"/>
  <c r="J43" i="83"/>
  <c r="V62" i="83"/>
  <c r="J72" i="83"/>
  <c r="N95" i="87"/>
  <c r="J43" i="78"/>
  <c r="J47" i="78"/>
  <c r="J53" i="78"/>
  <c r="V18" i="79"/>
  <c r="V46" i="79"/>
  <c r="V58" i="79"/>
  <c r="V66" i="79"/>
  <c r="V78" i="79"/>
  <c r="V80" i="79"/>
  <c r="V18" i="80"/>
  <c r="V46" i="80"/>
  <c r="V54" i="80"/>
  <c r="V70" i="80"/>
  <c r="V74" i="80"/>
  <c r="V82" i="80"/>
  <c r="V84" i="80"/>
  <c r="V20" i="82"/>
  <c r="V22" i="82"/>
  <c r="V24" i="82"/>
  <c r="V26" i="82"/>
  <c r="V28" i="82"/>
  <c r="V49" i="83"/>
  <c r="V60" i="83"/>
  <c r="L56" i="84"/>
  <c r="X67" i="84"/>
  <c r="Z67" i="84" s="1"/>
  <c r="Z80" i="84"/>
  <c r="N23" i="85"/>
  <c r="L23" i="85"/>
  <c r="X25" i="87"/>
  <c r="Z25" i="87" s="1"/>
  <c r="F41" i="87"/>
  <c r="V49" i="87"/>
  <c r="F98" i="87"/>
  <c r="R54" i="88"/>
  <c r="R62" i="88"/>
  <c r="Z52" i="83"/>
  <c r="V89" i="83"/>
  <c r="T36" i="85"/>
  <c r="V102" i="87"/>
  <c r="V94" i="87"/>
  <c r="V86" i="87"/>
  <c r="V82" i="87"/>
  <c r="V70" i="87"/>
  <c r="V62" i="87"/>
  <c r="V34" i="87"/>
  <c r="V30" i="87"/>
  <c r="V26" i="87"/>
  <c r="V77" i="87"/>
  <c r="V69" i="87"/>
  <c r="V61" i="87"/>
  <c r="V53" i="87"/>
  <c r="V17" i="87"/>
  <c r="V98" i="87"/>
  <c r="V96" i="87"/>
  <c r="V72" i="87"/>
  <c r="V64" i="87"/>
  <c r="V44" i="87"/>
  <c r="V40" i="87"/>
  <c r="V36" i="87"/>
  <c r="V87" i="87"/>
  <c r="V83" i="87"/>
  <c r="V79" i="87"/>
  <c r="V71" i="87"/>
  <c r="V63" i="87"/>
  <c r="V31" i="87"/>
  <c r="V27" i="87"/>
  <c r="V78" i="87"/>
  <c r="V66" i="87"/>
  <c r="V54" i="87"/>
  <c r="V46" i="87"/>
  <c r="V18" i="87"/>
  <c r="V89" i="87"/>
  <c r="V73" i="87"/>
  <c r="V65" i="87"/>
  <c r="V45" i="87"/>
  <c r="V41" i="87"/>
  <c r="V37" i="87"/>
  <c r="V88" i="87"/>
  <c r="V84" i="87"/>
  <c r="V80" i="87"/>
  <c r="V56" i="87"/>
  <c r="V48" i="87"/>
  <c r="V32" i="87"/>
  <c r="V28" i="87"/>
  <c r="V91" i="87"/>
  <c r="V67" i="87"/>
  <c r="V55" i="87"/>
  <c r="V47" i="87"/>
  <c r="V19" i="87"/>
  <c r="V90" i="87"/>
  <c r="V74" i="87"/>
  <c r="V58" i="87"/>
  <c r="V50" i="87"/>
  <c r="V42" i="87"/>
  <c r="V38" i="87"/>
  <c r="V95" i="87"/>
  <c r="V75" i="87"/>
  <c r="V59" i="87"/>
  <c r="V51" i="87"/>
  <c r="V43" i="87"/>
  <c r="V39" i="87"/>
  <c r="V35" i="87"/>
  <c r="T22" i="87"/>
  <c r="V60" i="87"/>
  <c r="F65" i="87"/>
  <c r="J59" i="78"/>
  <c r="J79" i="78"/>
  <c r="V26" i="79"/>
  <c r="V30" i="79"/>
  <c r="V54" i="79"/>
  <c r="V62" i="79"/>
  <c r="V70" i="79"/>
  <c r="V74" i="79"/>
  <c r="V26" i="80"/>
  <c r="V30" i="80"/>
  <c r="V34" i="80"/>
  <c r="V62" i="80"/>
  <c r="V78" i="80"/>
  <c r="J30" i="82"/>
  <c r="V26" i="83"/>
  <c r="V30" i="83"/>
  <c r="V34" i="83"/>
  <c r="Z48" i="83"/>
  <c r="V52" i="83"/>
  <c r="X70" i="83"/>
  <c r="Z70" i="83" s="1"/>
  <c r="V84" i="83"/>
  <c r="J85" i="84"/>
  <c r="X12" i="87"/>
  <c r="Z12" i="87" s="1"/>
  <c r="Z24" i="87"/>
  <c r="V33" i="87"/>
  <c r="Z56" i="87"/>
  <c r="F78" i="87"/>
  <c r="F100" i="87"/>
  <c r="V35" i="79"/>
  <c r="V39" i="79"/>
  <c r="V43" i="79"/>
  <c r="V55" i="79"/>
  <c r="V63" i="79"/>
  <c r="V75" i="79"/>
  <c r="V35" i="80"/>
  <c r="V39" i="80"/>
  <c r="V43" i="80"/>
  <c r="V51" i="80"/>
  <c r="V67" i="80"/>
  <c r="V79" i="80"/>
  <c r="H22" i="82"/>
  <c r="T22" i="83"/>
  <c r="V35" i="83"/>
  <c r="V39" i="83"/>
  <c r="V43" i="83"/>
  <c r="V48" i="83"/>
  <c r="V51" i="83"/>
  <c r="X66" i="83"/>
  <c r="Z66" i="83" s="1"/>
  <c r="X86" i="83"/>
  <c r="Z86" i="83" s="1"/>
  <c r="P12" i="84"/>
  <c r="N85" i="84"/>
  <c r="L89" i="84"/>
  <c r="N89" i="84" s="1"/>
  <c r="V24" i="87"/>
  <c r="Z58" i="87"/>
  <c r="X58" i="87"/>
  <c r="X93" i="87"/>
  <c r="Z93" i="87" s="1"/>
  <c r="R42" i="88"/>
  <c r="J41" i="78"/>
  <c r="J45" i="78"/>
  <c r="J49" i="78"/>
  <c r="J57" i="78"/>
  <c r="J65" i="78"/>
  <c r="J77" i="78"/>
  <c r="V20" i="79"/>
  <c r="V22" i="79"/>
  <c r="V24" i="79"/>
  <c r="V52" i="79"/>
  <c r="V68" i="79"/>
  <c r="V20" i="80"/>
  <c r="V22" i="80"/>
  <c r="V24" i="80"/>
  <c r="V52" i="80"/>
  <c r="V60" i="80"/>
  <c r="V72" i="80"/>
  <c r="V76" i="80"/>
  <c r="V18" i="82"/>
  <c r="J22" i="82"/>
  <c r="J24" i="82"/>
  <c r="J26" i="82"/>
  <c r="V87" i="83"/>
  <c r="V75" i="83"/>
  <c r="V71" i="83"/>
  <c r="V63" i="83"/>
  <c r="V90" i="83"/>
  <c r="V82" i="83"/>
  <c r="V78" i="83"/>
  <c r="V66" i="83"/>
  <c r="V54" i="83"/>
  <c r="V46" i="83"/>
  <c r="V92" i="83"/>
  <c r="V72" i="83"/>
  <c r="V91" i="83"/>
  <c r="V83" i="83"/>
  <c r="V79" i="83"/>
  <c r="V67" i="83"/>
  <c r="V55" i="83"/>
  <c r="V58" i="83"/>
  <c r="V50" i="83"/>
  <c r="V95" i="83"/>
  <c r="V93" i="83"/>
  <c r="V73" i="83"/>
  <c r="V59" i="83"/>
  <c r="V88" i="83"/>
  <c r="V76" i="83"/>
  <c r="V64" i="83"/>
  <c r="V20" i="83"/>
  <c r="V22" i="83"/>
  <c r="V24" i="83"/>
  <c r="V47" i="83"/>
  <c r="V61" i="83"/>
  <c r="V70" i="83"/>
  <c r="F67" i="87"/>
  <c r="F66" i="87"/>
  <c r="F55" i="87"/>
  <c r="F47" i="87"/>
  <c r="F46" i="87"/>
  <c r="F19" i="87"/>
  <c r="F90" i="87"/>
  <c r="F89" i="87"/>
  <c r="F74" i="87"/>
  <c r="F42" i="87"/>
  <c r="F38" i="87"/>
  <c r="L12" i="87"/>
  <c r="F85" i="87"/>
  <c r="F81" i="87"/>
  <c r="F57" i="87"/>
  <c r="F56" i="87"/>
  <c r="F49" i="87"/>
  <c r="F48" i="87"/>
  <c r="F33" i="87"/>
  <c r="F29" i="87"/>
  <c r="F104" i="87"/>
  <c r="F92" i="87"/>
  <c r="F91" i="87"/>
  <c r="F68" i="87"/>
  <c r="F20" i="87"/>
  <c r="F75" i="87"/>
  <c r="F59" i="87"/>
  <c r="F58" i="87"/>
  <c r="F51" i="87"/>
  <c r="F50" i="87"/>
  <c r="F43" i="87"/>
  <c r="F39" i="87"/>
  <c r="F107" i="87"/>
  <c r="F94" i="87"/>
  <c r="F93" i="87"/>
  <c r="F86" i="87"/>
  <c r="F82" i="87"/>
  <c r="F34" i="87"/>
  <c r="F30" i="87"/>
  <c r="F26" i="87"/>
  <c r="F25" i="87"/>
  <c r="F77" i="87"/>
  <c r="F76" i="87"/>
  <c r="F69" i="87"/>
  <c r="F61" i="87"/>
  <c r="F60" i="87"/>
  <c r="F53" i="87"/>
  <c r="F52" i="87"/>
  <c r="F24" i="87"/>
  <c r="F22" i="87"/>
  <c r="F96" i="87"/>
  <c r="F95" i="87"/>
  <c r="F44" i="87"/>
  <c r="F40" i="87"/>
  <c r="F36" i="87"/>
  <c r="F35" i="87"/>
  <c r="D22" i="87"/>
  <c r="F87" i="87"/>
  <c r="F83" i="87"/>
  <c r="F71" i="87"/>
  <c r="F70" i="87"/>
  <c r="F63" i="87"/>
  <c r="F62" i="87"/>
  <c r="F31" i="87"/>
  <c r="F27" i="87"/>
  <c r="F102" i="87"/>
  <c r="F88" i="87"/>
  <c r="F84" i="87"/>
  <c r="F80" i="87"/>
  <c r="F79" i="87"/>
  <c r="F32" i="87"/>
  <c r="F28" i="87"/>
  <c r="L72" i="87"/>
  <c r="N72" i="87" s="1"/>
  <c r="V93" i="87"/>
  <c r="N18" i="88"/>
  <c r="L18" i="88"/>
  <c r="J22" i="78"/>
  <c r="J26" i="78"/>
  <c r="J40" i="78"/>
  <c r="J64" i="78"/>
  <c r="J75" i="78"/>
  <c r="V25" i="79"/>
  <c r="V29" i="79"/>
  <c r="V33" i="79"/>
  <c r="V53" i="79"/>
  <c r="V61" i="79"/>
  <c r="V73" i="79"/>
  <c r="V25" i="80"/>
  <c r="V29" i="80"/>
  <c r="V33" i="80"/>
  <c r="V49" i="80"/>
  <c r="V61" i="80"/>
  <c r="V77" i="80"/>
  <c r="V25" i="83"/>
  <c r="V29" i="83"/>
  <c r="V33" i="83"/>
  <c r="Z56" i="83"/>
  <c r="X78" i="83"/>
  <c r="Z78" i="83" s="1"/>
  <c r="V86" i="83"/>
  <c r="X83" i="84"/>
  <c r="Z83" i="84" s="1"/>
  <c r="Z85" i="84"/>
  <c r="L116" i="84"/>
  <c r="N120" i="84"/>
  <c r="Z130" i="84"/>
  <c r="H32" i="85"/>
  <c r="F18" i="87"/>
  <c r="V29" i="87"/>
  <c r="V52" i="87"/>
  <c r="V76" i="87"/>
  <c r="Z89" i="87"/>
  <c r="Z80" i="88"/>
  <c r="Z30" i="91"/>
  <c r="X30" i="91"/>
  <c r="X91" i="91"/>
  <c r="V84" i="79"/>
  <c r="V66" i="80"/>
  <c r="V88" i="80"/>
  <c r="J20" i="82"/>
  <c r="V56" i="83"/>
  <c r="L60" i="83"/>
  <c r="N60" i="83"/>
  <c r="V65" i="83"/>
  <c r="N116" i="84"/>
  <c r="V20" i="87"/>
  <c r="Z50" i="87"/>
  <c r="X50" i="87"/>
  <c r="V85" i="87"/>
  <c r="Z91" i="91"/>
  <c r="N59" i="92"/>
  <c r="J44" i="78"/>
  <c r="J48" i="78"/>
  <c r="J56" i="78"/>
  <c r="J73" i="78"/>
  <c r="V19" i="79"/>
  <c r="V51" i="79"/>
  <c r="V67" i="79"/>
  <c r="V19" i="80"/>
  <c r="V47" i="80"/>
  <c r="V59" i="80"/>
  <c r="V71" i="80"/>
  <c r="V75" i="80"/>
  <c r="V17" i="82"/>
  <c r="V19" i="83"/>
  <c r="X58" i="83"/>
  <c r="Z58" i="83" s="1"/>
  <c r="L92" i="83"/>
  <c r="N92" i="83" s="1"/>
  <c r="H142" i="84"/>
  <c r="Z78" i="84"/>
  <c r="Z87" i="84"/>
  <c r="Z16" i="85"/>
  <c r="V57" i="87"/>
  <c r="J55" i="78"/>
  <c r="J72" i="78"/>
  <c r="V28" i="79"/>
  <c r="V32" i="79"/>
  <c r="V48" i="79"/>
  <c r="V60" i="79"/>
  <c r="V72" i="79"/>
  <c r="V28" i="80"/>
  <c r="V32" i="80"/>
  <c r="V48" i="80"/>
  <c r="V56" i="80"/>
  <c r="V64" i="80"/>
  <c r="N12" i="82"/>
  <c r="V28" i="83"/>
  <c r="V32" i="83"/>
  <c r="V69" i="83"/>
  <c r="V77" i="83"/>
  <c r="V99" i="83"/>
  <c r="J142" i="84"/>
  <c r="D12" i="84"/>
  <c r="L18" i="84"/>
  <c r="N57" i="84"/>
  <c r="P12" i="85"/>
  <c r="F45" i="87"/>
  <c r="F64" i="87"/>
  <c r="F73" i="87"/>
  <c r="V92" i="87"/>
  <c r="R86" i="88"/>
  <c r="R67" i="88"/>
  <c r="R60" i="88"/>
  <c r="R59" i="88"/>
  <c r="R43" i="88"/>
  <c r="R39" i="88"/>
  <c r="R78" i="88"/>
  <c r="R51" i="88"/>
  <c r="R50" i="88"/>
  <c r="R34" i="88"/>
  <c r="R30" i="88"/>
  <c r="R90" i="88"/>
  <c r="R68" i="88"/>
  <c r="R53" i="88"/>
  <c r="R52" i="88"/>
  <c r="R80" i="88"/>
  <c r="R79" i="88"/>
  <c r="R63" i="88"/>
  <c r="R36" i="88"/>
  <c r="R35" i="88"/>
  <c r="R31" i="88"/>
  <c r="R27" i="88"/>
  <c r="R74" i="88"/>
  <c r="R82" i="88"/>
  <c r="R81" i="88"/>
  <c r="R70" i="88"/>
  <c r="R69" i="88"/>
  <c r="R45" i="88"/>
  <c r="R41" i="88"/>
  <c r="R37" i="88"/>
  <c r="R18" i="88"/>
  <c r="R83" i="88"/>
  <c r="R75" i="88"/>
  <c r="R71" i="88"/>
  <c r="R56" i="88"/>
  <c r="R55" i="88"/>
  <c r="R84" i="88"/>
  <c r="R77" i="88"/>
  <c r="R76" i="88"/>
  <c r="R72" i="88"/>
  <c r="R65" i="88"/>
  <c r="R48" i="88"/>
  <c r="R40" i="88"/>
  <c r="R33" i="88"/>
  <c r="R26" i="88"/>
  <c r="X12" i="88"/>
  <c r="Z12" i="88" s="1"/>
  <c r="R58" i="88"/>
  <c r="R49" i="88"/>
  <c r="R38" i="88"/>
  <c r="R66" i="88"/>
  <c r="R21" i="88"/>
  <c r="R46" i="88"/>
  <c r="R61" i="88"/>
  <c r="R29" i="88"/>
  <c r="R73" i="88"/>
  <c r="R23" i="88"/>
  <c r="R64" i="88"/>
  <c r="R44" i="88"/>
  <c r="P23" i="88"/>
  <c r="R47" i="88"/>
  <c r="R32" i="88"/>
  <c r="R19" i="88"/>
  <c r="R57" i="88"/>
  <c r="R28" i="88"/>
  <c r="R20" i="88"/>
  <c r="J54" i="78"/>
  <c r="J62" i="78"/>
  <c r="J70" i="78"/>
  <c r="V37" i="79"/>
  <c r="V41" i="79"/>
  <c r="V49" i="79"/>
  <c r="V37" i="80"/>
  <c r="V41" i="80"/>
  <c r="V45" i="80"/>
  <c r="V57" i="80"/>
  <c r="V37" i="83"/>
  <c r="V41" i="83"/>
  <c r="V45" i="83"/>
  <c r="Z46" i="83"/>
  <c r="N52" i="83"/>
  <c r="V53" i="83"/>
  <c r="Z60" i="83"/>
  <c r="V81" i="83"/>
  <c r="V85" i="83"/>
  <c r="X120" i="84"/>
  <c r="Z120" i="84" s="1"/>
  <c r="L137" i="84"/>
  <c r="N137" i="84" s="1"/>
  <c r="L64" i="87"/>
  <c r="N64" i="87" s="1"/>
  <c r="V68" i="87"/>
  <c r="L79" i="87"/>
  <c r="N79" i="87" s="1"/>
  <c r="V57" i="84"/>
  <c r="V61" i="84"/>
  <c r="V65" i="84"/>
  <c r="J69" i="84"/>
  <c r="J73" i="84"/>
  <c r="J77" i="84"/>
  <c r="V81" i="84"/>
  <c r="J87" i="84"/>
  <c r="V93" i="84"/>
  <c r="J97" i="84"/>
  <c r="J101" i="84"/>
  <c r="J105" i="84"/>
  <c r="J111" i="84"/>
  <c r="N113" i="84"/>
  <c r="V121" i="84"/>
  <c r="Z123" i="84"/>
  <c r="J125" i="84"/>
  <c r="J129" i="84"/>
  <c r="V133" i="84"/>
  <c r="Z135" i="84"/>
  <c r="F23" i="85"/>
  <c r="F24" i="85"/>
  <c r="N27" i="85"/>
  <c r="Z17" i="87"/>
  <c r="J19" i="87"/>
  <c r="R20" i="87"/>
  <c r="R25" i="87"/>
  <c r="J47" i="87"/>
  <c r="J55" i="87"/>
  <c r="J67" i="87"/>
  <c r="R68" i="87"/>
  <c r="J89" i="87"/>
  <c r="N91" i="87"/>
  <c r="R92" i="87"/>
  <c r="R93" i="87"/>
  <c r="D12" i="88"/>
  <c r="J19" i="88"/>
  <c r="J32" i="88"/>
  <c r="V35" i="88"/>
  <c r="J37" i="88"/>
  <c r="V40" i="88"/>
  <c r="V48" i="88"/>
  <c r="V60" i="88"/>
  <c r="V65" i="88"/>
  <c r="V76" i="88"/>
  <c r="L80" i="88"/>
  <c r="N89" i="91"/>
  <c r="L89" i="91"/>
  <c r="X95" i="91"/>
  <c r="Z95" i="91" s="1"/>
  <c r="L13" i="92"/>
  <c r="N13" i="92" s="1"/>
  <c r="D12" i="92"/>
  <c r="P12" i="92"/>
  <c r="X15" i="92"/>
  <c r="Z15" i="92" s="1"/>
  <c r="T85" i="93"/>
  <c r="V60" i="84"/>
  <c r="V64" i="84"/>
  <c r="J68" i="84"/>
  <c r="J72" i="84"/>
  <c r="J76" i="84"/>
  <c r="V80" i="84"/>
  <c r="J84" i="84"/>
  <c r="V88" i="84"/>
  <c r="J96" i="84"/>
  <c r="J100" i="84"/>
  <c r="J104" i="84"/>
  <c r="J108" i="84"/>
  <c r="V112" i="84"/>
  <c r="V120" i="84"/>
  <c r="J124" i="84"/>
  <c r="J128" i="84"/>
  <c r="J136" i="84"/>
  <c r="J18" i="87"/>
  <c r="R19" i="87"/>
  <c r="R47" i="87"/>
  <c r="R48" i="87"/>
  <c r="J54" i="87"/>
  <c r="R55" i="87"/>
  <c r="R56" i="87"/>
  <c r="J64" i="87"/>
  <c r="R67" i="87"/>
  <c r="J72" i="87"/>
  <c r="J78" i="87"/>
  <c r="J98" i="87"/>
  <c r="J27" i="88"/>
  <c r="V37" i="88"/>
  <c r="V51" i="88"/>
  <c r="V59" i="88"/>
  <c r="J61" i="88"/>
  <c r="V80" i="88"/>
  <c r="N18" i="91"/>
  <c r="X47" i="92"/>
  <c r="Z47" i="92" s="1"/>
  <c r="J27" i="87"/>
  <c r="J31" i="87"/>
  <c r="J63" i="87"/>
  <c r="J71" i="87"/>
  <c r="R80" i="87"/>
  <c r="J83" i="87"/>
  <c r="R84" i="87"/>
  <c r="J87" i="87"/>
  <c r="R88" i="87"/>
  <c r="R89" i="87"/>
  <c r="R102" i="87"/>
  <c r="V19" i="88"/>
  <c r="V39" i="88"/>
  <c r="V71" i="88"/>
  <c r="V38" i="84"/>
  <c r="V42" i="84"/>
  <c r="V46" i="84"/>
  <c r="V50" i="84"/>
  <c r="J54" i="84"/>
  <c r="J56" i="84"/>
  <c r="J58" i="84"/>
  <c r="J62" i="84"/>
  <c r="J66" i="84"/>
  <c r="V78" i="84"/>
  <c r="J82" i="84"/>
  <c r="V86" i="84"/>
  <c r="J94" i="84"/>
  <c r="V110" i="84"/>
  <c r="J116" i="84"/>
  <c r="V118" i="84"/>
  <c r="J122" i="84"/>
  <c r="V130" i="84"/>
  <c r="J134" i="84"/>
  <c r="V138" i="84"/>
  <c r="V140" i="84"/>
  <c r="F16" i="85"/>
  <c r="F17" i="85"/>
  <c r="F30" i="85"/>
  <c r="F32" i="85"/>
  <c r="J36" i="87"/>
  <c r="R37" i="87"/>
  <c r="J40" i="87"/>
  <c r="R41" i="87"/>
  <c r="J44" i="87"/>
  <c r="R45" i="87"/>
  <c r="R46" i="87"/>
  <c r="J62" i="87"/>
  <c r="R65" i="87"/>
  <c r="R66" i="87"/>
  <c r="J70" i="87"/>
  <c r="R73" i="87"/>
  <c r="J96" i="87"/>
  <c r="J56" i="88"/>
  <c r="J46" i="88"/>
  <c r="J42" i="88"/>
  <c r="J38" i="88"/>
  <c r="J65" i="88"/>
  <c r="J57" i="88"/>
  <c r="J47" i="88"/>
  <c r="J33" i="88"/>
  <c r="J29" i="88"/>
  <c r="J77" i="88"/>
  <c r="J67" i="88"/>
  <c r="J59" i="88"/>
  <c r="J49" i="88"/>
  <c r="J88" i="88"/>
  <c r="J86" i="88"/>
  <c r="J78" i="88"/>
  <c r="J60" i="88"/>
  <c r="J50" i="88"/>
  <c r="J34" i="88"/>
  <c r="J30" i="88"/>
  <c r="J90" i="88"/>
  <c r="J68" i="88"/>
  <c r="J62" i="88"/>
  <c r="J52" i="88"/>
  <c r="J44" i="88"/>
  <c r="J40" i="88"/>
  <c r="J26" i="88"/>
  <c r="J95" i="88"/>
  <c r="J92" i="88"/>
  <c r="J80" i="88"/>
  <c r="J74" i="88"/>
  <c r="J54" i="88"/>
  <c r="J36" i="88"/>
  <c r="J83" i="88"/>
  <c r="J75" i="88"/>
  <c r="J71" i="88"/>
  <c r="X15" i="88"/>
  <c r="Z15" i="88" s="1"/>
  <c r="J21" i="88"/>
  <c r="J31" i="88"/>
  <c r="N36" i="88"/>
  <c r="J41" i="88"/>
  <c r="V44" i="88"/>
  <c r="V47" i="88"/>
  <c r="J53" i="88"/>
  <c r="J55" i="88"/>
  <c r="N66" i="88"/>
  <c r="V75" i="88"/>
  <c r="V84" i="88"/>
  <c r="J57" i="84"/>
  <c r="V59" i="84"/>
  <c r="V63" i="84"/>
  <c r="J71" i="84"/>
  <c r="J75" i="84"/>
  <c r="V87" i="84"/>
  <c r="J93" i="84"/>
  <c r="J99" i="84"/>
  <c r="J103" i="84"/>
  <c r="J107" i="84"/>
  <c r="V111" i="84"/>
  <c r="J115" i="84"/>
  <c r="J127" i="84"/>
  <c r="J133" i="84"/>
  <c r="H22" i="87"/>
  <c r="J35" i="87"/>
  <c r="J53" i="87"/>
  <c r="R54" i="87"/>
  <c r="J61" i="87"/>
  <c r="J69" i="87"/>
  <c r="J77" i="87"/>
  <c r="R78" i="87"/>
  <c r="R79" i="87"/>
  <c r="J95" i="87"/>
  <c r="T23" i="88"/>
  <c r="V27" i="88"/>
  <c r="J43" i="88"/>
  <c r="Z56" i="88"/>
  <c r="J66" i="88"/>
  <c r="V68" i="88"/>
  <c r="J81" i="88"/>
  <c r="Z64" i="91"/>
  <c r="X56" i="95"/>
  <c r="Z56" i="95" s="1"/>
  <c r="V56" i="95"/>
  <c r="X13" i="84"/>
  <c r="Z13" i="84" s="1"/>
  <c r="J36" i="84"/>
  <c r="J40" i="84"/>
  <c r="J44" i="84"/>
  <c r="J48" i="84"/>
  <c r="J52" i="84"/>
  <c r="V68" i="84"/>
  <c r="V72" i="84"/>
  <c r="V76" i="84"/>
  <c r="V84" i="84"/>
  <c r="J92" i="84"/>
  <c r="V96" i="84"/>
  <c r="V100" i="84"/>
  <c r="V104" i="84"/>
  <c r="V108" i="84"/>
  <c r="V124" i="84"/>
  <c r="V128" i="84"/>
  <c r="J132" i="84"/>
  <c r="V136" i="84"/>
  <c r="X13" i="85"/>
  <c r="Z13" i="85" s="1"/>
  <c r="J16" i="85"/>
  <c r="V18" i="85"/>
  <c r="V20" i="85"/>
  <c r="V22" i="85"/>
  <c r="J30" i="85"/>
  <c r="J32" i="85"/>
  <c r="J24" i="87"/>
  <c r="J26" i="87"/>
  <c r="R27" i="87"/>
  <c r="J30" i="87"/>
  <c r="R31" i="87"/>
  <c r="J34" i="87"/>
  <c r="J52" i="87"/>
  <c r="J60" i="87"/>
  <c r="R63" i="87"/>
  <c r="R64" i="87"/>
  <c r="R71" i="87"/>
  <c r="R72" i="87"/>
  <c r="J76" i="87"/>
  <c r="J82" i="87"/>
  <c r="R83" i="87"/>
  <c r="J86" i="87"/>
  <c r="R87" i="87"/>
  <c r="J94" i="87"/>
  <c r="R98" i="87"/>
  <c r="N12" i="88"/>
  <c r="N26" i="88"/>
  <c r="V29" i="88"/>
  <c r="X36" i="88"/>
  <c r="J58" i="88"/>
  <c r="L60" i="88"/>
  <c r="J63" i="88"/>
  <c r="N70" i="88"/>
  <c r="N98" i="91"/>
  <c r="V37" i="84"/>
  <c r="V41" i="84"/>
  <c r="V45" i="84"/>
  <c r="V49" i="84"/>
  <c r="J61" i="84"/>
  <c r="J65" i="84"/>
  <c r="J81" i="84"/>
  <c r="V85" i="84"/>
  <c r="J91" i="84"/>
  <c r="V109" i="84"/>
  <c r="V117" i="84"/>
  <c r="J121" i="84"/>
  <c r="V137" i="84"/>
  <c r="L12" i="85"/>
  <c r="N12" i="85" s="1"/>
  <c r="V23" i="85"/>
  <c r="F27" i="85"/>
  <c r="F28" i="85"/>
  <c r="R17" i="87"/>
  <c r="J25" i="87"/>
  <c r="R36" i="87"/>
  <c r="J39" i="87"/>
  <c r="R40" i="87"/>
  <c r="J43" i="87"/>
  <c r="R44" i="87"/>
  <c r="J51" i="87"/>
  <c r="J59" i="87"/>
  <c r="J75" i="87"/>
  <c r="J93" i="87"/>
  <c r="R96" i="87"/>
  <c r="V18" i="88"/>
  <c r="V31" i="88"/>
  <c r="Z36" i="88"/>
  <c r="V41" i="88"/>
  <c r="J48" i="88"/>
  <c r="V55" i="88"/>
  <c r="J70" i="88"/>
  <c r="J72" i="88"/>
  <c r="J23" i="92"/>
  <c r="H91" i="92"/>
  <c r="H107" i="95"/>
  <c r="J20" i="87"/>
  <c r="J50" i="87"/>
  <c r="J58" i="87"/>
  <c r="J68" i="87"/>
  <c r="R70" i="87"/>
  <c r="R77" i="87"/>
  <c r="J92" i="87"/>
  <c r="V78" i="88"/>
  <c r="V62" i="88"/>
  <c r="V50" i="88"/>
  <c r="V34" i="88"/>
  <c r="V30" i="88"/>
  <c r="V26" i="88"/>
  <c r="V73" i="88"/>
  <c r="V61" i="88"/>
  <c r="V53" i="88"/>
  <c r="V25" i="88"/>
  <c r="V23" i="88"/>
  <c r="V21" i="88"/>
  <c r="V79" i="88"/>
  <c r="V63" i="88"/>
  <c r="V82" i="88"/>
  <c r="V74" i="88"/>
  <c r="V70" i="88"/>
  <c r="V54" i="88"/>
  <c r="V81" i="88"/>
  <c r="V64" i="88"/>
  <c r="V56" i="88"/>
  <c r="V32" i="88"/>
  <c r="V28" i="88"/>
  <c r="V66" i="88"/>
  <c r="V58" i="88"/>
  <c r="V46" i="88"/>
  <c r="V42" i="88"/>
  <c r="V38" i="88"/>
  <c r="V67" i="88"/>
  <c r="V36" i="88"/>
  <c r="V43" i="88"/>
  <c r="J76" i="88"/>
  <c r="V90" i="88"/>
  <c r="T106" i="91"/>
  <c r="T91" i="92"/>
  <c r="J39" i="84"/>
  <c r="J43" i="84"/>
  <c r="J47" i="84"/>
  <c r="J51" i="84"/>
  <c r="T54" i="84"/>
  <c r="V67" i="84"/>
  <c r="V71" i="84"/>
  <c r="V75" i="84"/>
  <c r="J79" i="84"/>
  <c r="V83" i="84"/>
  <c r="J89" i="84"/>
  <c r="V95" i="84"/>
  <c r="V99" i="84"/>
  <c r="V103" i="84"/>
  <c r="V107" i="84"/>
  <c r="J113" i="84"/>
  <c r="V115" i="84"/>
  <c r="J119" i="84"/>
  <c r="V123" i="84"/>
  <c r="V127" i="84"/>
  <c r="J131" i="84"/>
  <c r="V135" i="84"/>
  <c r="D20" i="85"/>
  <c r="F25" i="85"/>
  <c r="F26" i="85"/>
  <c r="P22" i="87"/>
  <c r="R26" i="87"/>
  <c r="J29" i="87"/>
  <c r="R30" i="87"/>
  <c r="J33" i="87"/>
  <c r="R34" i="87"/>
  <c r="R35" i="87"/>
  <c r="J49" i="87"/>
  <c r="J57" i="87"/>
  <c r="J81" i="87"/>
  <c r="R82" i="87"/>
  <c r="J85" i="87"/>
  <c r="R86" i="87"/>
  <c r="J91" i="87"/>
  <c r="R94" i="87"/>
  <c r="R95" i="87"/>
  <c r="J28" i="88"/>
  <c r="J45" i="88"/>
  <c r="V52" i="88"/>
  <c r="X66" i="88"/>
  <c r="Z66" i="88" s="1"/>
  <c r="X70" i="88"/>
  <c r="Z70" i="88" s="1"/>
  <c r="V83" i="88"/>
  <c r="F93" i="91"/>
  <c r="F94" i="91"/>
  <c r="F106" i="91"/>
  <c r="F63" i="91"/>
  <c r="F62" i="91"/>
  <c r="F51" i="91"/>
  <c r="F50" i="91"/>
  <c r="F18" i="91"/>
  <c r="F16" i="91"/>
  <c r="F14" i="91"/>
  <c r="F74" i="91"/>
  <c r="F70" i="91"/>
  <c r="F69" i="91"/>
  <c r="F46" i="91"/>
  <c r="F45" i="91"/>
  <c r="F38" i="91"/>
  <c r="F34" i="91"/>
  <c r="D16" i="91"/>
  <c r="F102" i="91"/>
  <c r="F85" i="91"/>
  <c r="F81" i="91"/>
  <c r="F65" i="91"/>
  <c r="F64" i="91"/>
  <c r="F53" i="91"/>
  <c r="F52" i="91"/>
  <c r="F95" i="91"/>
  <c r="F91" i="91"/>
  <c r="F76" i="91"/>
  <c r="F75" i="91"/>
  <c r="F109" i="91"/>
  <c r="F96" i="91"/>
  <c r="F71" i="91"/>
  <c r="F55" i="91"/>
  <c r="F54" i="91"/>
  <c r="F47" i="91"/>
  <c r="F39" i="91"/>
  <c r="F35" i="91"/>
  <c r="F31" i="91"/>
  <c r="F30" i="91"/>
  <c r="F92" i="91"/>
  <c r="F86" i="91"/>
  <c r="F82" i="91"/>
  <c r="F78" i="91"/>
  <c r="F77" i="91"/>
  <c r="F66" i="91"/>
  <c r="F26" i="91"/>
  <c r="F22" i="91"/>
  <c r="F57" i="91"/>
  <c r="F56" i="91"/>
  <c r="F104" i="91"/>
  <c r="F88" i="91"/>
  <c r="F87" i="91"/>
  <c r="F72" i="91"/>
  <c r="F48" i="91"/>
  <c r="F40" i="91"/>
  <c r="F36" i="91"/>
  <c r="F32" i="91"/>
  <c r="L12" i="91"/>
  <c r="F98" i="91"/>
  <c r="F83" i="91"/>
  <c r="F79" i="91"/>
  <c r="F67" i="91"/>
  <c r="F59" i="91"/>
  <c r="F58" i="91"/>
  <c r="F27" i="91"/>
  <c r="F23" i="91"/>
  <c r="F100" i="91"/>
  <c r="F90" i="91"/>
  <c r="F84" i="91"/>
  <c r="F80" i="91"/>
  <c r="F68" i="91"/>
  <c r="F44" i="91"/>
  <c r="F43" i="91"/>
  <c r="F28" i="91"/>
  <c r="F24" i="91"/>
  <c r="F20" i="91"/>
  <c r="F19" i="91"/>
  <c r="L19" i="91"/>
  <c r="N30" i="91"/>
  <c r="F41" i="91"/>
  <c r="N54" i="91"/>
  <c r="F60" i="91"/>
  <c r="Z77" i="91"/>
  <c r="V23" i="92"/>
  <c r="V36" i="84"/>
  <c r="V40" i="84"/>
  <c r="V44" i="84"/>
  <c r="V48" i="84"/>
  <c r="V52" i="84"/>
  <c r="V54" i="84"/>
  <c r="V56" i="84"/>
  <c r="J60" i="84"/>
  <c r="J64" i="84"/>
  <c r="J78" i="84"/>
  <c r="J88" i="84"/>
  <c r="V92" i="84"/>
  <c r="J112" i="84"/>
  <c r="V116" i="84"/>
  <c r="J130" i="84"/>
  <c r="J140" i="84"/>
  <c r="F20" i="85"/>
  <c r="N12" i="87"/>
  <c r="R22" i="87"/>
  <c r="R24" i="87"/>
  <c r="J38" i="87"/>
  <c r="R39" i="87"/>
  <c r="J42" i="87"/>
  <c r="R43" i="87"/>
  <c r="J48" i="87"/>
  <c r="R51" i="87"/>
  <c r="R52" i="87"/>
  <c r="J56" i="87"/>
  <c r="R59" i="87"/>
  <c r="R60" i="87"/>
  <c r="J74" i="87"/>
  <c r="R75" i="87"/>
  <c r="R76" i="87"/>
  <c r="J25" i="88"/>
  <c r="V33" i="88"/>
  <c r="V49" i="88"/>
  <c r="J51" i="88"/>
  <c r="N62" i="88"/>
  <c r="J69" i="88"/>
  <c r="V72" i="88"/>
  <c r="N19" i="91"/>
  <c r="N60" i="91"/>
  <c r="L60" i="91"/>
  <c r="F89" i="91"/>
  <c r="F99" i="91"/>
  <c r="H16" i="91"/>
  <c r="Z41" i="91"/>
  <c r="J45" i="91"/>
  <c r="J51" i="91"/>
  <c r="V55" i="91"/>
  <c r="J63" i="91"/>
  <c r="V71" i="91"/>
  <c r="N75" i="91"/>
  <c r="R76" i="91"/>
  <c r="R77" i="91"/>
  <c r="V87" i="91"/>
  <c r="N91" i="91"/>
  <c r="R109" i="91"/>
  <c r="L59" i="92"/>
  <c r="V81" i="92"/>
  <c r="Z86" i="92"/>
  <c r="R23" i="93"/>
  <c r="R42" i="93"/>
  <c r="J109" i="91"/>
  <c r="J106" i="91"/>
  <c r="J95" i="91"/>
  <c r="J42" i="91"/>
  <c r="V46" i="91"/>
  <c r="R51" i="91"/>
  <c r="R52" i="91"/>
  <c r="V54" i="91"/>
  <c r="J60" i="91"/>
  <c r="R63" i="91"/>
  <c r="R64" i="91"/>
  <c r="V70" i="91"/>
  <c r="V74" i="91"/>
  <c r="J89" i="91"/>
  <c r="V91" i="91"/>
  <c r="J93" i="91"/>
  <c r="V94" i="91"/>
  <c r="V95" i="91"/>
  <c r="J99" i="91"/>
  <c r="N18" i="92"/>
  <c r="V39" i="92"/>
  <c r="L51" i="92"/>
  <c r="N61" i="92"/>
  <c r="V83" i="92"/>
  <c r="P16" i="91"/>
  <c r="R20" i="91"/>
  <c r="R24" i="91"/>
  <c r="R28" i="91"/>
  <c r="R44" i="91"/>
  <c r="R45" i="91"/>
  <c r="J67" i="91"/>
  <c r="R68" i="91"/>
  <c r="R69" i="91"/>
  <c r="J79" i="91"/>
  <c r="R80" i="91"/>
  <c r="J83" i="91"/>
  <c r="R84" i="91"/>
  <c r="R106" i="91"/>
  <c r="N51" i="92"/>
  <c r="R37" i="93"/>
  <c r="F82" i="94"/>
  <c r="F81" i="94"/>
  <c r="F70" i="94"/>
  <c r="F69" i="94"/>
  <c r="F50" i="94"/>
  <c r="F49" i="94"/>
  <c r="F34" i="94"/>
  <c r="F30" i="94"/>
  <c r="F61" i="94"/>
  <c r="F60" i="94"/>
  <c r="F21" i="94"/>
  <c r="F76" i="94"/>
  <c r="F72" i="94"/>
  <c r="F71" i="94"/>
  <c r="F86" i="94"/>
  <c r="F84" i="94"/>
  <c r="F63" i="94"/>
  <c r="F62" i="94"/>
  <c r="F35" i="94"/>
  <c r="F31" i="94"/>
  <c r="F27" i="94"/>
  <c r="F26" i="94"/>
  <c r="F88" i="94"/>
  <c r="F54" i="94"/>
  <c r="F53" i="94"/>
  <c r="F25" i="94"/>
  <c r="F23" i="94"/>
  <c r="F77" i="94"/>
  <c r="F73" i="94"/>
  <c r="F45" i="94"/>
  <c r="F41" i="94"/>
  <c r="F37" i="94"/>
  <c r="F36" i="94"/>
  <c r="D23" i="94"/>
  <c r="F64" i="94"/>
  <c r="F32" i="94"/>
  <c r="F28" i="94"/>
  <c r="L12" i="94"/>
  <c r="N12" i="94" s="1"/>
  <c r="F93" i="94"/>
  <c r="F90" i="94"/>
  <c r="F55" i="94"/>
  <c r="F19" i="94"/>
  <c r="F18" i="94"/>
  <c r="F78" i="94"/>
  <c r="F74" i="94"/>
  <c r="F66" i="94"/>
  <c r="F65" i="94"/>
  <c r="F75" i="94"/>
  <c r="F59" i="94"/>
  <c r="F58" i="94"/>
  <c r="F43" i="94"/>
  <c r="F39" i="94"/>
  <c r="F47" i="94"/>
  <c r="F57" i="94"/>
  <c r="F79" i="94"/>
  <c r="F33" i="94"/>
  <c r="F20" i="94"/>
  <c r="F51" i="94"/>
  <c r="F38" i="94"/>
  <c r="F48" i="94"/>
  <c r="F29" i="94"/>
  <c r="F68" i="94"/>
  <c r="F56" i="94"/>
  <c r="F42" i="94"/>
  <c r="F40" i="94"/>
  <c r="F46" i="94"/>
  <c r="F44" i="94"/>
  <c r="F52" i="94"/>
  <c r="F67" i="94"/>
  <c r="J67" i="94"/>
  <c r="R14" i="91"/>
  <c r="R16" i="91"/>
  <c r="R18" i="91"/>
  <c r="J32" i="91"/>
  <c r="R33" i="91"/>
  <c r="J36" i="91"/>
  <c r="R37" i="91"/>
  <c r="J40" i="91"/>
  <c r="J48" i="91"/>
  <c r="R49" i="91"/>
  <c r="R50" i="91"/>
  <c r="V52" i="91"/>
  <c r="J58" i="91"/>
  <c r="R61" i="91"/>
  <c r="R62" i="91"/>
  <c r="V64" i="91"/>
  <c r="V68" i="91"/>
  <c r="J72" i="91"/>
  <c r="V80" i="91"/>
  <c r="V84" i="91"/>
  <c r="J88" i="91"/>
  <c r="J98" i="91"/>
  <c r="V100" i="91"/>
  <c r="J104" i="91"/>
  <c r="V59" i="92"/>
  <c r="V80" i="92"/>
  <c r="V85" i="92"/>
  <c r="R100" i="91"/>
  <c r="R91" i="91"/>
  <c r="R90" i="91"/>
  <c r="R104" i="91"/>
  <c r="R19" i="91"/>
  <c r="R42" i="91"/>
  <c r="R43" i="91"/>
  <c r="J57" i="91"/>
  <c r="J87" i="91"/>
  <c r="R89" i="91"/>
  <c r="R93" i="91"/>
  <c r="X100" i="91"/>
  <c r="N25" i="92"/>
  <c r="J25" i="92"/>
  <c r="V93" i="92"/>
  <c r="V85" i="93"/>
  <c r="R74" i="93"/>
  <c r="R73" i="93"/>
  <c r="R69" i="93"/>
  <c r="R64" i="93"/>
  <c r="R57" i="93"/>
  <c r="R56" i="93"/>
  <c r="R32" i="93"/>
  <c r="R28" i="93"/>
  <c r="X12" i="93"/>
  <c r="Z12" i="93" s="1"/>
  <c r="R66" i="93"/>
  <c r="R65" i="93"/>
  <c r="R33" i="93"/>
  <c r="R29" i="93"/>
  <c r="R77" i="93"/>
  <c r="R76" i="93"/>
  <c r="R60" i="93"/>
  <c r="R71" i="93"/>
  <c r="R67" i="93"/>
  <c r="R43" i="93"/>
  <c r="R39" i="93"/>
  <c r="R79" i="93"/>
  <c r="R78" i="93"/>
  <c r="R51" i="93"/>
  <c r="R50" i="93"/>
  <c r="R34" i="93"/>
  <c r="R30" i="93"/>
  <c r="R63" i="93"/>
  <c r="R62" i="93"/>
  <c r="R83" i="93"/>
  <c r="R52" i="93"/>
  <c r="R40" i="93"/>
  <c r="R87" i="93"/>
  <c r="R58" i="93"/>
  <c r="R25" i="93"/>
  <c r="R53" i="93"/>
  <c r="R46" i="93"/>
  <c r="R26" i="93"/>
  <c r="R72" i="93"/>
  <c r="R35" i="93"/>
  <c r="R75" i="93"/>
  <c r="R68" i="93"/>
  <c r="R61" i="93"/>
  <c r="R59" i="93"/>
  <c r="R47" i="93"/>
  <c r="R41" i="93"/>
  <c r="R38" i="93"/>
  <c r="R80" i="93"/>
  <c r="R70" i="93"/>
  <c r="R44" i="93"/>
  <c r="R36" i="93"/>
  <c r="R31" i="93"/>
  <c r="R21" i="93"/>
  <c r="R54" i="93"/>
  <c r="R48" i="93"/>
  <c r="P23" i="93"/>
  <c r="R49" i="93"/>
  <c r="T86" i="94"/>
  <c r="X48" i="95"/>
  <c r="Z48" i="95" s="1"/>
  <c r="V98" i="91"/>
  <c r="V96" i="91"/>
  <c r="V88" i="91"/>
  <c r="V14" i="91"/>
  <c r="V16" i="91"/>
  <c r="V18" i="91"/>
  <c r="J22" i="91"/>
  <c r="R23" i="91"/>
  <c r="J26" i="91"/>
  <c r="R27" i="91"/>
  <c r="V42" i="91"/>
  <c r="V50" i="91"/>
  <c r="J56" i="91"/>
  <c r="R59" i="91"/>
  <c r="R60" i="91"/>
  <c r="V62" i="91"/>
  <c r="J66" i="91"/>
  <c r="R67" i="91"/>
  <c r="J78" i="91"/>
  <c r="R79" i="91"/>
  <c r="J82" i="91"/>
  <c r="R83" i="91"/>
  <c r="J86" i="91"/>
  <c r="J92" i="91"/>
  <c r="V93" i="91"/>
  <c r="R99" i="91"/>
  <c r="V18" i="92"/>
  <c r="Z36" i="92"/>
  <c r="N53" i="92"/>
  <c r="N63" i="92"/>
  <c r="L67" i="92"/>
  <c r="N67" i="92" s="1"/>
  <c r="L89" i="92"/>
  <c r="R19" i="93"/>
  <c r="L36" i="93"/>
  <c r="N36" i="93" s="1"/>
  <c r="V23" i="94"/>
  <c r="V48" i="95"/>
  <c r="X12" i="91"/>
  <c r="R32" i="91"/>
  <c r="R36" i="91"/>
  <c r="R40" i="91"/>
  <c r="R41" i="91"/>
  <c r="R48" i="91"/>
  <c r="J55" i="91"/>
  <c r="J71" i="91"/>
  <c r="R72" i="91"/>
  <c r="J77" i="91"/>
  <c r="V79" i="91"/>
  <c r="V83" i="91"/>
  <c r="R88" i="91"/>
  <c r="V89" i="91"/>
  <c r="J96" i="91"/>
  <c r="R98" i="91"/>
  <c r="V99" i="91"/>
  <c r="V104" i="91"/>
  <c r="X25" i="92"/>
  <c r="Z26" i="92"/>
  <c r="L47" i="92"/>
  <c r="N47" i="92" s="1"/>
  <c r="R45" i="93"/>
  <c r="R57" i="91"/>
  <c r="R58" i="91"/>
  <c r="N69" i="92"/>
  <c r="J21" i="91"/>
  <c r="R22" i="91"/>
  <c r="J25" i="91"/>
  <c r="R26" i="91"/>
  <c r="J29" i="91"/>
  <c r="V41" i="91"/>
  <c r="J53" i="91"/>
  <c r="V57" i="91"/>
  <c r="J65" i="91"/>
  <c r="R66" i="91"/>
  <c r="J75" i="91"/>
  <c r="R78" i="91"/>
  <c r="J81" i="91"/>
  <c r="R82" i="91"/>
  <c r="J85" i="91"/>
  <c r="R86" i="91"/>
  <c r="R87" i="91"/>
  <c r="J91" i="91"/>
  <c r="R92" i="91"/>
  <c r="L95" i="91"/>
  <c r="N95" i="91" s="1"/>
  <c r="V82" i="92"/>
  <c r="V87" i="92"/>
  <c r="V67" i="92"/>
  <c r="V89" i="92"/>
  <c r="V78" i="92"/>
  <c r="V74" i="92"/>
  <c r="V66" i="92"/>
  <c r="V58" i="92"/>
  <c r="V50" i="92"/>
  <c r="V34" i="92"/>
  <c r="V30" i="92"/>
  <c r="V26" i="92"/>
  <c r="V91" i="92"/>
  <c r="V68" i="92"/>
  <c r="V60" i="92"/>
  <c r="V79" i="92"/>
  <c r="V75" i="92"/>
  <c r="V63" i="92"/>
  <c r="V35" i="92"/>
  <c r="V31" i="92"/>
  <c r="V27" i="92"/>
  <c r="V70" i="92"/>
  <c r="V62" i="92"/>
  <c r="V54" i="92"/>
  <c r="V45" i="92"/>
  <c r="V41" i="92"/>
  <c r="V37" i="92"/>
  <c r="V86" i="92"/>
  <c r="V71" i="92"/>
  <c r="V55" i="92"/>
  <c r="V47" i="92"/>
  <c r="V19" i="92"/>
  <c r="V72" i="92"/>
  <c r="V56" i="92"/>
  <c r="V48" i="92"/>
  <c r="V25" i="92"/>
  <c r="V28" i="92"/>
  <c r="V33" i="92"/>
  <c r="V40" i="92"/>
  <c r="J47" i="92"/>
  <c r="L69" i="92"/>
  <c r="L86" i="92"/>
  <c r="N86" i="92"/>
  <c r="F80" i="94"/>
  <c r="R31" i="91"/>
  <c r="J34" i="91"/>
  <c r="R35" i="91"/>
  <c r="J38" i="91"/>
  <c r="R39" i="91"/>
  <c r="J46" i="91"/>
  <c r="R47" i="91"/>
  <c r="J52" i="91"/>
  <c r="R55" i="91"/>
  <c r="R56" i="91"/>
  <c r="V58" i="91"/>
  <c r="J64" i="91"/>
  <c r="V66" i="91"/>
  <c r="J70" i="91"/>
  <c r="R71" i="91"/>
  <c r="J74" i="91"/>
  <c r="V78" i="91"/>
  <c r="V82" i="91"/>
  <c r="V86" i="91"/>
  <c r="V92" i="91"/>
  <c r="J94" i="91"/>
  <c r="R96" i="91"/>
  <c r="J102" i="91"/>
  <c r="V53" i="92"/>
  <c r="V65" i="92"/>
  <c r="H92" i="93"/>
  <c r="R82" i="93"/>
  <c r="J64" i="92"/>
  <c r="J76" i="92"/>
  <c r="J80" i="92"/>
  <c r="J34" i="93"/>
  <c r="J48" i="93"/>
  <c r="J62" i="93"/>
  <c r="Z63" i="93"/>
  <c r="V65" i="93"/>
  <c r="J67" i="93"/>
  <c r="J69" i="93"/>
  <c r="J71" i="93"/>
  <c r="J76" i="93"/>
  <c r="V77" i="93"/>
  <c r="V83" i="93"/>
  <c r="L26" i="94"/>
  <c r="N26" i="94"/>
  <c r="Z79" i="94"/>
  <c r="R46" i="95"/>
  <c r="V77" i="95"/>
  <c r="J90" i="97"/>
  <c r="J84" i="97"/>
  <c r="J80" i="97"/>
  <c r="J92" i="97"/>
  <c r="J86" i="97"/>
  <c r="J79" i="97"/>
  <c r="J73" i="97"/>
  <c r="J47" i="97"/>
  <c r="J33" i="97"/>
  <c r="J29" i="97"/>
  <c r="J100" i="97"/>
  <c r="J83" i="97"/>
  <c r="J56" i="97"/>
  <c r="J48" i="97"/>
  <c r="J93" i="97"/>
  <c r="J67" i="97"/>
  <c r="J57" i="97"/>
  <c r="J49" i="97"/>
  <c r="J43" i="97"/>
  <c r="J39" i="97"/>
  <c r="J74" i="97"/>
  <c r="J68" i="97"/>
  <c r="J58" i="97"/>
  <c r="J50" i="97"/>
  <c r="J87" i="97"/>
  <c r="J69" i="97"/>
  <c r="J59" i="97"/>
  <c r="J51" i="97"/>
  <c r="J21" i="97"/>
  <c r="J81" i="97"/>
  <c r="J60" i="97"/>
  <c r="J52" i="97"/>
  <c r="J44" i="97"/>
  <c r="J40" i="97"/>
  <c r="J26" i="97"/>
  <c r="J94" i="97"/>
  <c r="J88" i="97"/>
  <c r="J75" i="97"/>
  <c r="J61" i="97"/>
  <c r="J53" i="97"/>
  <c r="J35" i="97"/>
  <c r="J31" i="97"/>
  <c r="J27" i="97"/>
  <c r="J25" i="97"/>
  <c r="J76" i="97"/>
  <c r="J70" i="97"/>
  <c r="J62" i="97"/>
  <c r="J54" i="97"/>
  <c r="J36" i="97"/>
  <c r="H23" i="97"/>
  <c r="J89" i="97"/>
  <c r="J85" i="97"/>
  <c r="J77" i="97"/>
  <c r="J63" i="97"/>
  <c r="J45" i="97"/>
  <c r="J41" i="97"/>
  <c r="J37" i="97"/>
  <c r="J46" i="97"/>
  <c r="J20" i="97"/>
  <c r="J71" i="97"/>
  <c r="J65" i="97"/>
  <c r="J18" i="97"/>
  <c r="J55" i="97"/>
  <c r="J19" i="97"/>
  <c r="J72" i="97"/>
  <c r="J91" i="97"/>
  <c r="J38" i="97"/>
  <c r="J28" i="97"/>
  <c r="J30" i="97"/>
  <c r="J53" i="92"/>
  <c r="J61" i="92"/>
  <c r="J69" i="92"/>
  <c r="J75" i="92"/>
  <c r="J79" i="92"/>
  <c r="N84" i="92"/>
  <c r="J91" i="92"/>
  <c r="J80" i="93"/>
  <c r="J72" i="93"/>
  <c r="J68" i="93"/>
  <c r="J52" i="93"/>
  <c r="J53" i="93"/>
  <c r="J35" i="93"/>
  <c r="J31" i="93"/>
  <c r="J27" i="93"/>
  <c r="J25" i="93"/>
  <c r="J23" i="93"/>
  <c r="J74" i="93"/>
  <c r="J64" i="93"/>
  <c r="J56" i="93"/>
  <c r="J32" i="93"/>
  <c r="J28" i="93"/>
  <c r="J18" i="93"/>
  <c r="J87" i="93"/>
  <c r="J75" i="93"/>
  <c r="J57" i="93"/>
  <c r="J70" i="93"/>
  <c r="J58" i="93"/>
  <c r="J46" i="93"/>
  <c r="J42" i="93"/>
  <c r="J38" i="93"/>
  <c r="J92" i="93"/>
  <c r="J89" i="93"/>
  <c r="J65" i="93"/>
  <c r="J59" i="93"/>
  <c r="J47" i="93"/>
  <c r="J33" i="93"/>
  <c r="J29" i="93"/>
  <c r="J79" i="93"/>
  <c r="J61" i="93"/>
  <c r="J36" i="93"/>
  <c r="J44" i="93"/>
  <c r="V62" i="93"/>
  <c r="J78" i="93"/>
  <c r="J85" i="93"/>
  <c r="V77" i="94"/>
  <c r="V73" i="94"/>
  <c r="V65" i="94"/>
  <c r="V45" i="94"/>
  <c r="V41" i="94"/>
  <c r="V37" i="94"/>
  <c r="V64" i="94"/>
  <c r="V56" i="94"/>
  <c r="V32" i="94"/>
  <c r="V28" i="94"/>
  <c r="V79" i="94"/>
  <c r="V67" i="94"/>
  <c r="V78" i="94"/>
  <c r="V74" i="94"/>
  <c r="V66" i="94"/>
  <c r="V58" i="94"/>
  <c r="V46" i="94"/>
  <c r="V42" i="94"/>
  <c r="V38" i="94"/>
  <c r="V81" i="94"/>
  <c r="V69" i="94"/>
  <c r="V57" i="94"/>
  <c r="V49" i="94"/>
  <c r="V33" i="94"/>
  <c r="V29" i="94"/>
  <c r="V80" i="94"/>
  <c r="V68" i="94"/>
  <c r="V60" i="94"/>
  <c r="V48" i="94"/>
  <c r="V20" i="94"/>
  <c r="V75" i="94"/>
  <c r="V71" i="94"/>
  <c r="V59" i="94"/>
  <c r="V51" i="94"/>
  <c r="V43" i="94"/>
  <c r="V39" i="94"/>
  <c r="V86" i="94"/>
  <c r="V84" i="94"/>
  <c r="V82" i="94"/>
  <c r="V70" i="94"/>
  <c r="V62" i="94"/>
  <c r="V50" i="94"/>
  <c r="V34" i="94"/>
  <c r="V30" i="94"/>
  <c r="V26" i="94"/>
  <c r="V61" i="94"/>
  <c r="V88" i="94"/>
  <c r="V54" i="94"/>
  <c r="V18" i="94"/>
  <c r="Z26" i="94"/>
  <c r="Z47" i="94"/>
  <c r="Z53" i="94"/>
  <c r="N65" i="94"/>
  <c r="Z67" i="94"/>
  <c r="T107" i="95"/>
  <c r="V107" i="95" s="1"/>
  <c r="Z66" i="95"/>
  <c r="D100" i="95"/>
  <c r="L100" i="95" s="1"/>
  <c r="L101" i="95"/>
  <c r="J64" i="97"/>
  <c r="J66" i="97"/>
  <c r="J78" i="97"/>
  <c r="J51" i="92"/>
  <c r="J59" i="92"/>
  <c r="J67" i="92"/>
  <c r="J83" i="92"/>
  <c r="J89" i="92"/>
  <c r="N12" i="93"/>
  <c r="J26" i="93"/>
  <c r="V54" i="93"/>
  <c r="X55" i="93"/>
  <c r="Z55" i="93" s="1"/>
  <c r="N66" i="93"/>
  <c r="V63" i="94"/>
  <c r="J58" i="92"/>
  <c r="J66" i="92"/>
  <c r="J74" i="92"/>
  <c r="J78" i="92"/>
  <c r="J66" i="93"/>
  <c r="X25" i="94"/>
  <c r="N36" i="94"/>
  <c r="Z71" i="94"/>
  <c r="V76" i="94"/>
  <c r="D12" i="95"/>
  <c r="L13" i="95"/>
  <c r="N24" i="95"/>
  <c r="L35" i="95"/>
  <c r="N35" i="95" s="1"/>
  <c r="Z71" i="95"/>
  <c r="J34" i="97"/>
  <c r="J39" i="92"/>
  <c r="J43" i="92"/>
  <c r="J49" i="92"/>
  <c r="J57" i="92"/>
  <c r="J73" i="92"/>
  <c r="J87" i="92"/>
  <c r="X89" i="92"/>
  <c r="V64" i="93"/>
  <c r="V56" i="93"/>
  <c r="V87" i="93"/>
  <c r="V75" i="93"/>
  <c r="V59" i="93"/>
  <c r="V47" i="93"/>
  <c r="V19" i="93"/>
  <c r="V76" i="93"/>
  <c r="V60" i="93"/>
  <c r="V48" i="93"/>
  <c r="V20" i="93"/>
  <c r="V79" i="93"/>
  <c r="V71" i="93"/>
  <c r="V67" i="93"/>
  <c r="V51" i="93"/>
  <c r="V78" i="93"/>
  <c r="V50" i="93"/>
  <c r="V34" i="93"/>
  <c r="V30" i="93"/>
  <c r="V26" i="93"/>
  <c r="V61" i="93"/>
  <c r="V53" i="93"/>
  <c r="V25" i="93"/>
  <c r="V23" i="93"/>
  <c r="V21" i="93"/>
  <c r="V73" i="93"/>
  <c r="V69" i="93"/>
  <c r="V57" i="93"/>
  <c r="V31" i="93"/>
  <c r="Z36" i="93"/>
  <c r="V44" i="93"/>
  <c r="J50" i="93"/>
  <c r="N53" i="93"/>
  <c r="X66" i="93"/>
  <c r="V70" i="93"/>
  <c r="V80" i="93"/>
  <c r="V21" i="94"/>
  <c r="V52" i="94"/>
  <c r="J58" i="94"/>
  <c r="X94" i="95"/>
  <c r="J42" i="97"/>
  <c r="Z84" i="92"/>
  <c r="X59" i="93"/>
  <c r="Z59" i="93"/>
  <c r="Z66" i="93"/>
  <c r="J77" i="93"/>
  <c r="J83" i="93"/>
  <c r="Z25" i="94"/>
  <c r="X56" i="94"/>
  <c r="Z56" i="94"/>
  <c r="J35" i="95"/>
  <c r="Z94" i="95"/>
  <c r="Z47" i="93"/>
  <c r="N49" i="93"/>
  <c r="J63" i="93"/>
  <c r="V66" i="93"/>
  <c r="P12" i="94"/>
  <c r="X13" i="94"/>
  <c r="Z13" i="94" s="1"/>
  <c r="V25" i="94"/>
  <c r="N77" i="95"/>
  <c r="J32" i="97"/>
  <c r="H53" i="98"/>
  <c r="N20" i="98"/>
  <c r="J38" i="92"/>
  <c r="J42" i="92"/>
  <c r="J46" i="92"/>
  <c r="J86" i="92"/>
  <c r="D12" i="93"/>
  <c r="J19" i="93"/>
  <c r="Z26" i="93"/>
  <c r="J30" i="93"/>
  <c r="J37" i="93"/>
  <c r="V46" i="93"/>
  <c r="J49" i="93"/>
  <c r="Z53" i="93"/>
  <c r="L82" i="93"/>
  <c r="H86" i="94"/>
  <c r="V31" i="94"/>
  <c r="Z36" i="94"/>
  <c r="L47" i="94"/>
  <c r="N79" i="94"/>
  <c r="J79" i="94"/>
  <c r="Z35" i="95"/>
  <c r="L62" i="95"/>
  <c r="N62" i="95" s="1"/>
  <c r="X77" i="95"/>
  <c r="Z77" i="95" s="1"/>
  <c r="N23" i="93"/>
  <c r="L49" i="93"/>
  <c r="J55" i="93"/>
  <c r="J60" i="93"/>
  <c r="Z77" i="93"/>
  <c r="L67" i="94"/>
  <c r="N67" i="94" s="1"/>
  <c r="V72" i="94"/>
  <c r="T98" i="97"/>
  <c r="J60" i="94"/>
  <c r="N62" i="94"/>
  <c r="J70" i="94"/>
  <c r="J82" i="94"/>
  <c r="N84" i="94"/>
  <c r="R19" i="95"/>
  <c r="Z24" i="95"/>
  <c r="N46" i="95"/>
  <c r="R47" i="95"/>
  <c r="R48" i="95"/>
  <c r="Z52" i="95"/>
  <c r="J54" i="95"/>
  <c r="R55" i="95"/>
  <c r="R56" i="95"/>
  <c r="Z60" i="95"/>
  <c r="J64" i="95"/>
  <c r="N66" i="95"/>
  <c r="R67" i="95"/>
  <c r="J70" i="95"/>
  <c r="V78" i="95"/>
  <c r="V85" i="95"/>
  <c r="V91" i="95"/>
  <c r="J97" i="95"/>
  <c r="V39" i="97"/>
  <c r="Z79" i="97"/>
  <c r="N96" i="97"/>
  <c r="L96" i="97"/>
  <c r="R18" i="95"/>
  <c r="R54" i="95"/>
  <c r="J61" i="95"/>
  <c r="J69" i="95"/>
  <c r="R70" i="95"/>
  <c r="R71" i="95"/>
  <c r="V87" i="95"/>
  <c r="V94" i="95"/>
  <c r="J96" i="95"/>
  <c r="N36" i="97"/>
  <c r="V48" i="97"/>
  <c r="N76" i="97"/>
  <c r="J38" i="94"/>
  <c r="J42" i="94"/>
  <c r="J46" i="94"/>
  <c r="J56" i="94"/>
  <c r="J66" i="94"/>
  <c r="J74" i="94"/>
  <c r="J78" i="94"/>
  <c r="J22" i="95"/>
  <c r="J24" i="95"/>
  <c r="J26" i="95"/>
  <c r="R27" i="95"/>
  <c r="J30" i="95"/>
  <c r="R31" i="95"/>
  <c r="J34" i="95"/>
  <c r="V46" i="95"/>
  <c r="J52" i="95"/>
  <c r="V54" i="95"/>
  <c r="J60" i="95"/>
  <c r="R63" i="95"/>
  <c r="R64" i="95"/>
  <c r="V66" i="95"/>
  <c r="V70" i="95"/>
  <c r="J74" i="95"/>
  <c r="R75" i="95"/>
  <c r="J80" i="95"/>
  <c r="V84" i="95"/>
  <c r="R90" i="95"/>
  <c r="V103" i="95"/>
  <c r="P12" i="97"/>
  <c r="F44" i="98"/>
  <c r="F43" i="98"/>
  <c r="F35" i="98"/>
  <c r="F60" i="98"/>
  <c r="F57" i="98"/>
  <c r="F46" i="98"/>
  <c r="F45" i="98"/>
  <c r="F30" i="98"/>
  <c r="F36" i="98"/>
  <c r="F47" i="98"/>
  <c r="F38" i="98"/>
  <c r="F37" i="98"/>
  <c r="F18" i="98"/>
  <c r="F49" i="98"/>
  <c r="F48" i="98"/>
  <c r="F33" i="98"/>
  <c r="F32" i="98"/>
  <c r="F55" i="98"/>
  <c r="F51" i="98"/>
  <c r="F34" i="98"/>
  <c r="F31" i="98"/>
  <c r="D20" i="98"/>
  <c r="F26" i="98"/>
  <c r="F16" i="98"/>
  <c r="F41" i="98"/>
  <c r="F29" i="98"/>
  <c r="F22" i="98"/>
  <c r="F23" i="98"/>
  <c r="F17" i="98"/>
  <c r="F24" i="98"/>
  <c r="F27" i="98"/>
  <c r="F53" i="98"/>
  <c r="F39" i="98"/>
  <c r="L12" i="98"/>
  <c r="F42" i="98"/>
  <c r="F25" i="98"/>
  <c r="F20" i="98"/>
  <c r="J55" i="94"/>
  <c r="J65" i="94"/>
  <c r="R17" i="95"/>
  <c r="J25" i="95"/>
  <c r="R36" i="95"/>
  <c r="J39" i="95"/>
  <c r="R40" i="95"/>
  <c r="J43" i="95"/>
  <c r="R44" i="95"/>
  <c r="J51" i="95"/>
  <c r="J59" i="95"/>
  <c r="V63" i="95"/>
  <c r="V71" i="95"/>
  <c r="V75" i="95"/>
  <c r="J79" i="95"/>
  <c r="R81" i="95"/>
  <c r="J86" i="95"/>
  <c r="R89" i="95"/>
  <c r="Z90" i="95"/>
  <c r="V93" i="95"/>
  <c r="V97" i="95"/>
  <c r="V88" i="97"/>
  <c r="V87" i="97"/>
  <c r="V69" i="97"/>
  <c r="V61" i="97"/>
  <c r="V53" i="97"/>
  <c r="V25" i="97"/>
  <c r="V23" i="97"/>
  <c r="V21" i="97"/>
  <c r="V84" i="97"/>
  <c r="V76" i="97"/>
  <c r="V60" i="97"/>
  <c r="V52" i="97"/>
  <c r="V44" i="97"/>
  <c r="V40" i="97"/>
  <c r="V36" i="97"/>
  <c r="V94" i="97"/>
  <c r="V81" i="97"/>
  <c r="V75" i="97"/>
  <c r="V63" i="97"/>
  <c r="V35" i="97"/>
  <c r="V31" i="97"/>
  <c r="V27" i="97"/>
  <c r="V96" i="97"/>
  <c r="V70" i="97"/>
  <c r="V62" i="97"/>
  <c r="V54" i="97"/>
  <c r="V98" i="97"/>
  <c r="V90" i="97"/>
  <c r="V89" i="97"/>
  <c r="V77" i="97"/>
  <c r="V65" i="97"/>
  <c r="V45" i="97"/>
  <c r="V41" i="97"/>
  <c r="V37" i="97"/>
  <c r="V85" i="97"/>
  <c r="V82" i="97"/>
  <c r="V72" i="97"/>
  <c r="V64" i="97"/>
  <c r="V32" i="97"/>
  <c r="V28" i="97"/>
  <c r="V79" i="97"/>
  <c r="V71" i="97"/>
  <c r="V55" i="97"/>
  <c r="V47" i="97"/>
  <c r="V19" i="97"/>
  <c r="V92" i="97"/>
  <c r="V91" i="97"/>
  <c r="V78" i="97"/>
  <c r="V66" i="97"/>
  <c r="V46" i="97"/>
  <c r="V42" i="97"/>
  <c r="V38" i="97"/>
  <c r="V86" i="97"/>
  <c r="V73" i="97"/>
  <c r="V57" i="97"/>
  <c r="V49" i="97"/>
  <c r="V33" i="97"/>
  <c r="V93" i="97"/>
  <c r="V30" i="97"/>
  <c r="V74" i="97"/>
  <c r="V80" i="97"/>
  <c r="J64" i="94"/>
  <c r="J101" i="95"/>
  <c r="J100" i="95"/>
  <c r="J90" i="95"/>
  <c r="J94" i="95"/>
  <c r="J107" i="95"/>
  <c r="J95" i="95"/>
  <c r="J87" i="95"/>
  <c r="J83" i="95"/>
  <c r="J20" i="95"/>
  <c r="J50" i="95"/>
  <c r="R53" i="95"/>
  <c r="J58" i="95"/>
  <c r="R61" i="95"/>
  <c r="R62" i="95"/>
  <c r="V64" i="95"/>
  <c r="J68" i="95"/>
  <c r="R69" i="95"/>
  <c r="V81" i="95"/>
  <c r="V89" i="95"/>
  <c r="J92" i="95"/>
  <c r="R101" i="95"/>
  <c r="V26" i="97"/>
  <c r="L63" i="97"/>
  <c r="R20" i="99"/>
  <c r="R15" i="99"/>
  <c r="R47" i="99"/>
  <c r="R46" i="99"/>
  <c r="R38" i="99"/>
  <c r="R34" i="99"/>
  <c r="R19" i="99"/>
  <c r="R17" i="99"/>
  <c r="R30" i="99"/>
  <c r="R29" i="99"/>
  <c r="R25" i="99"/>
  <c r="R21" i="99"/>
  <c r="P17" i="99"/>
  <c r="R49" i="99"/>
  <c r="R48" i="99"/>
  <c r="R39" i="99"/>
  <c r="R35" i="99"/>
  <c r="R31" i="99"/>
  <c r="R50" i="99"/>
  <c r="R26" i="99"/>
  <c r="R22" i="99"/>
  <c r="R53" i="99"/>
  <c r="R52" i="99"/>
  <c r="R55" i="99"/>
  <c r="R41" i="99"/>
  <c r="R40" i="99"/>
  <c r="R36" i="99"/>
  <c r="R32" i="99"/>
  <c r="X12" i="99"/>
  <c r="R27" i="99"/>
  <c r="R23" i="99"/>
  <c r="R62" i="99"/>
  <c r="R59" i="99"/>
  <c r="R45" i="99"/>
  <c r="R44" i="99"/>
  <c r="R28" i="99"/>
  <c r="R24" i="99"/>
  <c r="R43" i="99"/>
  <c r="R14" i="99"/>
  <c r="R37" i="99"/>
  <c r="R57" i="99"/>
  <c r="R42" i="99"/>
  <c r="R33" i="99"/>
  <c r="J37" i="94"/>
  <c r="J41" i="94"/>
  <c r="J45" i="94"/>
  <c r="J73" i="94"/>
  <c r="J77" i="94"/>
  <c r="P22" i="95"/>
  <c r="R26" i="95"/>
  <c r="J29" i="95"/>
  <c r="R30" i="95"/>
  <c r="J33" i="95"/>
  <c r="R34" i="95"/>
  <c r="R35" i="95"/>
  <c r="J49" i="95"/>
  <c r="V53" i="95"/>
  <c r="J57" i="95"/>
  <c r="V61" i="95"/>
  <c r="V69" i="95"/>
  <c r="J73" i="95"/>
  <c r="R74" i="95"/>
  <c r="R86" i="95"/>
  <c r="L92" i="95"/>
  <c r="V101" i="95"/>
  <c r="D12" i="97"/>
  <c r="L13" i="97"/>
  <c r="N13" i="97" s="1"/>
  <c r="N18" i="97"/>
  <c r="N25" i="97"/>
  <c r="X57" i="97"/>
  <c r="F40" i="98"/>
  <c r="N54" i="100"/>
  <c r="L54" i="100"/>
  <c r="R22" i="95"/>
  <c r="R24" i="95"/>
  <c r="R39" i="95"/>
  <c r="R43" i="95"/>
  <c r="R51" i="95"/>
  <c r="R52" i="95"/>
  <c r="R59" i="95"/>
  <c r="R60" i="95"/>
  <c r="J78" i="95"/>
  <c r="R79" i="95"/>
  <c r="R80" i="95"/>
  <c r="J85" i="95"/>
  <c r="J88" i="95"/>
  <c r="J91" i="95"/>
  <c r="N63" i="97"/>
  <c r="Z68" i="97"/>
  <c r="X68" i="97"/>
  <c r="R105" i="95"/>
  <c r="R94" i="95"/>
  <c r="R93" i="95"/>
  <c r="R97" i="95"/>
  <c r="R96" i="95"/>
  <c r="R88" i="95"/>
  <c r="R84" i="95"/>
  <c r="R20" i="95"/>
  <c r="R25" i="95"/>
  <c r="J47" i="95"/>
  <c r="J55" i="95"/>
  <c r="J67" i="95"/>
  <c r="R68" i="95"/>
  <c r="J77" i="95"/>
  <c r="V79" i="95"/>
  <c r="R92" i="95"/>
  <c r="R95" i="95"/>
  <c r="X100" i="95"/>
  <c r="V43" i="97"/>
  <c r="V68" i="97"/>
  <c r="V83" i="97"/>
  <c r="N90" i="97"/>
  <c r="J26" i="94"/>
  <c r="J40" i="94"/>
  <c r="J44" i="94"/>
  <c r="J52" i="94"/>
  <c r="J62" i="94"/>
  <c r="J72" i="94"/>
  <c r="J76" i="94"/>
  <c r="J84" i="94"/>
  <c r="J86" i="94"/>
  <c r="V96" i="95"/>
  <c r="V88" i="95"/>
  <c r="V100" i="95"/>
  <c r="V98" i="95"/>
  <c r="V90" i="95"/>
  <c r="V20" i="95"/>
  <c r="V22" i="95"/>
  <c r="V24" i="95"/>
  <c r="J28" i="95"/>
  <c r="R29" i="95"/>
  <c r="J32" i="95"/>
  <c r="R33" i="95"/>
  <c r="J46" i="95"/>
  <c r="R49" i="95"/>
  <c r="R50" i="95"/>
  <c r="V52" i="95"/>
  <c r="R57" i="95"/>
  <c r="R58" i="95"/>
  <c r="V60" i="95"/>
  <c r="J66" i="95"/>
  <c r="V68" i="95"/>
  <c r="J72" i="95"/>
  <c r="R73" i="95"/>
  <c r="J76" i="95"/>
  <c r="V80" i="95"/>
  <c r="V95" i="95"/>
  <c r="J98" i="95"/>
  <c r="R100" i="95"/>
  <c r="Z47" i="97"/>
  <c r="Z49" i="97"/>
  <c r="Z51" i="97"/>
  <c r="Z59" i="97"/>
  <c r="V67" i="97"/>
  <c r="N88" i="97"/>
  <c r="L90" i="97"/>
  <c r="V100" i="97"/>
  <c r="F28" i="98"/>
  <c r="J61" i="94"/>
  <c r="X12" i="95"/>
  <c r="Z12" i="95" s="1"/>
  <c r="J37" i="95"/>
  <c r="R38" i="95"/>
  <c r="J41" i="95"/>
  <c r="R42" i="95"/>
  <c r="J45" i="95"/>
  <c r="J65" i="95"/>
  <c r="J71" i="95"/>
  <c r="V73" i="95"/>
  <c r="R78" i="95"/>
  <c r="J82" i="95"/>
  <c r="R85" i="95"/>
  <c r="R91" i="95"/>
  <c r="V92" i="95"/>
  <c r="J103" i="95"/>
  <c r="V51" i="97"/>
  <c r="V59" i="97"/>
  <c r="X41" i="98"/>
  <c r="Z45" i="99"/>
  <c r="X45" i="99"/>
  <c r="Z48" i="100"/>
  <c r="X48" i="100"/>
  <c r="Z46" i="100"/>
  <c r="V48" i="100"/>
  <c r="V39" i="101"/>
  <c r="X22" i="98"/>
  <c r="H84" i="100"/>
  <c r="N26" i="100"/>
  <c r="L26" i="100"/>
  <c r="T20" i="98"/>
  <c r="P12" i="100"/>
  <c r="X14" i="100"/>
  <c r="P12" i="98"/>
  <c r="X37" i="98"/>
  <c r="X14" i="99"/>
  <c r="Z20" i="99"/>
  <c r="N30" i="99"/>
  <c r="L35" i="100"/>
  <c r="N35" i="100" s="1"/>
  <c r="V47" i="98"/>
  <c r="V38" i="98"/>
  <c r="V22" i="98"/>
  <c r="V20" i="98"/>
  <c r="V18" i="98"/>
  <c r="V53" i="98"/>
  <c r="V51" i="98"/>
  <c r="V49" i="98"/>
  <c r="V41" i="98"/>
  <c r="V33" i="98"/>
  <c r="V43" i="98"/>
  <c r="V42" i="98"/>
  <c r="V60" i="98"/>
  <c r="V57" i="98"/>
  <c r="V55" i="98"/>
  <c r="V45" i="98"/>
  <c r="V29" i="98"/>
  <c r="V25" i="98"/>
  <c r="V44" i="98"/>
  <c r="V16" i="98"/>
  <c r="Z12" i="98"/>
  <c r="V48" i="98"/>
  <c r="V30" i="98"/>
  <c r="V36" i="98"/>
  <c r="T17" i="99"/>
  <c r="Z14" i="99"/>
  <c r="D12" i="100"/>
  <c r="P64" i="102"/>
  <c r="X16" i="102"/>
  <c r="L49" i="97"/>
  <c r="N49" i="97" s="1"/>
  <c r="L57" i="97"/>
  <c r="X63" i="97"/>
  <c r="Z63" i="97" s="1"/>
  <c r="L51" i="98"/>
  <c r="Z35" i="100"/>
  <c r="V24" i="98"/>
  <c r="V35" i="98"/>
  <c r="V46" i="98"/>
  <c r="L12" i="99"/>
  <c r="V15" i="99"/>
  <c r="V17" i="99"/>
  <c r="V19" i="99"/>
  <c r="J23" i="99"/>
  <c r="J27" i="99"/>
  <c r="J41" i="99"/>
  <c r="V47" i="99"/>
  <c r="J55" i="99"/>
  <c r="V73" i="100"/>
  <c r="V69" i="100"/>
  <c r="V77" i="100"/>
  <c r="V71" i="100"/>
  <c r="V67" i="100"/>
  <c r="V38" i="100"/>
  <c r="V42" i="100"/>
  <c r="V50" i="100"/>
  <c r="J56" i="100"/>
  <c r="J63" i="100"/>
  <c r="V64" i="100"/>
  <c r="V75" i="100"/>
  <c r="X39" i="101"/>
  <c r="Z39" i="101" s="1"/>
  <c r="Z61" i="101"/>
  <c r="N72" i="101"/>
  <c r="V14" i="99"/>
  <c r="D17" i="99"/>
  <c r="J22" i="99"/>
  <c r="J26" i="99"/>
  <c r="V42" i="99"/>
  <c r="J50" i="99"/>
  <c r="J21" i="100"/>
  <c r="N23" i="100"/>
  <c r="J35" i="100"/>
  <c r="V37" i="100"/>
  <c r="V41" i="100"/>
  <c r="V45" i="100"/>
  <c r="J53" i="100"/>
  <c r="V57" i="100"/>
  <c r="J66" i="100"/>
  <c r="J82" i="100"/>
  <c r="J88" i="101"/>
  <c r="J78" i="101"/>
  <c r="J64" i="101"/>
  <c r="J54" i="101"/>
  <c r="J89" i="101"/>
  <c r="J83" i="101"/>
  <c r="J79" i="101"/>
  <c r="J71" i="101"/>
  <c r="J65" i="101"/>
  <c r="J55" i="101"/>
  <c r="J47" i="101"/>
  <c r="J43" i="101"/>
  <c r="J90" i="101"/>
  <c r="J72" i="101"/>
  <c r="J66" i="101"/>
  <c r="J56" i="101"/>
  <c r="J38" i="101"/>
  <c r="J34" i="101"/>
  <c r="J30" i="101"/>
  <c r="J91" i="101"/>
  <c r="J73" i="101"/>
  <c r="J57" i="101"/>
  <c r="J92" i="101"/>
  <c r="J84" i="101"/>
  <c r="J80" i="101"/>
  <c r="J48" i="101"/>
  <c r="J44" i="101"/>
  <c r="J40" i="101"/>
  <c r="J67" i="101"/>
  <c r="J35" i="101"/>
  <c r="J31" i="101"/>
  <c r="J95" i="101"/>
  <c r="J94" i="101"/>
  <c r="J74" i="101"/>
  <c r="J58" i="101"/>
  <c r="J85" i="101"/>
  <c r="J81" i="101"/>
  <c r="J59" i="101"/>
  <c r="J49" i="101"/>
  <c r="J45" i="101"/>
  <c r="J41" i="101"/>
  <c r="J86" i="101"/>
  <c r="J68" i="101"/>
  <c r="J60" i="101"/>
  <c r="J50" i="101"/>
  <c r="J36" i="101"/>
  <c r="J32" i="101"/>
  <c r="J77" i="101"/>
  <c r="J63" i="101"/>
  <c r="J53" i="101"/>
  <c r="J37" i="101"/>
  <c r="J33" i="101"/>
  <c r="J29" i="101"/>
  <c r="J27" i="101"/>
  <c r="V55" i="101"/>
  <c r="Z72" i="101"/>
  <c r="X72" i="101"/>
  <c r="J75" i="101"/>
  <c r="V90" i="101"/>
  <c r="Z19" i="102"/>
  <c r="X44" i="102"/>
  <c r="Z44" i="102" s="1"/>
  <c r="J40" i="98"/>
  <c r="V23" i="99"/>
  <c r="V27" i="99"/>
  <c r="J31" i="99"/>
  <c r="J35" i="99"/>
  <c r="J39" i="99"/>
  <c r="V43" i="99"/>
  <c r="F47" i="99"/>
  <c r="F48" i="99"/>
  <c r="J49" i="99"/>
  <c r="V18" i="100"/>
  <c r="J30" i="100"/>
  <c r="J34" i="100"/>
  <c r="V46" i="100"/>
  <c r="J52" i="100"/>
  <c r="V58" i="100"/>
  <c r="J62" i="100"/>
  <c r="V63" i="100"/>
  <c r="N73" i="100"/>
  <c r="V74" i="100"/>
  <c r="V20" i="101"/>
  <c r="V28" i="101"/>
  <c r="N86" i="101"/>
  <c r="L86" i="101"/>
  <c r="R89" i="103"/>
  <c r="R81" i="103"/>
  <c r="R77" i="103"/>
  <c r="R38" i="103"/>
  <c r="R37" i="103"/>
  <c r="R33" i="103"/>
  <c r="R29" i="103"/>
  <c r="R72" i="103"/>
  <c r="R57" i="103"/>
  <c r="R56" i="103"/>
  <c r="R20" i="103"/>
  <c r="R67" i="103"/>
  <c r="R47" i="103"/>
  <c r="R43" i="103"/>
  <c r="R39" i="103"/>
  <c r="R90" i="103"/>
  <c r="R82" i="103"/>
  <c r="R78" i="103"/>
  <c r="R59" i="103"/>
  <c r="R58" i="103"/>
  <c r="R92" i="103"/>
  <c r="R74" i="103"/>
  <c r="R73" i="103"/>
  <c r="R21" i="103"/>
  <c r="R69" i="103"/>
  <c r="R68" i="103"/>
  <c r="R61" i="103"/>
  <c r="R60" i="103"/>
  <c r="R49" i="103"/>
  <c r="R48" i="103"/>
  <c r="R44" i="103"/>
  <c r="R40" i="103"/>
  <c r="R84" i="103"/>
  <c r="R83" i="103"/>
  <c r="R79" i="103"/>
  <c r="R75" i="103"/>
  <c r="R35" i="103"/>
  <c r="R31" i="103"/>
  <c r="R96" i="103"/>
  <c r="R70" i="103"/>
  <c r="R63" i="103"/>
  <c r="R62" i="103"/>
  <c r="R51" i="103"/>
  <c r="R50" i="103"/>
  <c r="R27" i="103"/>
  <c r="R22" i="103"/>
  <c r="X12" i="103"/>
  <c r="R86" i="103"/>
  <c r="R85" i="103"/>
  <c r="R45" i="103"/>
  <c r="R41" i="103"/>
  <c r="R66" i="103"/>
  <c r="R55" i="103"/>
  <c r="R54" i="103"/>
  <c r="R46" i="103"/>
  <c r="R42" i="103"/>
  <c r="R19" i="103"/>
  <c r="R87" i="103"/>
  <c r="R64" i="103"/>
  <c r="R71" i="103"/>
  <c r="R28" i="103"/>
  <c r="R53" i="103"/>
  <c r="R26" i="103"/>
  <c r="R80" i="103"/>
  <c r="R32" i="103"/>
  <c r="R30" i="103"/>
  <c r="R88" i="103"/>
  <c r="R36" i="103"/>
  <c r="R34" i="103"/>
  <c r="R65" i="103"/>
  <c r="R24" i="103"/>
  <c r="R76" i="103"/>
  <c r="R52" i="103"/>
  <c r="F59" i="104"/>
  <c r="F51" i="104"/>
  <c r="F50" i="104"/>
  <c r="F43" i="104"/>
  <c r="F39" i="104"/>
  <c r="F34" i="104"/>
  <c r="F30" i="104"/>
  <c r="F61" i="104"/>
  <c r="F60" i="104"/>
  <c r="F53" i="104"/>
  <c r="F52" i="104"/>
  <c r="F55" i="104"/>
  <c r="F54" i="104"/>
  <c r="F65" i="104"/>
  <c r="F63" i="104"/>
  <c r="F67" i="104"/>
  <c r="F57" i="104"/>
  <c r="F56" i="104"/>
  <c r="F45" i="104"/>
  <c r="F41" i="104"/>
  <c r="F37" i="104"/>
  <c r="F33" i="104"/>
  <c r="F19" i="104"/>
  <c r="F18" i="104"/>
  <c r="F38" i="104"/>
  <c r="F36" i="104"/>
  <c r="F28" i="104"/>
  <c r="F31" i="104"/>
  <c r="F20" i="104"/>
  <c r="F48" i="104"/>
  <c r="F46" i="104"/>
  <c r="F72" i="104"/>
  <c r="F29" i="104"/>
  <c r="F21" i="104"/>
  <c r="F44" i="104"/>
  <c r="F32" i="104"/>
  <c r="F69" i="104"/>
  <c r="F58" i="104"/>
  <c r="F26" i="104"/>
  <c r="L12" i="104"/>
  <c r="F27" i="104"/>
  <c r="F25" i="104"/>
  <c r="F47" i="104"/>
  <c r="F40" i="104"/>
  <c r="F42" i="104"/>
  <c r="F23" i="104"/>
  <c r="F49" i="104"/>
  <c r="D23" i="104"/>
  <c r="F35" i="104"/>
  <c r="J49" i="98"/>
  <c r="Z12" i="99"/>
  <c r="H17" i="99"/>
  <c r="J30" i="99"/>
  <c r="V32" i="99"/>
  <c r="V36" i="99"/>
  <c r="V40" i="99"/>
  <c r="J48" i="99"/>
  <c r="L13" i="100"/>
  <c r="V27" i="100"/>
  <c r="V31" i="100"/>
  <c r="J39" i="100"/>
  <c r="J43" i="100"/>
  <c r="J51" i="100"/>
  <c r="V55" i="100"/>
  <c r="J61" i="100"/>
  <c r="V70" i="100"/>
  <c r="J73" i="100"/>
  <c r="N77" i="100"/>
  <c r="V78" i="100"/>
  <c r="P12" i="101"/>
  <c r="Z20" i="101"/>
  <c r="N18" i="102"/>
  <c r="N29" i="102"/>
  <c r="J17" i="99"/>
  <c r="J19" i="99"/>
  <c r="J21" i="99"/>
  <c r="J25" i="99"/>
  <c r="J29" i="99"/>
  <c r="V41" i="99"/>
  <c r="J47" i="99"/>
  <c r="V53" i="99"/>
  <c r="V55" i="99"/>
  <c r="J20" i="100"/>
  <c r="T23" i="100"/>
  <c r="V36" i="100"/>
  <c r="V40" i="100"/>
  <c r="V44" i="100"/>
  <c r="J50" i="100"/>
  <c r="V56" i="100"/>
  <c r="J60" i="100"/>
  <c r="J65" i="100"/>
  <c r="V66" i="100"/>
  <c r="J69" i="100"/>
  <c r="J72" i="100"/>
  <c r="V82" i="100"/>
  <c r="V94" i="101"/>
  <c r="V92" i="101"/>
  <c r="V84" i="101"/>
  <c r="V80" i="101"/>
  <c r="V48" i="101"/>
  <c r="V44" i="101"/>
  <c r="V40" i="101"/>
  <c r="V95" i="101"/>
  <c r="V67" i="101"/>
  <c r="V59" i="101"/>
  <c r="V35" i="101"/>
  <c r="V31" i="101"/>
  <c r="V86" i="101"/>
  <c r="V74" i="101"/>
  <c r="V58" i="101"/>
  <c r="V50" i="101"/>
  <c r="V85" i="101"/>
  <c r="V81" i="101"/>
  <c r="V69" i="101"/>
  <c r="V61" i="101"/>
  <c r="V49" i="101"/>
  <c r="V45" i="101"/>
  <c r="V76" i="101"/>
  <c r="V68" i="101"/>
  <c r="V60" i="101"/>
  <c r="V52" i="101"/>
  <c r="V36" i="101"/>
  <c r="V32" i="101"/>
  <c r="V99" i="101"/>
  <c r="V87" i="101"/>
  <c r="V75" i="101"/>
  <c r="V63" i="101"/>
  <c r="V51" i="101"/>
  <c r="V27" i="101"/>
  <c r="V25" i="101"/>
  <c r="V23" i="101"/>
  <c r="V82" i="101"/>
  <c r="V78" i="101"/>
  <c r="V70" i="101"/>
  <c r="V62" i="101"/>
  <c r="V54" i="101"/>
  <c r="V46" i="101"/>
  <c r="V42" i="101"/>
  <c r="V89" i="101"/>
  <c r="V77" i="101"/>
  <c r="V65" i="101"/>
  <c r="V53" i="101"/>
  <c r="V37" i="101"/>
  <c r="V33" i="101"/>
  <c r="V29" i="101"/>
  <c r="V88" i="101"/>
  <c r="V72" i="101"/>
  <c r="V64" i="101"/>
  <c r="V56" i="101"/>
  <c r="V73" i="101"/>
  <c r="V57" i="101"/>
  <c r="V21" i="101"/>
  <c r="V22" i="101"/>
  <c r="H25" i="101"/>
  <c r="V38" i="101"/>
  <c r="V66" i="101"/>
  <c r="N69" i="101"/>
  <c r="L69" i="101"/>
  <c r="V79" i="101"/>
  <c r="J82" i="101"/>
  <c r="P24" i="103"/>
  <c r="J27" i="98"/>
  <c r="J31" i="98"/>
  <c r="J37" i="98"/>
  <c r="J47" i="98"/>
  <c r="F14" i="99"/>
  <c r="F15" i="99"/>
  <c r="J20" i="99"/>
  <c r="V22" i="99"/>
  <c r="V26" i="99"/>
  <c r="J34" i="99"/>
  <c r="J38" i="99"/>
  <c r="J46" i="99"/>
  <c r="V50" i="99"/>
  <c r="V52" i="99"/>
  <c r="V21" i="100"/>
  <c r="V23" i="100"/>
  <c r="V25" i="100"/>
  <c r="J29" i="100"/>
  <c r="J33" i="100"/>
  <c r="J49" i="100"/>
  <c r="V53" i="100"/>
  <c r="V62" i="100"/>
  <c r="P77" i="100"/>
  <c r="X77" i="100" s="1"/>
  <c r="Z77" i="100" s="1"/>
  <c r="N56" i="101"/>
  <c r="J69" i="101"/>
  <c r="V71" i="101"/>
  <c r="J15" i="99"/>
  <c r="V31" i="99"/>
  <c r="V35" i="99"/>
  <c r="V39" i="99"/>
  <c r="J45" i="99"/>
  <c r="X52" i="99"/>
  <c r="Z52" i="99" s="1"/>
  <c r="J59" i="99"/>
  <c r="J62" i="99"/>
  <c r="J78" i="100"/>
  <c r="J77" i="100"/>
  <c r="J67" i="100"/>
  <c r="J75" i="100"/>
  <c r="V26" i="100"/>
  <c r="V30" i="100"/>
  <c r="V34" i="100"/>
  <c r="J38" i="100"/>
  <c r="J42" i="100"/>
  <c r="J48" i="100"/>
  <c r="V54" i="100"/>
  <c r="J64" i="100"/>
  <c r="N50" i="101"/>
  <c r="L50" i="101"/>
  <c r="H64" i="102"/>
  <c r="N16" i="102"/>
  <c r="Z29" i="102"/>
  <c r="X29" i="102"/>
  <c r="J14" i="99"/>
  <c r="J24" i="99"/>
  <c r="J28" i="99"/>
  <c r="J44" i="99"/>
  <c r="V48" i="99"/>
  <c r="F57" i="99"/>
  <c r="J19" i="100"/>
  <c r="V35" i="100"/>
  <c r="V39" i="100"/>
  <c r="V43" i="100"/>
  <c r="J47" i="100"/>
  <c r="V51" i="100"/>
  <c r="J59" i="100"/>
  <c r="J68" i="100"/>
  <c r="J80" i="100"/>
  <c r="D12" i="101"/>
  <c r="V34" i="101"/>
  <c r="V43" i="101"/>
  <c r="J52" i="101"/>
  <c r="N61" i="101"/>
  <c r="L61" i="101"/>
  <c r="Z69" i="101"/>
  <c r="J87" i="101"/>
  <c r="Z91" i="101"/>
  <c r="X91" i="101"/>
  <c r="J16" i="98"/>
  <c r="J26" i="98"/>
  <c r="J30" i="98"/>
  <c r="V21" i="99"/>
  <c r="V25" i="99"/>
  <c r="V29" i="99"/>
  <c r="J33" i="99"/>
  <c r="J37" i="99"/>
  <c r="F41" i="99"/>
  <c r="F42" i="99"/>
  <c r="J43" i="99"/>
  <c r="V49" i="99"/>
  <c r="J57" i="99"/>
  <c r="N12" i="100"/>
  <c r="J18" i="100"/>
  <c r="V20" i="100"/>
  <c r="J28" i="100"/>
  <c r="J32" i="100"/>
  <c r="J46" i="100"/>
  <c r="V52" i="100"/>
  <c r="J58" i="100"/>
  <c r="V60" i="100"/>
  <c r="J71" i="100"/>
  <c r="V72" i="100"/>
  <c r="X73" i="100"/>
  <c r="Z73" i="100" s="1"/>
  <c r="L13" i="101"/>
  <c r="N13" i="101" s="1"/>
  <c r="T25" i="101"/>
  <c r="V41" i="101"/>
  <c r="J46" i="101"/>
  <c r="Z50" i="101"/>
  <c r="Z56" i="101"/>
  <c r="X56" i="101"/>
  <c r="J61" i="101"/>
  <c r="J76" i="101"/>
  <c r="V91" i="101"/>
  <c r="V72" i="103"/>
  <c r="V56" i="103"/>
  <c r="V20" i="103"/>
  <c r="V67" i="103"/>
  <c r="V59" i="103"/>
  <c r="V47" i="103"/>
  <c r="V43" i="103"/>
  <c r="V39" i="103"/>
  <c r="V92" i="103"/>
  <c r="V90" i="103"/>
  <c r="V82" i="103"/>
  <c r="V78" i="103"/>
  <c r="V74" i="103"/>
  <c r="V58" i="103"/>
  <c r="V34" i="103"/>
  <c r="V30" i="103"/>
  <c r="V73" i="103"/>
  <c r="V69" i="103"/>
  <c r="V61" i="103"/>
  <c r="V49" i="103"/>
  <c r="V84" i="103"/>
  <c r="V68" i="103"/>
  <c r="V60" i="103"/>
  <c r="V48" i="103"/>
  <c r="V44" i="103"/>
  <c r="V40" i="103"/>
  <c r="V83" i="103"/>
  <c r="V79" i="103"/>
  <c r="V75" i="103"/>
  <c r="V63" i="103"/>
  <c r="V51" i="103"/>
  <c r="V35" i="103"/>
  <c r="V31" i="103"/>
  <c r="V27" i="103"/>
  <c r="V96" i="103"/>
  <c r="V86" i="103"/>
  <c r="V70" i="103"/>
  <c r="V62" i="103"/>
  <c r="V50" i="103"/>
  <c r="V26" i="103"/>
  <c r="V24" i="103"/>
  <c r="V22" i="103"/>
  <c r="Z12" i="103"/>
  <c r="V85" i="103"/>
  <c r="V65" i="103"/>
  <c r="V53" i="103"/>
  <c r="V45" i="103"/>
  <c r="V41" i="103"/>
  <c r="T24" i="103"/>
  <c r="V88" i="103"/>
  <c r="V80" i="103"/>
  <c r="V76" i="103"/>
  <c r="V64" i="103"/>
  <c r="V52" i="103"/>
  <c r="V36" i="103"/>
  <c r="V32" i="103"/>
  <c r="V28" i="103"/>
  <c r="V89" i="103"/>
  <c r="V81" i="103"/>
  <c r="V77" i="103"/>
  <c r="V57" i="103"/>
  <c r="V37" i="103"/>
  <c r="V33" i="103"/>
  <c r="V29" i="103"/>
  <c r="V71" i="103"/>
  <c r="V66" i="103"/>
  <c r="V55" i="103"/>
  <c r="V38" i="103"/>
  <c r="V42" i="103"/>
  <c r="V19" i="103"/>
  <c r="V21" i="103"/>
  <c r="V87" i="103"/>
  <c r="V30" i="99"/>
  <c r="V34" i="99"/>
  <c r="V38" i="99"/>
  <c r="V29" i="100"/>
  <c r="V33" i="100"/>
  <c r="J37" i="100"/>
  <c r="J41" i="100"/>
  <c r="J45" i="100"/>
  <c r="V49" i="100"/>
  <c r="J57" i="100"/>
  <c r="V61" i="100"/>
  <c r="V65" i="100"/>
  <c r="J84" i="100"/>
  <c r="J20" i="101"/>
  <c r="J23" i="101"/>
  <c r="J39" i="101"/>
  <c r="J70" i="101"/>
  <c r="J71" i="102"/>
  <c r="J68" i="102"/>
  <c r="J55" i="102"/>
  <c r="J49" i="102"/>
  <c r="J58" i="102"/>
  <c r="J59" i="102"/>
  <c r="J60" i="102"/>
  <c r="J52" i="102"/>
  <c r="J42" i="102"/>
  <c r="N14" i="102"/>
  <c r="F23" i="102"/>
  <c r="F27" i="102"/>
  <c r="V30" i="102"/>
  <c r="V34" i="102"/>
  <c r="V38" i="102"/>
  <c r="F49" i="102"/>
  <c r="V51" i="102"/>
  <c r="F53" i="102"/>
  <c r="V54" i="102"/>
  <c r="J57" i="102"/>
  <c r="D24" i="103"/>
  <c r="F24" i="103" s="1"/>
  <c r="R59" i="102"/>
  <c r="R58" i="102"/>
  <c r="R64" i="102"/>
  <c r="R62" i="102"/>
  <c r="R53" i="102"/>
  <c r="R46" i="102"/>
  <c r="R45" i="102"/>
  <c r="T16" i="102"/>
  <c r="R19" i="102"/>
  <c r="F22" i="102"/>
  <c r="F26" i="102"/>
  <c r="V29" i="102"/>
  <c r="V33" i="102"/>
  <c r="V37" i="102"/>
  <c r="V43" i="102"/>
  <c r="F47" i="102"/>
  <c r="J48" i="102"/>
  <c r="R49" i="102"/>
  <c r="Z50" i="102"/>
  <c r="R57" i="102"/>
  <c r="F85" i="103"/>
  <c r="F84" i="103"/>
  <c r="F45" i="103"/>
  <c r="F41" i="103"/>
  <c r="F80" i="103"/>
  <c r="F76" i="103"/>
  <c r="F64" i="103"/>
  <c r="F63" i="103"/>
  <c r="F52" i="103"/>
  <c r="F51" i="103"/>
  <c r="F36" i="103"/>
  <c r="F32" i="103"/>
  <c r="F28" i="103"/>
  <c r="F27" i="103"/>
  <c r="F87" i="103"/>
  <c r="F86" i="103"/>
  <c r="F71" i="103"/>
  <c r="F26" i="103"/>
  <c r="F66" i="103"/>
  <c r="F65" i="103"/>
  <c r="F54" i="103"/>
  <c r="F53" i="103"/>
  <c r="F89" i="103"/>
  <c r="F88" i="103"/>
  <c r="F81" i="103"/>
  <c r="F77" i="103"/>
  <c r="F37" i="103"/>
  <c r="F33" i="103"/>
  <c r="F29" i="103"/>
  <c r="F72" i="103"/>
  <c r="F56" i="103"/>
  <c r="F55" i="103"/>
  <c r="F20" i="103"/>
  <c r="F19" i="103"/>
  <c r="F67" i="103"/>
  <c r="F47" i="103"/>
  <c r="F43" i="103"/>
  <c r="F39" i="103"/>
  <c r="F38" i="103"/>
  <c r="F90" i="103"/>
  <c r="F82" i="103"/>
  <c r="F78" i="103"/>
  <c r="F58" i="103"/>
  <c r="F57" i="103"/>
  <c r="F34" i="103"/>
  <c r="F30" i="103"/>
  <c r="F73" i="103"/>
  <c r="F96" i="103"/>
  <c r="F70" i="103"/>
  <c r="F69" i="103"/>
  <c r="F62" i="103"/>
  <c r="F61" i="103"/>
  <c r="F50" i="103"/>
  <c r="F49" i="103"/>
  <c r="F22" i="103"/>
  <c r="L12" i="103"/>
  <c r="N12" i="103" s="1"/>
  <c r="F75" i="103"/>
  <c r="V58" i="102"/>
  <c r="V64" i="102"/>
  <c r="V62" i="102"/>
  <c r="V60" i="102"/>
  <c r="V71" i="102"/>
  <c r="V68" i="102"/>
  <c r="V66" i="102"/>
  <c r="V48" i="102"/>
  <c r="V14" i="102"/>
  <c r="V16" i="102"/>
  <c r="V18" i="102"/>
  <c r="R23" i="102"/>
  <c r="R27" i="102"/>
  <c r="F31" i="102"/>
  <c r="F35" i="102"/>
  <c r="F39" i="102"/>
  <c r="J40" i="102"/>
  <c r="R42" i="102"/>
  <c r="F46" i="102"/>
  <c r="J47" i="102"/>
  <c r="V49" i="102"/>
  <c r="V50" i="102"/>
  <c r="F52" i="102"/>
  <c r="V53" i="102"/>
  <c r="F55" i="102"/>
  <c r="J66" i="102"/>
  <c r="F40" i="103"/>
  <c r="F59" i="103"/>
  <c r="L61" i="103"/>
  <c r="N61" i="103" s="1"/>
  <c r="X12" i="102"/>
  <c r="V19" i="102"/>
  <c r="V23" i="102"/>
  <c r="V27" i="102"/>
  <c r="J31" i="102"/>
  <c r="R32" i="102"/>
  <c r="J35" i="102"/>
  <c r="R36" i="102"/>
  <c r="J39" i="102"/>
  <c r="R41" i="102"/>
  <c r="R56" i="102"/>
  <c r="V57" i="102"/>
  <c r="F62" i="102"/>
  <c r="X19" i="103"/>
  <c r="Z19" i="103" s="1"/>
  <c r="L49" i="103"/>
  <c r="N49" i="103" s="1"/>
  <c r="J61" i="103"/>
  <c r="F68" i="103"/>
  <c r="F83" i="105"/>
  <c r="F79" i="105"/>
  <c r="F59" i="105"/>
  <c r="F58" i="105"/>
  <c r="F47" i="105"/>
  <c r="F43" i="105"/>
  <c r="F39" i="105"/>
  <c r="F74" i="105"/>
  <c r="F34" i="105"/>
  <c r="F30" i="105"/>
  <c r="F85" i="105"/>
  <c r="F84" i="105"/>
  <c r="F69" i="105"/>
  <c r="F61" i="105"/>
  <c r="F60" i="105"/>
  <c r="F49" i="105"/>
  <c r="F48" i="105"/>
  <c r="F21" i="105"/>
  <c r="F80" i="105"/>
  <c r="F76" i="105"/>
  <c r="F75" i="105"/>
  <c r="F44" i="105"/>
  <c r="F40" i="105"/>
  <c r="F87" i="105"/>
  <c r="F86" i="105"/>
  <c r="F71" i="105"/>
  <c r="F70" i="105"/>
  <c r="F63" i="105"/>
  <c r="F62" i="105"/>
  <c r="F51" i="105"/>
  <c r="F50" i="105"/>
  <c r="F35" i="105"/>
  <c r="F31" i="105"/>
  <c r="F27" i="105"/>
  <c r="F26" i="105"/>
  <c r="F25" i="105"/>
  <c r="F23" i="105"/>
  <c r="F89" i="105"/>
  <c r="F88" i="105"/>
  <c r="F81" i="105"/>
  <c r="F77" i="105"/>
  <c r="F65" i="105"/>
  <c r="F64" i="105"/>
  <c r="F53" i="105"/>
  <c r="F52" i="105"/>
  <c r="F45" i="105"/>
  <c r="F41" i="105"/>
  <c r="D23" i="105"/>
  <c r="F72" i="105"/>
  <c r="F36" i="105"/>
  <c r="F32" i="105"/>
  <c r="F28" i="105"/>
  <c r="L12" i="105"/>
  <c r="F67" i="105"/>
  <c r="F66" i="105"/>
  <c r="F55" i="105"/>
  <c r="F54" i="105"/>
  <c r="F19" i="105"/>
  <c r="F18" i="105"/>
  <c r="F68" i="105"/>
  <c r="F20" i="105"/>
  <c r="F56" i="105"/>
  <c r="F78" i="105"/>
  <c r="F38" i="105"/>
  <c r="F73" i="105"/>
  <c r="F42" i="105"/>
  <c r="F29" i="105"/>
  <c r="F82" i="105"/>
  <c r="F91" i="105"/>
  <c r="F57" i="105"/>
  <c r="F95" i="105"/>
  <c r="F33" i="105"/>
  <c r="Z12" i="102"/>
  <c r="F21" i="102"/>
  <c r="F25" i="102"/>
  <c r="V32" i="102"/>
  <c r="V36" i="102"/>
  <c r="V41" i="102"/>
  <c r="V42" i="102"/>
  <c r="J46" i="102"/>
  <c r="V56" i="102"/>
  <c r="X57" i="102"/>
  <c r="Z57" i="102" s="1"/>
  <c r="R71" i="102"/>
  <c r="J49" i="103"/>
  <c r="F92" i="103"/>
  <c r="Z26" i="104"/>
  <c r="Z62" i="105"/>
  <c r="X62" i="105"/>
  <c r="D16" i="102"/>
  <c r="R22" i="102"/>
  <c r="R26" i="102"/>
  <c r="F29" i="102"/>
  <c r="F30" i="102"/>
  <c r="F34" i="102"/>
  <c r="F38" i="102"/>
  <c r="F45" i="102"/>
  <c r="R47" i="102"/>
  <c r="R48" i="102"/>
  <c r="F51" i="102"/>
  <c r="R52" i="102"/>
  <c r="V59" i="102"/>
  <c r="J62" i="102"/>
  <c r="R66" i="102"/>
  <c r="F83" i="103"/>
  <c r="Z86" i="103"/>
  <c r="Z88" i="103"/>
  <c r="T95" i="107"/>
  <c r="V95" i="107" s="1"/>
  <c r="V26" i="102"/>
  <c r="R31" i="102"/>
  <c r="R35" i="102"/>
  <c r="R39" i="102"/>
  <c r="R40" i="102"/>
  <c r="F44" i="102"/>
  <c r="V47" i="102"/>
  <c r="J51" i="102"/>
  <c r="V52" i="102"/>
  <c r="J54" i="102"/>
  <c r="Z49" i="103"/>
  <c r="Z55" i="103"/>
  <c r="X55" i="103"/>
  <c r="L39" i="101"/>
  <c r="N39" i="101" s="1"/>
  <c r="X61" i="101"/>
  <c r="X69" i="101"/>
  <c r="L91" i="101"/>
  <c r="N91" i="101" s="1"/>
  <c r="F19" i="102"/>
  <c r="F20" i="102"/>
  <c r="F24" i="102"/>
  <c r="F28" i="102"/>
  <c r="J29" i="102"/>
  <c r="V31" i="102"/>
  <c r="V35" i="102"/>
  <c r="V39" i="102"/>
  <c r="N44" i="102"/>
  <c r="F50" i="102"/>
  <c r="R55" i="102"/>
  <c r="Z26" i="103"/>
  <c r="Z53" i="103"/>
  <c r="L74" i="103"/>
  <c r="N25" i="104"/>
  <c r="J14" i="102"/>
  <c r="J16" i="102"/>
  <c r="J18" i="102"/>
  <c r="J20" i="102"/>
  <c r="R21" i="102"/>
  <c r="J24" i="102"/>
  <c r="R25" i="102"/>
  <c r="J28" i="102"/>
  <c r="F33" i="102"/>
  <c r="F37" i="102"/>
  <c r="V40" i="102"/>
  <c r="J44" i="102"/>
  <c r="Z55" i="102"/>
  <c r="F35" i="103"/>
  <c r="F48" i="103"/>
  <c r="L69" i="103"/>
  <c r="N69" i="103" s="1"/>
  <c r="F74" i="103"/>
  <c r="F54" i="102"/>
  <c r="F71" i="102"/>
  <c r="F68" i="102"/>
  <c r="F58" i="102"/>
  <c r="F57" i="102"/>
  <c r="F41" i="102"/>
  <c r="F66" i="102"/>
  <c r="V21" i="102"/>
  <c r="V25" i="102"/>
  <c r="R30" i="102"/>
  <c r="J33" i="102"/>
  <c r="R34" i="102"/>
  <c r="J37" i="102"/>
  <c r="R38" i="102"/>
  <c r="F42" i="102"/>
  <c r="J43" i="102"/>
  <c r="V45" i="102"/>
  <c r="V46" i="102"/>
  <c r="J50" i="102"/>
  <c r="R51" i="102"/>
  <c r="R54" i="102"/>
  <c r="V55" i="102"/>
  <c r="N57" i="102"/>
  <c r="F60" i="102"/>
  <c r="F64" i="102"/>
  <c r="F21" i="103"/>
  <c r="F31" i="103"/>
  <c r="F46" i="103"/>
  <c r="F60" i="103"/>
  <c r="N74" i="103"/>
  <c r="F79" i="103"/>
  <c r="R63" i="104"/>
  <c r="R56" i="104"/>
  <c r="R55" i="104"/>
  <c r="R31" i="104"/>
  <c r="R27" i="104"/>
  <c r="R67" i="104"/>
  <c r="R57" i="104"/>
  <c r="R46" i="104"/>
  <c r="R45" i="104"/>
  <c r="R41" i="104"/>
  <c r="R37" i="104"/>
  <c r="R48" i="104"/>
  <c r="R47" i="104"/>
  <c r="R58" i="104"/>
  <c r="R42" i="104"/>
  <c r="R38" i="104"/>
  <c r="R50" i="104"/>
  <c r="R49" i="104"/>
  <c r="R33" i="104"/>
  <c r="R61" i="104"/>
  <c r="R59" i="104"/>
  <c r="R29" i="104"/>
  <c r="R21" i="104"/>
  <c r="R53" i="104"/>
  <c r="R39" i="104"/>
  <c r="R34" i="104"/>
  <c r="R25" i="104"/>
  <c r="R23" i="104"/>
  <c r="R60" i="104"/>
  <c r="R51" i="104"/>
  <c r="R44" i="104"/>
  <c r="R32" i="104"/>
  <c r="R26" i="104"/>
  <c r="P23" i="104"/>
  <c r="R35" i="104"/>
  <c r="R18" i="104"/>
  <c r="R40" i="104"/>
  <c r="R30" i="104"/>
  <c r="X12" i="104"/>
  <c r="R54" i="104"/>
  <c r="R52" i="104"/>
  <c r="R19" i="104"/>
  <c r="R43" i="104"/>
  <c r="R36" i="104"/>
  <c r="R20" i="104"/>
  <c r="F46" i="105"/>
  <c r="J27" i="103"/>
  <c r="J41" i="103"/>
  <c r="J45" i="103"/>
  <c r="J51" i="103"/>
  <c r="J63" i="103"/>
  <c r="J85" i="103"/>
  <c r="V31" i="104"/>
  <c r="N52" i="105"/>
  <c r="N56" i="105"/>
  <c r="J40" i="103"/>
  <c r="J44" i="103"/>
  <c r="J48" i="103"/>
  <c r="J60" i="103"/>
  <c r="J68" i="103"/>
  <c r="J74" i="103"/>
  <c r="J92" i="103"/>
  <c r="V55" i="104"/>
  <c r="V46" i="104"/>
  <c r="V67" i="104"/>
  <c r="V57" i="104"/>
  <c r="V45" i="104"/>
  <c r="V41" i="104"/>
  <c r="V37" i="104"/>
  <c r="V48" i="104"/>
  <c r="V32" i="104"/>
  <c r="V58" i="104"/>
  <c r="V50" i="104"/>
  <c r="V42" i="104"/>
  <c r="V38" i="104"/>
  <c r="V49" i="104"/>
  <c r="V33" i="104"/>
  <c r="V60" i="104"/>
  <c r="V52" i="104"/>
  <c r="V59" i="104"/>
  <c r="V51" i="104"/>
  <c r="J42" i="104"/>
  <c r="V47" i="104"/>
  <c r="Z58" i="105"/>
  <c r="Z60" i="105"/>
  <c r="J59" i="103"/>
  <c r="J73" i="103"/>
  <c r="V19" i="104"/>
  <c r="J23" i="104"/>
  <c r="J25" i="104"/>
  <c r="Z52" i="104"/>
  <c r="Z54" i="104"/>
  <c r="J58" i="104"/>
  <c r="H69" i="104"/>
  <c r="P12" i="105"/>
  <c r="X13" i="105"/>
  <c r="N26" i="105"/>
  <c r="J30" i="103"/>
  <c r="J34" i="103"/>
  <c r="J58" i="103"/>
  <c r="J78" i="103"/>
  <c r="J82" i="103"/>
  <c r="J90" i="103"/>
  <c r="Z12" i="104"/>
  <c r="J26" i="104"/>
  <c r="V27" i="104"/>
  <c r="V30" i="104"/>
  <c r="J39" i="104"/>
  <c r="V40" i="104"/>
  <c r="V54" i="104"/>
  <c r="X26" i="105"/>
  <c r="Z26" i="105" s="1"/>
  <c r="Z48" i="105"/>
  <c r="Z50" i="105"/>
  <c r="Z85" i="107"/>
  <c r="X85" i="107"/>
  <c r="J39" i="103"/>
  <c r="J43" i="103"/>
  <c r="J47" i="103"/>
  <c r="J57" i="103"/>
  <c r="J67" i="103"/>
  <c r="J21" i="104"/>
  <c r="N23" i="104"/>
  <c r="J29" i="104"/>
  <c r="Z35" i="104"/>
  <c r="L48" i="104"/>
  <c r="V56" i="104"/>
  <c r="X70" i="105"/>
  <c r="X86" i="105"/>
  <c r="Z86" i="105" s="1"/>
  <c r="J66" i="107"/>
  <c r="J54" i="107"/>
  <c r="J46" i="107"/>
  <c r="J42" i="107"/>
  <c r="J38" i="107"/>
  <c r="J95" i="107"/>
  <c r="J93" i="107"/>
  <c r="J73" i="107"/>
  <c r="J67" i="107"/>
  <c r="J55" i="107"/>
  <c r="J33" i="107"/>
  <c r="J29" i="107"/>
  <c r="J84" i="107"/>
  <c r="J80" i="107"/>
  <c r="J74" i="107"/>
  <c r="J68" i="107"/>
  <c r="J56" i="107"/>
  <c r="J97" i="107"/>
  <c r="J85" i="107"/>
  <c r="J75" i="107"/>
  <c r="J69" i="107"/>
  <c r="J57" i="107"/>
  <c r="J47" i="107"/>
  <c r="J43" i="107"/>
  <c r="J39" i="107"/>
  <c r="J86" i="107"/>
  <c r="J70" i="107"/>
  <c r="J58" i="107"/>
  <c r="J48" i="107"/>
  <c r="J34" i="107"/>
  <c r="J30" i="107"/>
  <c r="J102" i="107"/>
  <c r="J99" i="107"/>
  <c r="J87" i="107"/>
  <c r="J81" i="107"/>
  <c r="J59" i="107"/>
  <c r="J49" i="107"/>
  <c r="J88" i="107"/>
  <c r="J76" i="107"/>
  <c r="J60" i="107"/>
  <c r="J50" i="107"/>
  <c r="J44" i="107"/>
  <c r="J40" i="107"/>
  <c r="J26" i="107"/>
  <c r="J89" i="107"/>
  <c r="J71" i="107"/>
  <c r="J61" i="107"/>
  <c r="J51" i="107"/>
  <c r="J35" i="107"/>
  <c r="J31" i="107"/>
  <c r="J27" i="107"/>
  <c r="J25" i="107"/>
  <c r="J23" i="107"/>
  <c r="J77" i="107"/>
  <c r="J63" i="107"/>
  <c r="J45" i="107"/>
  <c r="J91" i="107"/>
  <c r="J83" i="107"/>
  <c r="J79" i="107"/>
  <c r="J65" i="107"/>
  <c r="J53" i="107"/>
  <c r="J18" i="107"/>
  <c r="J78" i="107"/>
  <c r="H23" i="107"/>
  <c r="J19" i="107"/>
  <c r="J36" i="107"/>
  <c r="J82" i="107"/>
  <c r="J32" i="107"/>
  <c r="J28" i="107"/>
  <c r="J20" i="107"/>
  <c r="J90" i="107"/>
  <c r="J64" i="107"/>
  <c r="J52" i="107"/>
  <c r="J41" i="107"/>
  <c r="J37" i="107"/>
  <c r="N12" i="107"/>
  <c r="J21" i="107"/>
  <c r="J20" i="103"/>
  <c r="J38" i="103"/>
  <c r="J56" i="103"/>
  <c r="J72" i="103"/>
  <c r="V18" i="104"/>
  <c r="V35" i="104"/>
  <c r="V63" i="104"/>
  <c r="T93" i="105"/>
  <c r="V93" i="105" s="1"/>
  <c r="L16" i="108"/>
  <c r="J77" i="103"/>
  <c r="J81" i="103"/>
  <c r="J89" i="103"/>
  <c r="V44" i="104"/>
  <c r="Z70" i="105"/>
  <c r="J42" i="103"/>
  <c r="J46" i="103"/>
  <c r="X49" i="103"/>
  <c r="J54" i="103"/>
  <c r="L55" i="103"/>
  <c r="X61" i="103"/>
  <c r="Z61" i="103" s="1"/>
  <c r="J66" i="103"/>
  <c r="X69" i="103"/>
  <c r="Z69" i="103" s="1"/>
  <c r="J88" i="103"/>
  <c r="J20" i="104"/>
  <c r="T23" i="104"/>
  <c r="V26" i="104"/>
  <c r="J31" i="104"/>
  <c r="V34" i="104"/>
  <c r="V39" i="104"/>
  <c r="J43" i="104"/>
  <c r="J48" i="104"/>
  <c r="V53" i="104"/>
  <c r="Z84" i="105"/>
  <c r="J62" i="107"/>
  <c r="N14" i="108"/>
  <c r="H16" i="108"/>
  <c r="H24" i="103"/>
  <c r="J53" i="103"/>
  <c r="J65" i="103"/>
  <c r="J71" i="103"/>
  <c r="J87" i="103"/>
  <c r="V21" i="104"/>
  <c r="V23" i="104"/>
  <c r="V25" i="104"/>
  <c r="J28" i="104"/>
  <c r="V29" i="104"/>
  <c r="X48" i="104"/>
  <c r="Z48" i="104" s="1"/>
  <c r="L56" i="105"/>
  <c r="Z75" i="105"/>
  <c r="J24" i="103"/>
  <c r="J26" i="103"/>
  <c r="J28" i="103"/>
  <c r="J32" i="103"/>
  <c r="J36" i="103"/>
  <c r="J52" i="103"/>
  <c r="J64" i="103"/>
  <c r="J76" i="103"/>
  <c r="J80" i="103"/>
  <c r="J86" i="103"/>
  <c r="J59" i="104"/>
  <c r="J51" i="104"/>
  <c r="J60" i="104"/>
  <c r="J52" i="104"/>
  <c r="J34" i="104"/>
  <c r="J30" i="104"/>
  <c r="J61" i="104"/>
  <c r="J53" i="104"/>
  <c r="J35" i="104"/>
  <c r="J54" i="104"/>
  <c r="J44" i="104"/>
  <c r="J40" i="104"/>
  <c r="J36" i="104"/>
  <c r="J65" i="104"/>
  <c r="J63" i="104"/>
  <c r="J55" i="104"/>
  <c r="J56" i="104"/>
  <c r="J67" i="104"/>
  <c r="J57" i="104"/>
  <c r="J45" i="104"/>
  <c r="J41" i="104"/>
  <c r="J37" i="104"/>
  <c r="J46" i="104"/>
  <c r="J32" i="104"/>
  <c r="J72" i="104"/>
  <c r="J69" i="104"/>
  <c r="J47" i="104"/>
  <c r="J38" i="104"/>
  <c r="X25" i="105"/>
  <c r="Z25" i="105" s="1"/>
  <c r="V27" i="105"/>
  <c r="V31" i="105"/>
  <c r="V35" i="105"/>
  <c r="J39" i="105"/>
  <c r="J43" i="105"/>
  <c r="J47" i="105"/>
  <c r="V51" i="105"/>
  <c r="J59" i="105"/>
  <c r="V63" i="105"/>
  <c r="V71" i="105"/>
  <c r="J79" i="105"/>
  <c r="J83" i="105"/>
  <c r="V87" i="105"/>
  <c r="R29" i="107"/>
  <c r="Z53" i="107"/>
  <c r="Z57" i="107"/>
  <c r="Z65" i="107"/>
  <c r="Z67" i="107"/>
  <c r="Z69" i="107"/>
  <c r="Z78" i="107"/>
  <c r="R83" i="107"/>
  <c r="V26" i="105"/>
  <c r="V30" i="105"/>
  <c r="V34" i="105"/>
  <c r="J38" i="105"/>
  <c r="J42" i="105"/>
  <c r="J46" i="105"/>
  <c r="V50" i="105"/>
  <c r="J56" i="105"/>
  <c r="V62" i="105"/>
  <c r="V70" i="105"/>
  <c r="V74" i="105"/>
  <c r="J78" i="105"/>
  <c r="J82" i="105"/>
  <c r="V86" i="105"/>
  <c r="T46" i="108"/>
  <c r="Z16" i="108"/>
  <c r="J19" i="105"/>
  <c r="J37" i="105"/>
  <c r="V39" i="105"/>
  <c r="V43" i="105"/>
  <c r="V47" i="105"/>
  <c r="J55" i="105"/>
  <c r="V59" i="105"/>
  <c r="J67" i="105"/>
  <c r="V75" i="105"/>
  <c r="V79" i="105"/>
  <c r="V83" i="105"/>
  <c r="J91" i="105"/>
  <c r="R97" i="107"/>
  <c r="R75" i="107"/>
  <c r="R48" i="107"/>
  <c r="R47" i="107"/>
  <c r="R43" i="107"/>
  <c r="R39" i="107"/>
  <c r="R87" i="107"/>
  <c r="R86" i="107"/>
  <c r="R70" i="107"/>
  <c r="R59" i="107"/>
  <c r="R58" i="107"/>
  <c r="R34" i="107"/>
  <c r="R30" i="107"/>
  <c r="R81" i="107"/>
  <c r="R50" i="107"/>
  <c r="R49" i="107"/>
  <c r="R89" i="107"/>
  <c r="R88" i="107"/>
  <c r="R76" i="107"/>
  <c r="R61" i="107"/>
  <c r="R60" i="107"/>
  <c r="R44" i="107"/>
  <c r="R40" i="107"/>
  <c r="R25" i="107"/>
  <c r="R71" i="107"/>
  <c r="R51" i="107"/>
  <c r="R35" i="107"/>
  <c r="R31" i="107"/>
  <c r="R27" i="107"/>
  <c r="R90" i="107"/>
  <c r="R82" i="107"/>
  <c r="R63" i="107"/>
  <c r="R62" i="107"/>
  <c r="R78" i="107"/>
  <c r="R77" i="107"/>
  <c r="R45" i="107"/>
  <c r="R41" i="107"/>
  <c r="R18" i="107"/>
  <c r="R72" i="107"/>
  <c r="R65" i="107"/>
  <c r="R64" i="107"/>
  <c r="R53" i="107"/>
  <c r="R52" i="107"/>
  <c r="R37" i="107"/>
  <c r="R36" i="107"/>
  <c r="R32" i="107"/>
  <c r="R28" i="107"/>
  <c r="R93" i="107"/>
  <c r="R67" i="107"/>
  <c r="R66" i="107"/>
  <c r="R55" i="107"/>
  <c r="R54" i="107"/>
  <c r="R46" i="107"/>
  <c r="R85" i="107"/>
  <c r="R84" i="107"/>
  <c r="R80" i="107"/>
  <c r="R69" i="107"/>
  <c r="R68" i="107"/>
  <c r="R57" i="107"/>
  <c r="R56" i="107"/>
  <c r="V18" i="107"/>
  <c r="R26" i="107"/>
  <c r="N48" i="107"/>
  <c r="V54" i="107"/>
  <c r="V56" i="107"/>
  <c r="V66" i="107"/>
  <c r="R74" i="107"/>
  <c r="N43" i="109"/>
  <c r="N12" i="105"/>
  <c r="J18" i="105"/>
  <c r="V20" i="105"/>
  <c r="J28" i="105"/>
  <c r="J32" i="105"/>
  <c r="J36" i="105"/>
  <c r="V48" i="105"/>
  <c r="J54" i="105"/>
  <c r="V60" i="105"/>
  <c r="J66" i="105"/>
  <c r="V68" i="105"/>
  <c r="J72" i="105"/>
  <c r="V84" i="105"/>
  <c r="V86" i="107"/>
  <c r="V70" i="107"/>
  <c r="V58" i="107"/>
  <c r="V50" i="107"/>
  <c r="V89" i="107"/>
  <c r="V81" i="107"/>
  <c r="V61" i="107"/>
  <c r="V49" i="107"/>
  <c r="V25" i="107"/>
  <c r="V23" i="107"/>
  <c r="V21" i="107"/>
  <c r="V88" i="107"/>
  <c r="V76" i="107"/>
  <c r="V60" i="107"/>
  <c r="V44" i="107"/>
  <c r="V40" i="107"/>
  <c r="V71" i="107"/>
  <c r="V63" i="107"/>
  <c r="V51" i="107"/>
  <c r="V35" i="107"/>
  <c r="V31" i="107"/>
  <c r="V27" i="107"/>
  <c r="V90" i="107"/>
  <c r="V82" i="107"/>
  <c r="V78" i="107"/>
  <c r="V62" i="107"/>
  <c r="V77" i="107"/>
  <c r="V65" i="107"/>
  <c r="V53" i="107"/>
  <c r="V45" i="107"/>
  <c r="V41" i="107"/>
  <c r="V37" i="107"/>
  <c r="V72" i="107"/>
  <c r="V64" i="107"/>
  <c r="V52" i="107"/>
  <c r="V36" i="107"/>
  <c r="V32" i="107"/>
  <c r="V28" i="107"/>
  <c r="V93" i="107"/>
  <c r="V91" i="107"/>
  <c r="V83" i="107"/>
  <c r="V79" i="107"/>
  <c r="V67" i="107"/>
  <c r="V55" i="107"/>
  <c r="V85" i="107"/>
  <c r="V73" i="107"/>
  <c r="V69" i="107"/>
  <c r="V57" i="107"/>
  <c r="V97" i="107"/>
  <c r="V87" i="107"/>
  <c r="V75" i="107"/>
  <c r="V59" i="107"/>
  <c r="V47" i="107"/>
  <c r="V43" i="107"/>
  <c r="Z18" i="107"/>
  <c r="V39" i="107"/>
  <c r="Z74" i="107"/>
  <c r="Z53" i="109"/>
  <c r="V29" i="105"/>
  <c r="V33" i="105"/>
  <c r="J41" i="105"/>
  <c r="J45" i="105"/>
  <c r="J53" i="105"/>
  <c r="V57" i="105"/>
  <c r="J65" i="105"/>
  <c r="V73" i="105"/>
  <c r="J77" i="105"/>
  <c r="J81" i="105"/>
  <c r="J89" i="105"/>
  <c r="V95" i="105"/>
  <c r="X12" i="107"/>
  <c r="Z12" i="107" s="1"/>
  <c r="V26" i="107"/>
  <c r="V46" i="107"/>
  <c r="V74" i="107"/>
  <c r="V84" i="107"/>
  <c r="X53" i="109"/>
  <c r="H23" i="105"/>
  <c r="J23" i="105" s="1"/>
  <c r="V38" i="105"/>
  <c r="V42" i="105"/>
  <c r="V46" i="105"/>
  <c r="J52" i="105"/>
  <c r="V58" i="105"/>
  <c r="J64" i="105"/>
  <c r="V78" i="105"/>
  <c r="V82" i="105"/>
  <c r="J88" i="105"/>
  <c r="R20" i="107"/>
  <c r="V30" i="107"/>
  <c r="Z37" i="107"/>
  <c r="V48" i="107"/>
  <c r="L61" i="107"/>
  <c r="N19" i="108"/>
  <c r="J78" i="109"/>
  <c r="J66" i="109"/>
  <c r="J50" i="109"/>
  <c r="J26" i="109"/>
  <c r="J22" i="109"/>
  <c r="J51" i="109"/>
  <c r="J67" i="109"/>
  <c r="J53" i="109"/>
  <c r="J68" i="109"/>
  <c r="J69" i="109"/>
  <c r="J61" i="109"/>
  <c r="J55" i="109"/>
  <c r="J43" i="109"/>
  <c r="J37" i="109"/>
  <c r="J33" i="109"/>
  <c r="J70" i="109"/>
  <c r="J62" i="109"/>
  <c r="J56" i="109"/>
  <c r="J71" i="109"/>
  <c r="J63" i="109"/>
  <c r="J57" i="109"/>
  <c r="J45" i="109"/>
  <c r="J74" i="109"/>
  <c r="J73" i="109"/>
  <c r="J59" i="109"/>
  <c r="J49" i="109"/>
  <c r="J39" i="109"/>
  <c r="J35" i="109"/>
  <c r="J31" i="109"/>
  <c r="J48" i="109"/>
  <c r="J42" i="109"/>
  <c r="J32" i="109"/>
  <c r="J24" i="109"/>
  <c r="J17" i="109"/>
  <c r="J29" i="109"/>
  <c r="H17" i="109"/>
  <c r="J65" i="109"/>
  <c r="J27" i="109"/>
  <c r="J60" i="109"/>
  <c r="J58" i="109"/>
  <c r="J19" i="109"/>
  <c r="J46" i="109"/>
  <c r="J40" i="109"/>
  <c r="J25" i="109"/>
  <c r="J20" i="109"/>
  <c r="J54" i="109"/>
  <c r="J30" i="109"/>
  <c r="J23" i="109"/>
  <c r="J38" i="109"/>
  <c r="J36" i="109"/>
  <c r="J34" i="109"/>
  <c r="Z45" i="109"/>
  <c r="V19" i="105"/>
  <c r="J25" i="105"/>
  <c r="J27" i="105"/>
  <c r="J31" i="105"/>
  <c r="J35" i="105"/>
  <c r="J51" i="105"/>
  <c r="V55" i="105"/>
  <c r="J63" i="105"/>
  <c r="V67" i="105"/>
  <c r="J71" i="105"/>
  <c r="J87" i="105"/>
  <c r="D12" i="107"/>
  <c r="V70" i="109"/>
  <c r="V62" i="109"/>
  <c r="V54" i="109"/>
  <c r="V42" i="109"/>
  <c r="V69" i="109"/>
  <c r="V61" i="109"/>
  <c r="V57" i="109"/>
  <c r="V45" i="109"/>
  <c r="V37" i="109"/>
  <c r="V33" i="109"/>
  <c r="V73" i="109"/>
  <c r="V71" i="109"/>
  <c r="V63" i="109"/>
  <c r="V74" i="109"/>
  <c r="V65" i="109"/>
  <c r="V49" i="109"/>
  <c r="V29" i="109"/>
  <c r="V25" i="109"/>
  <c r="V21" i="109"/>
  <c r="V59" i="109"/>
  <c r="V51" i="109"/>
  <c r="V39" i="109"/>
  <c r="V35" i="109"/>
  <c r="V31" i="109"/>
  <c r="V78" i="109"/>
  <c r="V67" i="109"/>
  <c r="V55" i="109"/>
  <c r="V43" i="109"/>
  <c r="V27" i="109"/>
  <c r="V23" i="109"/>
  <c r="V30" i="109"/>
  <c r="V60" i="109"/>
  <c r="V58" i="109"/>
  <c r="V56" i="109"/>
  <c r="V46" i="109"/>
  <c r="V40" i="109"/>
  <c r="V47" i="109"/>
  <c r="V41" i="109"/>
  <c r="V38" i="109"/>
  <c r="V15" i="109"/>
  <c r="V68" i="109"/>
  <c r="V52" i="109"/>
  <c r="V44" i="109"/>
  <c r="V36" i="109"/>
  <c r="V28" i="109"/>
  <c r="V66" i="109"/>
  <c r="V64" i="109"/>
  <c r="V50" i="109"/>
  <c r="X12" i="109"/>
  <c r="Z12" i="109" s="1"/>
  <c r="V53" i="109"/>
  <c r="V24" i="109"/>
  <c r="T17" i="109"/>
  <c r="V32" i="109"/>
  <c r="V22" i="109"/>
  <c r="V20" i="109"/>
  <c r="V19" i="109"/>
  <c r="P76" i="109"/>
  <c r="J26" i="105"/>
  <c r="V28" i="105"/>
  <c r="V32" i="105"/>
  <c r="V36" i="105"/>
  <c r="J40" i="105"/>
  <c r="J44" i="105"/>
  <c r="J50" i="105"/>
  <c r="V56" i="105"/>
  <c r="J62" i="105"/>
  <c r="J70" i="105"/>
  <c r="V72" i="105"/>
  <c r="J76" i="105"/>
  <c r="J80" i="105"/>
  <c r="J86" i="105"/>
  <c r="L13" i="107"/>
  <c r="V34" i="107"/>
  <c r="R42" i="107"/>
  <c r="N63" i="107"/>
  <c r="R73" i="107"/>
  <c r="V80" i="107"/>
  <c r="N89" i="107"/>
  <c r="L18" i="108"/>
  <c r="N18" i="108" s="1"/>
  <c r="V17" i="109"/>
  <c r="J21" i="109"/>
  <c r="J52" i="109"/>
  <c r="J21" i="105"/>
  <c r="V37" i="105"/>
  <c r="V41" i="105"/>
  <c r="V45" i="105"/>
  <c r="J49" i="105"/>
  <c r="V53" i="105"/>
  <c r="J61" i="105"/>
  <c r="V65" i="105"/>
  <c r="J69" i="105"/>
  <c r="J75" i="105"/>
  <c r="V77" i="105"/>
  <c r="V81" i="105"/>
  <c r="J85" i="105"/>
  <c r="V89" i="105"/>
  <c r="V91" i="105"/>
  <c r="P23" i="107"/>
  <c r="V42" i="107"/>
  <c r="L63" i="107"/>
  <c r="R91" i="107"/>
  <c r="Z28" i="108"/>
  <c r="V26" i="109"/>
  <c r="V18" i="105"/>
  <c r="J30" i="105"/>
  <c r="J34" i="105"/>
  <c r="J48" i="105"/>
  <c r="V54" i="105"/>
  <c r="J60" i="105"/>
  <c r="J74" i="105"/>
  <c r="R19" i="107"/>
  <c r="R38" i="107"/>
  <c r="L14" i="108"/>
  <c r="N19" i="109"/>
  <c r="V48" i="109"/>
  <c r="J40" i="108"/>
  <c r="R48" i="108"/>
  <c r="F59" i="109"/>
  <c r="F39" i="109"/>
  <c r="F35" i="109"/>
  <c r="F31" i="109"/>
  <c r="F30" i="109"/>
  <c r="F78" i="109"/>
  <c r="F66" i="109"/>
  <c r="F50" i="109"/>
  <c r="F49" i="109"/>
  <c r="F26" i="109"/>
  <c r="F22" i="109"/>
  <c r="L12" i="109"/>
  <c r="N12" i="109" s="1"/>
  <c r="F60" i="109"/>
  <c r="F52" i="109"/>
  <c r="F51" i="109"/>
  <c r="F67" i="109"/>
  <c r="F54" i="109"/>
  <c r="F53" i="109"/>
  <c r="F42" i="109"/>
  <c r="F41" i="109"/>
  <c r="F69" i="109"/>
  <c r="F68" i="109"/>
  <c r="F61" i="109"/>
  <c r="F56" i="109"/>
  <c r="F55" i="109"/>
  <c r="F44" i="109"/>
  <c r="F43" i="109"/>
  <c r="F28" i="109"/>
  <c r="F24" i="109"/>
  <c r="F71" i="109"/>
  <c r="F70" i="109"/>
  <c r="F73" i="109"/>
  <c r="F48" i="109"/>
  <c r="F47" i="109"/>
  <c r="F19" i="109"/>
  <c r="F15" i="109"/>
  <c r="Z51" i="109"/>
  <c r="N55" i="109"/>
  <c r="R62" i="109"/>
  <c r="L64" i="109"/>
  <c r="N64" i="109" s="1"/>
  <c r="J30" i="108"/>
  <c r="R31" i="108"/>
  <c r="J34" i="108"/>
  <c r="R35" i="108"/>
  <c r="J38" i="108"/>
  <c r="R41" i="108"/>
  <c r="F21" i="109"/>
  <c r="N41" i="109"/>
  <c r="R45" i="109"/>
  <c r="N47" i="109"/>
  <c r="N57" i="109"/>
  <c r="J14" i="108"/>
  <c r="J16" i="108"/>
  <c r="J18" i="108"/>
  <c r="J20" i="108"/>
  <c r="R21" i="108"/>
  <c r="J24" i="108"/>
  <c r="R25" i="108"/>
  <c r="F37" i="108"/>
  <c r="F43" i="108"/>
  <c r="J44" i="108"/>
  <c r="F50" i="108"/>
  <c r="F20" i="109"/>
  <c r="F23" i="109"/>
  <c r="F33" i="109"/>
  <c r="Z57" i="109"/>
  <c r="R59" i="109"/>
  <c r="R61" i="109"/>
  <c r="J19" i="108"/>
  <c r="V21" i="108"/>
  <c r="V25" i="108"/>
  <c r="J29" i="108"/>
  <c r="R30" i="108"/>
  <c r="J33" i="108"/>
  <c r="R34" i="108"/>
  <c r="J37" i="108"/>
  <c r="R38" i="108"/>
  <c r="V40" i="108"/>
  <c r="J43" i="108"/>
  <c r="R46" i="108"/>
  <c r="R53" i="108"/>
  <c r="R21" i="109"/>
  <c r="F25" i="109"/>
  <c r="R31" i="109"/>
  <c r="F40" i="109"/>
  <c r="F46" i="109"/>
  <c r="F63" i="109"/>
  <c r="J28" i="108"/>
  <c r="J50" i="108"/>
  <c r="Z47" i="109"/>
  <c r="F58" i="109"/>
  <c r="L12" i="108"/>
  <c r="P16" i="108"/>
  <c r="R20" i="108"/>
  <c r="J23" i="108"/>
  <c r="R24" i="108"/>
  <c r="J27" i="108"/>
  <c r="F32" i="108"/>
  <c r="F36" i="108"/>
  <c r="F42" i="108"/>
  <c r="V53" i="108"/>
  <c r="F27" i="109"/>
  <c r="R33" i="109"/>
  <c r="F65" i="109"/>
  <c r="N12" i="108"/>
  <c r="R14" i="108"/>
  <c r="R16" i="108"/>
  <c r="R18" i="108"/>
  <c r="V24" i="108"/>
  <c r="R29" i="108"/>
  <c r="J32" i="108"/>
  <c r="R33" i="108"/>
  <c r="J36" i="108"/>
  <c r="R37" i="108"/>
  <c r="J42" i="108"/>
  <c r="V44" i="108"/>
  <c r="R50" i="108"/>
  <c r="D17" i="109"/>
  <c r="L19" i="109"/>
  <c r="F29" i="109"/>
  <c r="X41" i="109"/>
  <c r="Z41" i="109" s="1"/>
  <c r="R19" i="108"/>
  <c r="F22" i="108"/>
  <c r="F26" i="108"/>
  <c r="V29" i="108"/>
  <c r="V33" i="108"/>
  <c r="V37" i="108"/>
  <c r="D40" i="108"/>
  <c r="L40" i="108" s="1"/>
  <c r="N40" i="108" s="1"/>
  <c r="R43" i="108"/>
  <c r="J48" i="108"/>
  <c r="R68" i="109"/>
  <c r="R67" i="109"/>
  <c r="R27" i="109"/>
  <c r="R23" i="109"/>
  <c r="R55" i="109"/>
  <c r="R54" i="109"/>
  <c r="R43" i="109"/>
  <c r="R42" i="109"/>
  <c r="R70" i="109"/>
  <c r="R69" i="109"/>
  <c r="R57" i="109"/>
  <c r="R56" i="109"/>
  <c r="R71" i="109"/>
  <c r="R64" i="109"/>
  <c r="R63" i="109"/>
  <c r="R74" i="109"/>
  <c r="R73" i="109"/>
  <c r="R58" i="109"/>
  <c r="R47" i="109"/>
  <c r="R46" i="109"/>
  <c r="R38" i="109"/>
  <c r="R34" i="109"/>
  <c r="R19" i="109"/>
  <c r="R17" i="109"/>
  <c r="R15" i="109"/>
  <c r="R76" i="109"/>
  <c r="R65" i="109"/>
  <c r="R49" i="109"/>
  <c r="R48" i="109"/>
  <c r="R78" i="109"/>
  <c r="R60" i="109"/>
  <c r="R53" i="109"/>
  <c r="R52" i="109"/>
  <c r="R41" i="109"/>
  <c r="R40" i="109"/>
  <c r="R36" i="109"/>
  <c r="R32" i="109"/>
  <c r="R30" i="109"/>
  <c r="F32" i="109"/>
  <c r="R35" i="109"/>
  <c r="F37" i="109"/>
  <c r="N51" i="109"/>
  <c r="F62" i="109"/>
  <c r="V14" i="108"/>
  <c r="V16" i="108"/>
  <c r="V18" i="108"/>
  <c r="J22" i="108"/>
  <c r="R23" i="108"/>
  <c r="J26" i="108"/>
  <c r="R27" i="108"/>
  <c r="R28" i="108"/>
  <c r="F31" i="108"/>
  <c r="F35" i="108"/>
  <c r="F40" i="108"/>
  <c r="F41" i="108"/>
  <c r="V43" i="108"/>
  <c r="V50" i="108"/>
  <c r="R20" i="109"/>
  <c r="F45" i="109"/>
  <c r="Z49" i="109"/>
  <c r="N53" i="109"/>
  <c r="N73" i="109"/>
  <c r="J31" i="108"/>
  <c r="R32" i="108"/>
  <c r="J35" i="108"/>
  <c r="R36" i="108"/>
  <c r="R42" i="108"/>
  <c r="Z19" i="109"/>
  <c r="X20" i="109"/>
  <c r="Z20" i="109" s="1"/>
  <c r="F34" i="109"/>
  <c r="N45" i="109"/>
  <c r="R51" i="109"/>
  <c r="F64" i="109"/>
  <c r="T110" i="45" l="1"/>
  <c r="N16" i="6"/>
  <c r="H22" i="6"/>
  <c r="T27" i="110"/>
  <c r="Z18" i="110"/>
  <c r="X18" i="41"/>
  <c r="P27" i="41"/>
  <c r="F89" i="97"/>
  <c r="F88" i="97"/>
  <c r="F98" i="97"/>
  <c r="F91" i="97"/>
  <c r="F78" i="97"/>
  <c r="F66" i="97"/>
  <c r="F65" i="97"/>
  <c r="F46" i="97"/>
  <c r="F42" i="97"/>
  <c r="F38" i="97"/>
  <c r="F86" i="97"/>
  <c r="F73" i="97"/>
  <c r="F72" i="97"/>
  <c r="F33" i="97"/>
  <c r="F29" i="97"/>
  <c r="F100" i="97"/>
  <c r="F92" i="97"/>
  <c r="F83" i="97"/>
  <c r="F80" i="97"/>
  <c r="F79" i="97"/>
  <c r="F56" i="97"/>
  <c r="F48" i="97"/>
  <c r="F47" i="97"/>
  <c r="F20" i="97"/>
  <c r="F93" i="97"/>
  <c r="F67" i="97"/>
  <c r="F43" i="97"/>
  <c r="F74" i="97"/>
  <c r="F58" i="97"/>
  <c r="F57" i="97"/>
  <c r="F50" i="97"/>
  <c r="F49" i="97"/>
  <c r="F34" i="97"/>
  <c r="F30" i="97"/>
  <c r="F102" i="97"/>
  <c r="F87" i="97"/>
  <c r="F84" i="97"/>
  <c r="F69" i="97"/>
  <c r="F68" i="97"/>
  <c r="F21" i="97"/>
  <c r="F81" i="97"/>
  <c r="F60" i="97"/>
  <c r="F59" i="97"/>
  <c r="F52" i="97"/>
  <c r="F51" i="97"/>
  <c r="F44" i="97"/>
  <c r="F40" i="97"/>
  <c r="F94" i="97"/>
  <c r="F75" i="97"/>
  <c r="F35" i="97"/>
  <c r="F31" i="97"/>
  <c r="F27" i="97"/>
  <c r="F26" i="97"/>
  <c r="F105" i="97"/>
  <c r="F70" i="97"/>
  <c r="F62" i="97"/>
  <c r="F61" i="97"/>
  <c r="F54" i="97"/>
  <c r="F53" i="97"/>
  <c r="F96" i="97"/>
  <c r="D23" i="97"/>
  <c r="F41" i="97"/>
  <c r="F37" i="97"/>
  <c r="F90" i="97"/>
  <c r="F77" i="97"/>
  <c r="F71" i="97"/>
  <c r="F39" i="97"/>
  <c r="F63" i="97"/>
  <c r="F55" i="97"/>
  <c r="F25" i="97"/>
  <c r="F18" i="97"/>
  <c r="F85" i="97"/>
  <c r="F45" i="97"/>
  <c r="F19" i="97"/>
  <c r="F64" i="97"/>
  <c r="F23" i="97"/>
  <c r="F82" i="97"/>
  <c r="F32" i="97"/>
  <c r="F76" i="97"/>
  <c r="F36" i="97"/>
  <c r="F28" i="97"/>
  <c r="L12" i="97"/>
  <c r="N12" i="97" s="1"/>
  <c r="X16" i="108"/>
  <c r="P46" i="108"/>
  <c r="P80" i="109"/>
  <c r="H76" i="109"/>
  <c r="H72" i="104"/>
  <c r="Z16" i="102"/>
  <c r="T64" i="102"/>
  <c r="T97" i="101"/>
  <c r="F77" i="101"/>
  <c r="F76" i="101"/>
  <c r="F53" i="101"/>
  <c r="F52" i="101"/>
  <c r="F37" i="101"/>
  <c r="F33" i="101"/>
  <c r="F29" i="101"/>
  <c r="F28" i="101"/>
  <c r="F104" i="101"/>
  <c r="F101" i="101"/>
  <c r="F88" i="101"/>
  <c r="F64" i="101"/>
  <c r="F63" i="101"/>
  <c r="F27" i="101"/>
  <c r="F25" i="101"/>
  <c r="F83" i="101"/>
  <c r="F79" i="101"/>
  <c r="F78" i="101"/>
  <c r="F71" i="101"/>
  <c r="F55" i="101"/>
  <c r="F54" i="101"/>
  <c r="F47" i="101"/>
  <c r="F43" i="101"/>
  <c r="F90" i="101"/>
  <c r="F89" i="101"/>
  <c r="F66" i="101"/>
  <c r="F65" i="101"/>
  <c r="F73" i="101"/>
  <c r="F72" i="101"/>
  <c r="F57" i="101"/>
  <c r="F56" i="101"/>
  <c r="F92" i="101"/>
  <c r="F91" i="101"/>
  <c r="F84" i="101"/>
  <c r="F80" i="101"/>
  <c r="F48" i="101"/>
  <c r="F44" i="101"/>
  <c r="F40" i="101"/>
  <c r="F39" i="101"/>
  <c r="L12" i="101"/>
  <c r="N12" i="101" s="1"/>
  <c r="F67" i="101"/>
  <c r="F35" i="101"/>
  <c r="F31" i="101"/>
  <c r="F95" i="101"/>
  <c r="F74" i="101"/>
  <c r="F58" i="101"/>
  <c r="F22" i="101"/>
  <c r="F94" i="101"/>
  <c r="F85" i="101"/>
  <c r="F81" i="101"/>
  <c r="F49" i="101"/>
  <c r="F45" i="101"/>
  <c r="F41" i="101"/>
  <c r="F82" i="101"/>
  <c r="F70" i="101"/>
  <c r="F69" i="101"/>
  <c r="F62" i="101"/>
  <c r="F61" i="101"/>
  <c r="F46" i="101"/>
  <c r="F42" i="101"/>
  <c r="F30" i="101"/>
  <c r="F59" i="101"/>
  <c r="F23" i="101"/>
  <c r="F32" i="101"/>
  <c r="F20" i="101"/>
  <c r="F87" i="101"/>
  <c r="F50" i="101"/>
  <c r="F21" i="101"/>
  <c r="F36" i="101"/>
  <c r="F34" i="101"/>
  <c r="D25" i="101"/>
  <c r="F86" i="101"/>
  <c r="F60" i="101"/>
  <c r="F38" i="101"/>
  <c r="F97" i="101"/>
  <c r="F51" i="101"/>
  <c r="F68" i="101"/>
  <c r="F75" i="101"/>
  <c r="F99" i="101"/>
  <c r="P94" i="103"/>
  <c r="X24" i="103"/>
  <c r="T102" i="97"/>
  <c r="P86" i="80"/>
  <c r="X22" i="80"/>
  <c r="D97" i="83"/>
  <c r="L22" i="83"/>
  <c r="H129" i="76"/>
  <c r="R107" i="73"/>
  <c r="R106" i="73"/>
  <c r="R91" i="73"/>
  <c r="R90" i="73"/>
  <c r="R66" i="73"/>
  <c r="R62" i="73"/>
  <c r="R82" i="73"/>
  <c r="R81" i="73"/>
  <c r="R58" i="73"/>
  <c r="R53" i="73"/>
  <c r="R49" i="73"/>
  <c r="R45" i="73"/>
  <c r="R41" i="73"/>
  <c r="R109" i="73"/>
  <c r="R108" i="73"/>
  <c r="R100" i="73"/>
  <c r="R96" i="73"/>
  <c r="R92" i="73"/>
  <c r="R76" i="73"/>
  <c r="R72" i="73"/>
  <c r="R57" i="73"/>
  <c r="R55" i="73"/>
  <c r="R37" i="73"/>
  <c r="R83" i="73"/>
  <c r="R67" i="73"/>
  <c r="R63" i="73"/>
  <c r="R59" i="73"/>
  <c r="P55" i="73"/>
  <c r="R112" i="73"/>
  <c r="R102" i="73"/>
  <c r="R101" i="73"/>
  <c r="R97" i="73"/>
  <c r="R93" i="73"/>
  <c r="R77" i="73"/>
  <c r="R73" i="73"/>
  <c r="R85" i="73"/>
  <c r="R84" i="73"/>
  <c r="R69" i="73"/>
  <c r="R68" i="73"/>
  <c r="R64" i="73"/>
  <c r="R60" i="73"/>
  <c r="R104" i="73"/>
  <c r="R103" i="73"/>
  <c r="R51" i="73"/>
  <c r="R47" i="73"/>
  <c r="R43" i="73"/>
  <c r="R39" i="73"/>
  <c r="R116" i="73"/>
  <c r="R98" i="73"/>
  <c r="R94" i="73"/>
  <c r="R87" i="73"/>
  <c r="R86" i="73"/>
  <c r="R78" i="73"/>
  <c r="R74" i="73"/>
  <c r="R70" i="73"/>
  <c r="R105" i="73"/>
  <c r="R65" i="73"/>
  <c r="R61" i="73"/>
  <c r="R99" i="73"/>
  <c r="R95" i="73"/>
  <c r="R80" i="73"/>
  <c r="R79" i="73"/>
  <c r="R75" i="73"/>
  <c r="R71" i="73"/>
  <c r="X12" i="73"/>
  <c r="Z12" i="73" s="1"/>
  <c r="R89" i="73"/>
  <c r="R52" i="73"/>
  <c r="R50" i="73"/>
  <c r="R48" i="73"/>
  <c r="R46" i="73"/>
  <c r="R44" i="73"/>
  <c r="R42" i="73"/>
  <c r="R40" i="73"/>
  <c r="R38" i="73"/>
  <c r="R110" i="73"/>
  <c r="R88" i="73"/>
  <c r="H152" i="68"/>
  <c r="H78" i="59"/>
  <c r="H22" i="54"/>
  <c r="N16" i="54"/>
  <c r="T143" i="27"/>
  <c r="T103" i="9"/>
  <c r="X17" i="9"/>
  <c r="Z17" i="9" s="1"/>
  <c r="T22" i="6"/>
  <c r="Z16" i="6"/>
  <c r="T367" i="3"/>
  <c r="H27" i="111"/>
  <c r="N18" i="111"/>
  <c r="L18" i="112"/>
  <c r="D27" i="112"/>
  <c r="H27" i="52"/>
  <c r="N18" i="52"/>
  <c r="H27" i="49"/>
  <c r="N18" i="49"/>
  <c r="T27" i="40"/>
  <c r="Z18" i="40"/>
  <c r="H27" i="43"/>
  <c r="N18" i="43"/>
  <c r="T27" i="38"/>
  <c r="Z18" i="38"/>
  <c r="T27" i="26"/>
  <c r="Z18" i="26"/>
  <c r="X18" i="26"/>
  <c r="P27" i="26"/>
  <c r="H27" i="17"/>
  <c r="N18" i="17"/>
  <c r="H27" i="13"/>
  <c r="N18" i="13"/>
  <c r="X18" i="5"/>
  <c r="P27" i="5"/>
  <c r="X18" i="7"/>
  <c r="P27" i="7"/>
  <c r="T27" i="4"/>
  <c r="Z18" i="4"/>
  <c r="F79" i="72"/>
  <c r="F75" i="72"/>
  <c r="F81" i="72"/>
  <c r="F80" i="72"/>
  <c r="F69" i="72"/>
  <c r="F76" i="72"/>
  <c r="F70" i="72"/>
  <c r="F62" i="72"/>
  <c r="F61" i="72"/>
  <c r="F77" i="72"/>
  <c r="F85" i="72"/>
  <c r="F72" i="72"/>
  <c r="F71" i="72"/>
  <c r="F64" i="72"/>
  <c r="F63" i="72"/>
  <c r="F52" i="72"/>
  <c r="F51" i="72"/>
  <c r="F89" i="72"/>
  <c r="F47" i="72"/>
  <c r="F43" i="72"/>
  <c r="F78" i="72"/>
  <c r="F74" i="72"/>
  <c r="F73" i="72"/>
  <c r="F68" i="72"/>
  <c r="F67" i="72"/>
  <c r="F57" i="72"/>
  <c r="F37" i="72"/>
  <c r="F33" i="72"/>
  <c r="F58" i="72"/>
  <c r="F48" i="72"/>
  <c r="F42" i="72"/>
  <c r="F24" i="72"/>
  <c r="L12" i="72"/>
  <c r="N12" i="72" s="1"/>
  <c r="F65" i="72"/>
  <c r="F53" i="72"/>
  <c r="F45" i="72"/>
  <c r="F54" i="72"/>
  <c r="F38" i="72"/>
  <c r="F34" i="72"/>
  <c r="F83" i="72"/>
  <c r="F25" i="72"/>
  <c r="F59" i="72"/>
  <c r="F49" i="72"/>
  <c r="F46" i="72"/>
  <c r="F66" i="72"/>
  <c r="F55" i="72"/>
  <c r="F39" i="72"/>
  <c r="F35" i="72"/>
  <c r="F31" i="72"/>
  <c r="F30" i="72"/>
  <c r="F60" i="72"/>
  <c r="F29" i="72"/>
  <c r="F27" i="72"/>
  <c r="F56" i="72"/>
  <c r="F50" i="72"/>
  <c r="D27" i="72"/>
  <c r="F82" i="72"/>
  <c r="F41" i="72"/>
  <c r="F23" i="72"/>
  <c r="F36" i="72"/>
  <c r="F40" i="72"/>
  <c r="F22" i="72"/>
  <c r="F44" i="72"/>
  <c r="F32" i="72"/>
  <c r="P112" i="63"/>
  <c r="X16" i="63"/>
  <c r="T27" i="112"/>
  <c r="Z18" i="112"/>
  <c r="H27" i="40"/>
  <c r="N18" i="40"/>
  <c r="D27" i="43"/>
  <c r="L18" i="43"/>
  <c r="F129" i="84"/>
  <c r="F125" i="84"/>
  <c r="F105" i="84"/>
  <c r="F101" i="84"/>
  <c r="F97" i="84"/>
  <c r="F77" i="84"/>
  <c r="F73" i="84"/>
  <c r="F69" i="84"/>
  <c r="F112" i="84"/>
  <c r="F111" i="84"/>
  <c r="F88" i="84"/>
  <c r="F87" i="84"/>
  <c r="F64" i="84"/>
  <c r="F60" i="84"/>
  <c r="F142" i="84"/>
  <c r="F140" i="84"/>
  <c r="F131" i="84"/>
  <c r="F130" i="84"/>
  <c r="F119" i="84"/>
  <c r="F144" i="84"/>
  <c r="F126" i="84"/>
  <c r="F114" i="84"/>
  <c r="F113" i="84"/>
  <c r="F106" i="84"/>
  <c r="F102" i="84"/>
  <c r="F98" i="84"/>
  <c r="F90" i="84"/>
  <c r="F89" i="84"/>
  <c r="F74" i="84"/>
  <c r="F70" i="84"/>
  <c r="L12" i="84"/>
  <c r="N12" i="84" s="1"/>
  <c r="F121" i="84"/>
  <c r="F120" i="84"/>
  <c r="F81" i="84"/>
  <c r="F80" i="84"/>
  <c r="F65" i="84"/>
  <c r="F61" i="84"/>
  <c r="F132" i="84"/>
  <c r="F92" i="84"/>
  <c r="F91" i="84"/>
  <c r="F52" i="84"/>
  <c r="F48" i="84"/>
  <c r="F44" i="84"/>
  <c r="F40" i="84"/>
  <c r="F36" i="84"/>
  <c r="F35" i="84"/>
  <c r="F149" i="84"/>
  <c r="F146" i="84"/>
  <c r="F127" i="84"/>
  <c r="F115" i="84"/>
  <c r="F107" i="84"/>
  <c r="F103" i="84"/>
  <c r="F99" i="84"/>
  <c r="F75" i="84"/>
  <c r="F71" i="84"/>
  <c r="F134" i="84"/>
  <c r="F133" i="84"/>
  <c r="F122" i="84"/>
  <c r="F117" i="84"/>
  <c r="F116" i="84"/>
  <c r="F56" i="84"/>
  <c r="F54" i="84"/>
  <c r="F49" i="84"/>
  <c r="F45" i="84"/>
  <c r="F41" i="84"/>
  <c r="F37" i="84"/>
  <c r="F138" i="84"/>
  <c r="F137" i="84"/>
  <c r="F118" i="84"/>
  <c r="F110" i="84"/>
  <c r="F109" i="84"/>
  <c r="F86" i="84"/>
  <c r="F85" i="84"/>
  <c r="F50" i="84"/>
  <c r="F46" i="84"/>
  <c r="F42" i="84"/>
  <c r="F38" i="84"/>
  <c r="F135" i="84"/>
  <c r="F123" i="84"/>
  <c r="F79" i="84"/>
  <c r="F59" i="84"/>
  <c r="F95" i="84"/>
  <c r="F84" i="84"/>
  <c r="F57" i="84"/>
  <c r="F82" i="84"/>
  <c r="F67" i="84"/>
  <c r="F63" i="84"/>
  <c r="D54" i="84"/>
  <c r="F51" i="84"/>
  <c r="F93" i="84"/>
  <c r="F47" i="84"/>
  <c r="F136" i="84"/>
  <c r="F124" i="84"/>
  <c r="F108" i="84"/>
  <c r="F104" i="84"/>
  <c r="F78" i="84"/>
  <c r="F58" i="84"/>
  <c r="F43" i="84"/>
  <c r="F128" i="84"/>
  <c r="F100" i="84"/>
  <c r="F96" i="84"/>
  <c r="F83" i="84"/>
  <c r="F76" i="84"/>
  <c r="F72" i="84"/>
  <c r="F66" i="84"/>
  <c r="F39" i="84"/>
  <c r="F94" i="84"/>
  <c r="F62" i="84"/>
  <c r="F68" i="84"/>
  <c r="L28" i="78"/>
  <c r="D77" i="78"/>
  <c r="P65" i="67"/>
  <c r="X16" i="67"/>
  <c r="X18" i="112"/>
  <c r="P27" i="112"/>
  <c r="H27" i="32"/>
  <c r="N18" i="32"/>
  <c r="X18" i="13"/>
  <c r="P27" i="13"/>
  <c r="H94" i="103"/>
  <c r="D64" i="102"/>
  <c r="L16" i="102"/>
  <c r="X22" i="95"/>
  <c r="Z22" i="95" s="1"/>
  <c r="P103" i="95"/>
  <c r="P55" i="99"/>
  <c r="X17" i="99"/>
  <c r="F61" i="93"/>
  <c r="F80" i="93"/>
  <c r="F79" i="93"/>
  <c r="F72" i="93"/>
  <c r="F68" i="93"/>
  <c r="F52" i="93"/>
  <c r="F51" i="93"/>
  <c r="F44" i="93"/>
  <c r="F40" i="93"/>
  <c r="F82" i="93"/>
  <c r="F73" i="93"/>
  <c r="F69" i="93"/>
  <c r="F45" i="93"/>
  <c r="F41" i="93"/>
  <c r="F37" i="93"/>
  <c r="F36" i="93"/>
  <c r="D23" i="93"/>
  <c r="F85" i="93"/>
  <c r="F64" i="93"/>
  <c r="F63" i="93"/>
  <c r="F56" i="93"/>
  <c r="F55" i="93"/>
  <c r="F87" i="93"/>
  <c r="F75" i="93"/>
  <c r="F74" i="93"/>
  <c r="F19" i="93"/>
  <c r="F18" i="93"/>
  <c r="F70" i="93"/>
  <c r="F58" i="93"/>
  <c r="F57" i="93"/>
  <c r="F46" i="93"/>
  <c r="F42" i="93"/>
  <c r="F38" i="93"/>
  <c r="F78" i="93"/>
  <c r="F77" i="93"/>
  <c r="F76" i="93"/>
  <c r="F71" i="93"/>
  <c r="F67" i="93"/>
  <c r="F62" i="93"/>
  <c r="F48" i="93"/>
  <c r="F34" i="93"/>
  <c r="F60" i="93"/>
  <c r="F32" i="93"/>
  <c r="F65" i="93"/>
  <c r="F30" i="93"/>
  <c r="F49" i="93"/>
  <c r="F28" i="93"/>
  <c r="F23" i="93"/>
  <c r="F92" i="93"/>
  <c r="F83" i="93"/>
  <c r="F43" i="93"/>
  <c r="F50" i="93"/>
  <c r="F53" i="93"/>
  <c r="F35" i="93"/>
  <c r="F33" i="93"/>
  <c r="F25" i="93"/>
  <c r="F20" i="93"/>
  <c r="F66" i="93"/>
  <c r="F59" i="93"/>
  <c r="F47" i="93"/>
  <c r="F31" i="93"/>
  <c r="F29" i="93"/>
  <c r="F26" i="93"/>
  <c r="F54" i="93"/>
  <c r="F39" i="93"/>
  <c r="F21" i="93"/>
  <c r="L12" i="93"/>
  <c r="F27" i="93"/>
  <c r="F89" i="93"/>
  <c r="P102" i="91"/>
  <c r="X16" i="91"/>
  <c r="T142" i="84"/>
  <c r="H146" i="84"/>
  <c r="L22" i="87"/>
  <c r="D100" i="87"/>
  <c r="T86" i="80"/>
  <c r="Z22" i="80"/>
  <c r="H96" i="75"/>
  <c r="F28" i="78"/>
  <c r="D78" i="58"/>
  <c r="L16" i="58"/>
  <c r="P62" i="60"/>
  <c r="X16" i="60"/>
  <c r="P31" i="54"/>
  <c r="H125" i="51"/>
  <c r="H137" i="42"/>
  <c r="J31" i="42"/>
  <c r="T132" i="51"/>
  <c r="F132" i="42"/>
  <c r="F123" i="42"/>
  <c r="F122" i="42"/>
  <c r="F91" i="42"/>
  <c r="F83" i="42"/>
  <c r="F82" i="42"/>
  <c r="F55" i="42"/>
  <c r="F51" i="42"/>
  <c r="F47" i="42"/>
  <c r="F133" i="42"/>
  <c r="F131" i="42"/>
  <c r="F102" i="42"/>
  <c r="F74" i="42"/>
  <c r="F73" i="42"/>
  <c r="F42" i="42"/>
  <c r="F38" i="42"/>
  <c r="F134" i="42"/>
  <c r="F125" i="42"/>
  <c r="F124" i="42"/>
  <c r="F117" i="42"/>
  <c r="F113" i="42"/>
  <c r="F109" i="42"/>
  <c r="F97" i="42"/>
  <c r="F85" i="42"/>
  <c r="F84" i="42"/>
  <c r="F65" i="42"/>
  <c r="F57" i="42"/>
  <c r="F56" i="42"/>
  <c r="F29" i="42"/>
  <c r="F135" i="42"/>
  <c r="F92" i="42"/>
  <c r="F76" i="42"/>
  <c r="F75" i="42"/>
  <c r="F103" i="42"/>
  <c r="F99" i="42"/>
  <c r="F98" i="42"/>
  <c r="F87" i="42"/>
  <c r="F86" i="42"/>
  <c r="F59" i="42"/>
  <c r="F58" i="42"/>
  <c r="F43" i="42"/>
  <c r="F39" i="42"/>
  <c r="F35" i="42"/>
  <c r="F34" i="42"/>
  <c r="F137" i="42"/>
  <c r="F126" i="42"/>
  <c r="F118" i="42"/>
  <c r="F114" i="42"/>
  <c r="F110" i="42"/>
  <c r="F94" i="42"/>
  <c r="F93" i="42"/>
  <c r="F78" i="42"/>
  <c r="F77" i="42"/>
  <c r="F66" i="42"/>
  <c r="F33" i="42"/>
  <c r="F31" i="42"/>
  <c r="F139" i="42"/>
  <c r="F105" i="42"/>
  <c r="F104" i="42"/>
  <c r="F89" i="42"/>
  <c r="F88" i="42"/>
  <c r="F61" i="42"/>
  <c r="F60" i="42"/>
  <c r="F53" i="42"/>
  <c r="F49" i="42"/>
  <c r="D31" i="42"/>
  <c r="F120" i="42"/>
  <c r="F119" i="42"/>
  <c r="F100" i="42"/>
  <c r="F68" i="42"/>
  <c r="F67" i="42"/>
  <c r="F44" i="42"/>
  <c r="F40" i="42"/>
  <c r="F36" i="42"/>
  <c r="F127" i="42"/>
  <c r="F115" i="42"/>
  <c r="F111" i="42"/>
  <c r="F95" i="42"/>
  <c r="F79" i="42"/>
  <c r="F63" i="42"/>
  <c r="F62" i="42"/>
  <c r="F27" i="42"/>
  <c r="F26" i="42"/>
  <c r="F116" i="42"/>
  <c r="F112" i="42"/>
  <c r="F108" i="42"/>
  <c r="F107" i="42"/>
  <c r="F96" i="42"/>
  <c r="F72" i="42"/>
  <c r="F71" i="42"/>
  <c r="F64" i="42"/>
  <c r="F28" i="42"/>
  <c r="F81" i="42"/>
  <c r="F121" i="42"/>
  <c r="F69" i="42"/>
  <c r="F46" i="42"/>
  <c r="F129" i="42"/>
  <c r="F90" i="42"/>
  <c r="F80" i="42"/>
  <c r="F50" i="42"/>
  <c r="F48" i="42"/>
  <c r="F101" i="42"/>
  <c r="F52" i="42"/>
  <c r="L12" i="42"/>
  <c r="N12" i="42" s="1"/>
  <c r="F70" i="42"/>
  <c r="F54" i="42"/>
  <c r="F141" i="42"/>
  <c r="F106" i="42"/>
  <c r="F41" i="42"/>
  <c r="F37" i="42"/>
  <c r="F128" i="42"/>
  <c r="F45" i="42"/>
  <c r="F144" i="42"/>
  <c r="T116" i="33"/>
  <c r="F340" i="18"/>
  <c r="F313" i="18"/>
  <c r="F309" i="18"/>
  <c r="F297" i="18"/>
  <c r="F237" i="18"/>
  <c r="F236" i="18"/>
  <c r="F229" i="18"/>
  <c r="F189" i="18"/>
  <c r="F185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32" i="18"/>
  <c r="F329" i="18"/>
  <c r="F320" i="18"/>
  <c r="F319" i="18"/>
  <c r="F292" i="18"/>
  <c r="F284" i="18"/>
  <c r="F280" i="18"/>
  <c r="F276" i="18"/>
  <c r="F272" i="18"/>
  <c r="F268" i="18"/>
  <c r="F264" i="18"/>
  <c r="F260" i="18"/>
  <c r="F256" i="18"/>
  <c r="F252" i="18"/>
  <c r="F248" i="18"/>
  <c r="F247" i="18"/>
  <c r="F224" i="18"/>
  <c r="F223" i="18"/>
  <c r="F216" i="18"/>
  <c r="F212" i="18"/>
  <c r="F208" i="18"/>
  <c r="F207" i="18"/>
  <c r="F330" i="18"/>
  <c r="F328" i="18"/>
  <c r="F303" i="18"/>
  <c r="F239" i="18"/>
  <c r="F238" i="18"/>
  <c r="F231" i="18"/>
  <c r="F230" i="18"/>
  <c r="F203" i="18"/>
  <c r="F199" i="18"/>
  <c r="F331" i="18"/>
  <c r="F322" i="18"/>
  <c r="F321" i="18"/>
  <c r="F314" i="18"/>
  <c r="F310" i="18"/>
  <c r="F298" i="18"/>
  <c r="F286" i="18"/>
  <c r="F285" i="18"/>
  <c r="F226" i="18"/>
  <c r="F225" i="18"/>
  <c r="F190" i="18"/>
  <c r="F186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332" i="18"/>
  <c r="F305" i="18"/>
  <c r="F304" i="18"/>
  <c r="F293" i="18"/>
  <c r="F281" i="18"/>
  <c r="F277" i="18"/>
  <c r="F273" i="18"/>
  <c r="F269" i="18"/>
  <c r="F265" i="18"/>
  <c r="F261" i="18"/>
  <c r="F257" i="18"/>
  <c r="F253" i="18"/>
  <c r="F249" i="18"/>
  <c r="F241" i="18"/>
  <c r="F240" i="18"/>
  <c r="F217" i="18"/>
  <c r="F213" i="18"/>
  <c r="F209" i="18"/>
  <c r="F333" i="18"/>
  <c r="F300" i="18"/>
  <c r="F299" i="18"/>
  <c r="F288" i="18"/>
  <c r="F287" i="18"/>
  <c r="F232" i="18"/>
  <c r="F204" i="18"/>
  <c r="F200" i="18"/>
  <c r="L12" i="18"/>
  <c r="N12" i="18" s="1"/>
  <c r="F334" i="18"/>
  <c r="F323" i="18"/>
  <c r="F315" i="18"/>
  <c r="F311" i="18"/>
  <c r="F295" i="18"/>
  <c r="F294" i="18"/>
  <c r="F227" i="18"/>
  <c r="F219" i="18"/>
  <c r="F218" i="18"/>
  <c r="F191" i="18"/>
  <c r="F187" i="18"/>
  <c r="F183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335" i="18"/>
  <c r="F306" i="18"/>
  <c r="F290" i="18"/>
  <c r="F289" i="18"/>
  <c r="F282" i="18"/>
  <c r="F278" i="18"/>
  <c r="F274" i="18"/>
  <c r="F270" i="18"/>
  <c r="F266" i="18"/>
  <c r="F262" i="18"/>
  <c r="F258" i="18"/>
  <c r="F254" i="18"/>
  <c r="F250" i="18"/>
  <c r="F242" i="18"/>
  <c r="F234" i="18"/>
  <c r="F233" i="18"/>
  <c r="F214" i="18"/>
  <c r="F210" i="18"/>
  <c r="F336" i="18"/>
  <c r="F317" i="18"/>
  <c r="F316" i="18"/>
  <c r="F301" i="18"/>
  <c r="F221" i="18"/>
  <c r="F220" i="18"/>
  <c r="F205" i="18"/>
  <c r="F201" i="18"/>
  <c r="F197" i="18"/>
  <c r="F196" i="18"/>
  <c r="F344" i="18"/>
  <c r="F339" i="18"/>
  <c r="F326" i="18"/>
  <c r="F325" i="18"/>
  <c r="F318" i="18"/>
  <c r="F302" i="18"/>
  <c r="F246" i="18"/>
  <c r="F245" i="18"/>
  <c r="F222" i="18"/>
  <c r="F206" i="18"/>
  <c r="F202" i="18"/>
  <c r="F198" i="18"/>
  <c r="F338" i="18"/>
  <c r="F291" i="18"/>
  <c r="F251" i="18"/>
  <c r="D193" i="18"/>
  <c r="F193" i="18" s="1"/>
  <c r="F255" i="18"/>
  <c r="F172" i="18"/>
  <c r="F148" i="18"/>
  <c r="F259" i="18"/>
  <c r="F308" i="18"/>
  <c r="F263" i="18"/>
  <c r="F244" i="18"/>
  <c r="F176" i="18"/>
  <c r="F152" i="18"/>
  <c r="F267" i="18"/>
  <c r="F324" i="18"/>
  <c r="F296" i="18"/>
  <c r="F271" i="18"/>
  <c r="F180" i="18"/>
  <c r="F156" i="18"/>
  <c r="F275" i="18"/>
  <c r="F235" i="18"/>
  <c r="F337" i="18"/>
  <c r="F279" i="18"/>
  <c r="F228" i="18"/>
  <c r="F184" i="18"/>
  <c r="F160" i="18"/>
  <c r="F136" i="18"/>
  <c r="F312" i="18"/>
  <c r="F307" i="18"/>
  <c r="F283" i="18"/>
  <c r="F243" i="18"/>
  <c r="F168" i="18"/>
  <c r="F144" i="18"/>
  <c r="F188" i="18"/>
  <c r="F195" i="18"/>
  <c r="F140" i="18"/>
  <c r="F215" i="18"/>
  <c r="F211" i="18"/>
  <c r="F164" i="18"/>
  <c r="L18" i="49"/>
  <c r="D27" i="49"/>
  <c r="T27" i="46"/>
  <c r="Z18" i="46"/>
  <c r="X18" i="40"/>
  <c r="P27" i="40"/>
  <c r="X18" i="34"/>
  <c r="P27" i="34"/>
  <c r="H27" i="35"/>
  <c r="N18" i="35"/>
  <c r="H27" i="38"/>
  <c r="N18" i="38"/>
  <c r="T27" i="31"/>
  <c r="Z18" i="31"/>
  <c r="T27" i="23"/>
  <c r="Z18" i="23"/>
  <c r="T27" i="19"/>
  <c r="Z18" i="19"/>
  <c r="H27" i="20"/>
  <c r="N18" i="20"/>
  <c r="L18" i="28"/>
  <c r="D27" i="28"/>
  <c r="H27" i="28"/>
  <c r="N18" i="28"/>
  <c r="T27" i="17"/>
  <c r="Z18" i="17"/>
  <c r="T27" i="20"/>
  <c r="Z18" i="20"/>
  <c r="L18" i="7"/>
  <c r="D27" i="7"/>
  <c r="T53" i="98"/>
  <c r="Z20" i="98"/>
  <c r="R114" i="76"/>
  <c r="R113" i="76"/>
  <c r="R106" i="76"/>
  <c r="R105" i="76"/>
  <c r="R69" i="76"/>
  <c r="R65" i="76"/>
  <c r="R123" i="76"/>
  <c r="R100" i="76"/>
  <c r="R96" i="76"/>
  <c r="R85" i="76"/>
  <c r="R84" i="76"/>
  <c r="R61" i="76"/>
  <c r="R56" i="76"/>
  <c r="R52" i="76"/>
  <c r="R48" i="76"/>
  <c r="R44" i="76"/>
  <c r="X12" i="76"/>
  <c r="Z12" i="76" s="1"/>
  <c r="R116" i="76"/>
  <c r="R115" i="76"/>
  <c r="R108" i="76"/>
  <c r="R107" i="76"/>
  <c r="R79" i="76"/>
  <c r="R75" i="76"/>
  <c r="R60" i="76"/>
  <c r="R40" i="76"/>
  <c r="R87" i="76"/>
  <c r="R86" i="76"/>
  <c r="R70" i="76"/>
  <c r="R66" i="76"/>
  <c r="R62" i="76"/>
  <c r="P58" i="76"/>
  <c r="R117" i="76"/>
  <c r="R109" i="76"/>
  <c r="R101" i="76"/>
  <c r="R97" i="76"/>
  <c r="R53" i="76"/>
  <c r="R49" i="76"/>
  <c r="R45" i="76"/>
  <c r="R41" i="76"/>
  <c r="R89" i="76"/>
  <c r="R88" i="76"/>
  <c r="R80" i="76"/>
  <c r="R76" i="76"/>
  <c r="R120" i="76"/>
  <c r="R119" i="76"/>
  <c r="R72" i="76"/>
  <c r="R71" i="76"/>
  <c r="R67" i="76"/>
  <c r="R63" i="76"/>
  <c r="R127" i="76"/>
  <c r="R111" i="76"/>
  <c r="R110" i="76"/>
  <c r="R102" i="76"/>
  <c r="R98" i="76"/>
  <c r="R91" i="76"/>
  <c r="R90" i="76"/>
  <c r="R81" i="76"/>
  <c r="R77" i="76"/>
  <c r="R73" i="76"/>
  <c r="R122" i="76"/>
  <c r="R95" i="76"/>
  <c r="R94" i="76"/>
  <c r="R83" i="76"/>
  <c r="R82" i="76"/>
  <c r="R78" i="76"/>
  <c r="R74" i="76"/>
  <c r="R54" i="76"/>
  <c r="R50" i="76"/>
  <c r="R103" i="76"/>
  <c r="R99" i="76"/>
  <c r="R93" i="76"/>
  <c r="R64" i="76"/>
  <c r="R46" i="76"/>
  <c r="R55" i="76"/>
  <c r="R42" i="76"/>
  <c r="R112" i="76"/>
  <c r="R104" i="76"/>
  <c r="R51" i="76"/>
  <c r="R121" i="76"/>
  <c r="R68" i="76"/>
  <c r="R47" i="76"/>
  <c r="R43" i="76"/>
  <c r="R92" i="76"/>
  <c r="T87" i="72"/>
  <c r="T342" i="18"/>
  <c r="L31" i="21"/>
  <c r="D120" i="21"/>
  <c r="R88" i="94"/>
  <c r="R54" i="94"/>
  <c r="R77" i="94"/>
  <c r="R73" i="94"/>
  <c r="R45" i="94"/>
  <c r="R41" i="94"/>
  <c r="R37" i="94"/>
  <c r="R18" i="94"/>
  <c r="R65" i="94"/>
  <c r="R64" i="94"/>
  <c r="R56" i="94"/>
  <c r="R55" i="94"/>
  <c r="R79" i="94"/>
  <c r="R78" i="94"/>
  <c r="R74" i="94"/>
  <c r="R67" i="94"/>
  <c r="R66" i="94"/>
  <c r="R47" i="94"/>
  <c r="R46" i="94"/>
  <c r="R42" i="94"/>
  <c r="R38" i="94"/>
  <c r="R58" i="94"/>
  <c r="R57" i="94"/>
  <c r="R33" i="94"/>
  <c r="R29" i="94"/>
  <c r="R81" i="94"/>
  <c r="R80" i="94"/>
  <c r="R69" i="94"/>
  <c r="R68" i="94"/>
  <c r="R49" i="94"/>
  <c r="R48" i="94"/>
  <c r="R20" i="94"/>
  <c r="R75" i="94"/>
  <c r="R60" i="94"/>
  <c r="R59" i="94"/>
  <c r="R43" i="94"/>
  <c r="R39" i="94"/>
  <c r="R82" i="94"/>
  <c r="R71" i="94"/>
  <c r="R70" i="94"/>
  <c r="R63" i="94"/>
  <c r="R36" i="94"/>
  <c r="R35" i="94"/>
  <c r="R31" i="94"/>
  <c r="R27" i="94"/>
  <c r="P23" i="94"/>
  <c r="R62" i="94"/>
  <c r="R72" i="94"/>
  <c r="R40" i="94"/>
  <c r="R44" i="94"/>
  <c r="R34" i="94"/>
  <c r="R25" i="94"/>
  <c r="R52" i="94"/>
  <c r="R21" i="94"/>
  <c r="R76" i="94"/>
  <c r="R32" i="94"/>
  <c r="R61" i="94"/>
  <c r="R30" i="94"/>
  <c r="X12" i="94"/>
  <c r="Z12" i="94" s="1"/>
  <c r="R28" i="94"/>
  <c r="R19" i="94"/>
  <c r="R84" i="94"/>
  <c r="R51" i="94"/>
  <c r="R50" i="94"/>
  <c r="R26" i="94"/>
  <c r="R53" i="94"/>
  <c r="R101" i="33"/>
  <c r="R89" i="33"/>
  <c r="R74" i="33"/>
  <c r="R73" i="33"/>
  <c r="R37" i="33"/>
  <c r="R104" i="33"/>
  <c r="R103" i="33"/>
  <c r="R64" i="33"/>
  <c r="R60" i="33"/>
  <c r="R56" i="33"/>
  <c r="R105" i="33"/>
  <c r="R95" i="33"/>
  <c r="R83" i="33"/>
  <c r="R76" i="33"/>
  <c r="R75" i="33"/>
  <c r="R51" i="33"/>
  <c r="R47" i="33"/>
  <c r="R106" i="33"/>
  <c r="R91" i="33"/>
  <c r="R90" i="33"/>
  <c r="R107" i="33"/>
  <c r="R77" i="33"/>
  <c r="R66" i="33"/>
  <c r="R65" i="33"/>
  <c r="R61" i="33"/>
  <c r="R57" i="33"/>
  <c r="R34" i="33"/>
  <c r="R108" i="33"/>
  <c r="R97" i="33"/>
  <c r="R96" i="33"/>
  <c r="R92" i="33"/>
  <c r="R85" i="33"/>
  <c r="R84" i="33"/>
  <c r="R52" i="33"/>
  <c r="R48" i="33"/>
  <c r="R109" i="33"/>
  <c r="R68" i="33"/>
  <c r="R67" i="33"/>
  <c r="R39" i="33"/>
  <c r="R35" i="33"/>
  <c r="R110" i="33"/>
  <c r="R98" i="33"/>
  <c r="R86" i="33"/>
  <c r="R79" i="33"/>
  <c r="R78" i="33"/>
  <c r="R62" i="33"/>
  <c r="R58" i="33"/>
  <c r="R93" i="33"/>
  <c r="R70" i="33"/>
  <c r="R69" i="33"/>
  <c r="R53" i="33"/>
  <c r="R49" i="33"/>
  <c r="R114" i="33"/>
  <c r="R94" i="33"/>
  <c r="R82" i="33"/>
  <c r="R55" i="33"/>
  <c r="R54" i="33"/>
  <c r="R50" i="33"/>
  <c r="R46" i="33"/>
  <c r="P42" i="33"/>
  <c r="R36" i="33"/>
  <c r="X12" i="33"/>
  <c r="Z12" i="33" s="1"/>
  <c r="R44" i="33"/>
  <c r="R88" i="33"/>
  <c r="R99" i="33"/>
  <c r="R80" i="33"/>
  <c r="R72" i="33"/>
  <c r="R45" i="33"/>
  <c r="R81" i="33"/>
  <c r="R42" i="33"/>
  <c r="R100" i="33"/>
  <c r="R59" i="33"/>
  <c r="R38" i="33"/>
  <c r="R40" i="33"/>
  <c r="R63" i="33"/>
  <c r="R87" i="33"/>
  <c r="R71" i="33"/>
  <c r="H27" i="31"/>
  <c r="N18" i="31"/>
  <c r="X18" i="8"/>
  <c r="P27" i="8"/>
  <c r="P27" i="4"/>
  <c r="X18" i="4"/>
  <c r="N16" i="108"/>
  <c r="H46" i="108"/>
  <c r="T65" i="104"/>
  <c r="H55" i="99"/>
  <c r="N17" i="99"/>
  <c r="F89" i="95"/>
  <c r="F85" i="95"/>
  <c r="F81" i="95"/>
  <c r="F105" i="95"/>
  <c r="F93" i="95"/>
  <c r="F92" i="95"/>
  <c r="F95" i="95"/>
  <c r="F94" i="95"/>
  <c r="F87" i="95"/>
  <c r="F83" i="95"/>
  <c r="F90" i="95"/>
  <c r="F70" i="95"/>
  <c r="F54" i="95"/>
  <c r="F18" i="95"/>
  <c r="F17" i="95"/>
  <c r="F97" i="95"/>
  <c r="F82" i="95"/>
  <c r="F65" i="95"/>
  <c r="F64" i="95"/>
  <c r="F45" i="95"/>
  <c r="F41" i="95"/>
  <c r="F37" i="95"/>
  <c r="F103" i="95"/>
  <c r="F98" i="95"/>
  <c r="F76" i="95"/>
  <c r="F72" i="95"/>
  <c r="F71" i="95"/>
  <c r="F32" i="95"/>
  <c r="F28" i="95"/>
  <c r="F110" i="95"/>
  <c r="F67" i="95"/>
  <c r="F66" i="95"/>
  <c r="F55" i="95"/>
  <c r="F47" i="95"/>
  <c r="F46" i="95"/>
  <c r="F19" i="95"/>
  <c r="F91" i="95"/>
  <c r="F88" i="95"/>
  <c r="F78" i="95"/>
  <c r="F77" i="95"/>
  <c r="F42" i="95"/>
  <c r="F38" i="95"/>
  <c r="L12" i="95"/>
  <c r="N12" i="95" s="1"/>
  <c r="F73" i="95"/>
  <c r="F57" i="95"/>
  <c r="F56" i="95"/>
  <c r="F49" i="95"/>
  <c r="F48" i="95"/>
  <c r="F33" i="95"/>
  <c r="F29" i="95"/>
  <c r="F100" i="95"/>
  <c r="F68" i="95"/>
  <c r="F20" i="95"/>
  <c r="F86" i="95"/>
  <c r="F79" i="95"/>
  <c r="F59" i="95"/>
  <c r="F58" i="95"/>
  <c r="F51" i="95"/>
  <c r="F50" i="95"/>
  <c r="F43" i="95"/>
  <c r="F39" i="95"/>
  <c r="F74" i="95"/>
  <c r="F34" i="95"/>
  <c r="F30" i="95"/>
  <c r="F26" i="95"/>
  <c r="F25" i="95"/>
  <c r="F107" i="95"/>
  <c r="F75" i="95"/>
  <c r="F63" i="95"/>
  <c r="F62" i="95"/>
  <c r="F31" i="95"/>
  <c r="F27" i="95"/>
  <c r="F60" i="95"/>
  <c r="F84" i="95"/>
  <c r="F35" i="95"/>
  <c r="F44" i="95"/>
  <c r="F53" i="95"/>
  <c r="F24" i="95"/>
  <c r="F101" i="95"/>
  <c r="F69" i="95"/>
  <c r="F61" i="95"/>
  <c r="F40" i="95"/>
  <c r="F96" i="95"/>
  <c r="F80" i="95"/>
  <c r="F52" i="95"/>
  <c r="D22" i="95"/>
  <c r="F36" i="95"/>
  <c r="F22" i="95"/>
  <c r="F83" i="88"/>
  <c r="F82" i="88"/>
  <c r="F75" i="88"/>
  <c r="F71" i="88"/>
  <c r="F70" i="88"/>
  <c r="F55" i="88"/>
  <c r="F19" i="88"/>
  <c r="F18" i="88"/>
  <c r="F46" i="88"/>
  <c r="F42" i="88"/>
  <c r="F38" i="88"/>
  <c r="F84" i="88"/>
  <c r="F76" i="88"/>
  <c r="F72" i="88"/>
  <c r="F48" i="88"/>
  <c r="F47" i="88"/>
  <c r="F67" i="88"/>
  <c r="F66" i="88"/>
  <c r="F59" i="88"/>
  <c r="F58" i="88"/>
  <c r="F43" i="88"/>
  <c r="F39" i="88"/>
  <c r="F78" i="88"/>
  <c r="F77" i="88"/>
  <c r="F88" i="88"/>
  <c r="F86" i="88"/>
  <c r="F73" i="88"/>
  <c r="F61" i="88"/>
  <c r="F60" i="88"/>
  <c r="F21" i="88"/>
  <c r="F79" i="88"/>
  <c r="F63" i="88"/>
  <c r="F62" i="88"/>
  <c r="F35" i="88"/>
  <c r="F31" i="88"/>
  <c r="F27" i="88"/>
  <c r="F26" i="88"/>
  <c r="F54" i="88"/>
  <c r="F37" i="88"/>
  <c r="F32" i="88"/>
  <c r="F30" i="88"/>
  <c r="D23" i="88"/>
  <c r="F80" i="88"/>
  <c r="F69" i="88"/>
  <c r="F74" i="88"/>
  <c r="F57" i="88"/>
  <c r="F51" i="88"/>
  <c r="F45" i="88"/>
  <c r="F28" i="88"/>
  <c r="F25" i="88"/>
  <c r="F65" i="88"/>
  <c r="F40" i="88"/>
  <c r="F20" i="88"/>
  <c r="F90" i="88"/>
  <c r="F52" i="88"/>
  <c r="F33" i="88"/>
  <c r="L12" i="88"/>
  <c r="F81" i="88"/>
  <c r="F95" i="88"/>
  <c r="F68" i="88"/>
  <c r="F49" i="88"/>
  <c r="F41" i="88"/>
  <c r="F36" i="88"/>
  <c r="F53" i="88"/>
  <c r="F34" i="88"/>
  <c r="F29" i="88"/>
  <c r="F92" i="88"/>
  <c r="F64" i="88"/>
  <c r="F23" i="88"/>
  <c r="F56" i="88"/>
  <c r="F44" i="88"/>
  <c r="F50" i="88"/>
  <c r="V36" i="85"/>
  <c r="T39" i="85"/>
  <c r="T125" i="76"/>
  <c r="H97" i="83"/>
  <c r="N22" i="83"/>
  <c r="H87" i="72"/>
  <c r="N16" i="63"/>
  <c r="H112" i="63"/>
  <c r="V27" i="72"/>
  <c r="T79" i="69"/>
  <c r="Z16" i="56"/>
  <c r="X16" i="56"/>
  <c r="T82" i="56"/>
  <c r="D82" i="56"/>
  <c r="L16" i="56"/>
  <c r="D38" i="55"/>
  <c r="T82" i="57"/>
  <c r="H142" i="36"/>
  <c r="T144" i="42"/>
  <c r="F145" i="39"/>
  <c r="F136" i="39"/>
  <c r="F135" i="39"/>
  <c r="F128" i="39"/>
  <c r="F124" i="39"/>
  <c r="F120" i="39"/>
  <c r="F104" i="39"/>
  <c r="F103" i="39"/>
  <c r="F146" i="39"/>
  <c r="F99" i="39"/>
  <c r="F98" i="39"/>
  <c r="F87" i="39"/>
  <c r="F79" i="39"/>
  <c r="F78" i="39"/>
  <c r="F71" i="39"/>
  <c r="F114" i="39"/>
  <c r="F110" i="39"/>
  <c r="F150" i="39"/>
  <c r="F116" i="39"/>
  <c r="F115" i="39"/>
  <c r="F100" i="39"/>
  <c r="F131" i="39"/>
  <c r="F130" i="39"/>
  <c r="F111" i="39"/>
  <c r="F91" i="39"/>
  <c r="F90" i="39"/>
  <c r="F83" i="39"/>
  <c r="F82" i="39"/>
  <c r="F138" i="39"/>
  <c r="F126" i="39"/>
  <c r="F122" i="39"/>
  <c r="F106" i="39"/>
  <c r="F117" i="39"/>
  <c r="F101" i="39"/>
  <c r="F93" i="39"/>
  <c r="F92" i="39"/>
  <c r="F73" i="39"/>
  <c r="F144" i="39"/>
  <c r="F142" i="39"/>
  <c r="F113" i="39"/>
  <c r="F109" i="39"/>
  <c r="F108" i="39"/>
  <c r="F97" i="39"/>
  <c r="F96" i="39"/>
  <c r="F77" i="39"/>
  <c r="F76" i="39"/>
  <c r="F88" i="39"/>
  <c r="F75" i="39"/>
  <c r="F70" i="39"/>
  <c r="F66" i="39"/>
  <c r="F65" i="39"/>
  <c r="F35" i="39"/>
  <c r="F143" i="39"/>
  <c r="F140" i="39"/>
  <c r="F118" i="39"/>
  <c r="F112" i="39"/>
  <c r="F102" i="39"/>
  <c r="F95" i="39"/>
  <c r="F61" i="39"/>
  <c r="F58" i="39"/>
  <c r="F54" i="39"/>
  <c r="F49" i="39"/>
  <c r="F45" i="39"/>
  <c r="F81" i="39"/>
  <c r="F36" i="39"/>
  <c r="F134" i="39"/>
  <c r="F132" i="39"/>
  <c r="F86" i="39"/>
  <c r="F67" i="39"/>
  <c r="F62" i="39"/>
  <c r="F55" i="39"/>
  <c r="F105" i="39"/>
  <c r="F89" i="39"/>
  <c r="F68" i="39"/>
  <c r="F59" i="39"/>
  <c r="F50" i="39"/>
  <c r="F46" i="39"/>
  <c r="F42" i="39"/>
  <c r="F41" i="39"/>
  <c r="L12" i="39"/>
  <c r="N12" i="39" s="1"/>
  <c r="F107" i="39"/>
  <c r="F40" i="39"/>
  <c r="F139" i="39"/>
  <c r="F121" i="39"/>
  <c r="F119" i="39"/>
  <c r="F94" i="39"/>
  <c r="F84" i="39"/>
  <c r="F74" i="39"/>
  <c r="F63" i="39"/>
  <c r="F56" i="39"/>
  <c r="D38" i="39"/>
  <c r="F38" i="39" s="1"/>
  <c r="F137" i="39"/>
  <c r="F123" i="39"/>
  <c r="F51" i="39"/>
  <c r="F47" i="39"/>
  <c r="F43" i="39"/>
  <c r="F129" i="39"/>
  <c r="F85" i="39"/>
  <c r="F48" i="39"/>
  <c r="F44" i="39"/>
  <c r="F52" i="39"/>
  <c r="F60" i="39"/>
  <c r="F33" i="39"/>
  <c r="F64" i="39"/>
  <c r="F133" i="39"/>
  <c r="F80" i="39"/>
  <c r="F72" i="39"/>
  <c r="F57" i="39"/>
  <c r="F53" i="39"/>
  <c r="F34" i="39"/>
  <c r="F127" i="39"/>
  <c r="F69" i="39"/>
  <c r="F125" i="39"/>
  <c r="X16" i="6"/>
  <c r="P22" i="6"/>
  <c r="R163" i="24"/>
  <c r="R155" i="24"/>
  <c r="R147" i="24"/>
  <c r="R108" i="24"/>
  <c r="R107" i="24"/>
  <c r="R103" i="24"/>
  <c r="R99" i="24"/>
  <c r="R166" i="24"/>
  <c r="R165" i="24"/>
  <c r="R119" i="24"/>
  <c r="R118" i="24"/>
  <c r="R94" i="24"/>
  <c r="R90" i="24"/>
  <c r="X12" i="24"/>
  <c r="Z12" i="24" s="1"/>
  <c r="R141" i="24"/>
  <c r="R137" i="24"/>
  <c r="R133" i="24"/>
  <c r="R129" i="24"/>
  <c r="R125" i="24"/>
  <c r="R110" i="24"/>
  <c r="R109" i="24"/>
  <c r="R86" i="24"/>
  <c r="R81" i="24"/>
  <c r="R77" i="24"/>
  <c r="R73" i="24"/>
  <c r="R69" i="24"/>
  <c r="R65" i="24"/>
  <c r="R61" i="24"/>
  <c r="R156" i="24"/>
  <c r="R112" i="24"/>
  <c r="R111" i="24"/>
  <c r="R95" i="24"/>
  <c r="R91" i="24"/>
  <c r="R87" i="24"/>
  <c r="P83" i="24"/>
  <c r="R170" i="24"/>
  <c r="R150" i="24"/>
  <c r="R142" i="24"/>
  <c r="R138" i="24"/>
  <c r="R134" i="24"/>
  <c r="R130" i="24"/>
  <c r="R126" i="24"/>
  <c r="R122" i="24"/>
  <c r="R78" i="24"/>
  <c r="R74" i="24"/>
  <c r="R70" i="24"/>
  <c r="R66" i="24"/>
  <c r="R62" i="24"/>
  <c r="R58" i="24"/>
  <c r="R158" i="24"/>
  <c r="R157" i="24"/>
  <c r="R113" i="24"/>
  <c r="R105" i="24"/>
  <c r="R101" i="24"/>
  <c r="R97" i="24"/>
  <c r="R96" i="24"/>
  <c r="R92" i="24"/>
  <c r="R88" i="24"/>
  <c r="R160" i="24"/>
  <c r="R159" i="24"/>
  <c r="R152" i="24"/>
  <c r="R151" i="24"/>
  <c r="R144" i="24"/>
  <c r="R143" i="24"/>
  <c r="R139" i="24"/>
  <c r="R135" i="24"/>
  <c r="R131" i="24"/>
  <c r="R127" i="24"/>
  <c r="R123" i="24"/>
  <c r="R79" i="24"/>
  <c r="R75" i="24"/>
  <c r="R71" i="24"/>
  <c r="R67" i="24"/>
  <c r="R63" i="24"/>
  <c r="R59" i="24"/>
  <c r="R140" i="24"/>
  <c r="R136" i="24"/>
  <c r="R132" i="24"/>
  <c r="R128" i="24"/>
  <c r="R124" i="24"/>
  <c r="R117" i="24"/>
  <c r="R116" i="24"/>
  <c r="R80" i="24"/>
  <c r="R76" i="24"/>
  <c r="R72" i="24"/>
  <c r="R68" i="24"/>
  <c r="R64" i="24"/>
  <c r="R60" i="24"/>
  <c r="R114" i="24"/>
  <c r="R93" i="24"/>
  <c r="R121" i="24"/>
  <c r="R106" i="24"/>
  <c r="R104" i="24"/>
  <c r="R102" i="24"/>
  <c r="R153" i="24"/>
  <c r="R149" i="24"/>
  <c r="R100" i="24"/>
  <c r="R162" i="24"/>
  <c r="R115" i="24"/>
  <c r="R98" i="24"/>
  <c r="R145" i="24"/>
  <c r="R154" i="24"/>
  <c r="R85" i="24"/>
  <c r="R57" i="24"/>
  <c r="R161" i="24"/>
  <c r="R148" i="24"/>
  <c r="R146" i="24"/>
  <c r="R89" i="24"/>
  <c r="R120" i="24"/>
  <c r="F67" i="9"/>
  <c r="F31" i="9"/>
  <c r="F27" i="9"/>
  <c r="F23" i="9"/>
  <c r="F98" i="9"/>
  <c r="F97" i="9"/>
  <c r="F90" i="9"/>
  <c r="F86" i="9"/>
  <c r="F85" i="9"/>
  <c r="F78" i="9"/>
  <c r="F58" i="9"/>
  <c r="F57" i="9"/>
  <c r="F50" i="9"/>
  <c r="F49" i="9"/>
  <c r="F73" i="9"/>
  <c r="F41" i="9"/>
  <c r="F37" i="9"/>
  <c r="F33" i="9"/>
  <c r="F32" i="9"/>
  <c r="F99" i="9"/>
  <c r="F91" i="9"/>
  <c r="F87" i="9"/>
  <c r="F75" i="9"/>
  <c r="F74" i="9"/>
  <c r="F51" i="9"/>
  <c r="F70" i="9"/>
  <c r="F69" i="9"/>
  <c r="F62" i="9"/>
  <c r="F61" i="9"/>
  <c r="F42" i="9"/>
  <c r="F38" i="9"/>
  <c r="F34" i="9"/>
  <c r="F93" i="9"/>
  <c r="F92" i="9"/>
  <c r="F81" i="9"/>
  <c r="F53" i="9"/>
  <c r="F52" i="9"/>
  <c r="F29" i="9"/>
  <c r="F25" i="9"/>
  <c r="F21" i="9"/>
  <c r="F20" i="9"/>
  <c r="F103" i="9"/>
  <c r="F101" i="9"/>
  <c r="F88" i="9"/>
  <c r="F76" i="9"/>
  <c r="F64" i="9"/>
  <c r="F63" i="9"/>
  <c r="F44" i="9"/>
  <c r="F43" i="9"/>
  <c r="F19" i="9"/>
  <c r="F17" i="9"/>
  <c r="F15" i="9"/>
  <c r="F105" i="9"/>
  <c r="F83" i="9"/>
  <c r="F82" i="9"/>
  <c r="F71" i="9"/>
  <c r="F39" i="9"/>
  <c r="F35" i="9"/>
  <c r="D17" i="9"/>
  <c r="F110" i="9"/>
  <c r="F107" i="9"/>
  <c r="F96" i="9"/>
  <c r="F95" i="9"/>
  <c r="F84" i="9"/>
  <c r="F72" i="9"/>
  <c r="F56" i="9"/>
  <c r="F55" i="9"/>
  <c r="F48" i="9"/>
  <c r="F47" i="9"/>
  <c r="F40" i="9"/>
  <c r="F36" i="9"/>
  <c r="F89" i="9"/>
  <c r="F77" i="9"/>
  <c r="F26" i="9"/>
  <c r="F28" i="9"/>
  <c r="L12" i="9"/>
  <c r="F45" i="9"/>
  <c r="F30" i="9"/>
  <c r="F22" i="9"/>
  <c r="F68" i="9"/>
  <c r="F66" i="9"/>
  <c r="F80" i="9"/>
  <c r="F65" i="9"/>
  <c r="F94" i="9"/>
  <c r="F60" i="9"/>
  <c r="F54" i="9"/>
  <c r="F79" i="9"/>
  <c r="F46" i="9"/>
  <c r="F59" i="9"/>
  <c r="F24" i="9"/>
  <c r="D367" i="3"/>
  <c r="L206" i="3"/>
  <c r="D323" i="12"/>
  <c r="L172" i="12"/>
  <c r="F172" i="12"/>
  <c r="X18" i="50"/>
  <c r="P27" i="50"/>
  <c r="X18" i="47"/>
  <c r="P27" i="47"/>
  <c r="X18" i="46"/>
  <c r="P27" i="46"/>
  <c r="T27" i="43"/>
  <c r="Z18" i="43"/>
  <c r="X18" i="20"/>
  <c r="P27" i="20"/>
  <c r="Z18" i="29"/>
  <c r="T27" i="29"/>
  <c r="H27" i="26"/>
  <c r="N18" i="26"/>
  <c r="L18" i="17"/>
  <c r="D27" i="17"/>
  <c r="D27" i="16"/>
  <c r="L18" i="16"/>
  <c r="T27" i="14"/>
  <c r="Z18" i="14"/>
  <c r="L18" i="8"/>
  <c r="D27" i="8"/>
  <c r="H27" i="8"/>
  <c r="N18" i="8"/>
  <c r="D27" i="11"/>
  <c r="L18" i="11"/>
  <c r="P78" i="58"/>
  <c r="X16" i="58"/>
  <c r="H98" i="97"/>
  <c r="Z16" i="58"/>
  <c r="T78" i="58"/>
  <c r="H116" i="33"/>
  <c r="X18" i="111"/>
  <c r="P27" i="111"/>
  <c r="N18" i="19"/>
  <c r="H27" i="19"/>
  <c r="X18" i="17"/>
  <c r="P27" i="17"/>
  <c r="H27" i="16"/>
  <c r="N18" i="16"/>
  <c r="H27" i="5"/>
  <c r="N18" i="5"/>
  <c r="H90" i="94"/>
  <c r="D102" i="91"/>
  <c r="L16" i="91"/>
  <c r="N22" i="87"/>
  <c r="H100" i="87"/>
  <c r="X23" i="88"/>
  <c r="P88" i="88"/>
  <c r="T114" i="73"/>
  <c r="H82" i="79"/>
  <c r="P79" i="69"/>
  <c r="X22" i="69"/>
  <c r="Z22" i="69" s="1"/>
  <c r="X75" i="68"/>
  <c r="P152" i="68"/>
  <c r="D62" i="60"/>
  <c r="L16" i="60"/>
  <c r="R69" i="59"/>
  <c r="R61" i="59"/>
  <c r="R45" i="59"/>
  <c r="R29" i="59"/>
  <c r="R25" i="59"/>
  <c r="R21" i="59"/>
  <c r="P17" i="59"/>
  <c r="R55" i="59"/>
  <c r="R39" i="59"/>
  <c r="R35" i="59"/>
  <c r="R70" i="59"/>
  <c r="R63" i="59"/>
  <c r="R62" i="59"/>
  <c r="R74" i="59"/>
  <c r="R72" i="59"/>
  <c r="R64" i="59"/>
  <c r="R56" i="59"/>
  <c r="R49" i="59"/>
  <c r="R48" i="59"/>
  <c r="R40" i="59"/>
  <c r="R36" i="59"/>
  <c r="R32" i="59"/>
  <c r="R27" i="59"/>
  <c r="R23" i="59"/>
  <c r="R76" i="59"/>
  <c r="R51" i="59"/>
  <c r="R50" i="59"/>
  <c r="R81" i="59"/>
  <c r="R78" i="59"/>
  <c r="R66" i="59"/>
  <c r="R65" i="59"/>
  <c r="R58" i="59"/>
  <c r="R57" i="59"/>
  <c r="R42" i="59"/>
  <c r="R41" i="59"/>
  <c r="R37" i="59"/>
  <c r="R33" i="59"/>
  <c r="R54" i="59"/>
  <c r="R38" i="59"/>
  <c r="R34" i="59"/>
  <c r="R19" i="59"/>
  <c r="R17" i="59"/>
  <c r="R15" i="59"/>
  <c r="R47" i="59"/>
  <c r="R30" i="59"/>
  <c r="R59" i="59"/>
  <c r="R43" i="59"/>
  <c r="R28" i="59"/>
  <c r="R31" i="59"/>
  <c r="R26" i="59"/>
  <c r="R67" i="59"/>
  <c r="R52" i="59"/>
  <c r="R60" i="59"/>
  <c r="R44" i="59"/>
  <c r="R24" i="59"/>
  <c r="R46" i="59"/>
  <c r="R22" i="59"/>
  <c r="R20" i="59"/>
  <c r="R53" i="59"/>
  <c r="R68" i="59"/>
  <c r="X12" i="59"/>
  <c r="Z12" i="59" s="1"/>
  <c r="N16" i="56"/>
  <c r="H82" i="56"/>
  <c r="R150" i="39"/>
  <c r="R116" i="39"/>
  <c r="R100" i="39"/>
  <c r="R72" i="39"/>
  <c r="R131" i="39"/>
  <c r="R111" i="39"/>
  <c r="R92" i="39"/>
  <c r="R91" i="39"/>
  <c r="R83" i="39"/>
  <c r="R59" i="39"/>
  <c r="R139" i="39"/>
  <c r="R138" i="39"/>
  <c r="R126" i="39"/>
  <c r="R122" i="39"/>
  <c r="R106" i="39"/>
  <c r="R140" i="39"/>
  <c r="R133" i="39"/>
  <c r="R132" i="39"/>
  <c r="R112" i="39"/>
  <c r="R85" i="39"/>
  <c r="R84" i="39"/>
  <c r="R143" i="39"/>
  <c r="R142" i="39"/>
  <c r="R127" i="39"/>
  <c r="R123" i="39"/>
  <c r="R119" i="39"/>
  <c r="R108" i="39"/>
  <c r="R107" i="39"/>
  <c r="R96" i="39"/>
  <c r="R95" i="39"/>
  <c r="R76" i="39"/>
  <c r="R75" i="39"/>
  <c r="R144" i="39"/>
  <c r="R135" i="39"/>
  <c r="R134" i="39"/>
  <c r="R103" i="39"/>
  <c r="R102" i="39"/>
  <c r="R145" i="39"/>
  <c r="R113" i="39"/>
  <c r="R109" i="39"/>
  <c r="R98" i="39"/>
  <c r="R97" i="39"/>
  <c r="R78" i="39"/>
  <c r="R77" i="39"/>
  <c r="R137" i="39"/>
  <c r="R130" i="39"/>
  <c r="R129" i="39"/>
  <c r="R125" i="39"/>
  <c r="R121" i="39"/>
  <c r="R105" i="39"/>
  <c r="R90" i="39"/>
  <c r="R89" i="39"/>
  <c r="R82" i="39"/>
  <c r="R81" i="39"/>
  <c r="R124" i="39"/>
  <c r="R93" i="39"/>
  <c r="R86" i="39"/>
  <c r="R73" i="39"/>
  <c r="R55" i="39"/>
  <c r="R40" i="39"/>
  <c r="R114" i="39"/>
  <c r="R62" i="39"/>
  <c r="R50" i="39"/>
  <c r="R46" i="39"/>
  <c r="R42" i="39"/>
  <c r="P38" i="39"/>
  <c r="R38" i="39" s="1"/>
  <c r="X12" i="39"/>
  <c r="Z12" i="39" s="1"/>
  <c r="R146" i="39"/>
  <c r="R128" i="39"/>
  <c r="R71" i="39"/>
  <c r="R63" i="39"/>
  <c r="R74" i="39"/>
  <c r="R68" i="39"/>
  <c r="R56" i="39"/>
  <c r="R33" i="39"/>
  <c r="R94" i="39"/>
  <c r="R79" i="39"/>
  <c r="R52" i="39"/>
  <c r="R51" i="39"/>
  <c r="R47" i="39"/>
  <c r="R43" i="39"/>
  <c r="R101" i="39"/>
  <c r="R69" i="39"/>
  <c r="R60" i="39"/>
  <c r="R34" i="39"/>
  <c r="R117" i="39"/>
  <c r="R115" i="39"/>
  <c r="R99" i="39"/>
  <c r="R87" i="39"/>
  <c r="R65" i="39"/>
  <c r="R64" i="39"/>
  <c r="R57" i="39"/>
  <c r="R53" i="39"/>
  <c r="R80" i="39"/>
  <c r="R48" i="39"/>
  <c r="R44" i="39"/>
  <c r="R104" i="39"/>
  <c r="R66" i="39"/>
  <c r="R35" i="39"/>
  <c r="R136" i="39"/>
  <c r="R120" i="39"/>
  <c r="R41" i="39"/>
  <c r="R36" i="39"/>
  <c r="R118" i="39"/>
  <c r="R110" i="39"/>
  <c r="R49" i="39"/>
  <c r="R70" i="39"/>
  <c r="R45" i="39"/>
  <c r="R61" i="39"/>
  <c r="R67" i="39"/>
  <c r="R88" i="39"/>
  <c r="R58" i="39"/>
  <c r="R54" i="39"/>
  <c r="H139" i="27"/>
  <c r="F110" i="33"/>
  <c r="F93" i="33"/>
  <c r="F69" i="33"/>
  <c r="F68" i="33"/>
  <c r="F53" i="33"/>
  <c r="F49" i="33"/>
  <c r="F80" i="33"/>
  <c r="F79" i="33"/>
  <c r="F40" i="33"/>
  <c r="F36" i="33"/>
  <c r="L12" i="33"/>
  <c r="N12" i="33" s="1"/>
  <c r="F99" i="33"/>
  <c r="F87" i="33"/>
  <c r="F71" i="33"/>
  <c r="F70" i="33"/>
  <c r="F63" i="33"/>
  <c r="F59" i="33"/>
  <c r="F114" i="33"/>
  <c r="F94" i="33"/>
  <c r="F101" i="33"/>
  <c r="F100" i="33"/>
  <c r="F89" i="33"/>
  <c r="F88" i="33"/>
  <c r="F73" i="33"/>
  <c r="F72" i="33"/>
  <c r="F44" i="33"/>
  <c r="F37" i="33"/>
  <c r="F64" i="33"/>
  <c r="F60" i="33"/>
  <c r="F56" i="33"/>
  <c r="F55" i="33"/>
  <c r="D42" i="33"/>
  <c r="F42" i="33" s="1"/>
  <c r="F104" i="33"/>
  <c r="F95" i="33"/>
  <c r="F83" i="33"/>
  <c r="F75" i="33"/>
  <c r="F74" i="33"/>
  <c r="F51" i="33"/>
  <c r="F47" i="33"/>
  <c r="F105" i="33"/>
  <c r="F103" i="33"/>
  <c r="F90" i="33"/>
  <c r="F38" i="33"/>
  <c r="F106" i="33"/>
  <c r="F77" i="33"/>
  <c r="F76" i="33"/>
  <c r="F65" i="33"/>
  <c r="F61" i="33"/>
  <c r="F57" i="33"/>
  <c r="F109" i="33"/>
  <c r="F98" i="33"/>
  <c r="F97" i="33"/>
  <c r="F86" i="33"/>
  <c r="F85" i="33"/>
  <c r="F78" i="33"/>
  <c r="F62" i="33"/>
  <c r="F58" i="33"/>
  <c r="F107" i="33"/>
  <c r="F54" i="33"/>
  <c r="F67" i="33"/>
  <c r="F46" i="33"/>
  <c r="F34" i="33"/>
  <c r="F82" i="33"/>
  <c r="F92" i="33"/>
  <c r="F84" i="33"/>
  <c r="F48" i="33"/>
  <c r="F66" i="33"/>
  <c r="F108" i="33"/>
  <c r="F39" i="33"/>
  <c r="F96" i="33"/>
  <c r="F50" i="33"/>
  <c r="F91" i="33"/>
  <c r="F45" i="33"/>
  <c r="F52" i="33"/>
  <c r="F81" i="33"/>
  <c r="F35" i="33"/>
  <c r="N172" i="12"/>
  <c r="H323" i="12"/>
  <c r="F31" i="21"/>
  <c r="D27" i="52"/>
  <c r="L18" i="52"/>
  <c r="H27" i="46"/>
  <c r="N18" i="46"/>
  <c r="H27" i="50"/>
  <c r="N18" i="50"/>
  <c r="T27" i="41"/>
  <c r="Z18" i="41"/>
  <c r="L18" i="35"/>
  <c r="D27" i="35"/>
  <c r="L18" i="34"/>
  <c r="D27" i="34"/>
  <c r="H27" i="37"/>
  <c r="N18" i="37"/>
  <c r="T27" i="28"/>
  <c r="Z18" i="28"/>
  <c r="L18" i="26"/>
  <c r="D27" i="26"/>
  <c r="T27" i="10"/>
  <c r="Z18" i="10"/>
  <c r="L18" i="4"/>
  <c r="D27" i="4"/>
  <c r="F91" i="107"/>
  <c r="F83" i="107"/>
  <c r="F79" i="107"/>
  <c r="F78" i="107"/>
  <c r="F66" i="107"/>
  <c r="F65" i="107"/>
  <c r="F54" i="107"/>
  <c r="F53" i="107"/>
  <c r="F46" i="107"/>
  <c r="F42" i="107"/>
  <c r="F38" i="107"/>
  <c r="F37" i="107"/>
  <c r="F73" i="107"/>
  <c r="F33" i="107"/>
  <c r="F93" i="107"/>
  <c r="F84" i="107"/>
  <c r="F80" i="107"/>
  <c r="F68" i="107"/>
  <c r="F67" i="107"/>
  <c r="F56" i="107"/>
  <c r="F55" i="107"/>
  <c r="F20" i="107"/>
  <c r="F97" i="107"/>
  <c r="F75" i="107"/>
  <c r="F74" i="107"/>
  <c r="F47" i="107"/>
  <c r="F43" i="107"/>
  <c r="F39" i="107"/>
  <c r="F86" i="107"/>
  <c r="F85" i="107"/>
  <c r="F70" i="107"/>
  <c r="F69" i="107"/>
  <c r="F58" i="107"/>
  <c r="F57" i="107"/>
  <c r="F81" i="107"/>
  <c r="F49" i="107"/>
  <c r="F48" i="107"/>
  <c r="F21" i="107"/>
  <c r="F88" i="107"/>
  <c r="F87" i="107"/>
  <c r="F76" i="107"/>
  <c r="F60" i="107"/>
  <c r="F59" i="107"/>
  <c r="F44" i="107"/>
  <c r="F40" i="107"/>
  <c r="F90" i="107"/>
  <c r="F89" i="107"/>
  <c r="F82" i="107"/>
  <c r="F62" i="107"/>
  <c r="F61" i="107"/>
  <c r="F72" i="107"/>
  <c r="F64" i="107"/>
  <c r="F63" i="107"/>
  <c r="F52" i="107"/>
  <c r="F45" i="107"/>
  <c r="F31" i="107"/>
  <c r="F51" i="107"/>
  <c r="F27" i="107"/>
  <c r="F29" i="107"/>
  <c r="F18" i="107"/>
  <c r="F71" i="107"/>
  <c r="F19" i="107"/>
  <c r="F36" i="107"/>
  <c r="F34" i="107"/>
  <c r="D23" i="107"/>
  <c r="F32" i="107"/>
  <c r="F30" i="107"/>
  <c r="F77" i="107"/>
  <c r="F50" i="107"/>
  <c r="F28" i="107"/>
  <c r="F25" i="107"/>
  <c r="F26" i="107"/>
  <c r="F41" i="107"/>
  <c r="L12" i="107"/>
  <c r="F35" i="107"/>
  <c r="R20" i="82"/>
  <c r="R26" i="82"/>
  <c r="R24" i="82"/>
  <c r="P22" i="82"/>
  <c r="R30" i="82"/>
  <c r="R17" i="82"/>
  <c r="R18" i="82"/>
  <c r="X12" i="82"/>
  <c r="Z12" i="82" s="1"/>
  <c r="R19" i="82"/>
  <c r="H82" i="58"/>
  <c r="T55" i="99"/>
  <c r="Z17" i="99"/>
  <c r="T133" i="74"/>
  <c r="L18" i="25"/>
  <c r="D27" i="25"/>
  <c r="T76" i="109"/>
  <c r="H87" i="100"/>
  <c r="P100" i="87"/>
  <c r="X22" i="87"/>
  <c r="X22" i="83"/>
  <c r="P97" i="83"/>
  <c r="T77" i="78"/>
  <c r="Z28" i="78"/>
  <c r="H81" i="78"/>
  <c r="P77" i="78"/>
  <c r="X28" i="78"/>
  <c r="T82" i="79"/>
  <c r="R83" i="72"/>
  <c r="R77" i="72"/>
  <c r="R73" i="72"/>
  <c r="R72" i="72"/>
  <c r="R78" i="72"/>
  <c r="R74" i="72"/>
  <c r="R67" i="72"/>
  <c r="R66" i="72"/>
  <c r="R68" i="72"/>
  <c r="R57" i="72"/>
  <c r="R56" i="72"/>
  <c r="R48" i="72"/>
  <c r="R44" i="72"/>
  <c r="R80" i="72"/>
  <c r="R79" i="72"/>
  <c r="R75" i="72"/>
  <c r="R76" i="72"/>
  <c r="R61" i="72"/>
  <c r="R89" i="72"/>
  <c r="R62" i="72"/>
  <c r="R59" i="72"/>
  <c r="R54" i="72"/>
  <c r="R30" i="72"/>
  <c r="R25" i="72"/>
  <c r="R70" i="72"/>
  <c r="R49" i="72"/>
  <c r="R46" i="72"/>
  <c r="R29" i="72"/>
  <c r="R27" i="72"/>
  <c r="R55" i="72"/>
  <c r="R43" i="72"/>
  <c r="R39" i="72"/>
  <c r="R35" i="72"/>
  <c r="R31" i="72"/>
  <c r="P27" i="72"/>
  <c r="R63" i="72"/>
  <c r="R40" i="72"/>
  <c r="R81" i="72"/>
  <c r="R60" i="72"/>
  <c r="R50" i="72"/>
  <c r="R22" i="72"/>
  <c r="R71" i="72"/>
  <c r="R51" i="72"/>
  <c r="R41" i="72"/>
  <c r="R36" i="72"/>
  <c r="R32" i="72"/>
  <c r="R47" i="72"/>
  <c r="R23" i="72"/>
  <c r="R82" i="72"/>
  <c r="R69" i="72"/>
  <c r="R64" i="72"/>
  <c r="R85" i="72"/>
  <c r="R52" i="72"/>
  <c r="R37" i="72"/>
  <c r="R33" i="72"/>
  <c r="R38" i="72"/>
  <c r="R34" i="72"/>
  <c r="R58" i="72"/>
  <c r="R65" i="72"/>
  <c r="R45" i="72"/>
  <c r="R53" i="72"/>
  <c r="X12" i="72"/>
  <c r="Z12" i="72" s="1"/>
  <c r="R42" i="72"/>
  <c r="R24" i="72"/>
  <c r="J79" i="69"/>
  <c r="H83" i="69"/>
  <c r="Z75" i="68"/>
  <c r="T152" i="68"/>
  <c r="T139" i="70"/>
  <c r="T62" i="60"/>
  <c r="Z16" i="60"/>
  <c r="N16" i="57"/>
  <c r="H78" i="57"/>
  <c r="P89" i="56"/>
  <c r="F100" i="51"/>
  <c r="F96" i="51"/>
  <c r="F95" i="51"/>
  <c r="F84" i="51"/>
  <c r="F83" i="51"/>
  <c r="F56" i="51"/>
  <c r="F52" i="51"/>
  <c r="F48" i="51"/>
  <c r="F44" i="51"/>
  <c r="L12" i="51"/>
  <c r="N12" i="51" s="1"/>
  <c r="F115" i="51"/>
  <c r="F114" i="51"/>
  <c r="F107" i="51"/>
  <c r="F106" i="51"/>
  <c r="F86" i="51"/>
  <c r="F85" i="51"/>
  <c r="F70" i="51"/>
  <c r="F66" i="51"/>
  <c r="F62" i="51"/>
  <c r="F61" i="51"/>
  <c r="F88" i="51"/>
  <c r="F87" i="51"/>
  <c r="F80" i="51"/>
  <c r="F76" i="51"/>
  <c r="D58" i="51"/>
  <c r="F120" i="51"/>
  <c r="F71" i="51"/>
  <c r="F67" i="51"/>
  <c r="F63" i="51"/>
  <c r="F121" i="51"/>
  <c r="F119" i="51"/>
  <c r="F110" i="51"/>
  <c r="F102" i="51"/>
  <c r="F98" i="51"/>
  <c r="F90" i="51"/>
  <c r="F89" i="51"/>
  <c r="F54" i="51"/>
  <c r="F50" i="51"/>
  <c r="F46" i="51"/>
  <c r="F42" i="51"/>
  <c r="F122" i="51"/>
  <c r="F81" i="51"/>
  <c r="F77" i="51"/>
  <c r="F73" i="51"/>
  <c r="F123" i="51"/>
  <c r="F112" i="51"/>
  <c r="F111" i="51"/>
  <c r="F127" i="51"/>
  <c r="F113" i="51"/>
  <c r="F105" i="51"/>
  <c r="F104" i="51"/>
  <c r="F69" i="51"/>
  <c r="F65" i="51"/>
  <c r="F82" i="51"/>
  <c r="F94" i="51"/>
  <c r="F58" i="51"/>
  <c r="F47" i="51"/>
  <c r="F78" i="51"/>
  <c r="F99" i="51"/>
  <c r="F97" i="51"/>
  <c r="F92" i="51"/>
  <c r="F64" i="51"/>
  <c r="F55" i="51"/>
  <c r="F45" i="51"/>
  <c r="F103" i="51"/>
  <c r="F101" i="51"/>
  <c r="F40" i="51"/>
  <c r="F116" i="51"/>
  <c r="F108" i="51"/>
  <c r="F74" i="51"/>
  <c r="F53" i="51"/>
  <c r="F72" i="51"/>
  <c r="F60" i="51"/>
  <c r="F43" i="51"/>
  <c r="F93" i="51"/>
  <c r="F79" i="51"/>
  <c r="F41" i="51"/>
  <c r="F51" i="51"/>
  <c r="F109" i="51"/>
  <c r="F68" i="51"/>
  <c r="F117" i="51"/>
  <c r="F91" i="51"/>
  <c r="F49" i="51"/>
  <c r="F75" i="51"/>
  <c r="T155" i="39"/>
  <c r="T169" i="30"/>
  <c r="V139" i="27"/>
  <c r="T310" i="15"/>
  <c r="F305" i="15"/>
  <c r="F294" i="15"/>
  <c r="F286" i="15"/>
  <c r="F282" i="15"/>
  <c r="F266" i="15"/>
  <c r="F265" i="15"/>
  <c r="F218" i="15"/>
  <c r="F217" i="15"/>
  <c r="F202" i="15"/>
  <c r="F169" i="15"/>
  <c r="F162" i="15"/>
  <c r="F158" i="15"/>
  <c r="F154" i="15"/>
  <c r="F150" i="15"/>
  <c r="F146" i="15"/>
  <c r="F142" i="15"/>
  <c r="F138" i="15"/>
  <c r="F134" i="15"/>
  <c r="F130" i="15"/>
  <c r="F126" i="15"/>
  <c r="F122" i="15"/>
  <c r="F118" i="15"/>
  <c r="F306" i="15"/>
  <c r="F277" i="15"/>
  <c r="F261" i="15"/>
  <c r="F260" i="15"/>
  <c r="F253" i="15"/>
  <c r="F249" i="15"/>
  <c r="F245" i="15"/>
  <c r="F241" i="15"/>
  <c r="F237" i="15"/>
  <c r="F233" i="15"/>
  <c r="F229" i="15"/>
  <c r="F225" i="15"/>
  <c r="F209" i="15"/>
  <c r="F189" i="15"/>
  <c r="F185" i="15"/>
  <c r="D167" i="15"/>
  <c r="F167" i="15" s="1"/>
  <c r="F307" i="15"/>
  <c r="F288" i="15"/>
  <c r="F287" i="15"/>
  <c r="F272" i="15"/>
  <c r="F220" i="15"/>
  <c r="F219" i="15"/>
  <c r="F196" i="15"/>
  <c r="F180" i="15"/>
  <c r="F176" i="15"/>
  <c r="F172" i="15"/>
  <c r="L12" i="15"/>
  <c r="N12" i="15" s="1"/>
  <c r="F262" i="15"/>
  <c r="F254" i="15"/>
  <c r="F250" i="15"/>
  <c r="F246" i="15"/>
  <c r="F242" i="15"/>
  <c r="F238" i="15"/>
  <c r="F234" i="15"/>
  <c r="F230" i="15"/>
  <c r="F226" i="15"/>
  <c r="F222" i="15"/>
  <c r="F221" i="15"/>
  <c r="F198" i="15"/>
  <c r="F197" i="15"/>
  <c r="F190" i="15"/>
  <c r="F186" i="15"/>
  <c r="F182" i="15"/>
  <c r="F181" i="15"/>
  <c r="F297" i="15"/>
  <c r="F296" i="15"/>
  <c r="F289" i="15"/>
  <c r="F273" i="15"/>
  <c r="F213" i="15"/>
  <c r="F212" i="15"/>
  <c r="F205" i="15"/>
  <c r="F204" i="15"/>
  <c r="F177" i="15"/>
  <c r="F173" i="15"/>
  <c r="F312" i="15"/>
  <c r="F284" i="15"/>
  <c r="F280" i="15"/>
  <c r="F268" i="15"/>
  <c r="F200" i="15"/>
  <c r="F199" i="15"/>
  <c r="F164" i="15"/>
  <c r="F160" i="15"/>
  <c r="F156" i="15"/>
  <c r="F152" i="15"/>
  <c r="F148" i="15"/>
  <c r="F144" i="15"/>
  <c r="F140" i="15"/>
  <c r="F136" i="15"/>
  <c r="F132" i="15"/>
  <c r="F128" i="15"/>
  <c r="F124" i="15"/>
  <c r="F120" i="15"/>
  <c r="F116" i="15"/>
  <c r="F300" i="15"/>
  <c r="F291" i="15"/>
  <c r="F290" i="15"/>
  <c r="F263" i="15"/>
  <c r="F255" i="15"/>
  <c r="F251" i="15"/>
  <c r="F247" i="15"/>
  <c r="F243" i="15"/>
  <c r="F239" i="15"/>
  <c r="F235" i="15"/>
  <c r="F231" i="15"/>
  <c r="F227" i="15"/>
  <c r="F223" i="15"/>
  <c r="F215" i="15"/>
  <c r="F214" i="15"/>
  <c r="F191" i="15"/>
  <c r="F187" i="15"/>
  <c r="F183" i="15"/>
  <c r="F301" i="15"/>
  <c r="F299" i="15"/>
  <c r="F274" i="15"/>
  <c r="F206" i="15"/>
  <c r="F178" i="15"/>
  <c r="F174" i="15"/>
  <c r="F304" i="15"/>
  <c r="F271" i="15"/>
  <c r="F270" i="15"/>
  <c r="F259" i="15"/>
  <c r="F258" i="15"/>
  <c r="F195" i="15"/>
  <c r="F194" i="15"/>
  <c r="F179" i="15"/>
  <c r="F175" i="15"/>
  <c r="F171" i="15"/>
  <c r="F170" i="15"/>
  <c r="F283" i="15"/>
  <c r="F256" i="15"/>
  <c r="F188" i="15"/>
  <c r="F184" i="15"/>
  <c r="F137" i="15"/>
  <c r="F135" i="15"/>
  <c r="F278" i="15"/>
  <c r="F208" i="15"/>
  <c r="F141" i="15"/>
  <c r="F139" i="15"/>
  <c r="F285" i="15"/>
  <c r="F252" i="15"/>
  <c r="F145" i="15"/>
  <c r="F143" i="15"/>
  <c r="F293" i="15"/>
  <c r="F276" i="15"/>
  <c r="F248" i="15"/>
  <c r="F201" i="15"/>
  <c r="F149" i="15"/>
  <c r="F147" i="15"/>
  <c r="F267" i="15"/>
  <c r="F244" i="15"/>
  <c r="F193" i="15"/>
  <c r="F153" i="15"/>
  <c r="F151" i="15"/>
  <c r="F308" i="15"/>
  <c r="F295" i="15"/>
  <c r="F240" i="15"/>
  <c r="F211" i="15"/>
  <c r="F157" i="15"/>
  <c r="F155" i="15"/>
  <c r="F115" i="15"/>
  <c r="F269" i="15"/>
  <c r="F257" i="15"/>
  <c r="F236" i="15"/>
  <c r="F207" i="15"/>
  <c r="F203" i="15"/>
  <c r="F161" i="15"/>
  <c r="F159" i="15"/>
  <c r="F302" i="15"/>
  <c r="F279" i="15"/>
  <c r="F232" i="15"/>
  <c r="F165" i="15"/>
  <c r="F163" i="15"/>
  <c r="F117" i="15"/>
  <c r="F275" i="15"/>
  <c r="F228" i="15"/>
  <c r="F121" i="15"/>
  <c r="F119" i="15"/>
  <c r="F303" i="15"/>
  <c r="F264" i="15"/>
  <c r="F210" i="15"/>
  <c r="F133" i="15"/>
  <c r="F131" i="15"/>
  <c r="F114" i="15"/>
  <c r="F224" i="15"/>
  <c r="F192" i="15"/>
  <c r="F281" i="15"/>
  <c r="F129" i="15"/>
  <c r="F216" i="15"/>
  <c r="F292" i="15"/>
  <c r="F127" i="15"/>
  <c r="F125" i="15"/>
  <c r="F123" i="15"/>
  <c r="T323" i="12"/>
  <c r="H310" i="15"/>
  <c r="H103" i="9"/>
  <c r="N17" i="9"/>
  <c r="F312" i="12"/>
  <c r="P367" i="3"/>
  <c r="X206" i="3"/>
  <c r="Z206" i="3" s="1"/>
  <c r="H27" i="110"/>
  <c r="N18" i="110"/>
  <c r="L18" i="110"/>
  <c r="D27" i="110"/>
  <c r="P27" i="110"/>
  <c r="X18" i="110"/>
  <c r="L18" i="53"/>
  <c r="D27" i="53"/>
  <c r="D27" i="46"/>
  <c r="L18" i="46"/>
  <c r="P27" i="52"/>
  <c r="X18" i="52"/>
  <c r="P27" i="43"/>
  <c r="X18" i="43"/>
  <c r="X18" i="31"/>
  <c r="P27" i="31"/>
  <c r="X18" i="14"/>
  <c r="P27" i="14"/>
  <c r="D27" i="13"/>
  <c r="L18" i="13"/>
  <c r="X18" i="11"/>
  <c r="P27" i="11"/>
  <c r="X18" i="10"/>
  <c r="P27" i="10"/>
  <c r="L23" i="94"/>
  <c r="N23" i="94" s="1"/>
  <c r="D86" i="94"/>
  <c r="F108" i="74"/>
  <c r="F107" i="74"/>
  <c r="F52" i="74"/>
  <c r="F48" i="74"/>
  <c r="F44" i="74"/>
  <c r="F40" i="74"/>
  <c r="F95" i="74"/>
  <c r="F91" i="74"/>
  <c r="F90" i="74"/>
  <c r="F75" i="74"/>
  <c r="F71" i="74"/>
  <c r="F122" i="74"/>
  <c r="F114" i="74"/>
  <c r="F102" i="74"/>
  <c r="F82" i="74"/>
  <c r="F125" i="74"/>
  <c r="F104" i="74"/>
  <c r="F103" i="74"/>
  <c r="F96" i="74"/>
  <c r="F92" i="74"/>
  <c r="F84" i="74"/>
  <c r="F83" i="74"/>
  <c r="F76" i="74"/>
  <c r="F72" i="74"/>
  <c r="F68" i="74"/>
  <c r="F67" i="74"/>
  <c r="D54" i="74"/>
  <c r="F126" i="74"/>
  <c r="F124" i="74"/>
  <c r="F115" i="74"/>
  <c r="F111" i="74"/>
  <c r="F110" i="74"/>
  <c r="F63" i="74"/>
  <c r="F59" i="74"/>
  <c r="F127" i="74"/>
  <c r="F86" i="74"/>
  <c r="F85" i="74"/>
  <c r="F50" i="74"/>
  <c r="F46" i="74"/>
  <c r="F42" i="74"/>
  <c r="F38" i="74"/>
  <c r="F112" i="74"/>
  <c r="F64" i="74"/>
  <c r="F60" i="74"/>
  <c r="F121" i="74"/>
  <c r="F120" i="74"/>
  <c r="F113" i="74"/>
  <c r="F119" i="74"/>
  <c r="F87" i="74"/>
  <c r="F80" i="74"/>
  <c r="F69" i="74"/>
  <c r="F62" i="74"/>
  <c r="F45" i="74"/>
  <c r="F117" i="74"/>
  <c r="F109" i="74"/>
  <c r="F97" i="74"/>
  <c r="F78" i="74"/>
  <c r="F58" i="74"/>
  <c r="F54" i="74"/>
  <c r="F105" i="74"/>
  <c r="L12" i="74"/>
  <c r="N12" i="74" s="1"/>
  <c r="F100" i="74"/>
  <c r="F81" i="74"/>
  <c r="F51" i="74"/>
  <c r="F43" i="74"/>
  <c r="F93" i="74"/>
  <c r="F74" i="74"/>
  <c r="F98" i="74"/>
  <c r="F88" i="74"/>
  <c r="F79" i="74"/>
  <c r="F65" i="74"/>
  <c r="F56" i="74"/>
  <c r="F101" i="74"/>
  <c r="F70" i="74"/>
  <c r="F61" i="74"/>
  <c r="F49" i="74"/>
  <c r="F41" i="74"/>
  <c r="F131" i="74"/>
  <c r="F118" i="74"/>
  <c r="F36" i="74"/>
  <c r="F89" i="74"/>
  <c r="F57" i="74"/>
  <c r="F116" i="74"/>
  <c r="F106" i="74"/>
  <c r="F99" i="74"/>
  <c r="F94" i="74"/>
  <c r="F77" i="74"/>
  <c r="F47" i="74"/>
  <c r="F39" i="74"/>
  <c r="F73" i="74"/>
  <c r="F66" i="74"/>
  <c r="F37" i="74"/>
  <c r="H27" i="53"/>
  <c r="N18" i="53"/>
  <c r="T50" i="108"/>
  <c r="P65" i="104"/>
  <c r="X23" i="104"/>
  <c r="Z23" i="104" s="1"/>
  <c r="H97" i="101"/>
  <c r="T90" i="94"/>
  <c r="T88" i="88"/>
  <c r="Z23" i="88"/>
  <c r="T89" i="93"/>
  <c r="Z22" i="83"/>
  <c r="T97" i="83"/>
  <c r="V35" i="82"/>
  <c r="H129" i="74"/>
  <c r="D86" i="80"/>
  <c r="L22" i="80"/>
  <c r="F70" i="78"/>
  <c r="F121" i="76"/>
  <c r="F119" i="76"/>
  <c r="F81" i="76"/>
  <c r="F77" i="76"/>
  <c r="F73" i="76"/>
  <c r="F72" i="76"/>
  <c r="F112" i="76"/>
  <c r="F111" i="76"/>
  <c r="F92" i="76"/>
  <c r="F91" i="76"/>
  <c r="F68" i="76"/>
  <c r="F64" i="76"/>
  <c r="F103" i="76"/>
  <c r="F99" i="76"/>
  <c r="F55" i="76"/>
  <c r="F51" i="76"/>
  <c r="F47" i="76"/>
  <c r="F43" i="76"/>
  <c r="F122" i="76"/>
  <c r="F94" i="76"/>
  <c r="F93" i="76"/>
  <c r="F82" i="76"/>
  <c r="F78" i="76"/>
  <c r="F74" i="76"/>
  <c r="F113" i="76"/>
  <c r="F105" i="76"/>
  <c r="F104" i="76"/>
  <c r="F69" i="76"/>
  <c r="F65" i="76"/>
  <c r="F123" i="76"/>
  <c r="F100" i="76"/>
  <c r="F96" i="76"/>
  <c r="F95" i="76"/>
  <c r="F84" i="76"/>
  <c r="F83" i="76"/>
  <c r="F56" i="76"/>
  <c r="F52" i="76"/>
  <c r="F48" i="76"/>
  <c r="F44" i="76"/>
  <c r="L12" i="76"/>
  <c r="N12" i="76" s="1"/>
  <c r="F115" i="76"/>
  <c r="F114" i="76"/>
  <c r="F107" i="76"/>
  <c r="F106" i="76"/>
  <c r="F79" i="76"/>
  <c r="F75" i="76"/>
  <c r="F86" i="76"/>
  <c r="F85" i="76"/>
  <c r="F70" i="76"/>
  <c r="F66" i="76"/>
  <c r="F62" i="76"/>
  <c r="F61" i="76"/>
  <c r="F117" i="76"/>
  <c r="F116" i="76"/>
  <c r="F109" i="76"/>
  <c r="F108" i="76"/>
  <c r="F101" i="76"/>
  <c r="F97" i="76"/>
  <c r="F60" i="76"/>
  <c r="F53" i="76"/>
  <c r="F49" i="76"/>
  <c r="F45" i="76"/>
  <c r="F41" i="76"/>
  <c r="F40" i="76"/>
  <c r="F127" i="76"/>
  <c r="F120" i="76"/>
  <c r="F110" i="76"/>
  <c r="F102" i="76"/>
  <c r="F98" i="76"/>
  <c r="F90" i="76"/>
  <c r="F89" i="76"/>
  <c r="F54" i="76"/>
  <c r="F50" i="76"/>
  <c r="F46" i="76"/>
  <c r="F42" i="76"/>
  <c r="F76" i="76"/>
  <c r="F80" i="76"/>
  <c r="F63" i="76"/>
  <c r="F87" i="76"/>
  <c r="F67" i="76"/>
  <c r="F71" i="76"/>
  <c r="D58" i="76"/>
  <c r="F58" i="76" s="1"/>
  <c r="F88" i="76"/>
  <c r="H139" i="70"/>
  <c r="R127" i="70"/>
  <c r="R126" i="70"/>
  <c r="R114" i="70"/>
  <c r="R98" i="70"/>
  <c r="R74" i="70"/>
  <c r="R70" i="70"/>
  <c r="R121" i="70"/>
  <c r="R109" i="70"/>
  <c r="R105" i="70"/>
  <c r="R90" i="70"/>
  <c r="R89" i="70"/>
  <c r="R66" i="70"/>
  <c r="R61" i="70"/>
  <c r="R57" i="70"/>
  <c r="R53" i="70"/>
  <c r="R49" i="70"/>
  <c r="R45" i="70"/>
  <c r="R129" i="70"/>
  <c r="R128" i="70"/>
  <c r="R84" i="70"/>
  <c r="R80" i="70"/>
  <c r="R65" i="70"/>
  <c r="R63" i="70"/>
  <c r="X12" i="70"/>
  <c r="Z12" i="70" s="1"/>
  <c r="R141" i="70"/>
  <c r="R115" i="70"/>
  <c r="R100" i="70"/>
  <c r="R99" i="70"/>
  <c r="R91" i="70"/>
  <c r="R75" i="70"/>
  <c r="R71" i="70"/>
  <c r="R67" i="70"/>
  <c r="P63" i="70"/>
  <c r="R130" i="70"/>
  <c r="R122" i="70"/>
  <c r="R110" i="70"/>
  <c r="R106" i="70"/>
  <c r="R58" i="70"/>
  <c r="R54" i="70"/>
  <c r="R50" i="70"/>
  <c r="R46" i="70"/>
  <c r="R102" i="70"/>
  <c r="R101" i="70"/>
  <c r="R85" i="70"/>
  <c r="R81" i="70"/>
  <c r="R117" i="70"/>
  <c r="R116" i="70"/>
  <c r="R93" i="70"/>
  <c r="R92" i="70"/>
  <c r="R77" i="70"/>
  <c r="R76" i="70"/>
  <c r="R72" i="70"/>
  <c r="R68" i="70"/>
  <c r="R131" i="70"/>
  <c r="R124" i="70"/>
  <c r="R123" i="70"/>
  <c r="R112" i="70"/>
  <c r="R111" i="70"/>
  <c r="R107" i="70"/>
  <c r="R103" i="70"/>
  <c r="R59" i="70"/>
  <c r="R55" i="70"/>
  <c r="R51" i="70"/>
  <c r="R47" i="70"/>
  <c r="R137" i="70"/>
  <c r="R120" i="70"/>
  <c r="R119" i="70"/>
  <c r="R88" i="70"/>
  <c r="R87" i="70"/>
  <c r="R83" i="70"/>
  <c r="R79" i="70"/>
  <c r="R44" i="70"/>
  <c r="R125" i="70"/>
  <c r="R95" i="70"/>
  <c r="R135" i="70"/>
  <c r="R133" i="70"/>
  <c r="R113" i="70"/>
  <c r="R97" i="70"/>
  <c r="R73" i="70"/>
  <c r="R69" i="70"/>
  <c r="R60" i="70"/>
  <c r="R56" i="70"/>
  <c r="R52" i="70"/>
  <c r="R48" i="70"/>
  <c r="R136" i="70"/>
  <c r="R118" i="70"/>
  <c r="R78" i="70"/>
  <c r="R134" i="70"/>
  <c r="R94" i="70"/>
  <c r="R108" i="70"/>
  <c r="R104" i="70"/>
  <c r="R96" i="70"/>
  <c r="R82" i="70"/>
  <c r="R86" i="70"/>
  <c r="N16" i="67"/>
  <c r="H65" i="67"/>
  <c r="L16" i="67"/>
  <c r="D65" i="67"/>
  <c r="F118" i="70"/>
  <c r="F117" i="70"/>
  <c r="F94" i="70"/>
  <c r="F93" i="70"/>
  <c r="F86" i="70"/>
  <c r="F82" i="70"/>
  <c r="F78" i="70"/>
  <c r="F77" i="70"/>
  <c r="F134" i="70"/>
  <c r="F125" i="70"/>
  <c r="F124" i="70"/>
  <c r="F113" i="70"/>
  <c r="F112" i="70"/>
  <c r="F73" i="70"/>
  <c r="F69" i="70"/>
  <c r="F135" i="70"/>
  <c r="F133" i="70"/>
  <c r="F108" i="70"/>
  <c r="F104" i="70"/>
  <c r="F96" i="70"/>
  <c r="F95" i="70"/>
  <c r="F60" i="70"/>
  <c r="F56" i="70"/>
  <c r="F52" i="70"/>
  <c r="F48" i="70"/>
  <c r="F136" i="70"/>
  <c r="F119" i="70"/>
  <c r="F87" i="70"/>
  <c r="F83" i="70"/>
  <c r="F79" i="70"/>
  <c r="F137" i="70"/>
  <c r="F126" i="70"/>
  <c r="F114" i="70"/>
  <c r="F98" i="70"/>
  <c r="F97" i="70"/>
  <c r="F74" i="70"/>
  <c r="F70" i="70"/>
  <c r="F121" i="70"/>
  <c r="F120" i="70"/>
  <c r="F109" i="70"/>
  <c r="F105" i="70"/>
  <c r="F89" i="70"/>
  <c r="F88" i="70"/>
  <c r="F61" i="70"/>
  <c r="F57" i="70"/>
  <c r="F53" i="70"/>
  <c r="F49" i="70"/>
  <c r="F45" i="70"/>
  <c r="F44" i="70"/>
  <c r="F128" i="70"/>
  <c r="F127" i="70"/>
  <c r="F84" i="70"/>
  <c r="F80" i="70"/>
  <c r="L12" i="70"/>
  <c r="N12" i="70" s="1"/>
  <c r="F141" i="70"/>
  <c r="F115" i="70"/>
  <c r="F99" i="70"/>
  <c r="F91" i="70"/>
  <c r="F90" i="70"/>
  <c r="F75" i="70"/>
  <c r="F71" i="70"/>
  <c r="F67" i="70"/>
  <c r="F66" i="70"/>
  <c r="F131" i="70"/>
  <c r="F123" i="70"/>
  <c r="F111" i="70"/>
  <c r="F107" i="70"/>
  <c r="F103" i="70"/>
  <c r="F102" i="70"/>
  <c r="F59" i="70"/>
  <c r="F55" i="70"/>
  <c r="F51" i="70"/>
  <c r="F47" i="70"/>
  <c r="F92" i="70"/>
  <c r="F65" i="70"/>
  <c r="F130" i="70"/>
  <c r="F81" i="70"/>
  <c r="F101" i="70"/>
  <c r="F58" i="70"/>
  <c r="F54" i="70"/>
  <c r="F50" i="70"/>
  <c r="F46" i="70"/>
  <c r="F122" i="70"/>
  <c r="F85" i="70"/>
  <c r="D63" i="70"/>
  <c r="F63" i="70" s="1"/>
  <c r="F116" i="70"/>
  <c r="F110" i="70"/>
  <c r="F106" i="70"/>
  <c r="F100" i="70"/>
  <c r="F68" i="70"/>
  <c r="F129" i="70"/>
  <c r="F76" i="70"/>
  <c r="F72" i="70"/>
  <c r="D62" i="61"/>
  <c r="L16" i="61"/>
  <c r="P66" i="61"/>
  <c r="R120" i="51"/>
  <c r="R119" i="51"/>
  <c r="R89" i="51"/>
  <c r="R88" i="51"/>
  <c r="R80" i="51"/>
  <c r="R76" i="51"/>
  <c r="R121" i="51"/>
  <c r="R122" i="51"/>
  <c r="R111" i="51"/>
  <c r="R110" i="51"/>
  <c r="R102" i="51"/>
  <c r="R98" i="51"/>
  <c r="R91" i="51"/>
  <c r="R90" i="51"/>
  <c r="R54" i="51"/>
  <c r="R50" i="51"/>
  <c r="R46" i="51"/>
  <c r="R42" i="51"/>
  <c r="R112" i="51"/>
  <c r="R93" i="51"/>
  <c r="R92" i="51"/>
  <c r="R68" i="51"/>
  <c r="R64" i="51"/>
  <c r="R104" i="51"/>
  <c r="R103" i="51"/>
  <c r="R99" i="51"/>
  <c r="R95" i="51"/>
  <c r="R94" i="51"/>
  <c r="R83" i="51"/>
  <c r="R82" i="51"/>
  <c r="R78" i="51"/>
  <c r="R74" i="51"/>
  <c r="R127" i="51"/>
  <c r="R114" i="51"/>
  <c r="R113" i="51"/>
  <c r="R106" i="51"/>
  <c r="R105" i="51"/>
  <c r="R100" i="51"/>
  <c r="R117" i="51"/>
  <c r="R109" i="51"/>
  <c r="R101" i="51"/>
  <c r="R97" i="51"/>
  <c r="R53" i="51"/>
  <c r="R49" i="51"/>
  <c r="R45" i="51"/>
  <c r="R41" i="51"/>
  <c r="R69" i="51"/>
  <c r="R40" i="51"/>
  <c r="R116" i="51"/>
  <c r="R62" i="51"/>
  <c r="R123" i="51"/>
  <c r="R108" i="51"/>
  <c r="R72" i="51"/>
  <c r="R60" i="51"/>
  <c r="R43" i="51"/>
  <c r="R67" i="51"/>
  <c r="R48" i="51"/>
  <c r="R81" i="51"/>
  <c r="R79" i="51"/>
  <c r="R65" i="51"/>
  <c r="R51" i="51"/>
  <c r="R86" i="51"/>
  <c r="R56" i="51"/>
  <c r="R84" i="51"/>
  <c r="R77" i="51"/>
  <c r="R70" i="51"/>
  <c r="R61" i="51"/>
  <c r="X12" i="51"/>
  <c r="Z12" i="51" s="1"/>
  <c r="R96" i="51"/>
  <c r="R75" i="51"/>
  <c r="R63" i="51"/>
  <c r="R73" i="51"/>
  <c r="R44" i="51"/>
  <c r="R71" i="51"/>
  <c r="P58" i="51"/>
  <c r="R58" i="51" s="1"/>
  <c r="R55" i="51"/>
  <c r="R85" i="51"/>
  <c r="R52" i="51"/>
  <c r="R107" i="51"/>
  <c r="R87" i="51"/>
  <c r="R47" i="51"/>
  <c r="R66" i="51"/>
  <c r="R115" i="51"/>
  <c r="J26" i="45"/>
  <c r="H106" i="45"/>
  <c r="R101" i="45"/>
  <c r="R93" i="45"/>
  <c r="R89" i="45"/>
  <c r="R61" i="45"/>
  <c r="R37" i="45"/>
  <c r="R33" i="45"/>
  <c r="R85" i="45"/>
  <c r="R84" i="45"/>
  <c r="R73" i="45"/>
  <c r="R72" i="45"/>
  <c r="R53" i="45"/>
  <c r="R52" i="45"/>
  <c r="R29" i="45"/>
  <c r="R24" i="45"/>
  <c r="R80" i="45"/>
  <c r="R79" i="45"/>
  <c r="R47" i="45"/>
  <c r="R43" i="45"/>
  <c r="R28" i="45"/>
  <c r="R104" i="45"/>
  <c r="R81" i="45"/>
  <c r="R76" i="45"/>
  <c r="R65" i="45"/>
  <c r="R64" i="45"/>
  <c r="R48" i="45"/>
  <c r="R44" i="45"/>
  <c r="R21" i="45"/>
  <c r="R96" i="45"/>
  <c r="R95" i="45"/>
  <c r="R91" i="45"/>
  <c r="R87" i="45"/>
  <c r="R56" i="45"/>
  <c r="R55" i="45"/>
  <c r="R40" i="45"/>
  <c r="R39" i="45"/>
  <c r="R35" i="45"/>
  <c r="R31" i="45"/>
  <c r="R108" i="45"/>
  <c r="R82" i="45"/>
  <c r="R67" i="45"/>
  <c r="R66" i="45"/>
  <c r="R22" i="45"/>
  <c r="R98" i="45"/>
  <c r="R97" i="45"/>
  <c r="R77" i="45"/>
  <c r="R58" i="45"/>
  <c r="R57" i="45"/>
  <c r="R49" i="45"/>
  <c r="R45" i="45"/>
  <c r="R41" i="45"/>
  <c r="R78" i="45"/>
  <c r="R71" i="45"/>
  <c r="R70" i="45"/>
  <c r="R51" i="45"/>
  <c r="R50" i="45"/>
  <c r="R46" i="45"/>
  <c r="R42" i="45"/>
  <c r="R63" i="45"/>
  <c r="P26" i="45"/>
  <c r="R26" i="45" s="1"/>
  <c r="R59" i="45"/>
  <c r="R99" i="45"/>
  <c r="R83" i="45"/>
  <c r="R74" i="45"/>
  <c r="R38" i="45"/>
  <c r="R36" i="45"/>
  <c r="R34" i="45"/>
  <c r="R32" i="45"/>
  <c r="R30" i="45"/>
  <c r="R68" i="45"/>
  <c r="X12" i="45"/>
  <c r="Z12" i="45" s="1"/>
  <c r="R60" i="45"/>
  <c r="R100" i="45"/>
  <c r="R69" i="45"/>
  <c r="R62" i="45"/>
  <c r="R88" i="45"/>
  <c r="R86" i="45"/>
  <c r="R75" i="45"/>
  <c r="R54" i="45"/>
  <c r="R102" i="45"/>
  <c r="R90" i="45"/>
  <c r="R94" i="45"/>
  <c r="R92" i="45"/>
  <c r="R23" i="45"/>
  <c r="D142" i="36"/>
  <c r="L32" i="36"/>
  <c r="N32" i="36" s="1"/>
  <c r="F157" i="30"/>
  <c r="F156" i="30"/>
  <c r="F145" i="30"/>
  <c r="F133" i="30"/>
  <c r="F132" i="30"/>
  <c r="F125" i="30"/>
  <c r="F121" i="30"/>
  <c r="F117" i="30"/>
  <c r="F109" i="30"/>
  <c r="F101" i="30"/>
  <c r="F100" i="30"/>
  <c r="F65" i="30"/>
  <c r="F61" i="30"/>
  <c r="F57" i="30"/>
  <c r="F53" i="30"/>
  <c r="F49" i="30"/>
  <c r="F45" i="30"/>
  <c r="F44" i="30"/>
  <c r="F140" i="30"/>
  <c r="F139" i="30"/>
  <c r="F92" i="30"/>
  <c r="F88" i="30"/>
  <c r="F84" i="30"/>
  <c r="L12" i="30"/>
  <c r="N12" i="30" s="1"/>
  <c r="F171" i="30"/>
  <c r="F159" i="30"/>
  <c r="F158" i="30"/>
  <c r="F151" i="30"/>
  <c r="F147" i="30"/>
  <c r="F146" i="30"/>
  <c r="F111" i="30"/>
  <c r="F110" i="30"/>
  <c r="F79" i="30"/>
  <c r="F75" i="30"/>
  <c r="F141" i="30"/>
  <c r="F113" i="30"/>
  <c r="F112" i="30"/>
  <c r="F89" i="30"/>
  <c r="F85" i="30"/>
  <c r="F160" i="30"/>
  <c r="F152" i="30"/>
  <c r="F148" i="30"/>
  <c r="F136" i="30"/>
  <c r="F135" i="30"/>
  <c r="F104" i="30"/>
  <c r="F103" i="30"/>
  <c r="F96" i="30"/>
  <c r="F95" i="30"/>
  <c r="F80" i="30"/>
  <c r="F76" i="30"/>
  <c r="F127" i="30"/>
  <c r="F123" i="30"/>
  <c r="F119" i="30"/>
  <c r="F115" i="30"/>
  <c r="F114" i="30"/>
  <c r="F67" i="30"/>
  <c r="F63" i="30"/>
  <c r="F59" i="30"/>
  <c r="F55" i="30"/>
  <c r="F51" i="30"/>
  <c r="F47" i="30"/>
  <c r="F162" i="30"/>
  <c r="F161" i="30"/>
  <c r="F154" i="30"/>
  <c r="F153" i="30"/>
  <c r="F142" i="30"/>
  <c r="F106" i="30"/>
  <c r="F105" i="30"/>
  <c r="F90" i="30"/>
  <c r="F86" i="30"/>
  <c r="F149" i="30"/>
  <c r="F137" i="30"/>
  <c r="F129" i="30"/>
  <c r="F128" i="30"/>
  <c r="F97" i="30"/>
  <c r="F81" i="30"/>
  <c r="F77" i="30"/>
  <c r="F73" i="30"/>
  <c r="F72" i="30"/>
  <c r="F167" i="30"/>
  <c r="F150" i="30"/>
  <c r="F138" i="30"/>
  <c r="F78" i="30"/>
  <c r="F74" i="30"/>
  <c r="F93" i="30"/>
  <c r="F66" i="30"/>
  <c r="F64" i="30"/>
  <c r="F62" i="30"/>
  <c r="F60" i="30"/>
  <c r="F58" i="30"/>
  <c r="F56" i="30"/>
  <c r="F54" i="30"/>
  <c r="F52" i="30"/>
  <c r="F50" i="30"/>
  <c r="F48" i="30"/>
  <c r="F46" i="30"/>
  <c r="F155" i="30"/>
  <c r="D69" i="30"/>
  <c r="F164" i="30"/>
  <c r="F99" i="30"/>
  <c r="F91" i="30"/>
  <c r="F87" i="30"/>
  <c r="F83" i="30"/>
  <c r="F131" i="30"/>
  <c r="F166" i="30"/>
  <c r="F108" i="30"/>
  <c r="F143" i="30"/>
  <c r="F94" i="30"/>
  <c r="F116" i="30"/>
  <c r="F102" i="30"/>
  <c r="F98" i="30"/>
  <c r="F82" i="30"/>
  <c r="F130" i="30"/>
  <c r="F120" i="30"/>
  <c r="F118" i="30"/>
  <c r="F71" i="30"/>
  <c r="F144" i="30"/>
  <c r="F107" i="30"/>
  <c r="F122" i="30"/>
  <c r="F124" i="30"/>
  <c r="F126" i="30"/>
  <c r="F134" i="30"/>
  <c r="F165" i="30"/>
  <c r="R109" i="36"/>
  <c r="R108" i="36"/>
  <c r="R104" i="36"/>
  <c r="R93" i="36"/>
  <c r="R92" i="36"/>
  <c r="R72" i="36"/>
  <c r="R57" i="36"/>
  <c r="R56" i="36"/>
  <c r="R52" i="36"/>
  <c r="R48" i="36"/>
  <c r="R131" i="36"/>
  <c r="R124" i="36"/>
  <c r="R123" i="36"/>
  <c r="R119" i="36"/>
  <c r="R115" i="36"/>
  <c r="R99" i="36"/>
  <c r="R43" i="36"/>
  <c r="R39" i="36"/>
  <c r="R144" i="36"/>
  <c r="R110" i="36"/>
  <c r="R94" i="36"/>
  <c r="R83" i="36"/>
  <c r="R82" i="36"/>
  <c r="R66" i="36"/>
  <c r="R59" i="36"/>
  <c r="R58" i="36"/>
  <c r="R35" i="36"/>
  <c r="R30" i="36"/>
  <c r="R125" i="36"/>
  <c r="R105" i="36"/>
  <c r="R74" i="36"/>
  <c r="R73" i="36"/>
  <c r="R53" i="36"/>
  <c r="R49" i="36"/>
  <c r="R34" i="36"/>
  <c r="R133" i="36"/>
  <c r="R132" i="36"/>
  <c r="R120" i="36"/>
  <c r="R116" i="36"/>
  <c r="R100" i="36"/>
  <c r="R85" i="36"/>
  <c r="R84" i="36"/>
  <c r="R60" i="36"/>
  <c r="R44" i="36"/>
  <c r="R40" i="36"/>
  <c r="R36" i="36"/>
  <c r="P32" i="36"/>
  <c r="R112" i="36"/>
  <c r="R111" i="36"/>
  <c r="R95" i="36"/>
  <c r="R76" i="36"/>
  <c r="R75" i="36"/>
  <c r="R67" i="36"/>
  <c r="R134" i="36"/>
  <c r="R127" i="36"/>
  <c r="R126" i="36"/>
  <c r="R106" i="36"/>
  <c r="R87" i="36"/>
  <c r="R86" i="36"/>
  <c r="R54" i="36"/>
  <c r="R50" i="36"/>
  <c r="R27" i="36"/>
  <c r="R137" i="36"/>
  <c r="R136" i="36"/>
  <c r="R121" i="36"/>
  <c r="R117" i="36"/>
  <c r="R113" i="36"/>
  <c r="R101" i="36"/>
  <c r="R78" i="36"/>
  <c r="R77" i="36"/>
  <c r="R62" i="36"/>
  <c r="R61" i="36"/>
  <c r="R46" i="36"/>
  <c r="R45" i="36"/>
  <c r="R41" i="36"/>
  <c r="R37" i="36"/>
  <c r="R138" i="36"/>
  <c r="R129" i="36"/>
  <c r="R128" i="36"/>
  <c r="R96" i="36"/>
  <c r="R89" i="36"/>
  <c r="R88" i="36"/>
  <c r="R69" i="36"/>
  <c r="R68" i="36"/>
  <c r="R28" i="36"/>
  <c r="R98" i="36"/>
  <c r="R97" i="36"/>
  <c r="R81" i="36"/>
  <c r="R65" i="36"/>
  <c r="R29" i="36"/>
  <c r="R102" i="36"/>
  <c r="R130" i="36"/>
  <c r="R47" i="36"/>
  <c r="R80" i="36"/>
  <c r="R51" i="36"/>
  <c r="R139" i="36"/>
  <c r="R38" i="36"/>
  <c r="R114" i="36"/>
  <c r="R103" i="36"/>
  <c r="R90" i="36"/>
  <c r="R70" i="36"/>
  <c r="R55" i="36"/>
  <c r="R42" i="36"/>
  <c r="R63" i="36"/>
  <c r="R140" i="36"/>
  <c r="R118" i="36"/>
  <c r="R107" i="36"/>
  <c r="R91" i="36"/>
  <c r="R71" i="36"/>
  <c r="R122" i="36"/>
  <c r="R79" i="36"/>
  <c r="X12" i="36"/>
  <c r="Z12" i="36" s="1"/>
  <c r="R64" i="36"/>
  <c r="F159" i="24"/>
  <c r="F158" i="24"/>
  <c r="F151" i="24"/>
  <c r="F143" i="24"/>
  <c r="F139" i="24"/>
  <c r="F135" i="24"/>
  <c r="F131" i="24"/>
  <c r="F127" i="24"/>
  <c r="F123" i="24"/>
  <c r="F79" i="24"/>
  <c r="F75" i="24"/>
  <c r="F71" i="24"/>
  <c r="F67" i="24"/>
  <c r="F63" i="24"/>
  <c r="F59" i="24"/>
  <c r="F114" i="24"/>
  <c r="F106" i="24"/>
  <c r="F102" i="24"/>
  <c r="F98" i="24"/>
  <c r="F97" i="24"/>
  <c r="F161" i="24"/>
  <c r="F160" i="24"/>
  <c r="F153" i="24"/>
  <c r="F152" i="24"/>
  <c r="F145" i="24"/>
  <c r="F144" i="24"/>
  <c r="F93" i="24"/>
  <c r="F89" i="24"/>
  <c r="F163" i="24"/>
  <c r="F162" i="24"/>
  <c r="F155" i="24"/>
  <c r="F154" i="24"/>
  <c r="F147" i="24"/>
  <c r="F146" i="24"/>
  <c r="F107" i="24"/>
  <c r="F103" i="24"/>
  <c r="F99" i="24"/>
  <c r="F118" i="24"/>
  <c r="F117" i="24"/>
  <c r="F94" i="24"/>
  <c r="F90" i="24"/>
  <c r="L12" i="24"/>
  <c r="N12" i="24" s="1"/>
  <c r="F166" i="24"/>
  <c r="F141" i="24"/>
  <c r="F137" i="24"/>
  <c r="F133" i="24"/>
  <c r="F129" i="24"/>
  <c r="F125" i="24"/>
  <c r="F109" i="24"/>
  <c r="F108" i="24"/>
  <c r="F81" i="24"/>
  <c r="F77" i="24"/>
  <c r="F73" i="24"/>
  <c r="F69" i="24"/>
  <c r="F65" i="24"/>
  <c r="F61" i="24"/>
  <c r="F165" i="24"/>
  <c r="F156" i="24"/>
  <c r="F148" i="24"/>
  <c r="F120" i="24"/>
  <c r="F119" i="24"/>
  <c r="F104" i="24"/>
  <c r="F100" i="24"/>
  <c r="F111" i="24"/>
  <c r="F110" i="24"/>
  <c r="F95" i="24"/>
  <c r="F91" i="24"/>
  <c r="F87" i="24"/>
  <c r="F86" i="24"/>
  <c r="F96" i="24"/>
  <c r="F92" i="24"/>
  <c r="F88" i="24"/>
  <c r="F142" i="24"/>
  <c r="F140" i="24"/>
  <c r="F138" i="24"/>
  <c r="F136" i="24"/>
  <c r="F134" i="24"/>
  <c r="F132" i="24"/>
  <c r="F130" i="24"/>
  <c r="F128" i="24"/>
  <c r="F126" i="24"/>
  <c r="F124" i="24"/>
  <c r="F116" i="24"/>
  <c r="F112" i="24"/>
  <c r="F83" i="24"/>
  <c r="F80" i="24"/>
  <c r="D83" i="24"/>
  <c r="F78" i="24"/>
  <c r="F76" i="24"/>
  <c r="F74" i="24"/>
  <c r="F72" i="24"/>
  <c r="F157" i="24"/>
  <c r="F70" i="24"/>
  <c r="F68" i="24"/>
  <c r="F170" i="24"/>
  <c r="F121" i="24"/>
  <c r="F66" i="24"/>
  <c r="F64" i="24"/>
  <c r="F58" i="24"/>
  <c r="F149" i="24"/>
  <c r="F62" i="24"/>
  <c r="F60" i="24"/>
  <c r="F115" i="24"/>
  <c r="F113" i="24"/>
  <c r="F122" i="24"/>
  <c r="F101" i="24"/>
  <c r="F57" i="24"/>
  <c r="F105" i="24"/>
  <c r="F85" i="24"/>
  <c r="F150" i="24"/>
  <c r="L18" i="111"/>
  <c r="D27" i="111"/>
  <c r="H27" i="112"/>
  <c r="N18" i="112"/>
  <c r="T27" i="52"/>
  <c r="Z18" i="52"/>
  <c r="T27" i="44"/>
  <c r="Z18" i="44"/>
  <c r="X18" i="44"/>
  <c r="P27" i="44"/>
  <c r="T27" i="47"/>
  <c r="Z18" i="47"/>
  <c r="L18" i="50"/>
  <c r="D27" i="50"/>
  <c r="X18" i="35"/>
  <c r="P27" i="35"/>
  <c r="L18" i="38"/>
  <c r="D27" i="38"/>
  <c r="P27" i="29"/>
  <c r="X18" i="29"/>
  <c r="H27" i="23"/>
  <c r="N18" i="23"/>
  <c r="H27" i="14"/>
  <c r="N18" i="14"/>
  <c r="H27" i="4"/>
  <c r="N18" i="4"/>
  <c r="L18" i="5"/>
  <c r="D27" i="5"/>
  <c r="H27" i="10"/>
  <c r="N18" i="10"/>
  <c r="T97" i="105"/>
  <c r="D65" i="104"/>
  <c r="L23" i="104"/>
  <c r="V129" i="74"/>
  <c r="H148" i="39"/>
  <c r="D26" i="54"/>
  <c r="L22" i="54"/>
  <c r="H168" i="24"/>
  <c r="R333" i="18"/>
  <c r="R305" i="18"/>
  <c r="R294" i="18"/>
  <c r="R293" i="18"/>
  <c r="R281" i="18"/>
  <c r="R277" i="18"/>
  <c r="R273" i="18"/>
  <c r="R269" i="18"/>
  <c r="R265" i="18"/>
  <c r="R261" i="18"/>
  <c r="R257" i="18"/>
  <c r="R253" i="18"/>
  <c r="R249" i="18"/>
  <c r="R241" i="18"/>
  <c r="R218" i="18"/>
  <c r="R217" i="18"/>
  <c r="R213" i="18"/>
  <c r="R209" i="18"/>
  <c r="R334" i="18"/>
  <c r="R300" i="18"/>
  <c r="R289" i="18"/>
  <c r="R288" i="18"/>
  <c r="R233" i="18"/>
  <c r="R232" i="18"/>
  <c r="R204" i="18"/>
  <c r="R200" i="18"/>
  <c r="X12" i="18"/>
  <c r="Z12" i="18" s="1"/>
  <c r="R335" i="18"/>
  <c r="R323" i="18"/>
  <c r="R316" i="18"/>
  <c r="R315" i="18"/>
  <c r="R311" i="18"/>
  <c r="R295" i="18"/>
  <c r="R227" i="18"/>
  <c r="R220" i="18"/>
  <c r="R219" i="18"/>
  <c r="R196" i="18"/>
  <c r="R191" i="18"/>
  <c r="R187" i="18"/>
  <c r="R183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336" i="18"/>
  <c r="R307" i="18"/>
  <c r="R306" i="18"/>
  <c r="R290" i="18"/>
  <c r="R282" i="18"/>
  <c r="R278" i="18"/>
  <c r="R274" i="18"/>
  <c r="R270" i="18"/>
  <c r="R266" i="18"/>
  <c r="R262" i="18"/>
  <c r="R258" i="18"/>
  <c r="R254" i="18"/>
  <c r="R250" i="18"/>
  <c r="R243" i="18"/>
  <c r="R242" i="18"/>
  <c r="R234" i="18"/>
  <c r="R214" i="18"/>
  <c r="R210" i="18"/>
  <c r="R195" i="18"/>
  <c r="R193" i="18"/>
  <c r="R337" i="18"/>
  <c r="R317" i="18"/>
  <c r="R301" i="18"/>
  <c r="R221" i="18"/>
  <c r="R205" i="18"/>
  <c r="R201" i="18"/>
  <c r="R197" i="18"/>
  <c r="P193" i="18"/>
  <c r="R338" i="18"/>
  <c r="R325" i="18"/>
  <c r="R324" i="18"/>
  <c r="R312" i="18"/>
  <c r="R308" i="18"/>
  <c r="R296" i="18"/>
  <c r="R245" i="18"/>
  <c r="R244" i="18"/>
  <c r="R228" i="18"/>
  <c r="R188" i="18"/>
  <c r="R18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291" i="18"/>
  <c r="R283" i="18"/>
  <c r="R279" i="18"/>
  <c r="R275" i="18"/>
  <c r="R271" i="18"/>
  <c r="R267" i="18"/>
  <c r="R263" i="18"/>
  <c r="R259" i="18"/>
  <c r="R255" i="18"/>
  <c r="R251" i="18"/>
  <c r="R236" i="18"/>
  <c r="R235" i="18"/>
  <c r="R215" i="18"/>
  <c r="R211" i="18"/>
  <c r="R132" i="18"/>
  <c r="R339" i="18"/>
  <c r="R326" i="18"/>
  <c r="R319" i="18"/>
  <c r="R318" i="18"/>
  <c r="R302" i="18"/>
  <c r="R247" i="18"/>
  <c r="R246" i="18"/>
  <c r="R223" i="18"/>
  <c r="R222" i="18"/>
  <c r="R207" i="18"/>
  <c r="R206" i="18"/>
  <c r="R202" i="18"/>
  <c r="R198" i="18"/>
  <c r="R329" i="18"/>
  <c r="R328" i="18"/>
  <c r="R313" i="18"/>
  <c r="R309" i="18"/>
  <c r="R297" i="18"/>
  <c r="R238" i="18"/>
  <c r="R237" i="18"/>
  <c r="R230" i="18"/>
  <c r="R229" i="18"/>
  <c r="R189" i="18"/>
  <c r="R185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332" i="18"/>
  <c r="R322" i="18"/>
  <c r="R314" i="18"/>
  <c r="R310" i="18"/>
  <c r="R299" i="18"/>
  <c r="R298" i="18"/>
  <c r="R287" i="18"/>
  <c r="R286" i="18"/>
  <c r="R226" i="18"/>
  <c r="R190" i="18"/>
  <c r="R186" i="18"/>
  <c r="R18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212" i="18"/>
  <c r="R330" i="18"/>
  <c r="R216" i="18"/>
  <c r="R344" i="18"/>
  <c r="R320" i="18"/>
  <c r="R248" i="18"/>
  <c r="R231" i="18"/>
  <c r="R224" i="18"/>
  <c r="R203" i="18"/>
  <c r="R292" i="18"/>
  <c r="R252" i="18"/>
  <c r="R239" i="18"/>
  <c r="R285" i="18"/>
  <c r="R256" i="18"/>
  <c r="R303" i="18"/>
  <c r="R260" i="18"/>
  <c r="R331" i="18"/>
  <c r="R264" i="18"/>
  <c r="R340" i="18"/>
  <c r="R321" i="18"/>
  <c r="R268" i="18"/>
  <c r="R225" i="18"/>
  <c r="R272" i="18"/>
  <c r="R240" i="18"/>
  <c r="R284" i="18"/>
  <c r="R208" i="18"/>
  <c r="R199" i="18"/>
  <c r="R304" i="18"/>
  <c r="R276" i="18"/>
  <c r="R280" i="18"/>
  <c r="R317" i="12"/>
  <c r="R274" i="12"/>
  <c r="R273" i="12"/>
  <c r="R226" i="12"/>
  <c r="R225" i="12"/>
  <c r="R202" i="12"/>
  <c r="R201" i="12"/>
  <c r="R186" i="12"/>
  <c r="R185" i="12"/>
  <c r="R181" i="12"/>
  <c r="R177" i="12"/>
  <c r="R318" i="12"/>
  <c r="R284" i="12"/>
  <c r="R280" i="12"/>
  <c r="R269" i="12"/>
  <c r="R268" i="12"/>
  <c r="R260" i="12"/>
  <c r="R256" i="12"/>
  <c r="R252" i="12"/>
  <c r="R248" i="12"/>
  <c r="R244" i="12"/>
  <c r="R240" i="12"/>
  <c r="R236" i="12"/>
  <c r="R232" i="12"/>
  <c r="R217" i="12"/>
  <c r="R216" i="12"/>
  <c r="R209" i="12"/>
  <c r="R208" i="12"/>
  <c r="R168" i="12"/>
  <c r="R164" i="12"/>
  <c r="R160" i="12"/>
  <c r="R156" i="12"/>
  <c r="R152" i="12"/>
  <c r="R148" i="12"/>
  <c r="R144" i="12"/>
  <c r="R140" i="12"/>
  <c r="R136" i="12"/>
  <c r="R132" i="12"/>
  <c r="R128" i="12"/>
  <c r="R124" i="12"/>
  <c r="R120" i="12"/>
  <c r="R319" i="12"/>
  <c r="R307" i="12"/>
  <c r="R300" i="12"/>
  <c r="R299" i="12"/>
  <c r="R295" i="12"/>
  <c r="R291" i="12"/>
  <c r="R275" i="12"/>
  <c r="R228" i="12"/>
  <c r="R227" i="12"/>
  <c r="R204" i="12"/>
  <c r="R203" i="12"/>
  <c r="R195" i="12"/>
  <c r="R191" i="12"/>
  <c r="R187" i="12"/>
  <c r="R320" i="12"/>
  <c r="R270" i="12"/>
  <c r="R219" i="12"/>
  <c r="R218" i="12"/>
  <c r="R210" i="12"/>
  <c r="R321" i="12"/>
  <c r="R301" i="12"/>
  <c r="R286" i="12"/>
  <c r="R285" i="12"/>
  <c r="R281" i="12"/>
  <c r="R261" i="12"/>
  <c r="R257" i="12"/>
  <c r="R253" i="12"/>
  <c r="R249" i="12"/>
  <c r="R245" i="12"/>
  <c r="R241" i="12"/>
  <c r="R237" i="12"/>
  <c r="R233" i="12"/>
  <c r="R229" i="12"/>
  <c r="R205" i="12"/>
  <c r="R169" i="12"/>
  <c r="R165" i="12"/>
  <c r="R161" i="12"/>
  <c r="R157" i="12"/>
  <c r="R153" i="12"/>
  <c r="R149" i="12"/>
  <c r="R145" i="12"/>
  <c r="R141" i="12"/>
  <c r="R137" i="12"/>
  <c r="R133" i="12"/>
  <c r="R129" i="12"/>
  <c r="R125" i="12"/>
  <c r="R121" i="12"/>
  <c r="R309" i="12"/>
  <c r="R308" i="12"/>
  <c r="R296" i="12"/>
  <c r="R292" i="12"/>
  <c r="R276" i="12"/>
  <c r="R220" i="12"/>
  <c r="R197" i="12"/>
  <c r="R196" i="12"/>
  <c r="R192" i="12"/>
  <c r="R188" i="12"/>
  <c r="R117" i="12"/>
  <c r="R287" i="12"/>
  <c r="R271" i="12"/>
  <c r="R212" i="12"/>
  <c r="R211" i="12"/>
  <c r="R183" i="12"/>
  <c r="R179" i="12"/>
  <c r="R310" i="12"/>
  <c r="R303" i="12"/>
  <c r="R302" i="12"/>
  <c r="R282" i="12"/>
  <c r="R263" i="12"/>
  <c r="R262" i="12"/>
  <c r="R258" i="12"/>
  <c r="R254" i="12"/>
  <c r="R250" i="12"/>
  <c r="R246" i="12"/>
  <c r="R242" i="12"/>
  <c r="R238" i="12"/>
  <c r="R234" i="12"/>
  <c r="R230" i="12"/>
  <c r="R206" i="12"/>
  <c r="R199" i="12"/>
  <c r="R198" i="12"/>
  <c r="R175" i="12"/>
  <c r="R170" i="12"/>
  <c r="R166" i="12"/>
  <c r="R162" i="12"/>
  <c r="R158" i="12"/>
  <c r="R154" i="12"/>
  <c r="R150" i="12"/>
  <c r="R146" i="12"/>
  <c r="R142" i="12"/>
  <c r="R138" i="12"/>
  <c r="R134" i="12"/>
  <c r="R130" i="12"/>
  <c r="R126" i="12"/>
  <c r="R122" i="12"/>
  <c r="R118" i="12"/>
  <c r="R325" i="12"/>
  <c r="R313" i="12"/>
  <c r="R312" i="12"/>
  <c r="R297" i="12"/>
  <c r="R293" i="12"/>
  <c r="R277" i="12"/>
  <c r="R222" i="12"/>
  <c r="R221" i="12"/>
  <c r="R213" i="12"/>
  <c r="R193" i="12"/>
  <c r="R189" i="12"/>
  <c r="R174" i="12"/>
  <c r="R316" i="12"/>
  <c r="R306" i="12"/>
  <c r="R298" i="12"/>
  <c r="R294" i="12"/>
  <c r="R290" i="12"/>
  <c r="R279" i="12"/>
  <c r="R278" i="12"/>
  <c r="R267" i="12"/>
  <c r="R266" i="12"/>
  <c r="R215" i="12"/>
  <c r="R214" i="12"/>
  <c r="R194" i="12"/>
  <c r="R190" i="12"/>
  <c r="R314" i="12"/>
  <c r="R288" i="12"/>
  <c r="P172" i="12"/>
  <c r="R304" i="12"/>
  <c r="R272" i="12"/>
  <c r="R264" i="12"/>
  <c r="R283" i="12"/>
  <c r="R200" i="12"/>
  <c r="X12" i="12"/>
  <c r="Z12" i="12" s="1"/>
  <c r="R289" i="12"/>
  <c r="R223" i="12"/>
  <c r="R315" i="12"/>
  <c r="R305" i="12"/>
  <c r="R265" i="12"/>
  <c r="R176" i="12"/>
  <c r="R224" i="12"/>
  <c r="R259" i="12"/>
  <c r="R255" i="12"/>
  <c r="R251" i="12"/>
  <c r="R247" i="12"/>
  <c r="R243" i="12"/>
  <c r="R239" i="12"/>
  <c r="R235" i="12"/>
  <c r="R231" i="12"/>
  <c r="R184" i="12"/>
  <c r="R182" i="12"/>
  <c r="R180" i="12"/>
  <c r="R178" i="12"/>
  <c r="R207" i="12"/>
  <c r="R167" i="12"/>
  <c r="R163" i="12"/>
  <c r="R159" i="12"/>
  <c r="R155" i="12"/>
  <c r="R151" i="12"/>
  <c r="R147" i="12"/>
  <c r="R143" i="12"/>
  <c r="R139" i="12"/>
  <c r="R135" i="12"/>
  <c r="R131" i="12"/>
  <c r="R127" i="12"/>
  <c r="R123" i="12"/>
  <c r="R119" i="12"/>
  <c r="X18" i="53"/>
  <c r="P27" i="53"/>
  <c r="T27" i="37"/>
  <c r="Z18" i="37"/>
  <c r="P27" i="32"/>
  <c r="X18" i="32"/>
  <c r="T27" i="25"/>
  <c r="Z18" i="25"/>
  <c r="H27" i="22"/>
  <c r="N18" i="22"/>
  <c r="T27" i="22"/>
  <c r="Z18" i="22"/>
  <c r="L18" i="20"/>
  <c r="D27" i="20"/>
  <c r="L18" i="14"/>
  <c r="D27" i="14"/>
  <c r="T74" i="59"/>
  <c r="V17" i="59"/>
  <c r="D94" i="103"/>
  <c r="L24" i="103"/>
  <c r="N24" i="103" s="1"/>
  <c r="H28" i="82"/>
  <c r="L23" i="105"/>
  <c r="D93" i="105"/>
  <c r="H68" i="102"/>
  <c r="J25" i="101"/>
  <c r="X64" i="102"/>
  <c r="P68" i="102"/>
  <c r="R48" i="98"/>
  <c r="R47" i="98"/>
  <c r="R32" i="98"/>
  <c r="R31" i="98"/>
  <c r="R27" i="98"/>
  <c r="R39" i="98"/>
  <c r="R38" i="98"/>
  <c r="R51" i="98"/>
  <c r="R41" i="98"/>
  <c r="R40" i="98"/>
  <c r="R28" i="98"/>
  <c r="R24" i="98"/>
  <c r="P20" i="98"/>
  <c r="R43" i="98"/>
  <c r="R42" i="98"/>
  <c r="R34" i="98"/>
  <c r="R55" i="98"/>
  <c r="R29" i="98"/>
  <c r="R25" i="98"/>
  <c r="R45" i="98"/>
  <c r="R44" i="98"/>
  <c r="R46" i="98"/>
  <c r="R35" i="98"/>
  <c r="R18" i="98"/>
  <c r="X12" i="98"/>
  <c r="R49" i="98"/>
  <c r="R33" i="98"/>
  <c r="R36" i="98"/>
  <c r="R30" i="98"/>
  <c r="R20" i="98"/>
  <c r="R37" i="98"/>
  <c r="R16" i="98"/>
  <c r="R17" i="98"/>
  <c r="R26" i="98"/>
  <c r="R22" i="98"/>
  <c r="R23" i="98"/>
  <c r="H57" i="98"/>
  <c r="N53" i="98"/>
  <c r="T110" i="95"/>
  <c r="D32" i="85"/>
  <c r="L20" i="85"/>
  <c r="N20" i="85" s="1"/>
  <c r="T95" i="92"/>
  <c r="H110" i="95"/>
  <c r="L22" i="82"/>
  <c r="N22" i="82" s="1"/>
  <c r="D28" i="82"/>
  <c r="V32" i="75"/>
  <c r="T92" i="75"/>
  <c r="R82" i="75"/>
  <c r="R81" i="75"/>
  <c r="R77" i="75"/>
  <c r="R70" i="75"/>
  <c r="R69" i="75"/>
  <c r="R58" i="75"/>
  <c r="R57" i="75"/>
  <c r="R94" i="75"/>
  <c r="R52" i="75"/>
  <c r="R48" i="75"/>
  <c r="R83" i="75"/>
  <c r="R71" i="75"/>
  <c r="R60" i="75"/>
  <c r="R59" i="75"/>
  <c r="R43" i="75"/>
  <c r="R39" i="75"/>
  <c r="R78" i="75"/>
  <c r="R35" i="75"/>
  <c r="R62" i="75"/>
  <c r="R61" i="75"/>
  <c r="R53" i="75"/>
  <c r="R49" i="75"/>
  <c r="R34" i="75"/>
  <c r="R32" i="75"/>
  <c r="R30" i="75"/>
  <c r="R85" i="75"/>
  <c r="R84" i="75"/>
  <c r="R73" i="75"/>
  <c r="R72" i="75"/>
  <c r="R45" i="75"/>
  <c r="R44" i="75"/>
  <c r="R40" i="75"/>
  <c r="R36" i="75"/>
  <c r="P32" i="75"/>
  <c r="X12" i="75"/>
  <c r="Z12" i="75" s="1"/>
  <c r="R79" i="75"/>
  <c r="R64" i="75"/>
  <c r="R63" i="75"/>
  <c r="R89" i="75"/>
  <c r="R88" i="75"/>
  <c r="R66" i="75"/>
  <c r="R65" i="75"/>
  <c r="R41" i="75"/>
  <c r="R37" i="75"/>
  <c r="R42" i="75"/>
  <c r="R38" i="75"/>
  <c r="R86" i="75"/>
  <c r="R75" i="75"/>
  <c r="R56" i="75"/>
  <c r="R80" i="75"/>
  <c r="R54" i="75"/>
  <c r="R50" i="75"/>
  <c r="R46" i="75"/>
  <c r="R67" i="75"/>
  <c r="R76" i="75"/>
  <c r="R90" i="75"/>
  <c r="R74" i="75"/>
  <c r="R68" i="75"/>
  <c r="R47" i="75"/>
  <c r="R51" i="75"/>
  <c r="R55" i="75"/>
  <c r="H114" i="73"/>
  <c r="F116" i="73"/>
  <c r="F98" i="73"/>
  <c r="F94" i="73"/>
  <c r="F86" i="73"/>
  <c r="F85" i="73"/>
  <c r="F78" i="73"/>
  <c r="F74" i="73"/>
  <c r="F70" i="73"/>
  <c r="F69" i="73"/>
  <c r="F105" i="73"/>
  <c r="F104" i="73"/>
  <c r="F65" i="73"/>
  <c r="F61" i="73"/>
  <c r="F88" i="73"/>
  <c r="F87" i="73"/>
  <c r="F52" i="73"/>
  <c r="F48" i="73"/>
  <c r="F44" i="73"/>
  <c r="F40" i="73"/>
  <c r="F99" i="73"/>
  <c r="F95" i="73"/>
  <c r="F79" i="73"/>
  <c r="F75" i="73"/>
  <c r="F71" i="73"/>
  <c r="F81" i="73"/>
  <c r="F80" i="73"/>
  <c r="F53" i="73"/>
  <c r="F49" i="73"/>
  <c r="F45" i="73"/>
  <c r="F41" i="73"/>
  <c r="F108" i="73"/>
  <c r="F107" i="73"/>
  <c r="F100" i="73"/>
  <c r="F96" i="73"/>
  <c r="F92" i="73"/>
  <c r="F91" i="73"/>
  <c r="F76" i="73"/>
  <c r="F72" i="73"/>
  <c r="F83" i="73"/>
  <c r="F82" i="73"/>
  <c r="F67" i="73"/>
  <c r="F63" i="73"/>
  <c r="F59" i="73"/>
  <c r="F58" i="73"/>
  <c r="F110" i="73"/>
  <c r="F109" i="73"/>
  <c r="F57" i="73"/>
  <c r="F50" i="73"/>
  <c r="F46" i="73"/>
  <c r="F42" i="73"/>
  <c r="F38" i="73"/>
  <c r="F37" i="73"/>
  <c r="L12" i="73"/>
  <c r="N12" i="73" s="1"/>
  <c r="F101" i="73"/>
  <c r="F97" i="73"/>
  <c r="F93" i="73"/>
  <c r="F77" i="73"/>
  <c r="F73" i="73"/>
  <c r="D55" i="73"/>
  <c r="F112" i="73"/>
  <c r="F103" i="73"/>
  <c r="F102" i="73"/>
  <c r="F51" i="73"/>
  <c r="F47" i="73"/>
  <c r="F43" i="73"/>
  <c r="F39" i="73"/>
  <c r="F64" i="73"/>
  <c r="F84" i="73"/>
  <c r="F66" i="73"/>
  <c r="F106" i="73"/>
  <c r="F68" i="73"/>
  <c r="F89" i="73"/>
  <c r="F60" i="73"/>
  <c r="F90" i="73"/>
  <c r="F62" i="73"/>
  <c r="F129" i="68"/>
  <c r="F125" i="68"/>
  <c r="F121" i="68"/>
  <c r="F117" i="68"/>
  <c r="F113" i="68"/>
  <c r="F105" i="68"/>
  <c r="F97" i="68"/>
  <c r="F93" i="68"/>
  <c r="F89" i="68"/>
  <c r="F88" i="68"/>
  <c r="D75" i="68"/>
  <c r="F136" i="68"/>
  <c r="F84" i="68"/>
  <c r="F80" i="68"/>
  <c r="F159" i="68"/>
  <c r="F156" i="68"/>
  <c r="F143" i="68"/>
  <c r="F107" i="68"/>
  <c r="F106" i="68"/>
  <c r="F71" i="68"/>
  <c r="F67" i="68"/>
  <c r="F63" i="68"/>
  <c r="F59" i="68"/>
  <c r="F55" i="68"/>
  <c r="F145" i="68"/>
  <c r="F144" i="68"/>
  <c r="F109" i="68"/>
  <c r="F108" i="68"/>
  <c r="F85" i="68"/>
  <c r="F81" i="68"/>
  <c r="F100" i="68"/>
  <c r="F99" i="68"/>
  <c r="F72" i="68"/>
  <c r="F68" i="68"/>
  <c r="F64" i="68"/>
  <c r="F60" i="68"/>
  <c r="F56" i="68"/>
  <c r="F147" i="68"/>
  <c r="F146" i="68"/>
  <c r="F139" i="68"/>
  <c r="F131" i="68"/>
  <c r="F127" i="68"/>
  <c r="F123" i="68"/>
  <c r="F119" i="68"/>
  <c r="F115" i="68"/>
  <c r="F111" i="68"/>
  <c r="F110" i="68"/>
  <c r="F95" i="68"/>
  <c r="F91" i="68"/>
  <c r="F102" i="68"/>
  <c r="F101" i="68"/>
  <c r="F86" i="68"/>
  <c r="F82" i="68"/>
  <c r="F154" i="68"/>
  <c r="F142" i="68"/>
  <c r="F77" i="68"/>
  <c r="F75" i="68"/>
  <c r="F70" i="68"/>
  <c r="F66" i="68"/>
  <c r="F62" i="68"/>
  <c r="F58" i="68"/>
  <c r="F54" i="68"/>
  <c r="F150" i="68"/>
  <c r="F140" i="68"/>
  <c r="F138" i="68"/>
  <c r="F53" i="68"/>
  <c r="F104" i="68"/>
  <c r="F79" i="68"/>
  <c r="F134" i="68"/>
  <c r="F87" i="68"/>
  <c r="F83" i="68"/>
  <c r="F73" i="68"/>
  <c r="F132" i="68"/>
  <c r="F96" i="68"/>
  <c r="F94" i="68"/>
  <c r="F69" i="68"/>
  <c r="F152" i="68"/>
  <c r="F130" i="68"/>
  <c r="F98" i="68"/>
  <c r="F92" i="68"/>
  <c r="F90" i="68"/>
  <c r="F65" i="68"/>
  <c r="F141" i="68"/>
  <c r="F137" i="68"/>
  <c r="F128" i="68"/>
  <c r="F126" i="68"/>
  <c r="F61" i="68"/>
  <c r="L12" i="68"/>
  <c r="N12" i="68" s="1"/>
  <c r="F149" i="68"/>
  <c r="F124" i="68"/>
  <c r="F122" i="68"/>
  <c r="F103" i="68"/>
  <c r="F120" i="68"/>
  <c r="F118" i="68"/>
  <c r="F78" i="68"/>
  <c r="F135" i="68"/>
  <c r="F116" i="68"/>
  <c r="F114" i="68"/>
  <c r="F57" i="68"/>
  <c r="F52" i="68"/>
  <c r="F133" i="68"/>
  <c r="F112" i="68"/>
  <c r="N16" i="61"/>
  <c r="H62" i="61"/>
  <c r="T62" i="61"/>
  <c r="Z16" i="61"/>
  <c r="N16" i="55"/>
  <c r="H34" i="55"/>
  <c r="L34" i="55" s="1"/>
  <c r="T76" i="48"/>
  <c r="V193" i="18"/>
  <c r="R87" i="21"/>
  <c r="R86" i="21"/>
  <c r="R79" i="21"/>
  <c r="R78" i="21"/>
  <c r="R67" i="21"/>
  <c r="R66" i="21"/>
  <c r="R59" i="21"/>
  <c r="R58" i="21"/>
  <c r="R42" i="21"/>
  <c r="R38" i="21"/>
  <c r="R110" i="21"/>
  <c r="R109" i="21"/>
  <c r="R93" i="21"/>
  <c r="R34" i="21"/>
  <c r="R29" i="21"/>
  <c r="R122" i="21"/>
  <c r="R104" i="21"/>
  <c r="R100" i="21"/>
  <c r="R88" i="21"/>
  <c r="R81" i="21"/>
  <c r="R80" i="21"/>
  <c r="R69" i="21"/>
  <c r="R68" i="21"/>
  <c r="R61" i="21"/>
  <c r="R60" i="21"/>
  <c r="R52" i="21"/>
  <c r="R48" i="21"/>
  <c r="R33" i="21"/>
  <c r="X12" i="21"/>
  <c r="Z12" i="21" s="1"/>
  <c r="R94" i="21"/>
  <c r="R83" i="21"/>
  <c r="R82" i="21"/>
  <c r="R71" i="21"/>
  <c r="R70" i="21"/>
  <c r="R62" i="21"/>
  <c r="R113" i="21"/>
  <c r="R105" i="21"/>
  <c r="R101" i="21"/>
  <c r="R90" i="21"/>
  <c r="R89" i="21"/>
  <c r="R53" i="21"/>
  <c r="R49" i="21"/>
  <c r="R45" i="21"/>
  <c r="R26" i="21"/>
  <c r="R84" i="21"/>
  <c r="R73" i="21"/>
  <c r="R72" i="21"/>
  <c r="R40" i="21"/>
  <c r="R36" i="21"/>
  <c r="R96" i="21"/>
  <c r="R95" i="21"/>
  <c r="R91" i="21"/>
  <c r="R63" i="21"/>
  <c r="R27" i="21"/>
  <c r="R115" i="21"/>
  <c r="R114" i="21"/>
  <c r="R106" i="21"/>
  <c r="R102" i="21"/>
  <c r="R75" i="21"/>
  <c r="R74" i="21"/>
  <c r="R118" i="21"/>
  <c r="R108" i="21"/>
  <c r="R107" i="21"/>
  <c r="R103" i="21"/>
  <c r="R99" i="21"/>
  <c r="R98" i="21"/>
  <c r="R46" i="21"/>
  <c r="R44" i="21"/>
  <c r="R112" i="21"/>
  <c r="R77" i="21"/>
  <c r="R64" i="21"/>
  <c r="R28" i="21"/>
  <c r="R51" i="21"/>
  <c r="P31" i="21"/>
  <c r="R85" i="21"/>
  <c r="R47" i="21"/>
  <c r="R116" i="21"/>
  <c r="R56" i="21"/>
  <c r="R43" i="21"/>
  <c r="R35" i="21"/>
  <c r="R97" i="21"/>
  <c r="R65" i="21"/>
  <c r="R54" i="21"/>
  <c r="R41" i="21"/>
  <c r="R39" i="21"/>
  <c r="R37" i="21"/>
  <c r="R111" i="21"/>
  <c r="R92" i="21"/>
  <c r="R57" i="21"/>
  <c r="R55" i="21"/>
  <c r="R76" i="21"/>
  <c r="R50" i="21"/>
  <c r="T120" i="21"/>
  <c r="H342" i="18"/>
  <c r="T27" i="50"/>
  <c r="Z18" i="50"/>
  <c r="D27" i="37"/>
  <c r="L18" i="37"/>
  <c r="X18" i="25"/>
  <c r="P27" i="25"/>
  <c r="X18" i="16"/>
  <c r="P27" i="16"/>
  <c r="L18" i="29"/>
  <c r="D27" i="29"/>
  <c r="P27" i="23"/>
  <c r="X18" i="23"/>
  <c r="H27" i="25"/>
  <c r="N18" i="25"/>
  <c r="H27" i="11"/>
  <c r="N18" i="11"/>
  <c r="T27" i="8"/>
  <c r="Z18" i="8"/>
  <c r="F116" i="27"/>
  <c r="F92" i="27"/>
  <c r="F76" i="27"/>
  <c r="F72" i="27"/>
  <c r="F68" i="27"/>
  <c r="F131" i="27"/>
  <c r="F123" i="27"/>
  <c r="F111" i="27"/>
  <c r="F107" i="27"/>
  <c r="F103" i="27"/>
  <c r="F102" i="27"/>
  <c r="F59" i="27"/>
  <c r="F55" i="27"/>
  <c r="F51" i="27"/>
  <c r="F47" i="27"/>
  <c r="F118" i="27"/>
  <c r="F117" i="27"/>
  <c r="F94" i="27"/>
  <c r="F93" i="27"/>
  <c r="F86" i="27"/>
  <c r="F82" i="27"/>
  <c r="F78" i="27"/>
  <c r="F77" i="27"/>
  <c r="F134" i="27"/>
  <c r="F125" i="27"/>
  <c r="F124" i="27"/>
  <c r="F113" i="27"/>
  <c r="F112" i="27"/>
  <c r="F73" i="27"/>
  <c r="F69" i="27"/>
  <c r="F135" i="27"/>
  <c r="F133" i="27"/>
  <c r="F108" i="27"/>
  <c r="F104" i="27"/>
  <c r="F96" i="27"/>
  <c r="F95" i="27"/>
  <c r="F60" i="27"/>
  <c r="F56" i="27"/>
  <c r="F52" i="27"/>
  <c r="F48" i="27"/>
  <c r="F136" i="27"/>
  <c r="F119" i="27"/>
  <c r="F87" i="27"/>
  <c r="F83" i="27"/>
  <c r="F79" i="27"/>
  <c r="F137" i="27"/>
  <c r="F126" i="27"/>
  <c r="F114" i="27"/>
  <c r="F98" i="27"/>
  <c r="F97" i="27"/>
  <c r="F74" i="27"/>
  <c r="F70" i="27"/>
  <c r="F121" i="27"/>
  <c r="F120" i="27"/>
  <c r="F109" i="27"/>
  <c r="F105" i="27"/>
  <c r="F89" i="27"/>
  <c r="F88" i="27"/>
  <c r="F61" i="27"/>
  <c r="F57" i="27"/>
  <c r="F53" i="27"/>
  <c r="F49" i="27"/>
  <c r="F45" i="27"/>
  <c r="F44" i="27"/>
  <c r="F128" i="27"/>
  <c r="F127" i="27"/>
  <c r="F84" i="27"/>
  <c r="F80" i="27"/>
  <c r="L12" i="27"/>
  <c r="N12" i="27" s="1"/>
  <c r="F101" i="27"/>
  <c r="F100" i="27"/>
  <c r="F85" i="27"/>
  <c r="F81" i="27"/>
  <c r="D63" i="27"/>
  <c r="F99" i="27"/>
  <c r="F58" i="27"/>
  <c r="F54" i="27"/>
  <c r="F71" i="27"/>
  <c r="F63" i="27"/>
  <c r="F50" i="27"/>
  <c r="F122" i="27"/>
  <c r="F115" i="27"/>
  <c r="F46" i="27"/>
  <c r="F66" i="27"/>
  <c r="F90" i="27"/>
  <c r="F75" i="27"/>
  <c r="F130" i="27"/>
  <c r="F106" i="27"/>
  <c r="F110" i="27"/>
  <c r="F129" i="27"/>
  <c r="F141" i="27"/>
  <c r="F91" i="27"/>
  <c r="F67" i="27"/>
  <c r="F65" i="27"/>
  <c r="T80" i="100"/>
  <c r="J23" i="97"/>
  <c r="T100" i="87"/>
  <c r="Z22" i="87"/>
  <c r="D76" i="109"/>
  <c r="L17" i="109"/>
  <c r="N17" i="109" s="1"/>
  <c r="P95" i="107"/>
  <c r="X23" i="107"/>
  <c r="Z23" i="107" s="1"/>
  <c r="R23" i="107"/>
  <c r="D46" i="108"/>
  <c r="H95" i="107"/>
  <c r="N23" i="107"/>
  <c r="R73" i="101"/>
  <c r="R57" i="101"/>
  <c r="R92" i="101"/>
  <c r="R84" i="101"/>
  <c r="R80" i="101"/>
  <c r="R48" i="101"/>
  <c r="R44" i="101"/>
  <c r="R40" i="101"/>
  <c r="X12" i="101"/>
  <c r="Z12" i="101" s="1"/>
  <c r="R95" i="101"/>
  <c r="R94" i="101"/>
  <c r="R67" i="101"/>
  <c r="R35" i="101"/>
  <c r="R31" i="101"/>
  <c r="R74" i="101"/>
  <c r="R59" i="101"/>
  <c r="R58" i="101"/>
  <c r="R86" i="101"/>
  <c r="R85" i="101"/>
  <c r="R81" i="101"/>
  <c r="R50" i="101"/>
  <c r="R49" i="101"/>
  <c r="R45" i="101"/>
  <c r="R41" i="101"/>
  <c r="R69" i="101"/>
  <c r="R68" i="101"/>
  <c r="R61" i="101"/>
  <c r="R60" i="101"/>
  <c r="R36" i="101"/>
  <c r="R32" i="101"/>
  <c r="R99" i="101"/>
  <c r="R87" i="101"/>
  <c r="R76" i="101"/>
  <c r="R75" i="101"/>
  <c r="R52" i="101"/>
  <c r="R51" i="101"/>
  <c r="R28" i="101"/>
  <c r="R82" i="101"/>
  <c r="R70" i="101"/>
  <c r="R63" i="101"/>
  <c r="R62" i="101"/>
  <c r="R46" i="101"/>
  <c r="R42" i="101"/>
  <c r="R27" i="101"/>
  <c r="R78" i="101"/>
  <c r="R77" i="101"/>
  <c r="R54" i="101"/>
  <c r="R53" i="101"/>
  <c r="R37" i="101"/>
  <c r="R33" i="101"/>
  <c r="R29" i="101"/>
  <c r="R91" i="101"/>
  <c r="R90" i="101"/>
  <c r="R66" i="101"/>
  <c r="R39" i="101"/>
  <c r="R38" i="101"/>
  <c r="R34" i="101"/>
  <c r="R30" i="101"/>
  <c r="R89" i="101"/>
  <c r="R21" i="101"/>
  <c r="R56" i="101"/>
  <c r="P25" i="101"/>
  <c r="R25" i="101" s="1"/>
  <c r="R43" i="101"/>
  <c r="R64" i="101"/>
  <c r="R71" i="101"/>
  <c r="R79" i="101"/>
  <c r="R22" i="101"/>
  <c r="R88" i="101"/>
  <c r="R47" i="101"/>
  <c r="R83" i="101"/>
  <c r="R23" i="101"/>
  <c r="R65" i="101"/>
  <c r="R20" i="101"/>
  <c r="R72" i="101"/>
  <c r="R55" i="101"/>
  <c r="D55" i="99"/>
  <c r="L17" i="99"/>
  <c r="F70" i="100"/>
  <c r="F82" i="100"/>
  <c r="F66" i="100"/>
  <c r="F65" i="100"/>
  <c r="F67" i="100"/>
  <c r="F63" i="100"/>
  <c r="F25" i="100"/>
  <c r="F23" i="100"/>
  <c r="F84" i="100"/>
  <c r="F57" i="100"/>
  <c r="F56" i="100"/>
  <c r="F45" i="100"/>
  <c r="F41" i="100"/>
  <c r="F37" i="100"/>
  <c r="D23" i="100"/>
  <c r="F71" i="100"/>
  <c r="F32" i="100"/>
  <c r="F28" i="100"/>
  <c r="L12" i="100"/>
  <c r="F75" i="100"/>
  <c r="F68" i="100"/>
  <c r="F59" i="100"/>
  <c r="F58" i="100"/>
  <c r="F47" i="100"/>
  <c r="F46" i="100"/>
  <c r="F19" i="100"/>
  <c r="F18" i="100"/>
  <c r="F80" i="100"/>
  <c r="F64" i="100"/>
  <c r="F42" i="100"/>
  <c r="F38" i="100"/>
  <c r="F87" i="100"/>
  <c r="F49" i="100"/>
  <c r="F48" i="100"/>
  <c r="F33" i="100"/>
  <c r="F29" i="100"/>
  <c r="F72" i="100"/>
  <c r="F69" i="100"/>
  <c r="F60" i="100"/>
  <c r="F20" i="100"/>
  <c r="F77" i="100"/>
  <c r="F51" i="100"/>
  <c r="F50" i="100"/>
  <c r="F43" i="100"/>
  <c r="F39" i="100"/>
  <c r="F73" i="100"/>
  <c r="F62" i="100"/>
  <c r="F61" i="100"/>
  <c r="F34" i="100"/>
  <c r="F30" i="100"/>
  <c r="F74" i="100"/>
  <c r="F55" i="100"/>
  <c r="F54" i="100"/>
  <c r="F31" i="100"/>
  <c r="F27" i="100"/>
  <c r="F26" i="100"/>
  <c r="F52" i="100"/>
  <c r="F40" i="100"/>
  <c r="F21" i="100"/>
  <c r="F44" i="100"/>
  <c r="F35" i="100"/>
  <c r="F78" i="100"/>
  <c r="F53" i="100"/>
  <c r="F36" i="100"/>
  <c r="P85" i="93"/>
  <c r="X23" i="93"/>
  <c r="Z23" i="93" s="1"/>
  <c r="H95" i="92"/>
  <c r="R93" i="92"/>
  <c r="R86" i="92"/>
  <c r="R85" i="92"/>
  <c r="R82" i="92"/>
  <c r="R73" i="92"/>
  <c r="R72" i="92"/>
  <c r="R87" i="92"/>
  <c r="R43" i="92"/>
  <c r="R39" i="92"/>
  <c r="R89" i="92"/>
  <c r="R83" i="92"/>
  <c r="R84" i="92"/>
  <c r="R69" i="92"/>
  <c r="R68" i="92"/>
  <c r="R61" i="92"/>
  <c r="R60" i="92"/>
  <c r="R53" i="92"/>
  <c r="R52" i="92"/>
  <c r="R44" i="92"/>
  <c r="R40" i="92"/>
  <c r="R25" i="92"/>
  <c r="R79" i="92"/>
  <c r="R75" i="92"/>
  <c r="R36" i="92"/>
  <c r="R35" i="92"/>
  <c r="R70" i="92"/>
  <c r="R63" i="92"/>
  <c r="R62" i="92"/>
  <c r="R54" i="92"/>
  <c r="R80" i="92"/>
  <c r="R76" i="92"/>
  <c r="R64" i="92"/>
  <c r="R32" i="92"/>
  <c r="R28" i="92"/>
  <c r="X12" i="92"/>
  <c r="Z12" i="92" s="1"/>
  <c r="R81" i="92"/>
  <c r="R77" i="92"/>
  <c r="R65" i="92"/>
  <c r="R33" i="92"/>
  <c r="R29" i="92"/>
  <c r="R42" i="92"/>
  <c r="R67" i="92"/>
  <c r="R58" i="92"/>
  <c r="R45" i="92"/>
  <c r="R38" i="92"/>
  <c r="R74" i="92"/>
  <c r="R48" i="92"/>
  <c r="R26" i="92"/>
  <c r="R20" i="92"/>
  <c r="R78" i="92"/>
  <c r="R51" i="92"/>
  <c r="R31" i="92"/>
  <c r="R56" i="92"/>
  <c r="R18" i="92"/>
  <c r="R66" i="92"/>
  <c r="R49" i="92"/>
  <c r="R41" i="92"/>
  <c r="R34" i="92"/>
  <c r="R21" i="92"/>
  <c r="R59" i="92"/>
  <c r="R46" i="92"/>
  <c r="R55" i="92"/>
  <c r="R50" i="92"/>
  <c r="R30" i="92"/>
  <c r="P23" i="92"/>
  <c r="R19" i="92"/>
  <c r="R57" i="92"/>
  <c r="R37" i="92"/>
  <c r="R71" i="92"/>
  <c r="R47" i="92"/>
  <c r="R27" i="92"/>
  <c r="V22" i="87"/>
  <c r="R121" i="84"/>
  <c r="R81" i="84"/>
  <c r="R65" i="84"/>
  <c r="R61" i="84"/>
  <c r="R133" i="84"/>
  <c r="R132" i="84"/>
  <c r="R93" i="84"/>
  <c r="R92" i="84"/>
  <c r="R57" i="84"/>
  <c r="R52" i="84"/>
  <c r="R48" i="84"/>
  <c r="R44" i="84"/>
  <c r="R40" i="84"/>
  <c r="R36" i="84"/>
  <c r="R127" i="84"/>
  <c r="R116" i="84"/>
  <c r="R115" i="84"/>
  <c r="R107" i="84"/>
  <c r="R135" i="84"/>
  <c r="R134" i="84"/>
  <c r="R123" i="84"/>
  <c r="R122" i="84"/>
  <c r="R95" i="84"/>
  <c r="R94" i="84"/>
  <c r="R83" i="84"/>
  <c r="R82" i="84"/>
  <c r="R67" i="84"/>
  <c r="R66" i="84"/>
  <c r="R62" i="84"/>
  <c r="R58" i="84"/>
  <c r="P54" i="84"/>
  <c r="R117" i="84"/>
  <c r="R49" i="84"/>
  <c r="R45" i="84"/>
  <c r="R41" i="84"/>
  <c r="R37" i="84"/>
  <c r="R137" i="84"/>
  <c r="R136" i="84"/>
  <c r="R128" i="84"/>
  <c r="R124" i="84"/>
  <c r="R109" i="84"/>
  <c r="R108" i="84"/>
  <c r="R104" i="84"/>
  <c r="R100" i="84"/>
  <c r="R96" i="84"/>
  <c r="R85" i="84"/>
  <c r="R84" i="84"/>
  <c r="R76" i="84"/>
  <c r="R72" i="84"/>
  <c r="R68" i="84"/>
  <c r="R63" i="84"/>
  <c r="R59" i="84"/>
  <c r="R138" i="84"/>
  <c r="R118" i="84"/>
  <c r="R140" i="84"/>
  <c r="R130" i="84"/>
  <c r="R129" i="84"/>
  <c r="R125" i="84"/>
  <c r="R105" i="84"/>
  <c r="R101" i="84"/>
  <c r="R97" i="84"/>
  <c r="R78" i="84"/>
  <c r="R77" i="84"/>
  <c r="R73" i="84"/>
  <c r="R69" i="84"/>
  <c r="R144" i="84"/>
  <c r="R126" i="84"/>
  <c r="R114" i="84"/>
  <c r="R106" i="84"/>
  <c r="R102" i="84"/>
  <c r="R98" i="84"/>
  <c r="R91" i="84"/>
  <c r="R90" i="84"/>
  <c r="R74" i="84"/>
  <c r="R70" i="84"/>
  <c r="R35" i="84"/>
  <c r="X12" i="84"/>
  <c r="Z12" i="84" s="1"/>
  <c r="R131" i="84"/>
  <c r="R99" i="84"/>
  <c r="R80" i="84"/>
  <c r="R75" i="84"/>
  <c r="R71" i="84"/>
  <c r="R51" i="84"/>
  <c r="R120" i="84"/>
  <c r="R112" i="84"/>
  <c r="R54" i="84"/>
  <c r="R38" i="84"/>
  <c r="R110" i="84"/>
  <c r="R47" i="84"/>
  <c r="R87" i="84"/>
  <c r="R89" i="84"/>
  <c r="R60" i="84"/>
  <c r="R43" i="84"/>
  <c r="R111" i="84"/>
  <c r="R64" i="84"/>
  <c r="R39" i="84"/>
  <c r="R113" i="84"/>
  <c r="R50" i="84"/>
  <c r="R56" i="84"/>
  <c r="R103" i="84"/>
  <c r="R86" i="84"/>
  <c r="R42" i="84"/>
  <c r="R88" i="84"/>
  <c r="R79" i="84"/>
  <c r="R46" i="84"/>
  <c r="R119" i="84"/>
  <c r="J55" i="73"/>
  <c r="F65" i="75"/>
  <c r="F64" i="75"/>
  <c r="F41" i="75"/>
  <c r="F37" i="75"/>
  <c r="F89" i="75"/>
  <c r="F80" i="75"/>
  <c r="F90" i="75"/>
  <c r="F88" i="75"/>
  <c r="F75" i="75"/>
  <c r="F67" i="75"/>
  <c r="F66" i="75"/>
  <c r="F55" i="75"/>
  <c r="F51" i="75"/>
  <c r="F47" i="75"/>
  <c r="F42" i="75"/>
  <c r="F38" i="75"/>
  <c r="F81" i="75"/>
  <c r="F77" i="75"/>
  <c r="F76" i="75"/>
  <c r="F69" i="75"/>
  <c r="F68" i="75"/>
  <c r="F57" i="75"/>
  <c r="F56" i="75"/>
  <c r="F94" i="75"/>
  <c r="F52" i="75"/>
  <c r="F48" i="75"/>
  <c r="F83" i="75"/>
  <c r="F82" i="75"/>
  <c r="F71" i="75"/>
  <c r="F70" i="75"/>
  <c r="F59" i="75"/>
  <c r="F58" i="75"/>
  <c r="F43" i="75"/>
  <c r="F39" i="75"/>
  <c r="F61" i="75"/>
  <c r="F60" i="75"/>
  <c r="F53" i="75"/>
  <c r="F49" i="75"/>
  <c r="F86" i="75"/>
  <c r="F85" i="75"/>
  <c r="F74" i="75"/>
  <c r="F73" i="75"/>
  <c r="F54" i="75"/>
  <c r="F50" i="75"/>
  <c r="F46" i="75"/>
  <c r="F45" i="75"/>
  <c r="D32" i="75"/>
  <c r="F72" i="75"/>
  <c r="F79" i="75"/>
  <c r="F40" i="75"/>
  <c r="F62" i="75"/>
  <c r="F35" i="75"/>
  <c r="F84" i="75"/>
  <c r="F44" i="75"/>
  <c r="F30" i="75"/>
  <c r="L12" i="75"/>
  <c r="N12" i="75" s="1"/>
  <c r="F78" i="75"/>
  <c r="F63" i="75"/>
  <c r="F36" i="75"/>
  <c r="F34" i="75"/>
  <c r="L22" i="69"/>
  <c r="N22" i="69" s="1"/>
  <c r="D79" i="69"/>
  <c r="D78" i="57"/>
  <c r="L16" i="57"/>
  <c r="Z16" i="54"/>
  <c r="T22" i="54"/>
  <c r="P78" i="57"/>
  <c r="X16" i="57"/>
  <c r="F60" i="48"/>
  <c r="F52" i="48"/>
  <c r="F51" i="48"/>
  <c r="F40" i="48"/>
  <c r="F36" i="48"/>
  <c r="F32" i="48"/>
  <c r="F67" i="48"/>
  <c r="F27" i="48"/>
  <c r="F23" i="48"/>
  <c r="F54" i="48"/>
  <c r="F53" i="48"/>
  <c r="F42" i="48"/>
  <c r="F41" i="48"/>
  <c r="F69" i="48"/>
  <c r="F68" i="48"/>
  <c r="F61" i="48"/>
  <c r="F37" i="48"/>
  <c r="F33" i="48"/>
  <c r="F56" i="48"/>
  <c r="F55" i="48"/>
  <c r="F44" i="48"/>
  <c r="F43" i="48"/>
  <c r="F28" i="48"/>
  <c r="F24" i="48"/>
  <c r="F71" i="48"/>
  <c r="F70" i="48"/>
  <c r="F63" i="48"/>
  <c r="F62" i="48"/>
  <c r="F58" i="48"/>
  <c r="F57" i="48"/>
  <c r="F46" i="48"/>
  <c r="F45" i="48"/>
  <c r="F38" i="48"/>
  <c r="F34" i="48"/>
  <c r="F74" i="48"/>
  <c r="F65" i="48"/>
  <c r="F64" i="48"/>
  <c r="F29" i="48"/>
  <c r="F25" i="48"/>
  <c r="F21" i="48"/>
  <c r="F20" i="48"/>
  <c r="F73" i="48"/>
  <c r="F48" i="48"/>
  <c r="F47" i="48"/>
  <c r="F19" i="48"/>
  <c r="F15" i="48"/>
  <c r="F49" i="48"/>
  <c r="F39" i="48"/>
  <c r="F30" i="48"/>
  <c r="F78" i="48"/>
  <c r="F66" i="48"/>
  <c r="F26" i="48"/>
  <c r="F22" i="48"/>
  <c r="D17" i="48"/>
  <c r="F17" i="48" s="1"/>
  <c r="F31" i="48"/>
  <c r="F35" i="48"/>
  <c r="L12" i="48"/>
  <c r="N12" i="48" s="1"/>
  <c r="F59" i="48"/>
  <c r="F50" i="48"/>
  <c r="P76" i="48"/>
  <c r="X17" i="48"/>
  <c r="Z17" i="48" s="1"/>
  <c r="F97" i="45"/>
  <c r="F96" i="45"/>
  <c r="F77" i="45"/>
  <c r="F57" i="45"/>
  <c r="F56" i="45"/>
  <c r="F49" i="45"/>
  <c r="F45" i="45"/>
  <c r="F41" i="45"/>
  <c r="F40" i="45"/>
  <c r="F92" i="45"/>
  <c r="F88" i="45"/>
  <c r="F68" i="45"/>
  <c r="F67" i="45"/>
  <c r="F36" i="45"/>
  <c r="F32" i="45"/>
  <c r="F99" i="45"/>
  <c r="F98" i="45"/>
  <c r="F83" i="45"/>
  <c r="F59" i="45"/>
  <c r="F58" i="45"/>
  <c r="F23" i="45"/>
  <c r="F101" i="45"/>
  <c r="F100" i="45"/>
  <c r="F93" i="45"/>
  <c r="F89" i="45"/>
  <c r="F61" i="45"/>
  <c r="F60" i="45"/>
  <c r="F37" i="45"/>
  <c r="F33" i="45"/>
  <c r="F84" i="45"/>
  <c r="F72" i="45"/>
  <c r="F71" i="45"/>
  <c r="F52" i="45"/>
  <c r="F51" i="45"/>
  <c r="F24" i="45"/>
  <c r="F79" i="45"/>
  <c r="F47" i="45"/>
  <c r="F43" i="45"/>
  <c r="F102" i="45"/>
  <c r="F94" i="45"/>
  <c r="F90" i="45"/>
  <c r="F86" i="45"/>
  <c r="F85" i="45"/>
  <c r="F74" i="45"/>
  <c r="F73" i="45"/>
  <c r="F62" i="45"/>
  <c r="F54" i="45"/>
  <c r="F53" i="45"/>
  <c r="F38" i="45"/>
  <c r="F34" i="45"/>
  <c r="F30" i="45"/>
  <c r="F29" i="45"/>
  <c r="L12" i="45"/>
  <c r="N12" i="45" s="1"/>
  <c r="F81" i="45"/>
  <c r="F80" i="45"/>
  <c r="F28" i="45"/>
  <c r="F26" i="45"/>
  <c r="F108" i="45"/>
  <c r="F82" i="45"/>
  <c r="F66" i="45"/>
  <c r="F65" i="45"/>
  <c r="F22" i="45"/>
  <c r="F21" i="45"/>
  <c r="F69" i="45"/>
  <c r="F39" i="45"/>
  <c r="F35" i="45"/>
  <c r="F31" i="45"/>
  <c r="D26" i="45"/>
  <c r="F76" i="45"/>
  <c r="F63" i="45"/>
  <c r="F70" i="45"/>
  <c r="F42" i="45"/>
  <c r="F87" i="45"/>
  <c r="F55" i="45"/>
  <c r="F104" i="45"/>
  <c r="F95" i="45"/>
  <c r="F91" i="45"/>
  <c r="F78" i="45"/>
  <c r="F44" i="45"/>
  <c r="F64" i="45"/>
  <c r="F75" i="45"/>
  <c r="F50" i="45"/>
  <c r="F48" i="45"/>
  <c r="F46" i="45"/>
  <c r="H169" i="30"/>
  <c r="H120" i="21"/>
  <c r="N31" i="21"/>
  <c r="J172" i="12"/>
  <c r="R136" i="27"/>
  <c r="R108" i="27"/>
  <c r="R104" i="27"/>
  <c r="R97" i="27"/>
  <c r="R96" i="27"/>
  <c r="R60" i="27"/>
  <c r="R56" i="27"/>
  <c r="R52" i="27"/>
  <c r="R48" i="27"/>
  <c r="R137" i="27"/>
  <c r="R120" i="27"/>
  <c r="R119" i="27"/>
  <c r="R88" i="27"/>
  <c r="R87" i="27"/>
  <c r="R83" i="27"/>
  <c r="R79" i="27"/>
  <c r="R44" i="27"/>
  <c r="R127" i="27"/>
  <c r="R126" i="27"/>
  <c r="R114" i="27"/>
  <c r="R98" i="27"/>
  <c r="R74" i="27"/>
  <c r="R70" i="27"/>
  <c r="R121" i="27"/>
  <c r="R109" i="27"/>
  <c r="R105" i="27"/>
  <c r="R90" i="27"/>
  <c r="R89" i="27"/>
  <c r="R66" i="27"/>
  <c r="R61" i="27"/>
  <c r="R57" i="27"/>
  <c r="R53" i="27"/>
  <c r="R49" i="27"/>
  <c r="R45" i="27"/>
  <c r="R129" i="27"/>
  <c r="R128" i="27"/>
  <c r="R84" i="27"/>
  <c r="R80" i="27"/>
  <c r="R65" i="27"/>
  <c r="X12" i="27"/>
  <c r="Z12" i="27" s="1"/>
  <c r="R141" i="27"/>
  <c r="R115" i="27"/>
  <c r="R100" i="27"/>
  <c r="R99" i="27"/>
  <c r="R91" i="27"/>
  <c r="R75" i="27"/>
  <c r="R71" i="27"/>
  <c r="R67" i="27"/>
  <c r="P63" i="27"/>
  <c r="R63" i="27" s="1"/>
  <c r="R130" i="27"/>
  <c r="R122" i="27"/>
  <c r="R110" i="27"/>
  <c r="R106" i="27"/>
  <c r="R58" i="27"/>
  <c r="R54" i="27"/>
  <c r="R50" i="27"/>
  <c r="R46" i="27"/>
  <c r="R102" i="27"/>
  <c r="R101" i="27"/>
  <c r="R85" i="27"/>
  <c r="R81" i="27"/>
  <c r="R117" i="27"/>
  <c r="R116" i="27"/>
  <c r="R93" i="27"/>
  <c r="R92" i="27"/>
  <c r="R77" i="27"/>
  <c r="R76" i="27"/>
  <c r="R72" i="27"/>
  <c r="R68" i="27"/>
  <c r="R135" i="27"/>
  <c r="R125" i="27"/>
  <c r="R113" i="27"/>
  <c r="R73" i="27"/>
  <c r="R69" i="27"/>
  <c r="R124" i="27"/>
  <c r="R82" i="27"/>
  <c r="R112" i="27"/>
  <c r="R86" i="27"/>
  <c r="R59" i="27"/>
  <c r="R55" i="27"/>
  <c r="R133" i="27"/>
  <c r="R94" i="27"/>
  <c r="R51" i="27"/>
  <c r="R47" i="27"/>
  <c r="R123" i="27"/>
  <c r="R103" i="27"/>
  <c r="R118" i="27"/>
  <c r="R111" i="27"/>
  <c r="R78" i="27"/>
  <c r="R131" i="27"/>
  <c r="R134" i="27"/>
  <c r="R95" i="27"/>
  <c r="R107" i="27"/>
  <c r="T27" i="53"/>
  <c r="Z18" i="53"/>
  <c r="X18" i="49"/>
  <c r="P27" i="49"/>
  <c r="H27" i="44"/>
  <c r="N18" i="44"/>
  <c r="H27" i="47"/>
  <c r="N18" i="47"/>
  <c r="D27" i="44"/>
  <c r="L18" i="44"/>
  <c r="L18" i="41"/>
  <c r="D27" i="41"/>
  <c r="L18" i="40"/>
  <c r="D27" i="40"/>
  <c r="X18" i="37"/>
  <c r="P27" i="37"/>
  <c r="H27" i="34"/>
  <c r="N18" i="34"/>
  <c r="L18" i="31"/>
  <c r="D27" i="31"/>
  <c r="T27" i="35"/>
  <c r="Z18" i="35"/>
  <c r="L18" i="32"/>
  <c r="D27" i="32"/>
  <c r="X18" i="28"/>
  <c r="P27" i="28"/>
  <c r="D27" i="23"/>
  <c r="L18" i="23"/>
  <c r="T27" i="13"/>
  <c r="Z18" i="13"/>
  <c r="H27" i="29"/>
  <c r="N18" i="29"/>
  <c r="T27" i="11"/>
  <c r="Z18" i="11"/>
  <c r="L20" i="98"/>
  <c r="D53" i="98"/>
  <c r="L22" i="79"/>
  <c r="N22" i="79" s="1"/>
  <c r="D82" i="79"/>
  <c r="R126" i="74"/>
  <c r="R104" i="74"/>
  <c r="R96" i="74"/>
  <c r="R92" i="74"/>
  <c r="R85" i="74"/>
  <c r="R84" i="74"/>
  <c r="R76" i="74"/>
  <c r="R72" i="74"/>
  <c r="R68" i="74"/>
  <c r="R127" i="74"/>
  <c r="R116" i="74"/>
  <c r="R115" i="74"/>
  <c r="R111" i="74"/>
  <c r="R63" i="74"/>
  <c r="R59" i="74"/>
  <c r="R86" i="74"/>
  <c r="R112" i="74"/>
  <c r="R64" i="74"/>
  <c r="R60" i="74"/>
  <c r="R131" i="74"/>
  <c r="R120" i="74"/>
  <c r="R119" i="74"/>
  <c r="R100" i="74"/>
  <c r="R99" i="74"/>
  <c r="R88" i="74"/>
  <c r="R87" i="74"/>
  <c r="R80" i="74"/>
  <c r="R79" i="74"/>
  <c r="R51" i="74"/>
  <c r="R47" i="74"/>
  <c r="R43" i="74"/>
  <c r="R39" i="74"/>
  <c r="R107" i="74"/>
  <c r="R106" i="74"/>
  <c r="R94" i="74"/>
  <c r="R74" i="74"/>
  <c r="R70" i="74"/>
  <c r="R108" i="74"/>
  <c r="R57" i="74"/>
  <c r="R125" i="74"/>
  <c r="R124" i="74"/>
  <c r="R110" i="74"/>
  <c r="R109" i="74"/>
  <c r="R113" i="74"/>
  <c r="R105" i="74"/>
  <c r="R103" i="74"/>
  <c r="R95" i="74"/>
  <c r="R81" i="74"/>
  <c r="R122" i="74"/>
  <c r="R98" i="74"/>
  <c r="R93" i="74"/>
  <c r="R56" i="74"/>
  <c r="R46" i="74"/>
  <c r="R38" i="74"/>
  <c r="R101" i="74"/>
  <c r="R91" i="74"/>
  <c r="R65" i="74"/>
  <c r="R49" i="74"/>
  <c r="R41" i="74"/>
  <c r="R118" i="74"/>
  <c r="R61" i="74"/>
  <c r="R36" i="74"/>
  <c r="R89" i="74"/>
  <c r="R52" i="74"/>
  <c r="R44" i="74"/>
  <c r="R77" i="74"/>
  <c r="R121" i="74"/>
  <c r="R114" i="74"/>
  <c r="R82" i="74"/>
  <c r="R75" i="74"/>
  <c r="R50" i="74"/>
  <c r="R42" i="74"/>
  <c r="R102" i="74"/>
  <c r="R90" i="74"/>
  <c r="R73" i="74"/>
  <c r="R66" i="74"/>
  <c r="R45" i="74"/>
  <c r="R37" i="74"/>
  <c r="R78" i="74"/>
  <c r="R71" i="74"/>
  <c r="R62" i="74"/>
  <c r="R117" i="74"/>
  <c r="R83" i="74"/>
  <c r="R67" i="74"/>
  <c r="R48" i="74"/>
  <c r="R40" i="74"/>
  <c r="X12" i="74"/>
  <c r="Z12" i="74" s="1"/>
  <c r="P54" i="74"/>
  <c r="R97" i="74"/>
  <c r="R69" i="74"/>
  <c r="R58" i="74"/>
  <c r="D112" i="63"/>
  <c r="L16" i="63"/>
  <c r="L17" i="59"/>
  <c r="D74" i="59"/>
  <c r="Z18" i="32"/>
  <c r="T27" i="32"/>
  <c r="H27" i="7"/>
  <c r="N18" i="7"/>
  <c r="N23" i="105"/>
  <c r="H93" i="105"/>
  <c r="T99" i="107"/>
  <c r="F17" i="109"/>
  <c r="X17" i="109"/>
  <c r="Z17" i="109" s="1"/>
  <c r="R88" i="105"/>
  <c r="R87" i="105"/>
  <c r="R71" i="105"/>
  <c r="R64" i="105"/>
  <c r="R63" i="105"/>
  <c r="R52" i="105"/>
  <c r="R51" i="105"/>
  <c r="R35" i="105"/>
  <c r="R31" i="105"/>
  <c r="R27" i="105"/>
  <c r="P23" i="105"/>
  <c r="R23" i="105" s="1"/>
  <c r="R89" i="105"/>
  <c r="R81" i="105"/>
  <c r="R77" i="105"/>
  <c r="R66" i="105"/>
  <c r="R65" i="105"/>
  <c r="R54" i="105"/>
  <c r="R53" i="105"/>
  <c r="R45" i="105"/>
  <c r="R41" i="105"/>
  <c r="R18" i="105"/>
  <c r="R91" i="105"/>
  <c r="R72" i="105"/>
  <c r="R37" i="105"/>
  <c r="R36" i="105"/>
  <c r="R32" i="105"/>
  <c r="R28" i="105"/>
  <c r="X12" i="105"/>
  <c r="Z12" i="105" s="1"/>
  <c r="R67" i="105"/>
  <c r="R56" i="105"/>
  <c r="R55" i="105"/>
  <c r="R19" i="105"/>
  <c r="R82" i="105"/>
  <c r="R78" i="105"/>
  <c r="R46" i="105"/>
  <c r="R42" i="105"/>
  <c r="R38" i="105"/>
  <c r="R95" i="105"/>
  <c r="R73" i="105"/>
  <c r="R58" i="105"/>
  <c r="R57" i="105"/>
  <c r="R33" i="105"/>
  <c r="R29" i="105"/>
  <c r="R68" i="105"/>
  <c r="R20" i="105"/>
  <c r="R84" i="105"/>
  <c r="R83" i="105"/>
  <c r="R79" i="105"/>
  <c r="R60" i="105"/>
  <c r="R59" i="105"/>
  <c r="R48" i="105"/>
  <c r="R47" i="105"/>
  <c r="R43" i="105"/>
  <c r="R39" i="105"/>
  <c r="R80" i="105"/>
  <c r="R76" i="105"/>
  <c r="R44" i="105"/>
  <c r="R40" i="105"/>
  <c r="R25" i="105"/>
  <c r="R34" i="105"/>
  <c r="R75" i="105"/>
  <c r="R49" i="105"/>
  <c r="R86" i="105"/>
  <c r="R70" i="105"/>
  <c r="R61" i="105"/>
  <c r="R26" i="105"/>
  <c r="R50" i="105"/>
  <c r="R21" i="105"/>
  <c r="R85" i="105"/>
  <c r="R69" i="105"/>
  <c r="R62" i="105"/>
  <c r="R30" i="105"/>
  <c r="R74" i="105"/>
  <c r="T94" i="103"/>
  <c r="Z24" i="103"/>
  <c r="R82" i="100"/>
  <c r="R67" i="100"/>
  <c r="R66" i="100"/>
  <c r="R74" i="100"/>
  <c r="R62" i="100"/>
  <c r="R75" i="100"/>
  <c r="R64" i="100"/>
  <c r="R42" i="100"/>
  <c r="R38" i="100"/>
  <c r="R50" i="100"/>
  <c r="R49" i="100"/>
  <c r="R33" i="100"/>
  <c r="R29" i="100"/>
  <c r="R72" i="100"/>
  <c r="R69" i="100"/>
  <c r="R65" i="100"/>
  <c r="R61" i="100"/>
  <c r="R60" i="100"/>
  <c r="R20" i="100"/>
  <c r="R77" i="100"/>
  <c r="R73" i="100"/>
  <c r="R52" i="100"/>
  <c r="R51" i="100"/>
  <c r="R43" i="100"/>
  <c r="R39" i="100"/>
  <c r="R35" i="100"/>
  <c r="R34" i="100"/>
  <c r="R30" i="100"/>
  <c r="R54" i="100"/>
  <c r="R53" i="100"/>
  <c r="R26" i="100"/>
  <c r="R21" i="100"/>
  <c r="R44" i="100"/>
  <c r="R40" i="100"/>
  <c r="R36" i="100"/>
  <c r="R25" i="100"/>
  <c r="R78" i="100"/>
  <c r="R70" i="100"/>
  <c r="R56" i="100"/>
  <c r="R55" i="100"/>
  <c r="R31" i="100"/>
  <c r="R27" i="100"/>
  <c r="P23" i="100"/>
  <c r="R63" i="100"/>
  <c r="R68" i="100"/>
  <c r="R59" i="100"/>
  <c r="R48" i="100"/>
  <c r="R47" i="100"/>
  <c r="R19" i="100"/>
  <c r="R57" i="100"/>
  <c r="R18" i="100"/>
  <c r="R37" i="100"/>
  <c r="R58" i="100"/>
  <c r="R41" i="100"/>
  <c r="R28" i="100"/>
  <c r="X12" i="100"/>
  <c r="Z12" i="100" s="1"/>
  <c r="R45" i="100"/>
  <c r="R71" i="100"/>
  <c r="R32" i="100"/>
  <c r="R46" i="100"/>
  <c r="R93" i="97"/>
  <c r="R85" i="97"/>
  <c r="R81" i="97"/>
  <c r="R74" i="97"/>
  <c r="R59" i="97"/>
  <c r="R58" i="97"/>
  <c r="R51" i="97"/>
  <c r="R50" i="97"/>
  <c r="R34" i="97"/>
  <c r="R30" i="97"/>
  <c r="R87" i="97"/>
  <c r="R69" i="97"/>
  <c r="R26" i="97"/>
  <c r="R88" i="97"/>
  <c r="R84" i="97"/>
  <c r="R61" i="97"/>
  <c r="R60" i="97"/>
  <c r="R53" i="97"/>
  <c r="R52" i="97"/>
  <c r="R44" i="97"/>
  <c r="R40" i="97"/>
  <c r="R25" i="97"/>
  <c r="R94" i="97"/>
  <c r="R76" i="97"/>
  <c r="R75" i="97"/>
  <c r="R70" i="97"/>
  <c r="R63" i="97"/>
  <c r="R62" i="97"/>
  <c r="R54" i="97"/>
  <c r="R96" i="97"/>
  <c r="R89" i="97"/>
  <c r="R77" i="97"/>
  <c r="R45" i="97"/>
  <c r="R41" i="97"/>
  <c r="R37" i="97"/>
  <c r="R18" i="97"/>
  <c r="R90" i="97"/>
  <c r="R82" i="97"/>
  <c r="R65" i="97"/>
  <c r="R64" i="97"/>
  <c r="R32" i="97"/>
  <c r="R28" i="97"/>
  <c r="X12" i="97"/>
  <c r="Z12" i="97" s="1"/>
  <c r="R72" i="97"/>
  <c r="R71" i="97"/>
  <c r="R55" i="97"/>
  <c r="R19" i="97"/>
  <c r="R91" i="97"/>
  <c r="R79" i="97"/>
  <c r="R78" i="97"/>
  <c r="R66" i="97"/>
  <c r="R47" i="97"/>
  <c r="R46" i="97"/>
  <c r="R42" i="97"/>
  <c r="R38" i="97"/>
  <c r="R39" i="97"/>
  <c r="R27" i="97"/>
  <c r="R35" i="97"/>
  <c r="R33" i="97"/>
  <c r="R31" i="97"/>
  <c r="R29" i="97"/>
  <c r="R100" i="97"/>
  <c r="R67" i="97"/>
  <c r="R49" i="97"/>
  <c r="R83" i="97"/>
  <c r="R57" i="97"/>
  <c r="R43" i="97"/>
  <c r="R21" i="97"/>
  <c r="R68" i="97"/>
  <c r="R36" i="97"/>
  <c r="R80" i="97"/>
  <c r="R92" i="97"/>
  <c r="R73" i="97"/>
  <c r="P23" i="97"/>
  <c r="R56" i="97"/>
  <c r="R86" i="97"/>
  <c r="R48" i="97"/>
  <c r="R20" i="97"/>
  <c r="H102" i="91"/>
  <c r="N16" i="91"/>
  <c r="T109" i="91"/>
  <c r="J22" i="87"/>
  <c r="F87" i="92"/>
  <c r="F86" i="92"/>
  <c r="F80" i="92"/>
  <c r="F76" i="92"/>
  <c r="F64" i="92"/>
  <c r="F93" i="92"/>
  <c r="F71" i="92"/>
  <c r="F55" i="92"/>
  <c r="F19" i="92"/>
  <c r="F18" i="92"/>
  <c r="F81" i="92"/>
  <c r="F77" i="92"/>
  <c r="F65" i="92"/>
  <c r="F72" i="92"/>
  <c r="F56" i="92"/>
  <c r="F48" i="92"/>
  <c r="F47" i="92"/>
  <c r="F20" i="92"/>
  <c r="F95" i="92"/>
  <c r="F82" i="92"/>
  <c r="F43" i="92"/>
  <c r="F39" i="92"/>
  <c r="F78" i="92"/>
  <c r="F74" i="92"/>
  <c r="F73" i="92"/>
  <c r="F66" i="92"/>
  <c r="F58" i="92"/>
  <c r="F57" i="92"/>
  <c r="F50" i="92"/>
  <c r="F49" i="92"/>
  <c r="F34" i="92"/>
  <c r="F30" i="92"/>
  <c r="F89" i="92"/>
  <c r="F68" i="92"/>
  <c r="F67" i="92"/>
  <c r="F60" i="92"/>
  <c r="F59" i="92"/>
  <c r="F52" i="92"/>
  <c r="F51" i="92"/>
  <c r="F44" i="92"/>
  <c r="F40" i="92"/>
  <c r="F85" i="92"/>
  <c r="F45" i="92"/>
  <c r="F41" i="92"/>
  <c r="F37" i="92"/>
  <c r="F36" i="92"/>
  <c r="F91" i="92"/>
  <c r="F27" i="92"/>
  <c r="F75" i="92"/>
  <c r="F62" i="92"/>
  <c r="F32" i="92"/>
  <c r="F79" i="92"/>
  <c r="F23" i="92"/>
  <c r="F84" i="92"/>
  <c r="F69" i="92"/>
  <c r="F42" i="92"/>
  <c r="D23" i="92"/>
  <c r="F35" i="92"/>
  <c r="L12" i="92"/>
  <c r="N12" i="92" s="1"/>
  <c r="F63" i="92"/>
  <c r="F53" i="92"/>
  <c r="F38" i="92"/>
  <c r="F33" i="92"/>
  <c r="F28" i="92"/>
  <c r="F25" i="92"/>
  <c r="F70" i="92"/>
  <c r="F31" i="92"/>
  <c r="F98" i="92"/>
  <c r="F83" i="92"/>
  <c r="F46" i="92"/>
  <c r="F21" i="92"/>
  <c r="F61" i="92"/>
  <c r="F54" i="92"/>
  <c r="F26" i="92"/>
  <c r="F29" i="92"/>
  <c r="R30" i="85"/>
  <c r="R16" i="85"/>
  <c r="R17" i="85"/>
  <c r="R34" i="85"/>
  <c r="R23" i="85"/>
  <c r="R18" i="85"/>
  <c r="R22" i="85"/>
  <c r="R20" i="85"/>
  <c r="R25" i="85"/>
  <c r="R24" i="85"/>
  <c r="P20" i="85"/>
  <c r="R28" i="85"/>
  <c r="X12" i="85"/>
  <c r="Z12" i="85" s="1"/>
  <c r="R26" i="85"/>
  <c r="R27" i="85"/>
  <c r="H36" i="85"/>
  <c r="F22" i="82"/>
  <c r="R78" i="79"/>
  <c r="R59" i="79"/>
  <c r="R58" i="79"/>
  <c r="R47" i="79"/>
  <c r="R46" i="79"/>
  <c r="R18" i="79"/>
  <c r="R80" i="79"/>
  <c r="R66" i="79"/>
  <c r="R65" i="79"/>
  <c r="R41" i="79"/>
  <c r="R37" i="79"/>
  <c r="R72" i="79"/>
  <c r="R60" i="79"/>
  <c r="R49" i="79"/>
  <c r="R48" i="79"/>
  <c r="R32" i="79"/>
  <c r="R28" i="79"/>
  <c r="R67" i="79"/>
  <c r="R84" i="79"/>
  <c r="R51" i="79"/>
  <c r="R50" i="79"/>
  <c r="R42" i="79"/>
  <c r="R38" i="79"/>
  <c r="X12" i="79"/>
  <c r="Z12" i="79" s="1"/>
  <c r="R73" i="79"/>
  <c r="R61" i="79"/>
  <c r="R34" i="79"/>
  <c r="R33" i="79"/>
  <c r="R29" i="79"/>
  <c r="R68" i="79"/>
  <c r="R53" i="79"/>
  <c r="R52" i="79"/>
  <c r="R25" i="79"/>
  <c r="R20" i="79"/>
  <c r="R43" i="79"/>
  <c r="R39" i="79"/>
  <c r="R35" i="79"/>
  <c r="R24" i="79"/>
  <c r="R71" i="79"/>
  <c r="R31" i="79"/>
  <c r="R27" i="79"/>
  <c r="R74" i="79"/>
  <c r="R64" i="79"/>
  <c r="R26" i="79"/>
  <c r="R62" i="79"/>
  <c r="R44" i="79"/>
  <c r="R40" i="79"/>
  <c r="R36" i="79"/>
  <c r="R30" i="79"/>
  <c r="R77" i="79"/>
  <c r="R75" i="79"/>
  <c r="R56" i="79"/>
  <c r="R63" i="79"/>
  <c r="R54" i="79"/>
  <c r="R45" i="79"/>
  <c r="R69" i="79"/>
  <c r="R76" i="79"/>
  <c r="P22" i="79"/>
  <c r="R70" i="79"/>
  <c r="R55" i="79"/>
  <c r="R57" i="79"/>
  <c r="R17" i="79"/>
  <c r="R19" i="79"/>
  <c r="H92" i="88"/>
  <c r="H86" i="80"/>
  <c r="N22" i="80"/>
  <c r="R75" i="68"/>
  <c r="N16" i="60"/>
  <c r="H62" i="60"/>
  <c r="Z16" i="67"/>
  <c r="T65" i="67"/>
  <c r="Z16" i="63"/>
  <c r="T112" i="63"/>
  <c r="P38" i="55"/>
  <c r="X34" i="55"/>
  <c r="X16" i="54"/>
  <c r="J17" i="48"/>
  <c r="H76" i="48"/>
  <c r="Z34" i="55"/>
  <c r="T38" i="55"/>
  <c r="T142" i="36"/>
  <c r="J38" i="39"/>
  <c r="R131" i="42"/>
  <c r="P137" i="42"/>
  <c r="X31" i="42"/>
  <c r="Z31" i="42" s="1"/>
  <c r="R141" i="30"/>
  <c r="R114" i="30"/>
  <c r="R113" i="30"/>
  <c r="R89" i="30"/>
  <c r="R85" i="30"/>
  <c r="R161" i="30"/>
  <c r="R160" i="30"/>
  <c r="R153" i="30"/>
  <c r="R152" i="30"/>
  <c r="R148" i="30"/>
  <c r="R136" i="30"/>
  <c r="R105" i="30"/>
  <c r="R104" i="30"/>
  <c r="R96" i="30"/>
  <c r="R80" i="30"/>
  <c r="R76" i="30"/>
  <c r="R128" i="30"/>
  <c r="R127" i="30"/>
  <c r="R123" i="30"/>
  <c r="R119" i="30"/>
  <c r="R115" i="30"/>
  <c r="R72" i="30"/>
  <c r="R67" i="30"/>
  <c r="R63" i="30"/>
  <c r="R59" i="30"/>
  <c r="R55" i="30"/>
  <c r="R51" i="30"/>
  <c r="R47" i="30"/>
  <c r="R165" i="30"/>
  <c r="R164" i="30"/>
  <c r="R149" i="30"/>
  <c r="R137" i="30"/>
  <c r="R130" i="30"/>
  <c r="R129" i="30"/>
  <c r="R98" i="30"/>
  <c r="R97" i="30"/>
  <c r="R82" i="30"/>
  <c r="R81" i="30"/>
  <c r="R77" i="30"/>
  <c r="R73" i="30"/>
  <c r="R166" i="30"/>
  <c r="R144" i="30"/>
  <c r="R124" i="30"/>
  <c r="R120" i="30"/>
  <c r="R116" i="30"/>
  <c r="R108" i="30"/>
  <c r="R64" i="30"/>
  <c r="R60" i="30"/>
  <c r="R56" i="30"/>
  <c r="R52" i="30"/>
  <c r="R48" i="30"/>
  <c r="R167" i="30"/>
  <c r="R156" i="30"/>
  <c r="R155" i="30"/>
  <c r="R132" i="30"/>
  <c r="R131" i="30"/>
  <c r="R100" i="30"/>
  <c r="R99" i="30"/>
  <c r="R91" i="30"/>
  <c r="R87" i="30"/>
  <c r="R83" i="30"/>
  <c r="R44" i="30"/>
  <c r="R150" i="30"/>
  <c r="R139" i="30"/>
  <c r="R138" i="30"/>
  <c r="R78" i="30"/>
  <c r="R74" i="30"/>
  <c r="R158" i="30"/>
  <c r="R157" i="30"/>
  <c r="R146" i="30"/>
  <c r="R145" i="30"/>
  <c r="R133" i="30"/>
  <c r="R125" i="30"/>
  <c r="R121" i="30"/>
  <c r="R117" i="30"/>
  <c r="R110" i="30"/>
  <c r="R109" i="30"/>
  <c r="R101" i="30"/>
  <c r="R65" i="30"/>
  <c r="R61" i="30"/>
  <c r="R57" i="30"/>
  <c r="R53" i="30"/>
  <c r="R49" i="30"/>
  <c r="R45" i="30"/>
  <c r="R135" i="30"/>
  <c r="R134" i="30"/>
  <c r="R126" i="30"/>
  <c r="R122" i="30"/>
  <c r="R118" i="30"/>
  <c r="R103" i="30"/>
  <c r="R102" i="30"/>
  <c r="R95" i="30"/>
  <c r="R94" i="30"/>
  <c r="R66" i="30"/>
  <c r="R62" i="30"/>
  <c r="R58" i="30"/>
  <c r="R54" i="30"/>
  <c r="R50" i="30"/>
  <c r="R46" i="30"/>
  <c r="R111" i="30"/>
  <c r="R171" i="30"/>
  <c r="R143" i="30"/>
  <c r="R106" i="30"/>
  <c r="R154" i="30"/>
  <c r="R112" i="30"/>
  <c r="R162" i="30"/>
  <c r="R92" i="30"/>
  <c r="R90" i="30"/>
  <c r="R88" i="30"/>
  <c r="R86" i="30"/>
  <c r="R84" i="30"/>
  <c r="R71" i="30"/>
  <c r="X12" i="30"/>
  <c r="Z12" i="30" s="1"/>
  <c r="R147" i="30"/>
  <c r="R107" i="30"/>
  <c r="R159" i="30"/>
  <c r="R142" i="30"/>
  <c r="R79" i="30"/>
  <c r="P69" i="30"/>
  <c r="R151" i="30"/>
  <c r="R140" i="30"/>
  <c r="R93" i="30"/>
  <c r="R69" i="30"/>
  <c r="R75" i="30"/>
  <c r="T168" i="24"/>
  <c r="V69" i="30"/>
  <c r="R262" i="15"/>
  <c r="R254" i="15"/>
  <c r="R250" i="15"/>
  <c r="R246" i="15"/>
  <c r="R242" i="15"/>
  <c r="R238" i="15"/>
  <c r="R234" i="15"/>
  <c r="R230" i="15"/>
  <c r="R226" i="15"/>
  <c r="R222" i="15"/>
  <c r="R199" i="15"/>
  <c r="R198" i="15"/>
  <c r="R190" i="15"/>
  <c r="R186" i="15"/>
  <c r="R182" i="15"/>
  <c r="R297" i="15"/>
  <c r="R290" i="15"/>
  <c r="R289" i="15"/>
  <c r="R273" i="15"/>
  <c r="R214" i="15"/>
  <c r="R213" i="15"/>
  <c r="R205" i="15"/>
  <c r="R177" i="15"/>
  <c r="R173" i="15"/>
  <c r="R312" i="15"/>
  <c r="R300" i="15"/>
  <c r="R299" i="15"/>
  <c r="R284" i="15"/>
  <c r="R280" i="15"/>
  <c r="R268" i="15"/>
  <c r="R200" i="15"/>
  <c r="R164" i="15"/>
  <c r="R160" i="15"/>
  <c r="R156" i="15"/>
  <c r="R152" i="15"/>
  <c r="R148" i="15"/>
  <c r="R144" i="15"/>
  <c r="R140" i="15"/>
  <c r="R136" i="15"/>
  <c r="R132" i="15"/>
  <c r="R128" i="15"/>
  <c r="R124" i="15"/>
  <c r="R120" i="15"/>
  <c r="R116" i="15"/>
  <c r="R302" i="15"/>
  <c r="R275" i="15"/>
  <c r="R274" i="15"/>
  <c r="R207" i="15"/>
  <c r="R206" i="15"/>
  <c r="R178" i="15"/>
  <c r="R174" i="15"/>
  <c r="R303" i="15"/>
  <c r="R293" i="15"/>
  <c r="R285" i="15"/>
  <c r="R281" i="15"/>
  <c r="R270" i="15"/>
  <c r="R269" i="15"/>
  <c r="R258" i="15"/>
  <c r="R257" i="15"/>
  <c r="R201" i="15"/>
  <c r="R194" i="15"/>
  <c r="R193" i="15"/>
  <c r="R170" i="15"/>
  <c r="R165" i="15"/>
  <c r="R161" i="15"/>
  <c r="R157" i="15"/>
  <c r="R153" i="15"/>
  <c r="R149" i="15"/>
  <c r="R145" i="15"/>
  <c r="R141" i="15"/>
  <c r="R137" i="15"/>
  <c r="R133" i="15"/>
  <c r="R129" i="15"/>
  <c r="R125" i="15"/>
  <c r="R121" i="15"/>
  <c r="R117" i="15"/>
  <c r="R304" i="15"/>
  <c r="R276" i="15"/>
  <c r="R265" i="15"/>
  <c r="R264" i="15"/>
  <c r="R252" i="15"/>
  <c r="R248" i="15"/>
  <c r="R244" i="15"/>
  <c r="R240" i="15"/>
  <c r="R236" i="15"/>
  <c r="R232" i="15"/>
  <c r="R228" i="15"/>
  <c r="R224" i="15"/>
  <c r="R217" i="15"/>
  <c r="R216" i="15"/>
  <c r="R208" i="15"/>
  <c r="R188" i="15"/>
  <c r="R184" i="15"/>
  <c r="R169" i="15"/>
  <c r="R167" i="15"/>
  <c r="R305" i="15"/>
  <c r="R271" i="15"/>
  <c r="R260" i="15"/>
  <c r="R259" i="15"/>
  <c r="R195" i="15"/>
  <c r="R179" i="15"/>
  <c r="R175" i="15"/>
  <c r="R171" i="15"/>
  <c r="P167" i="15"/>
  <c r="R306" i="15"/>
  <c r="R294" i="15"/>
  <c r="R287" i="15"/>
  <c r="R286" i="15"/>
  <c r="R282" i="15"/>
  <c r="R266" i="15"/>
  <c r="R219" i="15"/>
  <c r="R218" i="15"/>
  <c r="R202" i="15"/>
  <c r="R162" i="15"/>
  <c r="R158" i="15"/>
  <c r="R154" i="15"/>
  <c r="R150" i="15"/>
  <c r="R146" i="15"/>
  <c r="R142" i="15"/>
  <c r="R138" i="15"/>
  <c r="R134" i="15"/>
  <c r="R130" i="15"/>
  <c r="R126" i="15"/>
  <c r="R122" i="15"/>
  <c r="R118" i="15"/>
  <c r="R296" i="15"/>
  <c r="R295" i="15"/>
  <c r="R283" i="15"/>
  <c r="R279" i="15"/>
  <c r="R267" i="15"/>
  <c r="R212" i="15"/>
  <c r="R211" i="15"/>
  <c r="R204" i="15"/>
  <c r="R203" i="15"/>
  <c r="R163" i="15"/>
  <c r="R159" i="15"/>
  <c r="R155" i="15"/>
  <c r="R151" i="15"/>
  <c r="R147" i="15"/>
  <c r="R143" i="15"/>
  <c r="R139" i="15"/>
  <c r="R135" i="15"/>
  <c r="R131" i="15"/>
  <c r="R127" i="15"/>
  <c r="R123" i="15"/>
  <c r="R119" i="15"/>
  <c r="R115" i="15"/>
  <c r="R227" i="15"/>
  <c r="R225" i="15"/>
  <c r="R197" i="15"/>
  <c r="R172" i="15"/>
  <c r="R291" i="15"/>
  <c r="R223" i="15"/>
  <c r="R215" i="15"/>
  <c r="R181" i="15"/>
  <c r="R308" i="15"/>
  <c r="R263" i="15"/>
  <c r="R261" i="15"/>
  <c r="R191" i="15"/>
  <c r="R189" i="15"/>
  <c r="R185" i="15"/>
  <c r="R183" i="15"/>
  <c r="R209" i="15"/>
  <c r="R187" i="15"/>
  <c r="R255" i="15"/>
  <c r="R253" i="15"/>
  <c r="R176" i="15"/>
  <c r="R292" i="15"/>
  <c r="R277" i="15"/>
  <c r="R251" i="15"/>
  <c r="R249" i="15"/>
  <c r="R247" i="15"/>
  <c r="R245" i="15"/>
  <c r="R220" i="15"/>
  <c r="R192" i="15"/>
  <c r="R307" i="15"/>
  <c r="R243" i="15"/>
  <c r="R241" i="15"/>
  <c r="R210" i="15"/>
  <c r="R196" i="15"/>
  <c r="R180" i="15"/>
  <c r="R114" i="15"/>
  <c r="X12" i="15"/>
  <c r="Z12" i="15" s="1"/>
  <c r="R301" i="15"/>
  <c r="R231" i="15"/>
  <c r="R229" i="15"/>
  <c r="R221" i="15"/>
  <c r="R233" i="15"/>
  <c r="R235" i="15"/>
  <c r="R237" i="15"/>
  <c r="R278" i="15"/>
  <c r="R239" i="15"/>
  <c r="R288" i="15"/>
  <c r="R272" i="15"/>
  <c r="R256" i="15"/>
  <c r="N206" i="3"/>
  <c r="H367" i="3"/>
  <c r="D22" i="6"/>
  <c r="L16" i="6"/>
  <c r="T27" i="111"/>
  <c r="Z18" i="111"/>
  <c r="L18" i="47"/>
  <c r="D27" i="47"/>
  <c r="T27" i="49"/>
  <c r="Z18" i="49"/>
  <c r="H27" i="41"/>
  <c r="N18" i="41"/>
  <c r="T27" i="34"/>
  <c r="Z18" i="34"/>
  <c r="X18" i="38"/>
  <c r="P27" i="38"/>
  <c r="X18" i="22"/>
  <c r="P27" i="22"/>
  <c r="X18" i="19"/>
  <c r="P27" i="19"/>
  <c r="D27" i="22"/>
  <c r="L18" i="22"/>
  <c r="D27" i="19"/>
  <c r="L18" i="19"/>
  <c r="T27" i="16"/>
  <c r="Z18" i="16"/>
  <c r="T27" i="5"/>
  <c r="Z18" i="5"/>
  <c r="T27" i="7"/>
  <c r="Z18" i="7"/>
  <c r="L18" i="10"/>
  <c r="D27" i="10"/>
  <c r="D31" i="10" l="1"/>
  <c r="L27" i="10"/>
  <c r="Z27" i="7"/>
  <c r="T31" i="7"/>
  <c r="P310" i="15"/>
  <c r="X167" i="15"/>
  <c r="Z167" i="15" s="1"/>
  <c r="P32" i="85"/>
  <c r="X20" i="85"/>
  <c r="Z20" i="85" s="1"/>
  <c r="P129" i="74"/>
  <c r="X54" i="74"/>
  <c r="Z54" i="74" s="1"/>
  <c r="P99" i="107"/>
  <c r="X95" i="107"/>
  <c r="Z95" i="107" s="1"/>
  <c r="R95" i="107"/>
  <c r="J110" i="95"/>
  <c r="N27" i="22"/>
  <c r="H31" i="22"/>
  <c r="D31" i="54"/>
  <c r="L27" i="38"/>
  <c r="D31" i="38"/>
  <c r="X27" i="52"/>
  <c r="P31" i="52"/>
  <c r="X367" i="3"/>
  <c r="P371" i="3"/>
  <c r="R367" i="3"/>
  <c r="H84" i="78"/>
  <c r="D95" i="107"/>
  <c r="L23" i="107"/>
  <c r="Z27" i="10"/>
  <c r="T31" i="10"/>
  <c r="T31" i="41"/>
  <c r="Z27" i="41"/>
  <c r="X152" i="68"/>
  <c r="P156" i="68"/>
  <c r="R152" i="68"/>
  <c r="H104" i="87"/>
  <c r="J100" i="87"/>
  <c r="X27" i="17"/>
  <c r="P31" i="17"/>
  <c r="L27" i="17"/>
  <c r="D31" i="17"/>
  <c r="X27" i="47"/>
  <c r="P31" i="47"/>
  <c r="T85" i="57"/>
  <c r="N27" i="35"/>
  <c r="H31" i="35"/>
  <c r="V132" i="51"/>
  <c r="D104" i="87"/>
  <c r="L100" i="87"/>
  <c r="N100" i="87" s="1"/>
  <c r="P69" i="67"/>
  <c r="X65" i="67"/>
  <c r="D142" i="84"/>
  <c r="L54" i="84"/>
  <c r="N54" i="84" s="1"/>
  <c r="T31" i="38"/>
  <c r="Z27" i="38"/>
  <c r="H31" i="111"/>
  <c r="N27" i="111"/>
  <c r="P90" i="80"/>
  <c r="X86" i="80"/>
  <c r="R86" i="80"/>
  <c r="P50" i="108"/>
  <c r="X46" i="108"/>
  <c r="Z46" i="108" s="1"/>
  <c r="T31" i="34"/>
  <c r="Z27" i="34"/>
  <c r="H371" i="3"/>
  <c r="J367" i="3"/>
  <c r="T41" i="55"/>
  <c r="H66" i="60"/>
  <c r="Z94" i="103"/>
  <c r="T98" i="103"/>
  <c r="V94" i="103"/>
  <c r="Z27" i="11"/>
  <c r="T31" i="11"/>
  <c r="Z27" i="35"/>
  <c r="T31" i="35"/>
  <c r="D31" i="44"/>
  <c r="L27" i="44"/>
  <c r="H124" i="21"/>
  <c r="J120" i="21"/>
  <c r="X78" i="57"/>
  <c r="Z78" i="57" s="1"/>
  <c r="P82" i="57"/>
  <c r="H98" i="92"/>
  <c r="J95" i="92"/>
  <c r="N27" i="11"/>
  <c r="H31" i="11"/>
  <c r="L27" i="37"/>
  <c r="D31" i="37"/>
  <c r="P53" i="98"/>
  <c r="X20" i="98"/>
  <c r="D98" i="103"/>
  <c r="L94" i="103"/>
  <c r="F94" i="103"/>
  <c r="N27" i="10"/>
  <c r="H31" i="10"/>
  <c r="Z27" i="52"/>
  <c r="T31" i="52"/>
  <c r="T92" i="88"/>
  <c r="V88" i="88"/>
  <c r="P69" i="104"/>
  <c r="X65" i="104"/>
  <c r="R65" i="104"/>
  <c r="X27" i="11"/>
  <c r="P31" i="11"/>
  <c r="T80" i="109"/>
  <c r="V76" i="109"/>
  <c r="D31" i="26"/>
  <c r="L27" i="26"/>
  <c r="P74" i="59"/>
  <c r="X17" i="59"/>
  <c r="Z17" i="59" s="1"/>
  <c r="P82" i="58"/>
  <c r="X78" i="58"/>
  <c r="X27" i="4"/>
  <c r="P31" i="4"/>
  <c r="P31" i="34"/>
  <c r="X27" i="34"/>
  <c r="D81" i="78"/>
  <c r="L77" i="78"/>
  <c r="N77" i="78" s="1"/>
  <c r="F77" i="78"/>
  <c r="P116" i="63"/>
  <c r="X112" i="63"/>
  <c r="X27" i="5"/>
  <c r="P31" i="5"/>
  <c r="D98" i="97"/>
  <c r="L23" i="97"/>
  <c r="N23" i="97" s="1"/>
  <c r="P98" i="97"/>
  <c r="X23" i="97"/>
  <c r="Z23" i="97" s="1"/>
  <c r="P80" i="100"/>
  <c r="X23" i="100"/>
  <c r="Z23" i="100" s="1"/>
  <c r="H31" i="7"/>
  <c r="N27" i="7"/>
  <c r="D31" i="31"/>
  <c r="L27" i="31"/>
  <c r="L17" i="48"/>
  <c r="N17" i="48" s="1"/>
  <c r="D76" i="48"/>
  <c r="Z22" i="54"/>
  <c r="T26" i="54"/>
  <c r="X22" i="54"/>
  <c r="D92" i="75"/>
  <c r="L32" i="75"/>
  <c r="N32" i="75" s="1"/>
  <c r="X23" i="92"/>
  <c r="Z23" i="92" s="1"/>
  <c r="P91" i="92"/>
  <c r="D80" i="109"/>
  <c r="L76" i="109"/>
  <c r="F76" i="109"/>
  <c r="Z62" i="61"/>
  <c r="T66" i="61"/>
  <c r="D152" i="68"/>
  <c r="L75" i="68"/>
  <c r="N75" i="68" s="1"/>
  <c r="T98" i="92"/>
  <c r="V95" i="92"/>
  <c r="Z27" i="25"/>
  <c r="T31" i="25"/>
  <c r="X172" i="12"/>
  <c r="Z172" i="12" s="1"/>
  <c r="P323" i="12"/>
  <c r="H152" i="39"/>
  <c r="J148" i="39"/>
  <c r="L27" i="5"/>
  <c r="D31" i="5"/>
  <c r="P31" i="35"/>
  <c r="X27" i="35"/>
  <c r="X66" i="61"/>
  <c r="P69" i="61"/>
  <c r="H143" i="70"/>
  <c r="J139" i="70"/>
  <c r="L27" i="46"/>
  <c r="D31" i="46"/>
  <c r="T314" i="15"/>
  <c r="V310" i="15"/>
  <c r="H82" i="57"/>
  <c r="H31" i="50"/>
  <c r="N27" i="50"/>
  <c r="N27" i="19"/>
  <c r="H31" i="19"/>
  <c r="P31" i="50"/>
  <c r="X27" i="50"/>
  <c r="D41" i="55"/>
  <c r="H101" i="83"/>
  <c r="J97" i="83"/>
  <c r="X27" i="8"/>
  <c r="P31" i="8"/>
  <c r="X23" i="94"/>
  <c r="Z23" i="94" s="1"/>
  <c r="P86" i="94"/>
  <c r="L120" i="21"/>
  <c r="N120" i="21" s="1"/>
  <c r="D124" i="21"/>
  <c r="F120" i="21"/>
  <c r="Z53" i="98"/>
  <c r="T57" i="98"/>
  <c r="N27" i="20"/>
  <c r="H31" i="20"/>
  <c r="D82" i="58"/>
  <c r="L78" i="58"/>
  <c r="N78" i="58" s="1"/>
  <c r="D85" i="93"/>
  <c r="L23" i="93"/>
  <c r="D68" i="102"/>
  <c r="L64" i="102"/>
  <c r="N64" i="102" s="1"/>
  <c r="N27" i="43"/>
  <c r="H31" i="43"/>
  <c r="T371" i="3"/>
  <c r="Z367" i="3"/>
  <c r="V367" i="3"/>
  <c r="H31" i="41"/>
  <c r="N27" i="41"/>
  <c r="H80" i="48"/>
  <c r="J76" i="48"/>
  <c r="P82" i="79"/>
  <c r="X22" i="79"/>
  <c r="Z22" i="79" s="1"/>
  <c r="Z27" i="32"/>
  <c r="T31" i="32"/>
  <c r="N27" i="29"/>
  <c r="H31" i="29"/>
  <c r="H31" i="47"/>
  <c r="N27" i="47"/>
  <c r="H173" i="30"/>
  <c r="J169" i="30"/>
  <c r="P89" i="93"/>
  <c r="X85" i="93"/>
  <c r="Z85" i="93" s="1"/>
  <c r="R85" i="93"/>
  <c r="H31" i="25"/>
  <c r="N27" i="25"/>
  <c r="Z27" i="50"/>
  <c r="T31" i="50"/>
  <c r="P120" i="21"/>
  <c r="X31" i="21"/>
  <c r="Z31" i="21" s="1"/>
  <c r="R31" i="21"/>
  <c r="H66" i="61"/>
  <c r="P71" i="102"/>
  <c r="N27" i="112"/>
  <c r="H31" i="112"/>
  <c r="X62" i="61"/>
  <c r="T93" i="94"/>
  <c r="V90" i="94"/>
  <c r="L27" i="53"/>
  <c r="D31" i="53"/>
  <c r="H107" i="9"/>
  <c r="D31" i="25"/>
  <c r="L27" i="25"/>
  <c r="P83" i="69"/>
  <c r="X79" i="69"/>
  <c r="R79" i="69"/>
  <c r="D106" i="91"/>
  <c r="L102" i="91"/>
  <c r="D31" i="11"/>
  <c r="L27" i="11"/>
  <c r="N27" i="26"/>
  <c r="H31" i="26"/>
  <c r="P125" i="76"/>
  <c r="X58" i="76"/>
  <c r="Z58" i="76" s="1"/>
  <c r="L27" i="7"/>
  <c r="D31" i="7"/>
  <c r="X27" i="40"/>
  <c r="P31" i="40"/>
  <c r="H141" i="42"/>
  <c r="J137" i="42"/>
  <c r="H149" i="84"/>
  <c r="J146" i="84"/>
  <c r="H81" i="59"/>
  <c r="H132" i="76"/>
  <c r="J129" i="76"/>
  <c r="T105" i="97"/>
  <c r="V102" i="97"/>
  <c r="D97" i="101"/>
  <c r="L25" i="101"/>
  <c r="N25" i="101" s="1"/>
  <c r="T101" i="101"/>
  <c r="V97" i="101"/>
  <c r="T104" i="87"/>
  <c r="V100" i="87"/>
  <c r="X32" i="75"/>
  <c r="Z32" i="75" s="1"/>
  <c r="P92" i="75"/>
  <c r="T96" i="75"/>
  <c r="V92" i="75"/>
  <c r="L32" i="85"/>
  <c r="N32" i="85" s="1"/>
  <c r="D36" i="85"/>
  <c r="T78" i="59"/>
  <c r="V74" i="59"/>
  <c r="P31" i="32"/>
  <c r="X27" i="32"/>
  <c r="D31" i="50"/>
  <c r="L27" i="50"/>
  <c r="D31" i="111"/>
  <c r="L27" i="111"/>
  <c r="L142" i="36"/>
  <c r="D146" i="36"/>
  <c r="F142" i="36"/>
  <c r="P139" i="70"/>
  <c r="X63" i="70"/>
  <c r="Z63" i="70" s="1"/>
  <c r="L54" i="74"/>
  <c r="N54" i="74" s="1"/>
  <c r="D129" i="74"/>
  <c r="D31" i="13"/>
  <c r="L27" i="13"/>
  <c r="F23" i="107"/>
  <c r="Z27" i="28"/>
  <c r="T31" i="28"/>
  <c r="H31" i="46"/>
  <c r="N27" i="46"/>
  <c r="X27" i="111"/>
  <c r="P31" i="111"/>
  <c r="Z27" i="29"/>
  <c r="T31" i="29"/>
  <c r="L17" i="9"/>
  <c r="D103" i="9"/>
  <c r="L82" i="56"/>
  <c r="D86" i="56"/>
  <c r="T83" i="69"/>
  <c r="Z79" i="69"/>
  <c r="V79" i="69"/>
  <c r="T129" i="76"/>
  <c r="V125" i="76"/>
  <c r="D103" i="95"/>
  <c r="L22" i="95"/>
  <c r="N22" i="95" s="1"/>
  <c r="T31" i="19"/>
  <c r="Z27" i="19"/>
  <c r="H98" i="103"/>
  <c r="N94" i="103"/>
  <c r="J94" i="103"/>
  <c r="H31" i="13"/>
  <c r="N27" i="13"/>
  <c r="T31" i="40"/>
  <c r="Z27" i="40"/>
  <c r="Z22" i="6"/>
  <c r="T26" i="6"/>
  <c r="H156" i="68"/>
  <c r="J152" i="68"/>
  <c r="Z64" i="102"/>
  <c r="T68" i="102"/>
  <c r="X68" i="102" s="1"/>
  <c r="P31" i="41"/>
  <c r="X27" i="41"/>
  <c r="Z27" i="16"/>
  <c r="T31" i="16"/>
  <c r="D31" i="19"/>
  <c r="L27" i="19"/>
  <c r="L27" i="22"/>
  <c r="D31" i="22"/>
  <c r="Z27" i="49"/>
  <c r="T31" i="49"/>
  <c r="X69" i="30"/>
  <c r="Z69" i="30" s="1"/>
  <c r="P169" i="30"/>
  <c r="D78" i="59"/>
  <c r="L74" i="59"/>
  <c r="N74" i="59" s="1"/>
  <c r="T31" i="13"/>
  <c r="Z27" i="13"/>
  <c r="N27" i="34"/>
  <c r="H31" i="34"/>
  <c r="N27" i="44"/>
  <c r="H31" i="44"/>
  <c r="L78" i="57"/>
  <c r="N78" i="57" s="1"/>
  <c r="D82" i="57"/>
  <c r="D80" i="100"/>
  <c r="L23" i="100"/>
  <c r="L63" i="27"/>
  <c r="N63" i="27" s="1"/>
  <c r="D139" i="27"/>
  <c r="X27" i="23"/>
  <c r="P31" i="23"/>
  <c r="H346" i="18"/>
  <c r="J342" i="18"/>
  <c r="D31" i="14"/>
  <c r="L27" i="14"/>
  <c r="N27" i="4"/>
  <c r="H31" i="4"/>
  <c r="L83" i="24"/>
  <c r="N83" i="24" s="1"/>
  <c r="D168" i="24"/>
  <c r="P106" i="45"/>
  <c r="X26" i="45"/>
  <c r="Z26" i="45" s="1"/>
  <c r="L63" i="70"/>
  <c r="N63" i="70" s="1"/>
  <c r="D139" i="70"/>
  <c r="L58" i="76"/>
  <c r="N58" i="76" s="1"/>
  <c r="D125" i="76"/>
  <c r="T53" i="108"/>
  <c r="P31" i="14"/>
  <c r="X27" i="14"/>
  <c r="H314" i="15"/>
  <c r="J310" i="15"/>
  <c r="T66" i="60"/>
  <c r="T81" i="78"/>
  <c r="Z77" i="78"/>
  <c r="V77" i="78"/>
  <c r="H86" i="56"/>
  <c r="N82" i="56"/>
  <c r="H86" i="79"/>
  <c r="J82" i="79"/>
  <c r="H31" i="8"/>
  <c r="N27" i="8"/>
  <c r="Z82" i="56"/>
  <c r="T86" i="56"/>
  <c r="X82" i="56"/>
  <c r="N27" i="31"/>
  <c r="H31" i="31"/>
  <c r="T346" i="18"/>
  <c r="V342" i="18"/>
  <c r="T119" i="33"/>
  <c r="V116" i="33"/>
  <c r="H129" i="51"/>
  <c r="J125" i="51"/>
  <c r="P31" i="13"/>
  <c r="X27" i="13"/>
  <c r="X27" i="19"/>
  <c r="P31" i="19"/>
  <c r="J36" i="85"/>
  <c r="H39" i="85"/>
  <c r="X27" i="37"/>
  <c r="P31" i="37"/>
  <c r="X27" i="49"/>
  <c r="P31" i="49"/>
  <c r="H99" i="107"/>
  <c r="T84" i="100"/>
  <c r="V80" i="100"/>
  <c r="L27" i="29"/>
  <c r="D31" i="29"/>
  <c r="T124" i="21"/>
  <c r="V120" i="21"/>
  <c r="V110" i="95"/>
  <c r="Z27" i="37"/>
  <c r="T31" i="37"/>
  <c r="R172" i="12"/>
  <c r="P142" i="36"/>
  <c r="X32" i="36"/>
  <c r="Z32" i="36" s="1"/>
  <c r="R32" i="36"/>
  <c r="Z97" i="83"/>
  <c r="T101" i="83"/>
  <c r="V97" i="83"/>
  <c r="X27" i="110"/>
  <c r="P31" i="110"/>
  <c r="T173" i="30"/>
  <c r="V169" i="30"/>
  <c r="P101" i="83"/>
  <c r="X97" i="83"/>
  <c r="R97" i="83"/>
  <c r="N27" i="37"/>
  <c r="H31" i="37"/>
  <c r="L27" i="52"/>
  <c r="D31" i="52"/>
  <c r="H143" i="27"/>
  <c r="J139" i="27"/>
  <c r="D31" i="8"/>
  <c r="L27" i="8"/>
  <c r="X27" i="20"/>
  <c r="P31" i="20"/>
  <c r="D327" i="12"/>
  <c r="L323" i="12"/>
  <c r="N323" i="12" s="1"/>
  <c r="F323" i="12"/>
  <c r="L23" i="88"/>
  <c r="D88" i="88"/>
  <c r="Z27" i="20"/>
  <c r="T31" i="20"/>
  <c r="T31" i="23"/>
  <c r="Z27" i="23"/>
  <c r="Z27" i="46"/>
  <c r="T31" i="46"/>
  <c r="L31" i="42"/>
  <c r="N31" i="42" s="1"/>
  <c r="D137" i="42"/>
  <c r="H99" i="75"/>
  <c r="J96" i="75"/>
  <c r="N27" i="17"/>
  <c r="H31" i="17"/>
  <c r="H31" i="49"/>
  <c r="N27" i="49"/>
  <c r="X94" i="103"/>
  <c r="P98" i="103"/>
  <c r="R94" i="103"/>
  <c r="L27" i="47"/>
  <c r="D31" i="47"/>
  <c r="H90" i="80"/>
  <c r="J86" i="80"/>
  <c r="R54" i="74"/>
  <c r="L27" i="23"/>
  <c r="D31" i="23"/>
  <c r="D50" i="108"/>
  <c r="L46" i="108"/>
  <c r="N46" i="108" s="1"/>
  <c r="D114" i="73"/>
  <c r="L55" i="73"/>
  <c r="N55" i="73" s="1"/>
  <c r="F55" i="73"/>
  <c r="D32" i="82"/>
  <c r="L28" i="82"/>
  <c r="F28" i="82"/>
  <c r="H71" i="102"/>
  <c r="L27" i="20"/>
  <c r="D31" i="20"/>
  <c r="X27" i="53"/>
  <c r="P31" i="53"/>
  <c r="H31" i="14"/>
  <c r="N27" i="14"/>
  <c r="Z27" i="47"/>
  <c r="T31" i="47"/>
  <c r="L62" i="61"/>
  <c r="N62" i="61" s="1"/>
  <c r="D66" i="61"/>
  <c r="P31" i="31"/>
  <c r="X27" i="31"/>
  <c r="L27" i="110"/>
  <c r="D31" i="110"/>
  <c r="T327" i="12"/>
  <c r="V323" i="12"/>
  <c r="T143" i="70"/>
  <c r="V139" i="70"/>
  <c r="P87" i="72"/>
  <c r="X27" i="72"/>
  <c r="Z27" i="72" s="1"/>
  <c r="L27" i="34"/>
  <c r="D31" i="34"/>
  <c r="T118" i="73"/>
  <c r="V114" i="73"/>
  <c r="H93" i="94"/>
  <c r="J90" i="94"/>
  <c r="H119" i="33"/>
  <c r="J116" i="33"/>
  <c r="H116" i="63"/>
  <c r="H59" i="99"/>
  <c r="R23" i="94"/>
  <c r="D31" i="49"/>
  <c r="L27" i="49"/>
  <c r="T146" i="84"/>
  <c r="V142" i="84"/>
  <c r="L27" i="43"/>
  <c r="D31" i="43"/>
  <c r="X27" i="26"/>
  <c r="P31" i="26"/>
  <c r="T107" i="9"/>
  <c r="X103" i="9"/>
  <c r="Z103" i="9"/>
  <c r="V103" i="9"/>
  <c r="Z27" i="110"/>
  <c r="T31" i="110"/>
  <c r="X27" i="22"/>
  <c r="P31" i="22"/>
  <c r="P141" i="42"/>
  <c r="X137" i="42"/>
  <c r="Z137" i="42" s="1"/>
  <c r="R137" i="42"/>
  <c r="X38" i="55"/>
  <c r="Z38" i="55" s="1"/>
  <c r="P41" i="55"/>
  <c r="X41" i="55" s="1"/>
  <c r="H95" i="88"/>
  <c r="D91" i="92"/>
  <c r="L23" i="92"/>
  <c r="N23" i="92" s="1"/>
  <c r="R23" i="97"/>
  <c r="P93" i="105"/>
  <c r="X23" i="105"/>
  <c r="Z23" i="105" s="1"/>
  <c r="L112" i="63"/>
  <c r="N112" i="63" s="1"/>
  <c r="D116" i="63"/>
  <c r="D86" i="79"/>
  <c r="L82" i="79"/>
  <c r="N82" i="79" s="1"/>
  <c r="X27" i="28"/>
  <c r="P31" i="28"/>
  <c r="L27" i="40"/>
  <c r="D31" i="40"/>
  <c r="X63" i="27"/>
  <c r="Z63" i="27" s="1"/>
  <c r="P139" i="27"/>
  <c r="X76" i="48"/>
  <c r="R76" i="48"/>
  <c r="P80" i="48"/>
  <c r="X27" i="16"/>
  <c r="P31" i="16"/>
  <c r="H60" i="98"/>
  <c r="N60" i="98" s="1"/>
  <c r="N57" i="98"/>
  <c r="D97" i="105"/>
  <c r="L93" i="105"/>
  <c r="F93" i="105"/>
  <c r="X27" i="44"/>
  <c r="P31" i="44"/>
  <c r="H110" i="45"/>
  <c r="J106" i="45"/>
  <c r="P125" i="51"/>
  <c r="X58" i="51"/>
  <c r="Z58" i="51" s="1"/>
  <c r="T92" i="93"/>
  <c r="V89" i="93"/>
  <c r="V155" i="39"/>
  <c r="Z152" i="68"/>
  <c r="T156" i="68"/>
  <c r="V152" i="68"/>
  <c r="T136" i="74"/>
  <c r="V133" i="74"/>
  <c r="P28" i="82"/>
  <c r="X22" i="82"/>
  <c r="Z22" i="82" s="1"/>
  <c r="H327" i="12"/>
  <c r="J323" i="12"/>
  <c r="L42" i="33"/>
  <c r="N42" i="33" s="1"/>
  <c r="D112" i="33"/>
  <c r="P148" i="39"/>
  <c r="X38" i="39"/>
  <c r="Z38" i="39" s="1"/>
  <c r="P92" i="88"/>
  <c r="X88" i="88"/>
  <c r="Z88" i="88" s="1"/>
  <c r="R88" i="88"/>
  <c r="Z78" i="58"/>
  <c r="T82" i="58"/>
  <c r="L367" i="3"/>
  <c r="N367" i="3" s="1"/>
  <c r="D371" i="3"/>
  <c r="F367" i="3"/>
  <c r="X83" i="24"/>
  <c r="Z83" i="24" s="1"/>
  <c r="P168" i="24"/>
  <c r="X22" i="6"/>
  <c r="P26" i="6"/>
  <c r="D148" i="39"/>
  <c r="L38" i="39"/>
  <c r="N38" i="39" s="1"/>
  <c r="V144" i="42"/>
  <c r="T31" i="17"/>
  <c r="Z27" i="17"/>
  <c r="Z27" i="31"/>
  <c r="T31" i="31"/>
  <c r="P59" i="99"/>
  <c r="X55" i="99"/>
  <c r="N27" i="32"/>
  <c r="H31" i="32"/>
  <c r="H31" i="52"/>
  <c r="N27" i="52"/>
  <c r="H26" i="6"/>
  <c r="N22" i="6"/>
  <c r="T116" i="63"/>
  <c r="Z112" i="63"/>
  <c r="H106" i="91"/>
  <c r="N102" i="91"/>
  <c r="R23" i="100"/>
  <c r="Z27" i="53"/>
  <c r="T31" i="53"/>
  <c r="L26" i="45"/>
  <c r="N26" i="45" s="1"/>
  <c r="D106" i="45"/>
  <c r="X54" i="84"/>
  <c r="Z54" i="84" s="1"/>
  <c r="P142" i="84"/>
  <c r="D59" i="99"/>
  <c r="L55" i="99"/>
  <c r="N55" i="99" s="1"/>
  <c r="H172" i="24"/>
  <c r="J168" i="24"/>
  <c r="L65" i="104"/>
  <c r="N65" i="104" s="1"/>
  <c r="D69" i="104"/>
  <c r="N27" i="23"/>
  <c r="H31" i="23"/>
  <c r="D169" i="30"/>
  <c r="L69" i="30"/>
  <c r="N69" i="30" s="1"/>
  <c r="L65" i="67"/>
  <c r="N65" i="67" s="1"/>
  <c r="D69" i="67"/>
  <c r="D90" i="80"/>
  <c r="L86" i="80"/>
  <c r="N86" i="80" s="1"/>
  <c r="H31" i="53"/>
  <c r="N27" i="53"/>
  <c r="L86" i="94"/>
  <c r="N86" i="94" s="1"/>
  <c r="D90" i="94"/>
  <c r="L58" i="51"/>
  <c r="N58" i="51" s="1"/>
  <c r="D125" i="51"/>
  <c r="T86" i="79"/>
  <c r="V82" i="79"/>
  <c r="X100" i="87"/>
  <c r="Z100" i="87" s="1"/>
  <c r="P104" i="87"/>
  <c r="R100" i="87"/>
  <c r="R22" i="82"/>
  <c r="L27" i="4"/>
  <c r="D31" i="4"/>
  <c r="L27" i="35"/>
  <c r="D31" i="35"/>
  <c r="N27" i="5"/>
  <c r="H31" i="5"/>
  <c r="Z27" i="14"/>
  <c r="T31" i="14"/>
  <c r="Z27" i="43"/>
  <c r="T31" i="43"/>
  <c r="V39" i="85"/>
  <c r="T69" i="104"/>
  <c r="Z65" i="104"/>
  <c r="V65" i="104"/>
  <c r="T91" i="72"/>
  <c r="V87" i="72"/>
  <c r="D342" i="18"/>
  <c r="L193" i="18"/>
  <c r="N193" i="18" s="1"/>
  <c r="T90" i="80"/>
  <c r="Z86" i="80"/>
  <c r="V86" i="80"/>
  <c r="P106" i="91"/>
  <c r="X102" i="91"/>
  <c r="Z102" i="91" s="1"/>
  <c r="X103" i="95"/>
  <c r="Z103" i="95" s="1"/>
  <c r="R103" i="95"/>
  <c r="P107" i="95"/>
  <c r="X27" i="112"/>
  <c r="P31" i="112"/>
  <c r="N27" i="40"/>
  <c r="H31" i="40"/>
  <c r="D31" i="112"/>
  <c r="L27" i="112"/>
  <c r="T146" i="27"/>
  <c r="V143" i="27"/>
  <c r="P114" i="73"/>
  <c r="X55" i="73"/>
  <c r="Z55" i="73" s="1"/>
  <c r="H80" i="109"/>
  <c r="N76" i="109"/>
  <c r="J76" i="109"/>
  <c r="X27" i="38"/>
  <c r="P31" i="38"/>
  <c r="T102" i="107"/>
  <c r="V99" i="107"/>
  <c r="L53" i="98"/>
  <c r="D57" i="98"/>
  <c r="L27" i="32"/>
  <c r="D31" i="32"/>
  <c r="L27" i="41"/>
  <c r="D31" i="41"/>
  <c r="L79" i="69"/>
  <c r="N79" i="69" s="1"/>
  <c r="D83" i="69"/>
  <c r="F32" i="75"/>
  <c r="X27" i="25"/>
  <c r="P31" i="25"/>
  <c r="T80" i="48"/>
  <c r="Z76" i="48"/>
  <c r="V76" i="48"/>
  <c r="N28" i="82"/>
  <c r="H32" i="82"/>
  <c r="J28" i="82"/>
  <c r="Z27" i="22"/>
  <c r="T31" i="22"/>
  <c r="X193" i="18"/>
  <c r="Z193" i="18" s="1"/>
  <c r="P342" i="18"/>
  <c r="F69" i="30"/>
  <c r="X27" i="43"/>
  <c r="P31" i="43"/>
  <c r="N27" i="110"/>
  <c r="H31" i="110"/>
  <c r="H86" i="69"/>
  <c r="J83" i="69"/>
  <c r="Z55" i="99"/>
  <c r="T59" i="99"/>
  <c r="H102" i="97"/>
  <c r="J98" i="97"/>
  <c r="X27" i="46"/>
  <c r="P31" i="46"/>
  <c r="R83" i="24"/>
  <c r="N142" i="36"/>
  <c r="H146" i="36"/>
  <c r="J142" i="36"/>
  <c r="H91" i="72"/>
  <c r="J87" i="72"/>
  <c r="H50" i="108"/>
  <c r="R58" i="76"/>
  <c r="H31" i="28"/>
  <c r="N27" i="28"/>
  <c r="N27" i="38"/>
  <c r="H31" i="38"/>
  <c r="X62" i="60"/>
  <c r="Z62" i="60" s="1"/>
  <c r="P66" i="60"/>
  <c r="D87" i="72"/>
  <c r="L27" i="72"/>
  <c r="N27" i="72" s="1"/>
  <c r="T31" i="4"/>
  <c r="Z27" i="4"/>
  <c r="Z27" i="26"/>
  <c r="T31" i="26"/>
  <c r="L97" i="83"/>
  <c r="N97" i="83" s="1"/>
  <c r="D101" i="83"/>
  <c r="X80" i="109"/>
  <c r="P83" i="109"/>
  <c r="R80" i="109"/>
  <c r="T113" i="45"/>
  <c r="V110" i="45"/>
  <c r="Z27" i="111"/>
  <c r="T31" i="111"/>
  <c r="T31" i="5"/>
  <c r="Z27" i="5"/>
  <c r="D26" i="6"/>
  <c r="L22" i="6"/>
  <c r="T172" i="24"/>
  <c r="V168" i="24"/>
  <c r="T146" i="36"/>
  <c r="V142" i="36"/>
  <c r="T69" i="67"/>
  <c r="Z65" i="67"/>
  <c r="R22" i="79"/>
  <c r="H97" i="105"/>
  <c r="N93" i="105"/>
  <c r="J93" i="105"/>
  <c r="R23" i="92"/>
  <c r="P97" i="101"/>
  <c r="X25" i="101"/>
  <c r="Z25" i="101" s="1"/>
  <c r="T31" i="8"/>
  <c r="Z27" i="8"/>
  <c r="N34" i="55"/>
  <c r="H38" i="55"/>
  <c r="H118" i="73"/>
  <c r="J114" i="73"/>
  <c r="T100" i="105"/>
  <c r="V97" i="105"/>
  <c r="P31" i="29"/>
  <c r="X27" i="29"/>
  <c r="T31" i="44"/>
  <c r="Z27" i="44"/>
  <c r="H69" i="67"/>
  <c r="H133" i="74"/>
  <c r="J129" i="74"/>
  <c r="H101" i="101"/>
  <c r="J97" i="101"/>
  <c r="P31" i="10"/>
  <c r="X27" i="10"/>
  <c r="D310" i="15"/>
  <c r="L167" i="15"/>
  <c r="N167" i="15" s="1"/>
  <c r="P81" i="78"/>
  <c r="X77" i="78"/>
  <c r="R77" i="78"/>
  <c r="H85" i="58"/>
  <c r="D66" i="60"/>
  <c r="L62" i="60"/>
  <c r="N62" i="60" s="1"/>
  <c r="N27" i="16"/>
  <c r="H31" i="16"/>
  <c r="L27" i="16"/>
  <c r="D31" i="16"/>
  <c r="X42" i="33"/>
  <c r="Z42" i="33" s="1"/>
  <c r="P112" i="33"/>
  <c r="D31" i="28"/>
  <c r="L27" i="28"/>
  <c r="Z27" i="112"/>
  <c r="T31" i="112"/>
  <c r="X27" i="7"/>
  <c r="P31" i="7"/>
  <c r="H26" i="54"/>
  <c r="N22" i="54"/>
  <c r="X76" i="109"/>
  <c r="Z76" i="109" s="1"/>
  <c r="L342" i="18" l="1"/>
  <c r="N342" i="18" s="1"/>
  <c r="D346" i="18"/>
  <c r="F342" i="18"/>
  <c r="P116" i="33"/>
  <c r="X112" i="33"/>
  <c r="Z112" i="33" s="1"/>
  <c r="R112" i="33"/>
  <c r="N26" i="54"/>
  <c r="H31" i="54"/>
  <c r="H41" i="55"/>
  <c r="Z69" i="67"/>
  <c r="T72" i="67"/>
  <c r="T36" i="4"/>
  <c r="Z36" i="4" s="1"/>
  <c r="Z31" i="4"/>
  <c r="P118" i="73"/>
  <c r="X114" i="73"/>
  <c r="Z114" i="73" s="1"/>
  <c r="R114" i="73"/>
  <c r="L31" i="35"/>
  <c r="D36" i="35"/>
  <c r="H31" i="6"/>
  <c r="N26" i="6"/>
  <c r="H330" i="12"/>
  <c r="N327" i="12"/>
  <c r="J327" i="12"/>
  <c r="J119" i="33"/>
  <c r="D36" i="8"/>
  <c r="L31" i="8"/>
  <c r="P104" i="83"/>
  <c r="X101" i="83"/>
  <c r="Z101" i="83" s="1"/>
  <c r="R101" i="83"/>
  <c r="V119" i="33"/>
  <c r="L31" i="14"/>
  <c r="D36" i="14"/>
  <c r="H36" i="44"/>
  <c r="N36" i="44" s="1"/>
  <c r="N31" i="44"/>
  <c r="L31" i="22"/>
  <c r="D36" i="22"/>
  <c r="H159" i="68"/>
  <c r="J156" i="68"/>
  <c r="L86" i="56"/>
  <c r="D89" i="56"/>
  <c r="Z31" i="28"/>
  <c r="T36" i="28"/>
  <c r="Z36" i="28" s="1"/>
  <c r="L146" i="36"/>
  <c r="D149" i="36"/>
  <c r="F146" i="36"/>
  <c r="D36" i="25"/>
  <c r="L31" i="25"/>
  <c r="Z31" i="32"/>
  <c r="T36" i="32"/>
  <c r="Z36" i="32" s="1"/>
  <c r="Z57" i="98"/>
  <c r="T60" i="98"/>
  <c r="Z60" i="98" s="1"/>
  <c r="H85" i="57"/>
  <c r="X74" i="59"/>
  <c r="Z74" i="59" s="1"/>
  <c r="P78" i="59"/>
  <c r="D36" i="44"/>
  <c r="L31" i="44"/>
  <c r="X31" i="47"/>
  <c r="P36" i="47"/>
  <c r="H136" i="74"/>
  <c r="J133" i="74"/>
  <c r="L137" i="42"/>
  <c r="N137" i="42" s="1"/>
  <c r="D141" i="42"/>
  <c r="Z31" i="44"/>
  <c r="T36" i="44"/>
  <c r="Z36" i="44" s="1"/>
  <c r="H94" i="72"/>
  <c r="J91" i="72"/>
  <c r="H105" i="97"/>
  <c r="J102" i="97"/>
  <c r="T83" i="48"/>
  <c r="V80" i="48"/>
  <c r="L57" i="98"/>
  <c r="D60" i="98"/>
  <c r="L60" i="98" s="1"/>
  <c r="T72" i="104"/>
  <c r="V69" i="104"/>
  <c r="L90" i="94"/>
  <c r="N90" i="94" s="1"/>
  <c r="D93" i="94"/>
  <c r="L93" i="94" s="1"/>
  <c r="L69" i="104"/>
  <c r="N69" i="104" s="1"/>
  <c r="D72" i="104"/>
  <c r="L72" i="104" s="1"/>
  <c r="N72" i="104" s="1"/>
  <c r="T85" i="58"/>
  <c r="D100" i="105"/>
  <c r="L97" i="105"/>
  <c r="F97" i="105"/>
  <c r="L31" i="40"/>
  <c r="D36" i="40"/>
  <c r="L91" i="92"/>
  <c r="N91" i="92" s="1"/>
  <c r="D95" i="92"/>
  <c r="D36" i="49"/>
  <c r="L31" i="49"/>
  <c r="T36" i="23"/>
  <c r="Z36" i="23" s="1"/>
  <c r="Z31" i="23"/>
  <c r="Z31" i="37"/>
  <c r="T36" i="37"/>
  <c r="Z36" i="37" s="1"/>
  <c r="H36" i="8"/>
  <c r="N36" i="8" s="1"/>
  <c r="N31" i="8"/>
  <c r="H317" i="15"/>
  <c r="J314" i="15"/>
  <c r="T31" i="6"/>
  <c r="Z26" i="6"/>
  <c r="X125" i="76"/>
  <c r="Z125" i="76" s="1"/>
  <c r="P129" i="76"/>
  <c r="R125" i="76"/>
  <c r="H36" i="25"/>
  <c r="N36" i="25" s="1"/>
  <c r="N31" i="25"/>
  <c r="T376" i="3"/>
  <c r="V371" i="3"/>
  <c r="X80" i="100"/>
  <c r="Z80" i="100" s="1"/>
  <c r="P84" i="100"/>
  <c r="R80" i="100"/>
  <c r="P119" i="63"/>
  <c r="X116" i="63"/>
  <c r="Z92" i="88"/>
  <c r="T95" i="88"/>
  <c r="V92" i="88"/>
  <c r="N31" i="11"/>
  <c r="H36" i="11"/>
  <c r="N36" i="11" s="1"/>
  <c r="Z31" i="35"/>
  <c r="T36" i="35"/>
  <c r="Z36" i="35" s="1"/>
  <c r="H376" i="3"/>
  <c r="J371" i="3"/>
  <c r="H36" i="111"/>
  <c r="N36" i="111" s="1"/>
  <c r="N31" i="111"/>
  <c r="T36" i="41"/>
  <c r="Z36" i="41" s="1"/>
  <c r="Z31" i="41"/>
  <c r="X31" i="52"/>
  <c r="P36" i="52"/>
  <c r="P102" i="107"/>
  <c r="X99" i="107"/>
  <c r="Z99" i="107" s="1"/>
  <c r="R99" i="107"/>
  <c r="L101" i="83"/>
  <c r="D104" i="83"/>
  <c r="Z31" i="31"/>
  <c r="T36" i="31"/>
  <c r="Z36" i="31" s="1"/>
  <c r="L31" i="34"/>
  <c r="D36" i="34"/>
  <c r="L31" i="16"/>
  <c r="D36" i="16"/>
  <c r="P346" i="18"/>
  <c r="X342" i="18"/>
  <c r="Z342" i="18" s="1"/>
  <c r="R342" i="18"/>
  <c r="V146" i="27"/>
  <c r="X106" i="91"/>
  <c r="Z106" i="91" s="1"/>
  <c r="P109" i="91"/>
  <c r="X109" i="91" s="1"/>
  <c r="Z109" i="91" s="1"/>
  <c r="D36" i="4"/>
  <c r="L31" i="4"/>
  <c r="L106" i="45"/>
  <c r="N106" i="45" s="1"/>
  <c r="D110" i="45"/>
  <c r="F106" i="45"/>
  <c r="H36" i="52"/>
  <c r="N36" i="52" s="1"/>
  <c r="N31" i="52"/>
  <c r="P32" i="82"/>
  <c r="X28" i="82"/>
  <c r="Z28" i="82" s="1"/>
  <c r="R28" i="82"/>
  <c r="V92" i="93"/>
  <c r="T146" i="70"/>
  <c r="V143" i="70"/>
  <c r="L66" i="61"/>
  <c r="D69" i="61"/>
  <c r="H36" i="49"/>
  <c r="N36" i="49" s="1"/>
  <c r="N31" i="49"/>
  <c r="Z31" i="20"/>
  <c r="T36" i="20"/>
  <c r="Z36" i="20" s="1"/>
  <c r="H146" i="27"/>
  <c r="J143" i="27"/>
  <c r="T176" i="30"/>
  <c r="V173" i="30"/>
  <c r="T87" i="100"/>
  <c r="V84" i="100"/>
  <c r="X31" i="19"/>
  <c r="P36" i="19"/>
  <c r="H349" i="18"/>
  <c r="J346" i="18"/>
  <c r="N31" i="34"/>
  <c r="H36" i="34"/>
  <c r="N36" i="34" s="1"/>
  <c r="D107" i="9"/>
  <c r="L103" i="9"/>
  <c r="N103" i="9" s="1"/>
  <c r="N31" i="26"/>
  <c r="H36" i="26"/>
  <c r="N36" i="26" s="1"/>
  <c r="H110" i="9"/>
  <c r="N31" i="43"/>
  <c r="H36" i="43"/>
  <c r="N36" i="43" s="1"/>
  <c r="L41" i="55"/>
  <c r="L92" i="75"/>
  <c r="N92" i="75" s="1"/>
  <c r="D96" i="75"/>
  <c r="F92" i="75"/>
  <c r="D36" i="26"/>
  <c r="L31" i="26"/>
  <c r="Z31" i="52"/>
  <c r="T36" i="52"/>
  <c r="Z36" i="52" s="1"/>
  <c r="N31" i="35"/>
  <c r="H36" i="35"/>
  <c r="N36" i="35" s="1"/>
  <c r="L31" i="17"/>
  <c r="D36" i="17"/>
  <c r="Z31" i="10"/>
  <c r="T36" i="10"/>
  <c r="Z36" i="10" s="1"/>
  <c r="T159" i="68"/>
  <c r="V156" i="68"/>
  <c r="H36" i="28"/>
  <c r="N36" i="28" s="1"/>
  <c r="N31" i="28"/>
  <c r="P172" i="24"/>
  <c r="X168" i="24"/>
  <c r="Z168" i="24" s="1"/>
  <c r="R168" i="24"/>
  <c r="L310" i="15"/>
  <c r="N310" i="15" s="1"/>
  <c r="D314" i="15"/>
  <c r="F310" i="15"/>
  <c r="D91" i="72"/>
  <c r="L87" i="72"/>
  <c r="N87" i="72" s="1"/>
  <c r="F87" i="72"/>
  <c r="Z31" i="112"/>
  <c r="T36" i="112"/>
  <c r="Z36" i="112" s="1"/>
  <c r="P36" i="10"/>
  <c r="X31" i="10"/>
  <c r="P36" i="29"/>
  <c r="X31" i="29"/>
  <c r="T36" i="8"/>
  <c r="Z36" i="8" s="1"/>
  <c r="Z31" i="8"/>
  <c r="T149" i="36"/>
  <c r="V146" i="36"/>
  <c r="X66" i="60"/>
  <c r="P69" i="60"/>
  <c r="X69" i="60" s="1"/>
  <c r="N31" i="32"/>
  <c r="H36" i="32"/>
  <c r="N36" i="32" s="1"/>
  <c r="X31" i="28"/>
  <c r="P36" i="28"/>
  <c r="N93" i="94"/>
  <c r="J93" i="94"/>
  <c r="H93" i="80"/>
  <c r="J90" i="80"/>
  <c r="N31" i="17"/>
  <c r="H36" i="17"/>
  <c r="N36" i="17" s="1"/>
  <c r="T349" i="18"/>
  <c r="V346" i="18"/>
  <c r="H89" i="79"/>
  <c r="J86" i="79"/>
  <c r="D36" i="19"/>
  <c r="L31" i="19"/>
  <c r="Z31" i="19"/>
  <c r="T36" i="19"/>
  <c r="Z36" i="19" s="1"/>
  <c r="D36" i="111"/>
  <c r="L31" i="111"/>
  <c r="T99" i="75"/>
  <c r="V96" i="75"/>
  <c r="T104" i="101"/>
  <c r="V101" i="101"/>
  <c r="J149" i="84"/>
  <c r="L31" i="53"/>
  <c r="D36" i="53"/>
  <c r="P86" i="79"/>
  <c r="X82" i="79"/>
  <c r="Z82" i="79" s="1"/>
  <c r="R82" i="79"/>
  <c r="L124" i="21"/>
  <c r="D127" i="21"/>
  <c r="F124" i="21"/>
  <c r="L38" i="55"/>
  <c r="N38" i="55" s="1"/>
  <c r="P36" i="35"/>
  <c r="X31" i="35"/>
  <c r="V98" i="92"/>
  <c r="P102" i="97"/>
  <c r="X98" i="97"/>
  <c r="Z98" i="97" s="1"/>
  <c r="R98" i="97"/>
  <c r="Z31" i="11"/>
  <c r="T36" i="11"/>
  <c r="Z36" i="11" s="1"/>
  <c r="T36" i="38"/>
  <c r="Z36" i="38" s="1"/>
  <c r="Z31" i="38"/>
  <c r="L31" i="38"/>
  <c r="D36" i="38"/>
  <c r="X129" i="74"/>
  <c r="Z129" i="74" s="1"/>
  <c r="P133" i="74"/>
  <c r="R129" i="74"/>
  <c r="L83" i="69"/>
  <c r="N83" i="69" s="1"/>
  <c r="D86" i="69"/>
  <c r="L86" i="69" s="1"/>
  <c r="D31" i="6"/>
  <c r="L31" i="6" s="1"/>
  <c r="L26" i="6"/>
  <c r="N31" i="5"/>
  <c r="H36" i="5"/>
  <c r="N36" i="5" s="1"/>
  <c r="D116" i="33"/>
  <c r="L112" i="33"/>
  <c r="N112" i="33" s="1"/>
  <c r="F112" i="33"/>
  <c r="X31" i="7"/>
  <c r="P36" i="7"/>
  <c r="V113" i="45"/>
  <c r="X31" i="25"/>
  <c r="P36" i="25"/>
  <c r="N31" i="16"/>
  <c r="H36" i="16"/>
  <c r="N36" i="16" s="1"/>
  <c r="T62" i="99"/>
  <c r="Z31" i="22"/>
  <c r="T36" i="22"/>
  <c r="Z36" i="22" s="1"/>
  <c r="Z31" i="43"/>
  <c r="T36" i="43"/>
  <c r="Z36" i="43" s="1"/>
  <c r="H36" i="53"/>
  <c r="N36" i="53" s="1"/>
  <c r="N31" i="53"/>
  <c r="H175" i="24"/>
  <c r="J172" i="24"/>
  <c r="Z31" i="53"/>
  <c r="T36" i="53"/>
  <c r="Z36" i="53" s="1"/>
  <c r="V136" i="74"/>
  <c r="T110" i="9"/>
  <c r="V107" i="9"/>
  <c r="X107" i="9"/>
  <c r="Z107" i="9" s="1"/>
  <c r="T330" i="12"/>
  <c r="V327" i="12"/>
  <c r="Z31" i="47"/>
  <c r="T36" i="47"/>
  <c r="Z36" i="47" s="1"/>
  <c r="D35" i="82"/>
  <c r="L32" i="82"/>
  <c r="N32" i="82" s="1"/>
  <c r="F32" i="82"/>
  <c r="L88" i="88"/>
  <c r="N88" i="88" s="1"/>
  <c r="D92" i="88"/>
  <c r="L31" i="52"/>
  <c r="D36" i="52"/>
  <c r="X31" i="110"/>
  <c r="P36" i="110"/>
  <c r="H102" i="107"/>
  <c r="P36" i="14"/>
  <c r="X31" i="14"/>
  <c r="X106" i="45"/>
  <c r="Z106" i="45" s="1"/>
  <c r="P110" i="45"/>
  <c r="R106" i="45"/>
  <c r="X31" i="23"/>
  <c r="P36" i="23"/>
  <c r="Z31" i="16"/>
  <c r="T36" i="16"/>
  <c r="Z36" i="16" s="1"/>
  <c r="T36" i="40"/>
  <c r="Z36" i="40" s="1"/>
  <c r="Z31" i="40"/>
  <c r="T36" i="29"/>
  <c r="Z36" i="29" s="1"/>
  <c r="Z31" i="29"/>
  <c r="D36" i="13"/>
  <c r="L31" i="13"/>
  <c r="P96" i="75"/>
  <c r="X92" i="75"/>
  <c r="Z92" i="75" s="1"/>
  <c r="R92" i="75"/>
  <c r="X89" i="93"/>
  <c r="Z89" i="93" s="1"/>
  <c r="P92" i="93"/>
  <c r="R89" i="93"/>
  <c r="T317" i="15"/>
  <c r="V314" i="15"/>
  <c r="L31" i="5"/>
  <c r="D36" i="5"/>
  <c r="Z26" i="54"/>
  <c r="T31" i="54"/>
  <c r="X26" i="54"/>
  <c r="D84" i="78"/>
  <c r="L81" i="78"/>
  <c r="N81" i="78" s="1"/>
  <c r="F81" i="78"/>
  <c r="Z80" i="109"/>
  <c r="T83" i="109"/>
  <c r="V80" i="109"/>
  <c r="N31" i="10"/>
  <c r="H36" i="10"/>
  <c r="N36" i="10" s="1"/>
  <c r="T36" i="34"/>
  <c r="Z36" i="34" s="1"/>
  <c r="Z31" i="34"/>
  <c r="X31" i="17"/>
  <c r="P36" i="17"/>
  <c r="X141" i="42"/>
  <c r="Z141" i="42" s="1"/>
  <c r="P144" i="42"/>
  <c r="R141" i="42"/>
  <c r="X97" i="101"/>
  <c r="Z97" i="101" s="1"/>
  <c r="P101" i="101"/>
  <c r="R97" i="101"/>
  <c r="X83" i="109"/>
  <c r="R83" i="109"/>
  <c r="N31" i="38"/>
  <c r="H36" i="38"/>
  <c r="N36" i="38" s="1"/>
  <c r="V102" i="107"/>
  <c r="D36" i="112"/>
  <c r="L31" i="112"/>
  <c r="Z90" i="80"/>
  <c r="T93" i="80"/>
  <c r="V90" i="80"/>
  <c r="L148" i="39"/>
  <c r="N148" i="39" s="1"/>
  <c r="D152" i="39"/>
  <c r="F148" i="39"/>
  <c r="X92" i="88"/>
  <c r="P95" i="88"/>
  <c r="R92" i="88"/>
  <c r="X125" i="51"/>
  <c r="Z125" i="51" s="1"/>
  <c r="P129" i="51"/>
  <c r="R125" i="51"/>
  <c r="X31" i="26"/>
  <c r="P36" i="26"/>
  <c r="L31" i="47"/>
  <c r="D36" i="47"/>
  <c r="N31" i="31"/>
  <c r="H36" i="31"/>
  <c r="N36" i="31" s="1"/>
  <c r="D172" i="24"/>
  <c r="L168" i="24"/>
  <c r="N168" i="24" s="1"/>
  <c r="F168" i="24"/>
  <c r="T36" i="13"/>
  <c r="Z36" i="13" s="1"/>
  <c r="Z31" i="13"/>
  <c r="L103" i="95"/>
  <c r="N103" i="95" s="1"/>
  <c r="D107" i="95"/>
  <c r="D133" i="74"/>
  <c r="L129" i="74"/>
  <c r="N129" i="74" s="1"/>
  <c r="F129" i="74"/>
  <c r="L31" i="50"/>
  <c r="D36" i="50"/>
  <c r="D101" i="101"/>
  <c r="L97" i="101"/>
  <c r="N97" i="101" s="1"/>
  <c r="D36" i="11"/>
  <c r="L31" i="11"/>
  <c r="N66" i="61"/>
  <c r="H69" i="61"/>
  <c r="L68" i="102"/>
  <c r="N68" i="102" s="1"/>
  <c r="D71" i="102"/>
  <c r="L71" i="102" s="1"/>
  <c r="N71" i="102" s="1"/>
  <c r="P90" i="94"/>
  <c r="X86" i="94"/>
  <c r="Z86" i="94" s="1"/>
  <c r="R86" i="94"/>
  <c r="P36" i="50"/>
  <c r="X31" i="50"/>
  <c r="L31" i="46"/>
  <c r="D36" i="46"/>
  <c r="L152" i="68"/>
  <c r="N152" i="68" s="1"/>
  <c r="D156" i="68"/>
  <c r="D102" i="97"/>
  <c r="L98" i="97"/>
  <c r="N98" i="97" s="1"/>
  <c r="J98" i="92"/>
  <c r="D146" i="84"/>
  <c r="L142" i="84"/>
  <c r="N142" i="84" s="1"/>
  <c r="L95" i="107"/>
  <c r="N95" i="107" s="1"/>
  <c r="D99" i="107"/>
  <c r="F95" i="107"/>
  <c r="L26" i="54"/>
  <c r="P36" i="85"/>
  <c r="X32" i="85"/>
  <c r="Z32" i="85" s="1"/>
  <c r="R32" i="85"/>
  <c r="X31" i="53"/>
  <c r="P36" i="53"/>
  <c r="V100" i="105"/>
  <c r="L66" i="60"/>
  <c r="D69" i="60"/>
  <c r="H104" i="101"/>
  <c r="J101" i="101"/>
  <c r="T175" i="24"/>
  <c r="V172" i="24"/>
  <c r="N146" i="36"/>
  <c r="H149" i="36"/>
  <c r="J146" i="36"/>
  <c r="X31" i="38"/>
  <c r="P36" i="38"/>
  <c r="N31" i="40"/>
  <c r="H36" i="40"/>
  <c r="N36" i="40" s="1"/>
  <c r="Z31" i="14"/>
  <c r="T36" i="14"/>
  <c r="Z36" i="14" s="1"/>
  <c r="P107" i="87"/>
  <c r="X104" i="87"/>
  <c r="R104" i="87"/>
  <c r="D93" i="80"/>
  <c r="L90" i="80"/>
  <c r="N90" i="80" s="1"/>
  <c r="P62" i="99"/>
  <c r="X62" i="99" s="1"/>
  <c r="X59" i="99"/>
  <c r="Z59" i="99" s="1"/>
  <c r="X26" i="6"/>
  <c r="P31" i="6"/>
  <c r="X31" i="6" s="1"/>
  <c r="X31" i="16"/>
  <c r="P36" i="16"/>
  <c r="D89" i="79"/>
  <c r="L89" i="79" s="1"/>
  <c r="L86" i="79"/>
  <c r="N86" i="79" s="1"/>
  <c r="H62" i="99"/>
  <c r="T121" i="73"/>
  <c r="V118" i="73"/>
  <c r="L31" i="110"/>
  <c r="D36" i="110"/>
  <c r="J99" i="75"/>
  <c r="N31" i="37"/>
  <c r="H36" i="37"/>
  <c r="N36" i="37" s="1"/>
  <c r="H89" i="56"/>
  <c r="N86" i="56"/>
  <c r="D143" i="27"/>
  <c r="L139" i="27"/>
  <c r="N139" i="27" s="1"/>
  <c r="F139" i="27"/>
  <c r="N31" i="13"/>
  <c r="H36" i="13"/>
  <c r="N36" i="13" s="1"/>
  <c r="X31" i="111"/>
  <c r="P36" i="111"/>
  <c r="H144" i="42"/>
  <c r="J141" i="42"/>
  <c r="H83" i="48"/>
  <c r="J80" i="48"/>
  <c r="N31" i="19"/>
  <c r="H36" i="19"/>
  <c r="N36" i="19" s="1"/>
  <c r="Z66" i="61"/>
  <c r="T69" i="61"/>
  <c r="D80" i="48"/>
  <c r="L76" i="48"/>
  <c r="N76" i="48" s="1"/>
  <c r="F76" i="48"/>
  <c r="P36" i="34"/>
  <c r="X31" i="34"/>
  <c r="X31" i="11"/>
  <c r="P36" i="11"/>
  <c r="X82" i="57"/>
  <c r="Z82" i="57" s="1"/>
  <c r="P85" i="57"/>
  <c r="X85" i="57" s="1"/>
  <c r="T101" i="103"/>
  <c r="V98" i="103"/>
  <c r="P53" i="108"/>
  <c r="X53" i="108" s="1"/>
  <c r="Z53" i="108" s="1"/>
  <c r="X50" i="108"/>
  <c r="Z50" i="108" s="1"/>
  <c r="L31" i="54"/>
  <c r="P152" i="39"/>
  <c r="X148" i="39"/>
  <c r="Z148" i="39" s="1"/>
  <c r="R148" i="39"/>
  <c r="L116" i="63"/>
  <c r="D119" i="63"/>
  <c r="L119" i="63" s="1"/>
  <c r="L31" i="43"/>
  <c r="D36" i="43"/>
  <c r="N31" i="14"/>
  <c r="H36" i="14"/>
  <c r="N36" i="14" s="1"/>
  <c r="L114" i="73"/>
  <c r="N114" i="73" s="1"/>
  <c r="D118" i="73"/>
  <c r="F114" i="73"/>
  <c r="T104" i="83"/>
  <c r="V101" i="83"/>
  <c r="X31" i="49"/>
  <c r="P36" i="49"/>
  <c r="P36" i="13"/>
  <c r="X31" i="13"/>
  <c r="N31" i="4"/>
  <c r="H36" i="4"/>
  <c r="N36" i="4" s="1"/>
  <c r="D81" i="59"/>
  <c r="L81" i="59" s="1"/>
  <c r="N81" i="59" s="1"/>
  <c r="L78" i="59"/>
  <c r="N78" i="59" s="1"/>
  <c r="P36" i="41"/>
  <c r="X31" i="41"/>
  <c r="T132" i="76"/>
  <c r="V129" i="76"/>
  <c r="P36" i="32"/>
  <c r="X31" i="32"/>
  <c r="Z104" i="87"/>
  <c r="T107" i="87"/>
  <c r="V104" i="87"/>
  <c r="D109" i="91"/>
  <c r="L106" i="91"/>
  <c r="N106" i="91" s="1"/>
  <c r="V93" i="94"/>
  <c r="H176" i="30"/>
  <c r="J173" i="30"/>
  <c r="L85" i="93"/>
  <c r="N85" i="93" s="1"/>
  <c r="D89" i="93"/>
  <c r="X31" i="8"/>
  <c r="P36" i="8"/>
  <c r="X31" i="4"/>
  <c r="P36" i="4"/>
  <c r="X69" i="67"/>
  <c r="P72" i="67"/>
  <c r="X72" i="67" s="1"/>
  <c r="N31" i="22"/>
  <c r="H36" i="22"/>
  <c r="N36" i="22" s="1"/>
  <c r="P314" i="15"/>
  <c r="X310" i="15"/>
  <c r="Z310" i="15" s="1"/>
  <c r="R310" i="15"/>
  <c r="X31" i="112"/>
  <c r="P36" i="112"/>
  <c r="L327" i="12"/>
  <c r="D330" i="12"/>
  <c r="F327" i="12"/>
  <c r="P173" i="30"/>
  <c r="X169" i="30"/>
  <c r="Z169" i="30" s="1"/>
  <c r="R169" i="30"/>
  <c r="Z68" i="102"/>
  <c r="T71" i="102"/>
  <c r="V105" i="97"/>
  <c r="X31" i="40"/>
  <c r="P36" i="40"/>
  <c r="H36" i="41"/>
  <c r="N36" i="41" s="1"/>
  <c r="N31" i="41"/>
  <c r="H155" i="39"/>
  <c r="J152" i="39"/>
  <c r="D101" i="103"/>
  <c r="L98" i="103"/>
  <c r="F98" i="103"/>
  <c r="H107" i="87"/>
  <c r="J104" i="87"/>
  <c r="Z31" i="7"/>
  <c r="T36" i="7"/>
  <c r="Z36" i="7" s="1"/>
  <c r="H109" i="91"/>
  <c r="X80" i="48"/>
  <c r="Z80" i="48" s="1"/>
  <c r="P83" i="48"/>
  <c r="R80" i="48"/>
  <c r="H100" i="105"/>
  <c r="N97" i="105"/>
  <c r="J97" i="105"/>
  <c r="Z31" i="26"/>
  <c r="T36" i="26"/>
  <c r="Z36" i="26" s="1"/>
  <c r="X31" i="46"/>
  <c r="P36" i="46"/>
  <c r="N31" i="110"/>
  <c r="H36" i="110"/>
  <c r="N36" i="110" s="1"/>
  <c r="L31" i="41"/>
  <c r="D36" i="41"/>
  <c r="T94" i="72"/>
  <c r="V91" i="72"/>
  <c r="L59" i="99"/>
  <c r="N59" i="99" s="1"/>
  <c r="D62" i="99"/>
  <c r="L62" i="99" s="1"/>
  <c r="X31" i="44"/>
  <c r="P36" i="44"/>
  <c r="X31" i="22"/>
  <c r="P36" i="22"/>
  <c r="P36" i="31"/>
  <c r="X31" i="31"/>
  <c r="L50" i="108"/>
  <c r="D53" i="108"/>
  <c r="X98" i="103"/>
  <c r="Z98" i="103" s="1"/>
  <c r="P101" i="103"/>
  <c r="R98" i="103"/>
  <c r="X31" i="20"/>
  <c r="P36" i="20"/>
  <c r="T127" i="21"/>
  <c r="V124" i="21"/>
  <c r="X31" i="37"/>
  <c r="P36" i="37"/>
  <c r="T84" i="78"/>
  <c r="V81" i="78"/>
  <c r="D129" i="76"/>
  <c r="L125" i="76"/>
  <c r="N125" i="76" s="1"/>
  <c r="F125" i="76"/>
  <c r="L80" i="100"/>
  <c r="N80" i="100" s="1"/>
  <c r="D84" i="100"/>
  <c r="H101" i="103"/>
  <c r="N98" i="103"/>
  <c r="J98" i="103"/>
  <c r="T81" i="59"/>
  <c r="V78" i="59"/>
  <c r="P124" i="21"/>
  <c r="X120" i="21"/>
  <c r="Z120" i="21" s="1"/>
  <c r="R120" i="21"/>
  <c r="H36" i="47"/>
  <c r="N36" i="47" s="1"/>
  <c r="N31" i="47"/>
  <c r="L82" i="58"/>
  <c r="N82" i="58" s="1"/>
  <c r="D85" i="58"/>
  <c r="L85" i="58" s="1"/>
  <c r="N85" i="58" s="1"/>
  <c r="H36" i="50"/>
  <c r="N36" i="50" s="1"/>
  <c r="N31" i="50"/>
  <c r="X323" i="12"/>
  <c r="Z323" i="12" s="1"/>
  <c r="P327" i="12"/>
  <c r="R323" i="12"/>
  <c r="D36" i="31"/>
  <c r="L31" i="31"/>
  <c r="N124" i="21"/>
  <c r="H127" i="21"/>
  <c r="J124" i="21"/>
  <c r="N66" i="60"/>
  <c r="H69" i="60"/>
  <c r="X90" i="80"/>
  <c r="P93" i="80"/>
  <c r="R90" i="80"/>
  <c r="L104" i="87"/>
  <c r="N104" i="87" s="1"/>
  <c r="D107" i="87"/>
  <c r="L107" i="87" s="1"/>
  <c r="N86" i="69"/>
  <c r="J86" i="69"/>
  <c r="H113" i="45"/>
  <c r="J110" i="45"/>
  <c r="D36" i="28"/>
  <c r="L31" i="28"/>
  <c r="H72" i="67"/>
  <c r="T36" i="5"/>
  <c r="Z36" i="5" s="1"/>
  <c r="Z31" i="5"/>
  <c r="H83" i="109"/>
  <c r="J80" i="109"/>
  <c r="P110" i="95"/>
  <c r="X107" i="95"/>
  <c r="Z107" i="95" s="1"/>
  <c r="R107" i="95"/>
  <c r="T89" i="79"/>
  <c r="V86" i="79"/>
  <c r="D173" i="30"/>
  <c r="L169" i="30"/>
  <c r="N169" i="30" s="1"/>
  <c r="F169" i="30"/>
  <c r="P146" i="84"/>
  <c r="X142" i="84"/>
  <c r="Z142" i="84" s="1"/>
  <c r="R142" i="84"/>
  <c r="T119" i="63"/>
  <c r="Z116" i="63"/>
  <c r="X93" i="105"/>
  <c r="Z93" i="105" s="1"/>
  <c r="P97" i="105"/>
  <c r="R93" i="105"/>
  <c r="T149" i="84"/>
  <c r="V146" i="84"/>
  <c r="N116" i="63"/>
  <c r="H119" i="63"/>
  <c r="L31" i="20"/>
  <c r="D36" i="20"/>
  <c r="L31" i="23"/>
  <c r="D36" i="23"/>
  <c r="Z31" i="46"/>
  <c r="T36" i="46"/>
  <c r="Z36" i="46" s="1"/>
  <c r="D36" i="29"/>
  <c r="L31" i="29"/>
  <c r="H132" i="51"/>
  <c r="J129" i="51"/>
  <c r="T89" i="56"/>
  <c r="X86" i="56"/>
  <c r="Z86" i="56" s="1"/>
  <c r="Z66" i="60"/>
  <c r="T69" i="60"/>
  <c r="L82" i="57"/>
  <c r="N82" i="57" s="1"/>
  <c r="D85" i="57"/>
  <c r="L85" i="57" s="1"/>
  <c r="Z31" i="49"/>
  <c r="T36" i="49"/>
  <c r="Z36" i="49" s="1"/>
  <c r="P143" i="70"/>
  <c r="X139" i="70"/>
  <c r="Z139" i="70" s="1"/>
  <c r="R139" i="70"/>
  <c r="J132" i="76"/>
  <c r="L31" i="7"/>
  <c r="D36" i="7"/>
  <c r="X83" i="69"/>
  <c r="P86" i="69"/>
  <c r="R83" i="69"/>
  <c r="Z31" i="50"/>
  <c r="T36" i="50"/>
  <c r="Z36" i="50" s="1"/>
  <c r="N31" i="29"/>
  <c r="H36" i="29"/>
  <c r="N36" i="29" s="1"/>
  <c r="N31" i="20"/>
  <c r="H36" i="20"/>
  <c r="N36" i="20" s="1"/>
  <c r="H146" i="70"/>
  <c r="J143" i="70"/>
  <c r="L80" i="109"/>
  <c r="N80" i="109" s="1"/>
  <c r="D83" i="109"/>
  <c r="F80" i="109"/>
  <c r="X31" i="5"/>
  <c r="P36" i="5"/>
  <c r="X82" i="58"/>
  <c r="Z82" i="58" s="1"/>
  <c r="P85" i="58"/>
  <c r="X85" i="58" s="1"/>
  <c r="X69" i="104"/>
  <c r="Z69" i="104" s="1"/>
  <c r="P72" i="104"/>
  <c r="R69" i="104"/>
  <c r="X53" i="98"/>
  <c r="P57" i="98"/>
  <c r="R53" i="98"/>
  <c r="Z41" i="55"/>
  <c r="X156" i="68"/>
  <c r="Z156" i="68" s="1"/>
  <c r="P159" i="68"/>
  <c r="R156" i="68"/>
  <c r="H35" i="82"/>
  <c r="J32" i="82"/>
  <c r="L69" i="67"/>
  <c r="N69" i="67" s="1"/>
  <c r="D72" i="67"/>
  <c r="L72" i="67" s="1"/>
  <c r="X81" i="78"/>
  <c r="Z81" i="78" s="1"/>
  <c r="P84" i="78"/>
  <c r="R81" i="78"/>
  <c r="H121" i="73"/>
  <c r="J118" i="73"/>
  <c r="Z31" i="111"/>
  <c r="T36" i="111"/>
  <c r="Z36" i="111" s="1"/>
  <c r="N50" i="108"/>
  <c r="H53" i="108"/>
  <c r="X31" i="43"/>
  <c r="P36" i="43"/>
  <c r="L31" i="32"/>
  <c r="D36" i="32"/>
  <c r="L125" i="51"/>
  <c r="N125" i="51" s="1"/>
  <c r="D129" i="51"/>
  <c r="F125" i="51"/>
  <c r="N31" i="23"/>
  <c r="H36" i="23"/>
  <c r="N36" i="23" s="1"/>
  <c r="T36" i="17"/>
  <c r="Z36" i="17" s="1"/>
  <c r="Z31" i="17"/>
  <c r="L371" i="3"/>
  <c r="N371" i="3" s="1"/>
  <c r="D376" i="3"/>
  <c r="F371" i="3"/>
  <c r="P143" i="27"/>
  <c r="X139" i="27"/>
  <c r="Z139" i="27" s="1"/>
  <c r="R139" i="27"/>
  <c r="Z31" i="110"/>
  <c r="T36" i="110"/>
  <c r="Z36" i="110" s="1"/>
  <c r="P91" i="72"/>
  <c r="X87" i="72"/>
  <c r="Z87" i="72" s="1"/>
  <c r="R87" i="72"/>
  <c r="P146" i="36"/>
  <c r="X142" i="36"/>
  <c r="Z142" i="36" s="1"/>
  <c r="R142" i="36"/>
  <c r="N39" i="85"/>
  <c r="J39" i="85"/>
  <c r="L139" i="70"/>
  <c r="N139" i="70" s="1"/>
  <c r="D143" i="70"/>
  <c r="F139" i="70"/>
  <c r="T86" i="69"/>
  <c r="Z83" i="69"/>
  <c r="V83" i="69"/>
  <c r="H36" i="46"/>
  <c r="N36" i="46" s="1"/>
  <c r="N31" i="46"/>
  <c r="L36" i="85"/>
  <c r="N36" i="85" s="1"/>
  <c r="D39" i="85"/>
  <c r="L39" i="85" s="1"/>
  <c r="N31" i="112"/>
  <c r="H36" i="112"/>
  <c r="N36" i="112" s="1"/>
  <c r="H104" i="83"/>
  <c r="N101" i="83"/>
  <c r="J101" i="83"/>
  <c r="Z31" i="25"/>
  <c r="T36" i="25"/>
  <c r="Z36" i="25" s="1"/>
  <c r="X91" i="92"/>
  <c r="Z91" i="92" s="1"/>
  <c r="P95" i="92"/>
  <c r="R91" i="92"/>
  <c r="H36" i="7"/>
  <c r="N36" i="7" s="1"/>
  <c r="N31" i="7"/>
  <c r="L31" i="37"/>
  <c r="D36" i="37"/>
  <c r="Z85" i="57"/>
  <c r="X371" i="3"/>
  <c r="Z371" i="3" s="1"/>
  <c r="P376" i="3"/>
  <c r="R371" i="3"/>
  <c r="D36" i="10"/>
  <c r="L31" i="10"/>
  <c r="X36" i="32" l="1"/>
  <c r="L36" i="44"/>
  <c r="L36" i="28"/>
  <c r="X36" i="112"/>
  <c r="X36" i="4"/>
  <c r="X36" i="16"/>
  <c r="X36" i="53"/>
  <c r="L36" i="34"/>
  <c r="X36" i="44"/>
  <c r="X36" i="20"/>
  <c r="L36" i="111"/>
  <c r="L36" i="52"/>
  <c r="X36" i="8"/>
  <c r="X36" i="34"/>
  <c r="L36" i="37"/>
  <c r="X36" i="37"/>
  <c r="X36" i="38"/>
  <c r="L36" i="17"/>
  <c r="L36" i="53"/>
  <c r="L36" i="46"/>
  <c r="X36" i="28"/>
  <c r="X36" i="5"/>
  <c r="X36" i="31"/>
  <c r="L36" i="11"/>
  <c r="L36" i="32"/>
  <c r="L36" i="31"/>
  <c r="X36" i="7"/>
  <c r="X36" i="35"/>
  <c r="L36" i="43"/>
  <c r="L36" i="26"/>
  <c r="X36" i="43"/>
  <c r="L36" i="10"/>
  <c r="X36" i="13"/>
  <c r="X36" i="11"/>
  <c r="X36" i="23"/>
  <c r="L36" i="29"/>
  <c r="X36" i="47"/>
  <c r="X36" i="111"/>
  <c r="X36" i="22"/>
  <c r="X36" i="40"/>
  <c r="L36" i="5"/>
  <c r="X133" i="74"/>
  <c r="Z133" i="74" s="1"/>
  <c r="P136" i="74"/>
  <c r="R133" i="74"/>
  <c r="X124" i="21"/>
  <c r="Z124" i="21" s="1"/>
  <c r="P127" i="21"/>
  <c r="R124" i="21"/>
  <c r="X83" i="48"/>
  <c r="R83" i="48"/>
  <c r="X36" i="41"/>
  <c r="X107" i="87"/>
  <c r="Z107" i="87" s="1"/>
  <c r="R107" i="87"/>
  <c r="X36" i="85"/>
  <c r="Z36" i="85" s="1"/>
  <c r="P39" i="85"/>
  <c r="R36" i="85"/>
  <c r="X36" i="26"/>
  <c r="V93" i="80"/>
  <c r="X31" i="54"/>
  <c r="Z31" i="54" s="1"/>
  <c r="P99" i="75"/>
  <c r="X96" i="75"/>
  <c r="Z96" i="75" s="1"/>
  <c r="R96" i="75"/>
  <c r="X110" i="45"/>
  <c r="Z110" i="45" s="1"/>
  <c r="P113" i="45"/>
  <c r="R110" i="45"/>
  <c r="L110" i="45"/>
  <c r="N110" i="45" s="1"/>
  <c r="D113" i="45"/>
  <c r="F110" i="45"/>
  <c r="V95" i="88"/>
  <c r="L36" i="49"/>
  <c r="Z72" i="67"/>
  <c r="X143" i="27"/>
  <c r="Z143" i="27" s="1"/>
  <c r="P146" i="27"/>
  <c r="R143" i="27"/>
  <c r="X97" i="105"/>
  <c r="Z97" i="105" s="1"/>
  <c r="P100" i="105"/>
  <c r="R97" i="105"/>
  <c r="X327" i="12"/>
  <c r="Z327" i="12" s="1"/>
  <c r="P330" i="12"/>
  <c r="R327" i="12"/>
  <c r="L109" i="91"/>
  <c r="D83" i="48"/>
  <c r="L80" i="48"/>
  <c r="N80" i="48" s="1"/>
  <c r="F80" i="48"/>
  <c r="L36" i="13"/>
  <c r="L35" i="82"/>
  <c r="F35" i="82"/>
  <c r="V159" i="68"/>
  <c r="X104" i="83"/>
  <c r="R104" i="83"/>
  <c r="J330" i="12"/>
  <c r="N41" i="55"/>
  <c r="L83" i="109"/>
  <c r="F83" i="109"/>
  <c r="L118" i="73"/>
  <c r="N118" i="73" s="1"/>
  <c r="D121" i="73"/>
  <c r="F118" i="73"/>
  <c r="P98" i="92"/>
  <c r="X95" i="92"/>
  <c r="Z95" i="92" s="1"/>
  <c r="R95" i="92"/>
  <c r="X57" i="98"/>
  <c r="P60" i="98"/>
  <c r="R57" i="98"/>
  <c r="X86" i="69"/>
  <c r="Z86" i="69" s="1"/>
  <c r="R86" i="69"/>
  <c r="X93" i="80"/>
  <c r="Z93" i="80" s="1"/>
  <c r="R93" i="80"/>
  <c r="N109" i="91"/>
  <c r="J155" i="39"/>
  <c r="L36" i="110"/>
  <c r="N104" i="101"/>
  <c r="J104" i="101"/>
  <c r="L99" i="107"/>
  <c r="N99" i="107" s="1"/>
  <c r="D102" i="107"/>
  <c r="F99" i="107"/>
  <c r="D104" i="101"/>
  <c r="L104" i="101" s="1"/>
  <c r="L101" i="101"/>
  <c r="N101" i="101" s="1"/>
  <c r="D175" i="24"/>
  <c r="L172" i="24"/>
  <c r="N172" i="24" s="1"/>
  <c r="F172" i="24"/>
  <c r="X129" i="51"/>
  <c r="Z129" i="51" s="1"/>
  <c r="P132" i="51"/>
  <c r="R129" i="51"/>
  <c r="L36" i="112"/>
  <c r="X36" i="14"/>
  <c r="L36" i="38"/>
  <c r="L36" i="19"/>
  <c r="L96" i="75"/>
  <c r="N96" i="75" s="1"/>
  <c r="D99" i="75"/>
  <c r="F96" i="75"/>
  <c r="L36" i="4"/>
  <c r="X119" i="63"/>
  <c r="L36" i="40"/>
  <c r="L36" i="25"/>
  <c r="J159" i="68"/>
  <c r="X84" i="78"/>
  <c r="Z84" i="78" s="1"/>
  <c r="R84" i="78"/>
  <c r="J93" i="80"/>
  <c r="V146" i="70"/>
  <c r="X146" i="36"/>
  <c r="Z146" i="36" s="1"/>
  <c r="P149" i="36"/>
  <c r="R146" i="36"/>
  <c r="L376" i="3"/>
  <c r="N376" i="3" s="1"/>
  <c r="F376" i="3"/>
  <c r="J146" i="70"/>
  <c r="Z69" i="60"/>
  <c r="L36" i="23"/>
  <c r="X36" i="46"/>
  <c r="X314" i="15"/>
  <c r="Z314" i="15" s="1"/>
  <c r="P317" i="15"/>
  <c r="R314" i="15"/>
  <c r="V107" i="87"/>
  <c r="Z101" i="103"/>
  <c r="V101" i="103"/>
  <c r="L69" i="60"/>
  <c r="N69" i="60" s="1"/>
  <c r="X36" i="50"/>
  <c r="L36" i="50"/>
  <c r="X144" i="42"/>
  <c r="Z144" i="42" s="1"/>
  <c r="R144" i="42"/>
  <c r="D94" i="72"/>
  <c r="L91" i="72"/>
  <c r="N91" i="72" s="1"/>
  <c r="F91" i="72"/>
  <c r="J146" i="27"/>
  <c r="J94" i="72"/>
  <c r="L36" i="22"/>
  <c r="L36" i="8"/>
  <c r="N31" i="6"/>
  <c r="N31" i="54"/>
  <c r="V89" i="79"/>
  <c r="L36" i="7"/>
  <c r="Z119" i="63"/>
  <c r="X110" i="95"/>
  <c r="Z110" i="95" s="1"/>
  <c r="R110" i="95"/>
  <c r="J113" i="45"/>
  <c r="L129" i="76"/>
  <c r="N129" i="76" s="1"/>
  <c r="D132" i="76"/>
  <c r="F129" i="76"/>
  <c r="Z62" i="99"/>
  <c r="L116" i="33"/>
  <c r="N116" i="33" s="1"/>
  <c r="D119" i="33"/>
  <c r="F116" i="33"/>
  <c r="V104" i="101"/>
  <c r="N89" i="79"/>
  <c r="J89" i="79"/>
  <c r="V149" i="36"/>
  <c r="J349" i="18"/>
  <c r="L104" i="83"/>
  <c r="J376" i="3"/>
  <c r="X84" i="100"/>
  <c r="Z84" i="100" s="1"/>
  <c r="P87" i="100"/>
  <c r="R84" i="100"/>
  <c r="P132" i="76"/>
  <c r="X129" i="76"/>
  <c r="Z129" i="76" s="1"/>
  <c r="R129" i="76"/>
  <c r="V72" i="104"/>
  <c r="X78" i="59"/>
  <c r="Z78" i="59" s="1"/>
  <c r="P81" i="59"/>
  <c r="X81" i="59" s="1"/>
  <c r="Z81" i="59" s="1"/>
  <c r="L36" i="35"/>
  <c r="V86" i="69"/>
  <c r="N35" i="82"/>
  <c r="J35" i="82"/>
  <c r="X72" i="104"/>
  <c r="Z72" i="104" s="1"/>
  <c r="R72" i="104"/>
  <c r="L36" i="20"/>
  <c r="V81" i="59"/>
  <c r="P176" i="30"/>
  <c r="X173" i="30"/>
  <c r="Z173" i="30" s="1"/>
  <c r="R173" i="30"/>
  <c r="L89" i="93"/>
  <c r="N89" i="93" s="1"/>
  <c r="D92" i="93"/>
  <c r="L92" i="93" s="1"/>
  <c r="N92" i="93" s="1"/>
  <c r="V121" i="73"/>
  <c r="L146" i="84"/>
  <c r="N146" i="84" s="1"/>
  <c r="D149" i="84"/>
  <c r="L149" i="84" s="1"/>
  <c r="N149" i="84" s="1"/>
  <c r="X95" i="88"/>
  <c r="Z95" i="88" s="1"/>
  <c r="R95" i="88"/>
  <c r="Z83" i="109"/>
  <c r="V83" i="109"/>
  <c r="V317" i="15"/>
  <c r="X36" i="110"/>
  <c r="V330" i="12"/>
  <c r="L127" i="21"/>
  <c r="N127" i="21" s="1"/>
  <c r="F127" i="21"/>
  <c r="L314" i="15"/>
  <c r="N314" i="15" s="1"/>
  <c r="D317" i="15"/>
  <c r="F314" i="15"/>
  <c r="V84" i="78"/>
  <c r="X101" i="103"/>
  <c r="R101" i="103"/>
  <c r="X36" i="49"/>
  <c r="D146" i="27"/>
  <c r="L143" i="27"/>
  <c r="N143" i="27" s="1"/>
  <c r="F143" i="27"/>
  <c r="P93" i="94"/>
  <c r="X90" i="94"/>
  <c r="Z90" i="94" s="1"/>
  <c r="R90" i="94"/>
  <c r="J175" i="24"/>
  <c r="X36" i="19"/>
  <c r="L100" i="105"/>
  <c r="F100" i="105"/>
  <c r="X69" i="61"/>
  <c r="Z69" i="61" s="1"/>
  <c r="L149" i="36"/>
  <c r="N149" i="36" s="1"/>
  <c r="F149" i="36"/>
  <c r="N83" i="109"/>
  <c r="J83" i="109"/>
  <c r="N119" i="63"/>
  <c r="P149" i="84"/>
  <c r="X146" i="84"/>
  <c r="Z146" i="84" s="1"/>
  <c r="R146" i="84"/>
  <c r="J127" i="21"/>
  <c r="V94" i="72"/>
  <c r="N107" i="87"/>
  <c r="J107" i="87"/>
  <c r="N62" i="99"/>
  <c r="J149" i="36"/>
  <c r="D136" i="74"/>
  <c r="L133" i="74"/>
  <c r="N133" i="74" s="1"/>
  <c r="F133" i="74"/>
  <c r="X92" i="93"/>
  <c r="Z92" i="93" s="1"/>
  <c r="R92" i="93"/>
  <c r="V349" i="18"/>
  <c r="X32" i="82"/>
  <c r="Z32" i="82" s="1"/>
  <c r="P35" i="82"/>
  <c r="R32" i="82"/>
  <c r="Z85" i="58"/>
  <c r="L141" i="42"/>
  <c r="N141" i="42" s="1"/>
  <c r="D144" i="42"/>
  <c r="L144" i="42" s="1"/>
  <c r="N85" i="57"/>
  <c r="L36" i="14"/>
  <c r="P119" i="33"/>
  <c r="X116" i="33"/>
  <c r="Z116" i="33" s="1"/>
  <c r="R116" i="33"/>
  <c r="D110" i="9"/>
  <c r="L110" i="9" s="1"/>
  <c r="N110" i="9" s="1"/>
  <c r="L107" i="9"/>
  <c r="N107" i="9" s="1"/>
  <c r="L95" i="92"/>
  <c r="N95" i="92" s="1"/>
  <c r="D98" i="92"/>
  <c r="L98" i="92" s="1"/>
  <c r="N98" i="92" s="1"/>
  <c r="X159" i="68"/>
  <c r="Z159" i="68" s="1"/>
  <c r="R159" i="68"/>
  <c r="L53" i="108"/>
  <c r="N53" i="108" s="1"/>
  <c r="J176" i="30"/>
  <c r="V132" i="76"/>
  <c r="J83" i="48"/>
  <c r="L93" i="80"/>
  <c r="N93" i="80" s="1"/>
  <c r="L107" i="95"/>
  <c r="N107" i="95" s="1"/>
  <c r="D110" i="95"/>
  <c r="L110" i="95" s="1"/>
  <c r="N110" i="95" s="1"/>
  <c r="L152" i="39"/>
  <c r="N152" i="39" s="1"/>
  <c r="D155" i="39"/>
  <c r="F152" i="39"/>
  <c r="X36" i="17"/>
  <c r="X36" i="25"/>
  <c r="V99" i="75"/>
  <c r="X36" i="29"/>
  <c r="X102" i="107"/>
  <c r="Z102" i="107" s="1"/>
  <c r="R102" i="107"/>
  <c r="P121" i="73"/>
  <c r="X118" i="73"/>
  <c r="Z118" i="73" s="1"/>
  <c r="R118" i="73"/>
  <c r="V127" i="21"/>
  <c r="V176" i="30"/>
  <c r="N105" i="97"/>
  <c r="J105" i="97"/>
  <c r="X89" i="56"/>
  <c r="Z89" i="56" s="1"/>
  <c r="N104" i="83"/>
  <c r="J104" i="83"/>
  <c r="X91" i="72"/>
  <c r="Z91" i="72" s="1"/>
  <c r="P94" i="72"/>
  <c r="R91" i="72"/>
  <c r="L143" i="70"/>
  <c r="N143" i="70" s="1"/>
  <c r="D146" i="70"/>
  <c r="F143" i="70"/>
  <c r="N101" i="103"/>
  <c r="J101" i="103"/>
  <c r="L36" i="41"/>
  <c r="N100" i="105"/>
  <c r="J100" i="105"/>
  <c r="L330" i="12"/>
  <c r="N330" i="12" s="1"/>
  <c r="F330" i="12"/>
  <c r="Z104" i="83"/>
  <c r="V104" i="83"/>
  <c r="N89" i="56"/>
  <c r="D105" i="97"/>
  <c r="L105" i="97" s="1"/>
  <c r="L102" i="97"/>
  <c r="N102" i="97" s="1"/>
  <c r="L36" i="47"/>
  <c r="L84" i="78"/>
  <c r="N84" i="78" s="1"/>
  <c r="F84" i="78"/>
  <c r="D95" i="88"/>
  <c r="L95" i="88" s="1"/>
  <c r="N95" i="88" s="1"/>
  <c r="L92" i="88"/>
  <c r="N92" i="88" s="1"/>
  <c r="Z110" i="9"/>
  <c r="V110" i="9"/>
  <c r="X110" i="9"/>
  <c r="X86" i="79"/>
  <c r="Z86" i="79" s="1"/>
  <c r="P89" i="79"/>
  <c r="R86" i="79"/>
  <c r="X172" i="24"/>
  <c r="Z172" i="24" s="1"/>
  <c r="P175" i="24"/>
  <c r="R172" i="24"/>
  <c r="L69" i="61"/>
  <c r="N69" i="61" s="1"/>
  <c r="P349" i="18"/>
  <c r="X346" i="18"/>
  <c r="Z346" i="18" s="1"/>
  <c r="R346" i="18"/>
  <c r="X36" i="52"/>
  <c r="Z83" i="48"/>
  <c r="V83" i="48"/>
  <c r="D349" i="18"/>
  <c r="L346" i="18"/>
  <c r="N346" i="18" s="1"/>
  <c r="F346" i="18"/>
  <c r="J317" i="15"/>
  <c r="X376" i="3"/>
  <c r="Z376" i="3" s="1"/>
  <c r="R376" i="3"/>
  <c r="L129" i="51"/>
  <c r="N129" i="51" s="1"/>
  <c r="D132" i="51"/>
  <c r="F129" i="51"/>
  <c r="J121" i="73"/>
  <c r="X143" i="70"/>
  <c r="Z143" i="70" s="1"/>
  <c r="P146" i="70"/>
  <c r="R143" i="70"/>
  <c r="J132" i="51"/>
  <c r="V149" i="84"/>
  <c r="L173" i="30"/>
  <c r="N173" i="30" s="1"/>
  <c r="D176" i="30"/>
  <c r="F173" i="30"/>
  <c r="N72" i="67"/>
  <c r="L84" i="100"/>
  <c r="N84" i="100" s="1"/>
  <c r="D87" i="100"/>
  <c r="L87" i="100" s="1"/>
  <c r="N87" i="100" s="1"/>
  <c r="L101" i="103"/>
  <c r="F101" i="103"/>
  <c r="P155" i="39"/>
  <c r="X152" i="39"/>
  <c r="Z152" i="39" s="1"/>
  <c r="R152" i="39"/>
  <c r="N144" i="42"/>
  <c r="J144" i="42"/>
  <c r="V175" i="24"/>
  <c r="L156" i="68"/>
  <c r="N156" i="68" s="1"/>
  <c r="D159" i="68"/>
  <c r="L159" i="68" s="1"/>
  <c r="N159" i="68" s="1"/>
  <c r="X101" i="101"/>
  <c r="Z101" i="101" s="1"/>
  <c r="P104" i="101"/>
  <c r="R101" i="101"/>
  <c r="P105" i="97"/>
  <c r="X102" i="97"/>
  <c r="Z102" i="97" s="1"/>
  <c r="R102" i="97"/>
  <c r="X71" i="102"/>
  <c r="Z71" i="102" s="1"/>
  <c r="X36" i="10"/>
  <c r="V87" i="100"/>
  <c r="L36" i="16"/>
  <c r="V376" i="3"/>
  <c r="Z31" i="6"/>
  <c r="J136" i="74"/>
  <c r="L89" i="56"/>
  <c r="X35" i="82" l="1"/>
  <c r="Z35" i="82" s="1"/>
  <c r="R35" i="82"/>
  <c r="X149" i="84"/>
  <c r="Z149" i="84" s="1"/>
  <c r="R149" i="84"/>
  <c r="X121" i="73"/>
  <c r="Z121" i="73" s="1"/>
  <c r="R121" i="73"/>
  <c r="X93" i="94"/>
  <c r="Z93" i="94" s="1"/>
  <c r="R93" i="94"/>
  <c r="X132" i="76"/>
  <c r="Z132" i="76" s="1"/>
  <c r="R132" i="76"/>
  <c r="X99" i="75"/>
  <c r="Z99" i="75" s="1"/>
  <c r="R99" i="75"/>
  <c r="X349" i="18"/>
  <c r="Z349" i="18" s="1"/>
  <c r="R349" i="18"/>
  <c r="L83" i="48"/>
  <c r="N83" i="48" s="1"/>
  <c r="F83" i="48"/>
  <c r="X104" i="101"/>
  <c r="Z104" i="101" s="1"/>
  <c r="R104" i="101"/>
  <c r="X146" i="70"/>
  <c r="Z146" i="70" s="1"/>
  <c r="R146" i="70"/>
  <c r="X175" i="24"/>
  <c r="Z175" i="24" s="1"/>
  <c r="R175" i="24"/>
  <c r="X87" i="100"/>
  <c r="Z87" i="100" s="1"/>
  <c r="R87" i="100"/>
  <c r="X60" i="98"/>
  <c r="R60" i="98"/>
  <c r="X132" i="51"/>
  <c r="Z132" i="51" s="1"/>
  <c r="R132" i="51"/>
  <c r="L349" i="18"/>
  <c r="N349" i="18" s="1"/>
  <c r="F349" i="18"/>
  <c r="X119" i="33"/>
  <c r="Z119" i="33" s="1"/>
  <c r="R119" i="33"/>
  <c r="L119" i="33"/>
  <c r="N119" i="33" s="1"/>
  <c r="F119" i="33"/>
  <c r="L146" i="27"/>
  <c r="N146" i="27" s="1"/>
  <c r="F146" i="27"/>
  <c r="X89" i="79"/>
  <c r="Z89" i="79" s="1"/>
  <c r="R89" i="79"/>
  <c r="L146" i="70"/>
  <c r="N146" i="70" s="1"/>
  <c r="F146" i="70"/>
  <c r="X149" i="36"/>
  <c r="Z149" i="36" s="1"/>
  <c r="R149" i="36"/>
  <c r="X330" i="12"/>
  <c r="Z330" i="12" s="1"/>
  <c r="R330" i="12"/>
  <c r="X127" i="21"/>
  <c r="Z127" i="21" s="1"/>
  <c r="R127" i="21"/>
  <c r="X155" i="39"/>
  <c r="Z155" i="39" s="1"/>
  <c r="R155" i="39"/>
  <c r="X98" i="92"/>
  <c r="Z98" i="92" s="1"/>
  <c r="R98" i="92"/>
  <c r="L113" i="45"/>
  <c r="N113" i="45" s="1"/>
  <c r="F113" i="45"/>
  <c r="L176" i="30"/>
  <c r="N176" i="30" s="1"/>
  <c r="F176" i="30"/>
  <c r="L132" i="51"/>
  <c r="N132" i="51" s="1"/>
  <c r="F132" i="51"/>
  <c r="L155" i="39"/>
  <c r="N155" i="39" s="1"/>
  <c r="F155" i="39"/>
  <c r="X176" i="30"/>
  <c r="Z176" i="30" s="1"/>
  <c r="R176" i="30"/>
  <c r="L94" i="72"/>
  <c r="N94" i="72" s="1"/>
  <c r="F94" i="72"/>
  <c r="X317" i="15"/>
  <c r="Z317" i="15" s="1"/>
  <c r="R317" i="15"/>
  <c r="L175" i="24"/>
  <c r="N175" i="24" s="1"/>
  <c r="F175" i="24"/>
  <c r="L102" i="107"/>
  <c r="N102" i="107" s="1"/>
  <c r="F102" i="107"/>
  <c r="L121" i="73"/>
  <c r="N121" i="73" s="1"/>
  <c r="F121" i="73"/>
  <c r="X105" i="97"/>
  <c r="Z105" i="97" s="1"/>
  <c r="R105" i="97"/>
  <c r="X146" i="27"/>
  <c r="Z146" i="27" s="1"/>
  <c r="R146" i="27"/>
  <c r="X94" i="72"/>
  <c r="Z94" i="72" s="1"/>
  <c r="R94" i="72"/>
  <c r="L136" i="74"/>
  <c r="N136" i="74" s="1"/>
  <c r="F136" i="74"/>
  <c r="L317" i="15"/>
  <c r="N317" i="15" s="1"/>
  <c r="F317" i="15"/>
  <c r="L132" i="76"/>
  <c r="N132" i="76" s="1"/>
  <c r="F132" i="76"/>
  <c r="L99" i="75"/>
  <c r="N99" i="75" s="1"/>
  <c r="F99" i="75"/>
  <c r="X100" i="105"/>
  <c r="Z100" i="105" s="1"/>
  <c r="R100" i="105"/>
  <c r="X39" i="85"/>
  <c r="Z39" i="85" s="1"/>
  <c r="R39" i="85"/>
  <c r="X136" i="74"/>
  <c r="Z136" i="74" s="1"/>
  <c r="R136" i="74"/>
  <c r="X113" i="45"/>
  <c r="Z113" i="45" s="1"/>
  <c r="R113" i="45"/>
</calcChain>
</file>

<file path=xl/sharedStrings.xml><?xml version="1.0" encoding="utf-8"?>
<sst xmlns="http://schemas.openxmlformats.org/spreadsheetml/2006/main" count="2922" uniqueCount="315">
  <si>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</si>
  <si>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</si>
  <si>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</si>
  <si>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</si>
  <si>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</si>
  <si>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</si>
  <si>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</si>
  <si>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</si>
  <si>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</si>
  <si>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</si>
  <si>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</si>
  <si>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</si>
  <si>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</si>
  <si>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</si>
  <si>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</si>
  <si>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</si>
  <si>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</si>
  <si>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</si>
  <si>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</si>
  <si>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</si>
  <si>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</si>
  <si>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</si>
  <si>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</si>
  <si>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</si>
  <si>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</si>
  <si>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</si>
  <si>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</si>
  <si>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</si>
  <si>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</si>
  <si>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</si>
  <si>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</si>
  <si>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</si>
  <si>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</si>
  <si>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</si>
  <si>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</si>
  <si>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</si>
  <si>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</si>
  <si>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</si>
  <si>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</si>
  <si>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</si>
  <si>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</si>
  <si>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</si>
  <si>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</si>
  <si>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</si>
  <si>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</si>
  <si>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</si>
  <si>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</si>
  <si>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</si>
  <si>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</si>
  <si>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</si>
  <si>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</si>
  <si>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</si>
  <si>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</si>
  <si>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</si>
  <si>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</si>
  <si>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</si>
  <si>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</si>
  <si>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</si>
  <si>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</si>
  <si>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</si>
  <si>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</si>
  <si>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</si>
  <si>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</si>
  <si>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</si>
  <si>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</si>
  <si>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</si>
  <si>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</si>
  <si>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</si>
  <si>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</si>
  <si>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</si>
  <si>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</si>
  <si>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</si>
  <si>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</si>
  <si>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</si>
  <si>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</si>
  <si>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</si>
  <si>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</si>
  <si>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</si>
  <si>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</si>
  <si>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</si>
  <si>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</si>
  <si>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</si>
  <si>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</si>
  <si>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</si>
  <si>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</si>
  <si>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</si>
  <si>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</si>
  <si>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</si>
  <si>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</si>
  <si>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</si>
  <si>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</si>
  <si>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</si>
  <si>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</si>
  <si>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</si>
  <si>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</si>
  <si>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</si>
  <si>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</si>
  <si>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</si>
  <si>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</si>
  <si>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</si>
  <si>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</si>
  <si>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</si>
  <si>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</si>
  <si>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</si>
  <si>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</si>
  <si>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</si>
  <si>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</si>
  <si>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</si>
  <si>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</si>
  <si>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</si>
  <si>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</si>
  <si>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</si>
  <si>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</si>
  <si>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</si>
  <si>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</si>
  <si>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</si>
  <si>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</si>
  <si>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</si>
  <si>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</si>
  <si>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</si>
  <si>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</si>
  <si>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</si>
  <si>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</si>
  <si>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</si>
  <si>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</si>
  <si>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</si>
  <si>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</si>
  <si>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</si>
  <si>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</si>
  <si>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</si>
  <si>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</si>
  <si>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</si>
  <si>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</si>
  <si>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</si>
  <si>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</si>
  <si>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</si>
  <si>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</si>
  <si>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</si>
  <si>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</si>
  <si>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</si>
  <si>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</si>
  <si>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</si>
  <si>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</si>
  <si>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</si>
  <si>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</si>
  <si>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</si>
  <si>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</si>
  <si>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</si>
  <si>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</si>
  <si>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</si>
  <si>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</si>
  <si>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</si>
  <si>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</si>
  <si>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</si>
  <si>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</si>
  <si>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</si>
  <si>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</si>
  <si>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</si>
  <si>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</si>
  <si>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</si>
  <si>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</si>
  <si>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</si>
  <si>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</si>
  <si>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</si>
  <si>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</si>
  <si>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</si>
  <si>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</si>
  <si>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</si>
  <si>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</si>
  <si>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</si>
  <si>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</si>
  <si>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</si>
  <si>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</si>
  <si>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</si>
  <si>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</si>
  <si>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</si>
  <si>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</si>
  <si>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</si>
  <si>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</si>
  <si>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</si>
  <si>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</si>
  <si>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</si>
  <si>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</si>
  <si>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</si>
  <si>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</si>
  <si>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</si>
  <si>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</si>
  <si>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</si>
  <si>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</si>
  <si>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</si>
  <si>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</si>
  <si>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</si>
  <si>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</si>
  <si>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</si>
  <si>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</si>
  <si>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</si>
  <si>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</si>
  <si>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</si>
  <si>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</si>
  <si>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</si>
  <si>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</si>
  <si>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</si>
  <si>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</si>
  <si>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</si>
  <si>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</si>
  <si>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</si>
  <si>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</si>
  <si>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</si>
  <si>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</si>
  <si>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</si>
  <si>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</si>
  <si>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</si>
  <si>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</si>
  <si>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</si>
  <si>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</si>
  <si>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</si>
  <si>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</si>
  <si>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</si>
  <si>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</si>
  <si>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</si>
  <si>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</si>
  <si>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</si>
  <si>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</si>
  <si>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</si>
  <si>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</si>
  <si>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</si>
  <si>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</si>
  <si>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</si>
  <si>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</si>
  <si>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</si>
  <si>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</si>
  <si>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</si>
  <si>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</si>
  <si>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</si>
  <si>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</si>
  <si>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</si>
  <si>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</si>
  <si>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</si>
  <si>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</si>
  <si>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</si>
  <si>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</si>
  <si>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</si>
  <si>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</si>
  <si>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</si>
  <si>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</si>
  <si>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</si>
  <si>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</si>
  <si>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</si>
  <si>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</si>
  <si>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</si>
  <si>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</si>
  <si>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</si>
  <si>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</si>
  <si>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</si>
  <si>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</si>
  <si>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</si>
  <si>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</si>
  <si>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</si>
  <si>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</si>
  <si>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</si>
  <si>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</si>
  <si>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</si>
  <si>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</si>
  <si>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</si>
  <si>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</si>
  <si>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</si>
  <si>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</si>
  <si>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</si>
  <si>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</si>
  <si>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</si>
  <si>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</si>
  <si>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</si>
  <si>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</si>
  <si>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</si>
  <si>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</si>
  <si>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</si>
  <si>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</si>
  <si>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</si>
  <si>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</si>
  <si>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</si>
  <si>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</si>
  <si>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</si>
  <si>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</si>
  <si>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</si>
  <si>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</si>
  <si>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</si>
  <si>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</si>
  <si>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</si>
  <si>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</si>
  <si>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</si>
  <si>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</si>
  <si>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</si>
  <si>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</si>
  <si>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</si>
  <si>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</si>
  <si>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</si>
  <si>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</si>
  <si>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</si>
  <si>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</si>
  <si>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</si>
  <si>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</si>
  <si>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</si>
  <si>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</si>
  <si>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</si>
  <si>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</si>
  <si>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</si>
  <si>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</si>
  <si>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</si>
  <si>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</si>
  <si>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</si>
  <si>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</si>
  <si>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</si>
  <si>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</si>
  <si>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</si>
  <si>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49er.local\49bi360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</si>
</sst>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0" fontId="0" fillId="0" borderId="0" xfId="0" applyFont="1" applyFill="1" applyBorder="1"/>
    <xf numFmtId="167" fontId="2" fillId="0" borderId="0" xfId="3" applyNumberFormat="1" applyFont="1" applyFill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49" fontId="2" fillId="0" borderId="0" xfId="0" applyNumberFormat="1" applyFont="1" applyFill="1"/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Fill="1"/>
    <xf numFmtId="166" fontId="4" fillId="0" borderId="0" xfId="0" applyNumberFormat="1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Fill="1" applyBorder="1"/>
    <xf numFmtId="165" fontId="0" fillId="0" borderId="0" xfId="0" applyNumberFormat="1"/>
    <xf numFmtId="0" fontId="0" fillId="0" borderId="0" xfId="0" applyFill="1" applyAlignment="1">
      <alignment horizontal="centerContinuous"/>
    </xf>
    <xf numFmtId="0" fontId="0" fillId="0" borderId="0" xfId="0" applyBorder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6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7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8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9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1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2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4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5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7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8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9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2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4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8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1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2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56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7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8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9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0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300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308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308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309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309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312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312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307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307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306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306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303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303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304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304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305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305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310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310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313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81"/>
  <sheetViews>
    <sheetView tabSelected="1" zoomScale="80" workbookViewId="0">
      <pane xSplit="3" ySplit="10" topLeftCell="D372" activePane="bottomRight" state="frozen"/>
      <selection pane="topRight" activeCell="D1" sqref="D1"/>
      <selection pane="bottomLeft" activeCell="A11" sqref="A11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297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584522.60999999975</v>
      </c>
      <c r="E12" s="4"/>
      <c r="F12" s="13"/>
      <c r="G12" s="4"/>
      <c r="H12" s="4">
        <f>SUM(OSRRefH13x_0)</f>
        <v>1394806.15129</v>
      </c>
      <c r="I12" s="4"/>
      <c r="J12" s="13"/>
      <c r="K12" s="4"/>
      <c r="L12" s="4">
        <f t="shared" ref="L12:L141" si="0">+D12-H12</f>
        <v>-810283.5412900002</v>
      </c>
      <c r="M12" s="4"/>
      <c r="N12" s="13">
        <f t="shared" ref="N12:N141" si="1">IF(H12=0,0,L12/H12)</f>
        <v>-0.58092914240491533</v>
      </c>
      <c r="O12" s="10"/>
      <c r="P12" s="4">
        <f>SUM(OSRRefP13x_0)</f>
        <v>28633193.209999982</v>
      </c>
      <c r="Q12" s="4"/>
      <c r="R12" s="13"/>
      <c r="S12" s="4"/>
      <c r="T12" s="4">
        <f>SUM(OSRRefT13x_0)</f>
        <v>37510189.699990004</v>
      </c>
      <c r="U12" s="4"/>
      <c r="V12" s="13"/>
      <c r="W12" s="4"/>
      <c r="X12" s="4">
        <f t="shared" ref="X12:X141" si="2">+P12-T12</f>
        <v>-8876996.489990022</v>
      </c>
      <c r="Y12" s="4"/>
      <c r="Z12" s="13">
        <f t="shared" ref="Z12:Z141" si="3">IF(T12=0,0,X12/T12)</f>
        <v>-0.23665560107770897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934844.15128999995</v>
      </c>
      <c r="I13" s="2"/>
      <c r="J13" s="19"/>
      <c r="K13" s="2"/>
      <c r="L13" s="2">
        <f t="shared" si="0"/>
        <v>-934844.15128999995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12812443.699990001</v>
      </c>
      <c r="U13" s="2"/>
      <c r="V13" s="19"/>
      <c r="W13" s="2"/>
      <c r="X13" s="2">
        <f t="shared" si="2"/>
        <v>-12812443.699990001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--15904.07</f>
        <v>15904.07</v>
      </c>
      <c r="E14" s="2"/>
      <c r="F14" s="19"/>
      <c r="G14" s="2"/>
      <c r="H14" s="2"/>
      <c r="I14" s="2"/>
      <c r="J14" s="19"/>
      <c r="K14" s="2"/>
      <c r="L14" s="2">
        <f t="shared" si="0"/>
        <v>15904.07</v>
      </c>
      <c r="M14" s="2"/>
      <c r="N14" s="19">
        <f t="shared" si="1"/>
        <v>0</v>
      </c>
      <c r="O14" s="11"/>
      <c r="P14" s="2">
        <f>--2451163.71</f>
        <v>2451163.71</v>
      </c>
      <c r="Q14" s="2"/>
      <c r="R14" s="19"/>
      <c r="S14" s="2"/>
      <c r="T14" s="2"/>
      <c r="U14" s="2"/>
      <c r="V14" s="19"/>
      <c r="W14" s="2"/>
      <c r="X14" s="2">
        <f t="shared" si="2"/>
        <v>2451163.71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--15376.45</f>
        <v>15376.45</v>
      </c>
      <c r="E15" s="2"/>
      <c r="F15" s="19"/>
      <c r="G15" s="2"/>
      <c r="H15" s="2"/>
      <c r="I15" s="2"/>
      <c r="J15" s="19"/>
      <c r="K15" s="2"/>
      <c r="L15" s="2">
        <f t="shared" si="0"/>
        <v>15376.45</v>
      </c>
      <c r="M15" s="2"/>
      <c r="N15" s="19">
        <f t="shared" si="1"/>
        <v>0</v>
      </c>
      <c r="O15" s="11"/>
      <c r="P15" s="2">
        <f>--1271803.19</f>
        <v>1271803.19</v>
      </c>
      <c r="Q15" s="2"/>
      <c r="R15" s="19"/>
      <c r="S15" s="2"/>
      <c r="T15" s="2"/>
      <c r="U15" s="2"/>
      <c r="V15" s="19"/>
      <c r="W15" s="2"/>
      <c r="X15" s="2">
        <f t="shared" si="2"/>
        <v>1271803.19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--895</f>
        <v>895</v>
      </c>
      <c r="E16" s="2"/>
      <c r="F16" s="19"/>
      <c r="G16" s="2"/>
      <c r="H16" s="2"/>
      <c r="I16" s="2"/>
      <c r="J16" s="19"/>
      <c r="K16" s="2"/>
      <c r="L16" s="2">
        <f t="shared" si="0"/>
        <v>895</v>
      </c>
      <c r="M16" s="2"/>
      <c r="N16" s="19">
        <f t="shared" si="1"/>
        <v>0</v>
      </c>
      <c r="O16" s="11"/>
      <c r="P16" s="2">
        <f>--34659.88</f>
        <v>34659.879999999997</v>
      </c>
      <c r="Q16" s="2"/>
      <c r="R16" s="19"/>
      <c r="S16" s="2"/>
      <c r="T16" s="2"/>
      <c r="U16" s="2"/>
      <c r="V16" s="19"/>
      <c r="W16" s="2"/>
      <c r="X16" s="2">
        <f t="shared" si="2"/>
        <v>34659.879999999997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--64.99</f>
        <v>64.989999999999995</v>
      </c>
      <c r="E19" s="2"/>
      <c r="F19" s="19"/>
      <c r="G19" s="2"/>
      <c r="H19" s="2"/>
      <c r="I19" s="2"/>
      <c r="J19" s="19"/>
      <c r="K19" s="2"/>
      <c r="L19" s="2">
        <f t="shared" si="0"/>
        <v>64.989999999999995</v>
      </c>
      <c r="M19" s="2"/>
      <c r="N19" s="19">
        <f t="shared" si="1"/>
        <v>0</v>
      </c>
      <c r="O19" s="11"/>
      <c r="P19" s="2">
        <f>--2778.35</f>
        <v>2778.35</v>
      </c>
      <c r="Q19" s="2"/>
      <c r="R19" s="19"/>
      <c r="S19" s="2"/>
      <c r="T19" s="2"/>
      <c r="U19" s="2"/>
      <c r="V19" s="19"/>
      <c r="W19" s="2"/>
      <c r="X19" s="2">
        <f t="shared" si="2"/>
        <v>2778.35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--13.9</f>
        <v>13.9</v>
      </c>
      <c r="E20" s="2"/>
      <c r="F20" s="19"/>
      <c r="G20" s="2"/>
      <c r="H20" s="2"/>
      <c r="I20" s="2"/>
      <c r="J20" s="19"/>
      <c r="K20" s="2"/>
      <c r="L20" s="2">
        <f t="shared" si="0"/>
        <v>13.9</v>
      </c>
      <c r="M20" s="2"/>
      <c r="N20" s="19">
        <f t="shared" si="1"/>
        <v>0</v>
      </c>
      <c r="O20" s="11"/>
      <c r="P20" s="2">
        <f>--1233.88</f>
        <v>1233.8800000000001</v>
      </c>
      <c r="Q20" s="2"/>
      <c r="R20" s="19"/>
      <c r="S20" s="2"/>
      <c r="T20" s="2"/>
      <c r="U20" s="2"/>
      <c r="V20" s="19"/>
      <c r="W20" s="2"/>
      <c r="X20" s="2">
        <f t="shared" si="2"/>
        <v>1233.8800000000001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3" si="5"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--4179.3</f>
        <v>4179.3</v>
      </c>
      <c r="Q22" s="2"/>
      <c r="R22" s="19"/>
      <c r="S22" s="2"/>
      <c r="T22" s="2"/>
      <c r="U22" s="2"/>
      <c r="V22" s="19"/>
      <c r="W22" s="2"/>
      <c r="X22" s="2">
        <f t="shared" si="2"/>
        <v>4179.3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--3099.74</f>
        <v>3099.74</v>
      </c>
      <c r="E24" s="2"/>
      <c r="F24" s="19"/>
      <c r="G24" s="2"/>
      <c r="H24" s="2"/>
      <c r="I24" s="2"/>
      <c r="J24" s="19"/>
      <c r="K24" s="2"/>
      <c r="L24" s="2">
        <f t="shared" si="0"/>
        <v>3099.74</v>
      </c>
      <c r="M24" s="2"/>
      <c r="N24" s="19">
        <f t="shared" si="1"/>
        <v>0</v>
      </c>
      <c r="O24" s="11"/>
      <c r="P24" s="2">
        <f>--57819.85</f>
        <v>57819.85</v>
      </c>
      <c r="Q24" s="2"/>
      <c r="R24" s="19"/>
      <c r="S24" s="2"/>
      <c r="T24" s="2"/>
      <c r="U24" s="2"/>
      <c r="V24" s="19"/>
      <c r="W24" s="2"/>
      <c r="X24" s="2">
        <f t="shared" si="2"/>
        <v>57819.85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--2531.99</f>
        <v>2531.9899999999998</v>
      </c>
      <c r="E25" s="2"/>
      <c r="F25" s="19"/>
      <c r="G25" s="2"/>
      <c r="H25" s="2"/>
      <c r="I25" s="2"/>
      <c r="J25" s="19"/>
      <c r="K25" s="2"/>
      <c r="L25" s="2">
        <f t="shared" si="0"/>
        <v>2531.9899999999998</v>
      </c>
      <c r="M25" s="2"/>
      <c r="N25" s="19">
        <f t="shared" si="1"/>
        <v>0</v>
      </c>
      <c r="O25" s="11"/>
      <c r="P25" s="2">
        <f>--83341.48</f>
        <v>83341.48</v>
      </c>
      <c r="Q25" s="2"/>
      <c r="R25" s="19"/>
      <c r="S25" s="2"/>
      <c r="T25" s="2"/>
      <c r="U25" s="2"/>
      <c r="V25" s="19"/>
      <c r="W25" s="2"/>
      <c r="X25" s="2">
        <f t="shared" si="2"/>
        <v>83341.48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--4073.06</f>
        <v>4073.06</v>
      </c>
      <c r="E26" s="2"/>
      <c r="F26" s="19"/>
      <c r="G26" s="2"/>
      <c r="H26" s="2"/>
      <c r="I26" s="2"/>
      <c r="J26" s="19"/>
      <c r="K26" s="2"/>
      <c r="L26" s="2">
        <f t="shared" si="0"/>
        <v>4073.06</v>
      </c>
      <c r="M26" s="2"/>
      <c r="N26" s="19">
        <f t="shared" si="1"/>
        <v>0</v>
      </c>
      <c r="O26" s="11"/>
      <c r="P26" s="2">
        <f>--280850.13</f>
        <v>280850.13</v>
      </c>
      <c r="Q26" s="2"/>
      <c r="R26" s="19"/>
      <c r="S26" s="2"/>
      <c r="T26" s="2"/>
      <c r="U26" s="2"/>
      <c r="V26" s="19"/>
      <c r="W26" s="2"/>
      <c r="X26" s="2">
        <f t="shared" si="2"/>
        <v>280850.13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--386.59</f>
        <v>386.59</v>
      </c>
      <c r="E27" s="2"/>
      <c r="F27" s="19"/>
      <c r="G27" s="2"/>
      <c r="H27" s="2"/>
      <c r="I27" s="2"/>
      <c r="J27" s="19"/>
      <c r="K27" s="2"/>
      <c r="L27" s="2">
        <f t="shared" si="0"/>
        <v>386.59</v>
      </c>
      <c r="M27" s="2"/>
      <c r="N27" s="19">
        <f t="shared" si="1"/>
        <v>0</v>
      </c>
      <c r="O27" s="11"/>
      <c r="P27" s="2">
        <f>--293577.64</f>
        <v>293577.64</v>
      </c>
      <c r="Q27" s="2"/>
      <c r="R27" s="19"/>
      <c r="S27" s="2"/>
      <c r="T27" s="2"/>
      <c r="U27" s="2"/>
      <c r="V27" s="19"/>
      <c r="W27" s="2"/>
      <c r="X27" s="2">
        <f t="shared" si="2"/>
        <v>293577.64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--277654.52</f>
        <v>277654.52</v>
      </c>
      <c r="Q29" s="2"/>
      <c r="R29" s="19"/>
      <c r="S29" s="2"/>
      <c r="T29" s="2"/>
      <c r="U29" s="2"/>
      <c r="V29" s="19"/>
      <c r="W29" s="2"/>
      <c r="X29" s="2">
        <f t="shared" si="2"/>
        <v>277654.52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--10925.46</f>
        <v>10925.46</v>
      </c>
      <c r="Q31" s="2"/>
      <c r="R31" s="19"/>
      <c r="S31" s="2"/>
      <c r="T31" s="2"/>
      <c r="U31" s="2"/>
      <c r="V31" s="19"/>
      <c r="W31" s="2"/>
      <c r="X31" s="2">
        <f t="shared" si="2"/>
        <v>10925.46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--46364.3</f>
        <v>46364.3</v>
      </c>
      <c r="E34" s="2"/>
      <c r="F34" s="19"/>
      <c r="G34" s="2"/>
      <c r="H34" s="2"/>
      <c r="I34" s="2"/>
      <c r="J34" s="19"/>
      <c r="K34" s="2"/>
      <c r="L34" s="2">
        <f t="shared" si="0"/>
        <v>46364.3</v>
      </c>
      <c r="M34" s="2"/>
      <c r="N34" s="19">
        <f t="shared" si="1"/>
        <v>0</v>
      </c>
      <c r="O34" s="11"/>
      <c r="P34" s="2">
        <f>--1941274.42</f>
        <v>1941274.42</v>
      </c>
      <c r="Q34" s="2"/>
      <c r="R34" s="19"/>
      <c r="S34" s="2"/>
      <c r="T34" s="2"/>
      <c r="U34" s="2"/>
      <c r="V34" s="19"/>
      <c r="W34" s="2"/>
      <c r="X34" s="2">
        <f t="shared" si="2"/>
        <v>1941274.42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--29904.23</f>
        <v>29904.23</v>
      </c>
      <c r="E35" s="2"/>
      <c r="F35" s="19"/>
      <c r="G35" s="2"/>
      <c r="H35" s="2"/>
      <c r="I35" s="2"/>
      <c r="J35" s="19"/>
      <c r="K35" s="2"/>
      <c r="L35" s="2">
        <f t="shared" si="0"/>
        <v>29904.23</v>
      </c>
      <c r="M35" s="2"/>
      <c r="N35" s="19">
        <f t="shared" si="1"/>
        <v>0</v>
      </c>
      <c r="O35" s="11"/>
      <c r="P35" s="2">
        <f>--556536.79</f>
        <v>556536.79</v>
      </c>
      <c r="Q35" s="2"/>
      <c r="R35" s="19"/>
      <c r="S35" s="2"/>
      <c r="T35" s="2"/>
      <c r="U35" s="2"/>
      <c r="V35" s="19"/>
      <c r="W35" s="2"/>
      <c r="X35" s="2">
        <f t="shared" si="2"/>
        <v>556536.79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--2836.85</f>
        <v>2836.85</v>
      </c>
      <c r="E36" s="2"/>
      <c r="F36" s="19"/>
      <c r="G36" s="2"/>
      <c r="H36" s="2"/>
      <c r="I36" s="2"/>
      <c r="J36" s="19"/>
      <c r="K36" s="2"/>
      <c r="L36" s="2">
        <f t="shared" si="0"/>
        <v>2836.85</v>
      </c>
      <c r="M36" s="2"/>
      <c r="N36" s="19">
        <f t="shared" si="1"/>
        <v>0</v>
      </c>
      <c r="O36" s="11"/>
      <c r="P36" s="2">
        <f>--285558.05</f>
        <v>285558.05</v>
      </c>
      <c r="Q36" s="2"/>
      <c r="R36" s="19"/>
      <c r="S36" s="2"/>
      <c r="T36" s="2"/>
      <c r="U36" s="2"/>
      <c r="V36" s="19"/>
      <c r="W36" s="2"/>
      <c r="X36" s="2">
        <f t="shared" si="2"/>
        <v>285558.05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--54.96</f>
        <v>54.96</v>
      </c>
      <c r="E37" s="2"/>
      <c r="F37" s="19"/>
      <c r="G37" s="2"/>
      <c r="H37" s="2"/>
      <c r="I37" s="2"/>
      <c r="J37" s="19"/>
      <c r="K37" s="2"/>
      <c r="L37" s="2">
        <f t="shared" si="0"/>
        <v>54.96</v>
      </c>
      <c r="M37" s="2"/>
      <c r="N37" s="19">
        <f t="shared" si="1"/>
        <v>0</v>
      </c>
      <c r="O37" s="11"/>
      <c r="P37" s="2">
        <f>--77324.14</f>
        <v>77324.14</v>
      </c>
      <c r="Q37" s="2"/>
      <c r="R37" s="19"/>
      <c r="S37" s="2"/>
      <c r="T37" s="2"/>
      <c r="U37" s="2"/>
      <c r="V37" s="19"/>
      <c r="W37" s="2"/>
      <c r="X37" s="2">
        <f t="shared" si="2"/>
        <v>77324.14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--2524.8</f>
        <v>2524.8000000000002</v>
      </c>
      <c r="E38" s="2"/>
      <c r="F38" s="19"/>
      <c r="G38" s="2"/>
      <c r="H38" s="2"/>
      <c r="I38" s="2"/>
      <c r="J38" s="19"/>
      <c r="K38" s="2"/>
      <c r="L38" s="2">
        <f t="shared" si="0"/>
        <v>2524.8000000000002</v>
      </c>
      <c r="M38" s="2"/>
      <c r="N38" s="19">
        <f t="shared" si="1"/>
        <v>0</v>
      </c>
      <c r="O38" s="11"/>
      <c r="P38" s="2">
        <f>--73780.56</f>
        <v>73780.56</v>
      </c>
      <c r="Q38" s="2"/>
      <c r="R38" s="19"/>
      <c r="S38" s="2"/>
      <c r="T38" s="2"/>
      <c r="U38" s="2"/>
      <c r="V38" s="19"/>
      <c r="W38" s="2"/>
      <c r="X38" s="2">
        <f t="shared" si="2"/>
        <v>73780.56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--26263.53</f>
        <v>26263.53</v>
      </c>
      <c r="E39" s="2"/>
      <c r="F39" s="19"/>
      <c r="G39" s="2"/>
      <c r="H39" s="2"/>
      <c r="I39" s="2"/>
      <c r="J39" s="19"/>
      <c r="K39" s="2"/>
      <c r="L39" s="2">
        <f t="shared" si="0"/>
        <v>26263.53</v>
      </c>
      <c r="M39" s="2"/>
      <c r="N39" s="19">
        <f t="shared" si="1"/>
        <v>0</v>
      </c>
      <c r="O39" s="11"/>
      <c r="P39" s="2">
        <f>--123103.09</f>
        <v>123103.09</v>
      </c>
      <c r="Q39" s="2"/>
      <c r="R39" s="19"/>
      <c r="S39" s="2"/>
      <c r="T39" s="2"/>
      <c r="U39" s="2"/>
      <c r="V39" s="19"/>
      <c r="W39" s="2"/>
      <c r="X39" s="2">
        <f t="shared" si="2"/>
        <v>123103.09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2" si="7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7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--604143.21</f>
        <v>604143.21</v>
      </c>
      <c r="Q41" s="2"/>
      <c r="R41" s="19"/>
      <c r="S41" s="2"/>
      <c r="T41" s="2"/>
      <c r="U41" s="2"/>
      <c r="V41" s="19"/>
      <c r="W41" s="2"/>
      <c r="X41" s="2">
        <f t="shared" si="2"/>
        <v>604143.21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 t="shared" si="7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--836487.29</f>
        <v>836487.29</v>
      </c>
      <c r="Q42" s="2"/>
      <c r="R42" s="19"/>
      <c r="S42" s="2"/>
      <c r="T42" s="2"/>
      <c r="U42" s="2"/>
      <c r="V42" s="19"/>
      <c r="W42" s="2"/>
      <c r="X42" s="2">
        <f t="shared" si="2"/>
        <v>836487.29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--27.9</f>
        <v>27.9</v>
      </c>
      <c r="E43" s="2"/>
      <c r="F43" s="19"/>
      <c r="G43" s="2"/>
      <c r="H43" s="2"/>
      <c r="I43" s="2"/>
      <c r="J43" s="19"/>
      <c r="K43" s="2"/>
      <c r="L43" s="2">
        <f t="shared" si="0"/>
        <v>27.9</v>
      </c>
      <c r="M43" s="2"/>
      <c r="N43" s="19">
        <f t="shared" si="1"/>
        <v>0</v>
      </c>
      <c r="O43" s="11"/>
      <c r="P43" s="2">
        <f>--280013.99</f>
        <v>280013.99</v>
      </c>
      <c r="Q43" s="2"/>
      <c r="R43" s="19"/>
      <c r="S43" s="2"/>
      <c r="T43" s="2"/>
      <c r="U43" s="2"/>
      <c r="V43" s="19"/>
      <c r="W43" s="2"/>
      <c r="X43" s="2">
        <f t="shared" si="2"/>
        <v>280013.99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5" si="8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--382379.53</f>
        <v>382379.53</v>
      </c>
      <c r="Q44" s="2"/>
      <c r="R44" s="19"/>
      <c r="S44" s="2"/>
      <c r="T44" s="2"/>
      <c r="U44" s="2"/>
      <c r="V44" s="19"/>
      <c r="W44" s="2"/>
      <c r="X44" s="2">
        <f t="shared" si="2"/>
        <v>382379.53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 t="shared" si="8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--117077.57</f>
        <v>117077.57</v>
      </c>
      <c r="Q45" s="2"/>
      <c r="R45" s="19"/>
      <c r="S45" s="2"/>
      <c r="T45" s="2"/>
      <c r="U45" s="2"/>
      <c r="V45" s="19"/>
      <c r="W45" s="2"/>
      <c r="X45" s="2">
        <f t="shared" si="2"/>
        <v>117077.57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--1708.99</f>
        <v>1708.99</v>
      </c>
      <c r="E46" s="2"/>
      <c r="F46" s="19"/>
      <c r="G46" s="2"/>
      <c r="H46" s="2"/>
      <c r="I46" s="2"/>
      <c r="J46" s="19"/>
      <c r="K46" s="2"/>
      <c r="L46" s="2">
        <f t="shared" si="0"/>
        <v>1708.99</v>
      </c>
      <c r="M46" s="2"/>
      <c r="N46" s="19">
        <f t="shared" si="1"/>
        <v>0</v>
      </c>
      <c r="O46" s="11"/>
      <c r="P46" s="2">
        <f>--318043.95</f>
        <v>318043.95</v>
      </c>
      <c r="Q46" s="2"/>
      <c r="R46" s="19"/>
      <c r="S46" s="2"/>
      <c r="T46" s="2"/>
      <c r="U46" s="2"/>
      <c r="V46" s="19"/>
      <c r="W46" s="2"/>
      <c r="X46" s="2">
        <f t="shared" si="2"/>
        <v>318043.95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--391247.66</f>
        <v>391247.66</v>
      </c>
      <c r="E47" s="2"/>
      <c r="F47" s="19"/>
      <c r="G47" s="2"/>
      <c r="H47" s="2"/>
      <c r="I47" s="2"/>
      <c r="J47" s="19"/>
      <c r="K47" s="2"/>
      <c r="L47" s="2">
        <f t="shared" si="0"/>
        <v>391247.66</v>
      </c>
      <c r="M47" s="2"/>
      <c r="N47" s="19">
        <f t="shared" si="1"/>
        <v>0</v>
      </c>
      <c r="O47" s="11"/>
      <c r="P47" s="2">
        <f>--2373850.38</f>
        <v>2373850.38</v>
      </c>
      <c r="Q47" s="2"/>
      <c r="R47" s="19"/>
      <c r="S47" s="2"/>
      <c r="T47" s="2"/>
      <c r="U47" s="2"/>
      <c r="V47" s="19"/>
      <c r="W47" s="2"/>
      <c r="X47" s="2">
        <f t="shared" si="2"/>
        <v>2373850.38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--32731.49</f>
        <v>32731.49</v>
      </c>
      <c r="E48" s="2"/>
      <c r="F48" s="19"/>
      <c r="G48" s="2"/>
      <c r="H48" s="2"/>
      <c r="I48" s="2"/>
      <c r="J48" s="19"/>
      <c r="K48" s="2"/>
      <c r="L48" s="2">
        <f t="shared" si="0"/>
        <v>32731.49</v>
      </c>
      <c r="M48" s="2"/>
      <c r="N48" s="19">
        <f t="shared" si="1"/>
        <v>0</v>
      </c>
      <c r="O48" s="11"/>
      <c r="P48" s="2">
        <f>--139149.89</f>
        <v>139149.89000000001</v>
      </c>
      <c r="Q48" s="2"/>
      <c r="R48" s="19"/>
      <c r="S48" s="2"/>
      <c r="T48" s="2"/>
      <c r="U48" s="2"/>
      <c r="V48" s="19"/>
      <c r="W48" s="2"/>
      <c r="X48" s="2">
        <f t="shared" si="2"/>
        <v>139149.89000000001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 t="shared" ref="D49:D50" si="9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/>
      <c r="U49" s="2"/>
      <c r="V49" s="19"/>
      <c r="W49" s="2"/>
      <c r="X49" s="2">
        <f t="shared" si="2"/>
        <v>129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 t="shared" si="9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--4587.93</f>
        <v>4587.93</v>
      </c>
      <c r="Q50" s="2"/>
      <c r="R50" s="19"/>
      <c r="S50" s="2"/>
      <c r="T50" s="2"/>
      <c r="U50" s="2"/>
      <c r="V50" s="19"/>
      <c r="W50" s="2"/>
      <c r="X50" s="2">
        <f t="shared" si="2"/>
        <v>4587.93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--114.95</f>
        <v>114.95</v>
      </c>
      <c r="E51" s="2"/>
      <c r="F51" s="19"/>
      <c r="G51" s="2"/>
      <c r="H51" s="2"/>
      <c r="I51" s="2"/>
      <c r="J51" s="19"/>
      <c r="K51" s="2"/>
      <c r="L51" s="2">
        <f t="shared" si="0"/>
        <v>114.95</v>
      </c>
      <c r="M51" s="2"/>
      <c r="N51" s="19">
        <f t="shared" si="1"/>
        <v>0</v>
      </c>
      <c r="O51" s="11"/>
      <c r="P51" s="2">
        <f>--49644.41</f>
        <v>49644.41</v>
      </c>
      <c r="Q51" s="2"/>
      <c r="R51" s="19"/>
      <c r="S51" s="2"/>
      <c r="T51" s="2"/>
      <c r="U51" s="2"/>
      <c r="V51" s="19"/>
      <c r="W51" s="2"/>
      <c r="X51" s="2">
        <f t="shared" si="2"/>
        <v>49644.41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--356</f>
        <v>356</v>
      </c>
      <c r="E52" s="2"/>
      <c r="F52" s="19"/>
      <c r="G52" s="2"/>
      <c r="H52" s="2"/>
      <c r="I52" s="2"/>
      <c r="J52" s="19"/>
      <c r="K52" s="2"/>
      <c r="L52" s="2">
        <f t="shared" si="0"/>
        <v>356</v>
      </c>
      <c r="M52" s="2"/>
      <c r="N52" s="19">
        <f t="shared" si="1"/>
        <v>0</v>
      </c>
      <c r="O52" s="11"/>
      <c r="P52" s="2">
        <f>--3151.75</f>
        <v>3151.75</v>
      </c>
      <c r="Q52" s="2"/>
      <c r="R52" s="19"/>
      <c r="S52" s="2"/>
      <c r="T52" s="2"/>
      <c r="U52" s="2"/>
      <c r="V52" s="19"/>
      <c r="W52" s="2"/>
      <c r="X52" s="2">
        <f t="shared" si="2"/>
        <v>3151.75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--6332.23</f>
        <v>6332.23</v>
      </c>
      <c r="E53" s="2"/>
      <c r="F53" s="19"/>
      <c r="G53" s="2"/>
      <c r="H53" s="2"/>
      <c r="I53" s="2"/>
      <c r="J53" s="19"/>
      <c r="K53" s="2"/>
      <c r="L53" s="2">
        <f t="shared" si="0"/>
        <v>6332.23</v>
      </c>
      <c r="M53" s="2"/>
      <c r="N53" s="19">
        <f t="shared" si="1"/>
        <v>0</v>
      </c>
      <c r="O53" s="11"/>
      <c r="P53" s="2">
        <f>--41685.94</f>
        <v>41685.94</v>
      </c>
      <c r="Q53" s="2"/>
      <c r="R53" s="19"/>
      <c r="S53" s="2"/>
      <c r="T53" s="2"/>
      <c r="U53" s="2"/>
      <c r="V53" s="19"/>
      <c r="W53" s="2"/>
      <c r="X53" s="2">
        <f t="shared" si="2"/>
        <v>41685.94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--309.26</f>
        <v>309.26</v>
      </c>
      <c r="Q54" s="2"/>
      <c r="R54" s="19"/>
      <c r="S54" s="2"/>
      <c r="T54" s="2"/>
      <c r="U54" s="2"/>
      <c r="V54" s="19"/>
      <c r="W54" s="2"/>
      <c r="X54" s="2">
        <f t="shared" si="2"/>
        <v>309.26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--46177.48</f>
        <v>46177.48</v>
      </c>
      <c r="E55" s="2"/>
      <c r="F55" s="19"/>
      <c r="G55" s="2"/>
      <c r="H55" s="2">
        <v>459962</v>
      </c>
      <c r="I55" s="2"/>
      <c r="J55" s="19"/>
      <c r="K55" s="2"/>
      <c r="L55" s="2">
        <f t="shared" si="0"/>
        <v>-413784.52</v>
      </c>
      <c r="M55" s="2"/>
      <c r="N55" s="19">
        <f t="shared" si="1"/>
        <v>-0.89960588048577927</v>
      </c>
      <c r="O55" s="11"/>
      <c r="P55" s="2">
        <f>--1082924.5</f>
        <v>1082924.5</v>
      </c>
      <c r="Q55" s="2"/>
      <c r="R55" s="19"/>
      <c r="S55" s="2"/>
      <c r="T55" s="2">
        <v>24697746</v>
      </c>
      <c r="U55" s="2"/>
      <c r="V55" s="19"/>
      <c r="W55" s="2"/>
      <c r="X55" s="2">
        <f t="shared" si="2"/>
        <v>-23614821.5</v>
      </c>
      <c r="Y55" s="2"/>
      <c r="Z55" s="19">
        <f t="shared" si="3"/>
        <v>-0.9561529015643776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--2671.34</f>
        <v>2671.34</v>
      </c>
      <c r="E56" s="2"/>
      <c r="F56" s="19"/>
      <c r="G56" s="2"/>
      <c r="H56" s="2"/>
      <c r="I56" s="2"/>
      <c r="J56" s="19"/>
      <c r="K56" s="2"/>
      <c r="L56" s="2">
        <f t="shared" si="0"/>
        <v>2671.34</v>
      </c>
      <c r="M56" s="2"/>
      <c r="N56" s="19">
        <f t="shared" si="1"/>
        <v>0</v>
      </c>
      <c r="O56" s="11"/>
      <c r="P56" s="2">
        <f>--153953.68</f>
        <v>153953.68</v>
      </c>
      <c r="Q56" s="2"/>
      <c r="R56" s="19"/>
      <c r="S56" s="2"/>
      <c r="T56" s="2"/>
      <c r="U56" s="2"/>
      <c r="V56" s="19"/>
      <c r="W56" s="2"/>
      <c r="X56" s="2">
        <f t="shared" si="2"/>
        <v>153953.68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--1718.15</f>
        <v>1718.15</v>
      </c>
      <c r="E57" s="2"/>
      <c r="F57" s="19"/>
      <c r="G57" s="2"/>
      <c r="H57" s="2"/>
      <c r="I57" s="2"/>
      <c r="J57" s="19"/>
      <c r="K57" s="2"/>
      <c r="L57" s="2">
        <f t="shared" si="0"/>
        <v>1718.15</v>
      </c>
      <c r="M57" s="2"/>
      <c r="N57" s="19">
        <f t="shared" si="1"/>
        <v>0</v>
      </c>
      <c r="O57" s="11"/>
      <c r="P57" s="2">
        <f>--71943.61</f>
        <v>71943.61</v>
      </c>
      <c r="Q57" s="2"/>
      <c r="R57" s="19"/>
      <c r="S57" s="2"/>
      <c r="T57" s="2"/>
      <c r="U57" s="2"/>
      <c r="V57" s="19"/>
      <c r="W57" s="2"/>
      <c r="X57" s="2">
        <f t="shared" si="2"/>
        <v>71943.61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--664.97</f>
        <v>664.97</v>
      </c>
      <c r="Q58" s="2"/>
      <c r="R58" s="19"/>
      <c r="S58" s="2"/>
      <c r="T58" s="2"/>
      <c r="U58" s="2"/>
      <c r="V58" s="19"/>
      <c r="W58" s="2"/>
      <c r="X58" s="2">
        <f t="shared" si="2"/>
        <v>664.97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--1836.93</f>
        <v>1836.93</v>
      </c>
      <c r="E59" s="2"/>
      <c r="F59" s="19"/>
      <c r="G59" s="2"/>
      <c r="H59" s="2"/>
      <c r="I59" s="2"/>
      <c r="J59" s="19"/>
      <c r="K59" s="2"/>
      <c r="L59" s="2">
        <f t="shared" si="0"/>
        <v>1836.93</v>
      </c>
      <c r="M59" s="2"/>
      <c r="N59" s="19">
        <f t="shared" si="1"/>
        <v>0</v>
      </c>
      <c r="O59" s="11"/>
      <c r="P59" s="2">
        <f>--533640.31</f>
        <v>533640.31000000006</v>
      </c>
      <c r="Q59" s="2"/>
      <c r="R59" s="19"/>
      <c r="S59" s="2"/>
      <c r="T59" s="2"/>
      <c r="U59" s="2"/>
      <c r="V59" s="19"/>
      <c r="W59" s="2"/>
      <c r="X59" s="2">
        <f t="shared" si="2"/>
        <v>533640.31000000006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--679.21</f>
        <v>679.21</v>
      </c>
      <c r="E60" s="2"/>
      <c r="F60" s="19"/>
      <c r="G60" s="2"/>
      <c r="H60" s="2"/>
      <c r="I60" s="2"/>
      <c r="J60" s="19"/>
      <c r="K60" s="2"/>
      <c r="L60" s="2">
        <f t="shared" si="0"/>
        <v>679.21</v>
      </c>
      <c r="M60" s="2"/>
      <c r="N60" s="19">
        <f t="shared" si="1"/>
        <v>0</v>
      </c>
      <c r="O60" s="11"/>
      <c r="P60" s="2">
        <f>--16342.67</f>
        <v>16342.67</v>
      </c>
      <c r="Q60" s="2"/>
      <c r="R60" s="19"/>
      <c r="S60" s="2"/>
      <c r="T60" s="2"/>
      <c r="U60" s="2"/>
      <c r="V60" s="19"/>
      <c r="W60" s="2"/>
      <c r="X60" s="2">
        <f t="shared" si="2"/>
        <v>16342.67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 t="shared" ref="D61:D62" si="10">0</f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--8266.16</f>
        <v>8266.16</v>
      </c>
      <c r="Q61" s="2"/>
      <c r="R61" s="19"/>
      <c r="S61" s="2"/>
      <c r="T61" s="2"/>
      <c r="U61" s="2"/>
      <c r="V61" s="19"/>
      <c r="W61" s="2"/>
      <c r="X61" s="2">
        <f t="shared" si="2"/>
        <v>8266.16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"4114", " - ", "NON-TAXABLE SALES-REMAINDERS")</f>
        <v xml:space="preserve">          4114 - NON-TAXABLE SALES-REMAINDERS</v>
      </c>
      <c r="C62" s="11"/>
      <c r="D62" s="2">
        <f t="shared" si="10"/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--3.19</f>
        <v>3.19</v>
      </c>
      <c r="Q62" s="2"/>
      <c r="R62" s="19"/>
      <c r="S62" s="2"/>
      <c r="T62" s="2"/>
      <c r="U62" s="2"/>
      <c r="V62" s="19"/>
      <c r="W62" s="2"/>
      <c r="X62" s="2">
        <f t="shared" si="2"/>
        <v>3.19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"4118", " - ", "NON-TAXABLE SALES-STUDY GUIDES")</f>
        <v xml:space="preserve">          4118 - NON-TAXABLE SALES-STUDY GUIDES</v>
      </c>
      <c r="C63" s="11"/>
      <c r="D63" s="2">
        <f>--10.09</f>
        <v>10.09</v>
      </c>
      <c r="E63" s="2"/>
      <c r="F63" s="19"/>
      <c r="G63" s="2"/>
      <c r="H63" s="2"/>
      <c r="I63" s="2"/>
      <c r="J63" s="19"/>
      <c r="K63" s="2"/>
      <c r="L63" s="2">
        <f t="shared" si="0"/>
        <v>10.09</v>
      </c>
      <c r="M63" s="2"/>
      <c r="N63" s="19">
        <f t="shared" si="1"/>
        <v>0</v>
      </c>
      <c r="O63" s="11"/>
      <c r="P63" s="2">
        <f>--126.03</f>
        <v>126.03</v>
      </c>
      <c r="Q63" s="2"/>
      <c r="R63" s="19"/>
      <c r="S63" s="2"/>
      <c r="T63" s="2"/>
      <c r="U63" s="2"/>
      <c r="V63" s="19"/>
      <c r="W63" s="2"/>
      <c r="X63" s="2">
        <f t="shared" si="2"/>
        <v>126.03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"4125", " - ", "NON-TAXABLE SALES-TEST FORMS")</f>
        <v xml:space="preserve">          4125 - NON-TAXABLE SALES-TEST FORMS</v>
      </c>
      <c r="C64" s="11"/>
      <c r="D64" s="2">
        <f>--185</f>
        <v>185</v>
      </c>
      <c r="E64" s="2"/>
      <c r="F64" s="19"/>
      <c r="G64" s="2"/>
      <c r="H64" s="2"/>
      <c r="I64" s="2"/>
      <c r="J64" s="19"/>
      <c r="K64" s="2"/>
      <c r="L64" s="2">
        <f t="shared" si="0"/>
        <v>185</v>
      </c>
      <c r="M64" s="2"/>
      <c r="N64" s="19">
        <f t="shared" si="1"/>
        <v>0</v>
      </c>
      <c r="O64" s="11"/>
      <c r="P64" s="2">
        <f>--452.61</f>
        <v>452.61</v>
      </c>
      <c r="Q64" s="2"/>
      <c r="R64" s="19"/>
      <c r="S64" s="2"/>
      <c r="T64" s="2"/>
      <c r="U64" s="2"/>
      <c r="V64" s="19"/>
      <c r="W64" s="2"/>
      <c r="X64" s="2">
        <f t="shared" si="2"/>
        <v>452.61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"4126", " - ", "NON-TAXABLE SALES-WRITING INST")</f>
        <v xml:space="preserve">          4126 - NON-TAXABLE SALES-WRITING INST</v>
      </c>
      <c r="C65" s="11"/>
      <c r="D65" s="2">
        <f>--168.02</f>
        <v>168.02</v>
      </c>
      <c r="E65" s="2"/>
      <c r="F65" s="19"/>
      <c r="G65" s="2"/>
      <c r="H65" s="2"/>
      <c r="I65" s="2"/>
      <c r="J65" s="19"/>
      <c r="K65" s="2"/>
      <c r="L65" s="2">
        <f t="shared" si="0"/>
        <v>168.02</v>
      </c>
      <c r="M65" s="2"/>
      <c r="N65" s="19">
        <f t="shared" si="1"/>
        <v>0</v>
      </c>
      <c r="O65" s="11"/>
      <c r="P65" s="2">
        <f>--3301.44</f>
        <v>3301.44</v>
      </c>
      <c r="Q65" s="2"/>
      <c r="R65" s="19"/>
      <c r="S65" s="2"/>
      <c r="T65" s="2"/>
      <c r="U65" s="2"/>
      <c r="V65" s="19"/>
      <c r="W65" s="2"/>
      <c r="X65" s="2">
        <f t="shared" si="2"/>
        <v>3301.44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"4127", " - ", "NON-TAXABLE SALES-SCHOOL SUPPL")</f>
        <v xml:space="preserve">          4127 - NON-TAXABLE SALES-SCHOOL SUPPL</v>
      </c>
      <c r="C66" s="11"/>
      <c r="D66" s="2">
        <f>--97.62</f>
        <v>97.62</v>
      </c>
      <c r="E66" s="2"/>
      <c r="F66" s="19"/>
      <c r="G66" s="2"/>
      <c r="H66" s="2"/>
      <c r="I66" s="2"/>
      <c r="J66" s="19"/>
      <c r="K66" s="2"/>
      <c r="L66" s="2">
        <f t="shared" si="0"/>
        <v>97.62</v>
      </c>
      <c r="M66" s="2"/>
      <c r="N66" s="19">
        <f t="shared" si="1"/>
        <v>0</v>
      </c>
      <c r="O66" s="11"/>
      <c r="P66" s="2">
        <f>--6471.33</f>
        <v>6471.33</v>
      </c>
      <c r="Q66" s="2"/>
      <c r="R66" s="19"/>
      <c r="S66" s="2"/>
      <c r="T66" s="2"/>
      <c r="U66" s="2"/>
      <c r="V66" s="19"/>
      <c r="W66" s="2"/>
      <c r="X66" s="2">
        <f t="shared" si="2"/>
        <v>6471.33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"4128", " - ", "NON-TAXABLE SALES-ART/TECH")</f>
        <v xml:space="preserve">          4128 - NON-TAXABLE SALES-ART/TECH</v>
      </c>
      <c r="C67" s="11"/>
      <c r="D67" s="2">
        <f>--0.74</f>
        <v>0.74</v>
      </c>
      <c r="E67" s="2"/>
      <c r="F67" s="19"/>
      <c r="G67" s="2"/>
      <c r="H67" s="2"/>
      <c r="I67" s="2"/>
      <c r="J67" s="19"/>
      <c r="K67" s="2"/>
      <c r="L67" s="2">
        <f t="shared" si="0"/>
        <v>0.74</v>
      </c>
      <c r="M67" s="2"/>
      <c r="N67" s="19">
        <f t="shared" si="1"/>
        <v>0</v>
      </c>
      <c r="O67" s="11"/>
      <c r="P67" s="2">
        <f>--731.36</f>
        <v>731.36</v>
      </c>
      <c r="Q67" s="2"/>
      <c r="R67" s="19"/>
      <c r="S67" s="2"/>
      <c r="T67" s="2"/>
      <c r="U67" s="2"/>
      <c r="V67" s="19"/>
      <c r="W67" s="2"/>
      <c r="X67" s="2">
        <f t="shared" si="2"/>
        <v>731.36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"4131", " - ", "NON-TAXABLE SALES-FOOD")</f>
        <v xml:space="preserve">          4131 - NON-TAXABLE SALES-FOOD</v>
      </c>
      <c r="C68" s="11"/>
      <c r="D68" s="2">
        <f>--64.14</f>
        <v>64.14</v>
      </c>
      <c r="E68" s="2"/>
      <c r="F68" s="19"/>
      <c r="G68" s="2"/>
      <c r="H68" s="2"/>
      <c r="I68" s="2"/>
      <c r="J68" s="19"/>
      <c r="K68" s="2"/>
      <c r="L68" s="2">
        <f t="shared" si="0"/>
        <v>64.14</v>
      </c>
      <c r="M68" s="2"/>
      <c r="N68" s="19">
        <f t="shared" si="1"/>
        <v>0</v>
      </c>
      <c r="O68" s="11"/>
      <c r="P68" s="2">
        <f>--57960.32</f>
        <v>57960.32</v>
      </c>
      <c r="Q68" s="2"/>
      <c r="R68" s="19"/>
      <c r="S68" s="2"/>
      <c r="T68" s="2"/>
      <c r="U68" s="2"/>
      <c r="V68" s="19"/>
      <c r="W68" s="2"/>
      <c r="X68" s="2">
        <f t="shared" si="2"/>
        <v>57960.32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"4132", " - ", "NON-TAXABLE SALES-JUICE")</f>
        <v xml:space="preserve">          4132 - NON-TAXABLE SALES-JUICE</v>
      </c>
      <c r="C69" s="11"/>
      <c r="D69" s="2">
        <f>--114.48</f>
        <v>114.48</v>
      </c>
      <c r="E69" s="2"/>
      <c r="F69" s="19"/>
      <c r="G69" s="2"/>
      <c r="H69" s="2"/>
      <c r="I69" s="2"/>
      <c r="J69" s="19"/>
      <c r="K69" s="2"/>
      <c r="L69" s="2">
        <f t="shared" si="0"/>
        <v>114.48</v>
      </c>
      <c r="M69" s="2"/>
      <c r="N69" s="19">
        <f t="shared" si="1"/>
        <v>0</v>
      </c>
      <c r="O69" s="11"/>
      <c r="P69" s="2">
        <f>--1110092.26</f>
        <v>1110092.26</v>
      </c>
      <c r="Q69" s="2"/>
      <c r="R69" s="19"/>
      <c r="S69" s="2"/>
      <c r="T69" s="2"/>
      <c r="U69" s="2"/>
      <c r="V69" s="19"/>
      <c r="W69" s="2"/>
      <c r="X69" s="2">
        <f t="shared" si="2"/>
        <v>1110092.26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"4133", " - ", "NON-TAXABLE SALES-CANDY")</f>
        <v xml:space="preserve">          4133 - NON-TAXABLE SALES-CANDY</v>
      </c>
      <c r="C70" s="11"/>
      <c r="D70" s="2">
        <f>--13.47</f>
        <v>13.47</v>
      </c>
      <c r="E70" s="2"/>
      <c r="F70" s="19"/>
      <c r="G70" s="2"/>
      <c r="H70" s="2"/>
      <c r="I70" s="2"/>
      <c r="J70" s="19"/>
      <c r="K70" s="2"/>
      <c r="L70" s="2">
        <f t="shared" si="0"/>
        <v>13.47</v>
      </c>
      <c r="M70" s="2"/>
      <c r="N70" s="19">
        <f t="shared" si="1"/>
        <v>0</v>
      </c>
      <c r="O70" s="11"/>
      <c r="P70" s="2">
        <f>--18151.79</f>
        <v>18151.79</v>
      </c>
      <c r="Q70" s="2"/>
      <c r="R70" s="19"/>
      <c r="S70" s="2"/>
      <c r="T70" s="2"/>
      <c r="U70" s="2"/>
      <c r="V70" s="19"/>
      <c r="W70" s="2"/>
      <c r="X70" s="2">
        <f t="shared" si="2"/>
        <v>18151.79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"4134", " - ", "NON-TAXABLE SALES-SODA")</f>
        <v xml:space="preserve">          4134 - NON-TAXABLE SALES-SODA</v>
      </c>
      <c r="C71" s="11"/>
      <c r="D71" s="2">
        <f>--4.99</f>
        <v>4.99</v>
      </c>
      <c r="E71" s="2"/>
      <c r="F71" s="19"/>
      <c r="G71" s="2"/>
      <c r="H71" s="2"/>
      <c r="I71" s="2"/>
      <c r="J71" s="19"/>
      <c r="K71" s="2"/>
      <c r="L71" s="2">
        <f t="shared" si="0"/>
        <v>4.99</v>
      </c>
      <c r="M71" s="2"/>
      <c r="N71" s="19">
        <f t="shared" si="1"/>
        <v>0</v>
      </c>
      <c r="O71" s="11"/>
      <c r="P71" s="2">
        <f>--101.72</f>
        <v>101.72</v>
      </c>
      <c r="Q71" s="2"/>
      <c r="R71" s="19"/>
      <c r="S71" s="2"/>
      <c r="T71" s="2"/>
      <c r="U71" s="2"/>
      <c r="V71" s="19"/>
      <c r="W71" s="2"/>
      <c r="X71" s="2">
        <f t="shared" si="2"/>
        <v>101.72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"4135", " - ", "NON-TAXABLE SALES")</f>
        <v xml:space="preserve">          4135 - NON-TAXABLE SALES</v>
      </c>
      <c r="C72" s="11"/>
      <c r="D72" s="2">
        <f t="shared" ref="D72:D73" si="11">0</f>
        <v>0</v>
      </c>
      <c r="E72" s="2"/>
      <c r="F72" s="19"/>
      <c r="G72" s="2"/>
      <c r="H72" s="2"/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>--161.4</f>
        <v>161.4</v>
      </c>
      <c r="Q72" s="2"/>
      <c r="R72" s="19"/>
      <c r="S72" s="2"/>
      <c r="T72" s="2"/>
      <c r="U72" s="2"/>
      <c r="V72" s="19"/>
      <c r="W72" s="2"/>
      <c r="X72" s="2">
        <f t="shared" si="2"/>
        <v>161.4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"4137", " - ", "NON-TAXABLE SALES-WATER")</f>
        <v xml:space="preserve">          4137 - NON-TAXABLE SALES-WATER</v>
      </c>
      <c r="C73" s="11"/>
      <c r="D73" s="2">
        <f t="shared" si="11"/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--10094.74</f>
        <v>10094.74</v>
      </c>
      <c r="Q73" s="2"/>
      <c r="R73" s="19"/>
      <c r="S73" s="2"/>
      <c r="T73" s="2"/>
      <c r="U73" s="2"/>
      <c r="V73" s="19"/>
      <c r="W73" s="2"/>
      <c r="X73" s="2">
        <f t="shared" si="2"/>
        <v>10094.74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"4140", " - ", "NON-TAXABLE SALES-LOGO CLOTHIN")</f>
        <v xml:space="preserve">          4140 - NON-TAXABLE SALES-LOGO CLOTHIN</v>
      </c>
      <c r="C74" s="11"/>
      <c r="D74" s="2">
        <f>--40740.37</f>
        <v>40740.370000000003</v>
      </c>
      <c r="E74" s="2"/>
      <c r="F74" s="19"/>
      <c r="G74" s="2"/>
      <c r="H74" s="2"/>
      <c r="I74" s="2"/>
      <c r="J74" s="19"/>
      <c r="K74" s="2"/>
      <c r="L74" s="2">
        <f t="shared" si="0"/>
        <v>40740.370000000003</v>
      </c>
      <c r="M74" s="2"/>
      <c r="N74" s="19">
        <f t="shared" si="1"/>
        <v>0</v>
      </c>
      <c r="O74" s="11"/>
      <c r="P74" s="2">
        <f>--176221.13</f>
        <v>176221.13</v>
      </c>
      <c r="Q74" s="2"/>
      <c r="R74" s="19"/>
      <c r="S74" s="2"/>
      <c r="T74" s="2"/>
      <c r="U74" s="2"/>
      <c r="V74" s="19"/>
      <c r="W74" s="2"/>
      <c r="X74" s="2">
        <f t="shared" si="2"/>
        <v>176221.13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"4141", " - ", "NON-TAXABLE SALES-LOGO GIFTS")</f>
        <v xml:space="preserve">          4141 - NON-TAXABLE SALES-LOGO GIFTS</v>
      </c>
      <c r="C75" s="11"/>
      <c r="D75" s="2">
        <f>--6641.14</f>
        <v>6641.14</v>
      </c>
      <c r="E75" s="2"/>
      <c r="F75" s="19"/>
      <c r="G75" s="2"/>
      <c r="H75" s="2"/>
      <c r="I75" s="2"/>
      <c r="J75" s="19"/>
      <c r="K75" s="2"/>
      <c r="L75" s="2">
        <f t="shared" si="0"/>
        <v>6641.14</v>
      </c>
      <c r="M75" s="2"/>
      <c r="N75" s="19">
        <f t="shared" si="1"/>
        <v>0</v>
      </c>
      <c r="O75" s="11"/>
      <c r="P75" s="2">
        <f>--23601.45</f>
        <v>23601.45</v>
      </c>
      <c r="Q75" s="2"/>
      <c r="R75" s="19"/>
      <c r="S75" s="2"/>
      <c r="T75" s="2"/>
      <c r="U75" s="2"/>
      <c r="V75" s="19"/>
      <c r="W75" s="2"/>
      <c r="X75" s="2">
        <f t="shared" si="2"/>
        <v>23601.45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"4142", " - ", "NON-TAXABLE SALES-EVERYDAY GIF")</f>
        <v xml:space="preserve">          4142 - NON-TAXABLE SALES-EVERYDAY GIF</v>
      </c>
      <c r="C76" s="11"/>
      <c r="D76" s="2">
        <f>--1018.52</f>
        <v>1018.52</v>
      </c>
      <c r="E76" s="2"/>
      <c r="F76" s="19"/>
      <c r="G76" s="2"/>
      <c r="H76" s="2"/>
      <c r="I76" s="2"/>
      <c r="J76" s="19"/>
      <c r="K76" s="2"/>
      <c r="L76" s="2">
        <f t="shared" si="0"/>
        <v>1018.52</v>
      </c>
      <c r="M76" s="2"/>
      <c r="N76" s="19">
        <f t="shared" si="1"/>
        <v>0</v>
      </c>
      <c r="O76" s="11"/>
      <c r="P76" s="2">
        <f>--16350.74</f>
        <v>16350.74</v>
      </c>
      <c r="Q76" s="2"/>
      <c r="R76" s="19"/>
      <c r="S76" s="2"/>
      <c r="T76" s="2"/>
      <c r="U76" s="2"/>
      <c r="V76" s="19"/>
      <c r="W76" s="2"/>
      <c r="X76" s="2">
        <f t="shared" si="2"/>
        <v>16350.74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"4143", " - ", "NON-TAXABLE SALES-CARDS")</f>
        <v xml:space="preserve">          4143 - NON-TAXABLE SALES-CARDS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--19.98</f>
        <v>19.98</v>
      </c>
      <c r="Q77" s="2"/>
      <c r="R77" s="19"/>
      <c r="S77" s="2"/>
      <c r="T77" s="2"/>
      <c r="U77" s="2"/>
      <c r="V77" s="19"/>
      <c r="W77" s="2"/>
      <c r="X77" s="2">
        <f t="shared" si="2"/>
        <v>19.98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"4144", " - ", "NON-TAXABLE SALES-ACCESSORIES")</f>
        <v xml:space="preserve">          4144 - NON-TAXABLE SALES-ACCESSORIES</v>
      </c>
      <c r="C78" s="11"/>
      <c r="D78" s="2">
        <f>--386.9</f>
        <v>386.9</v>
      </c>
      <c r="E78" s="2"/>
      <c r="F78" s="19"/>
      <c r="G78" s="2"/>
      <c r="H78" s="2"/>
      <c r="I78" s="2"/>
      <c r="J78" s="19"/>
      <c r="K78" s="2"/>
      <c r="L78" s="2">
        <f t="shared" si="0"/>
        <v>386.9</v>
      </c>
      <c r="M78" s="2"/>
      <c r="N78" s="19">
        <f t="shared" si="1"/>
        <v>0</v>
      </c>
      <c r="O78" s="11"/>
      <c r="P78" s="2">
        <f>--3710.92</f>
        <v>3710.92</v>
      </c>
      <c r="Q78" s="2"/>
      <c r="R78" s="19"/>
      <c r="S78" s="2"/>
      <c r="T78" s="2"/>
      <c r="U78" s="2"/>
      <c r="V78" s="19"/>
      <c r="W78" s="2"/>
      <c r="X78" s="2">
        <f t="shared" si="2"/>
        <v>3710.92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"4145", " - ", "NON-TAXABLE SALES-SPECIAL ORDE")</f>
        <v xml:space="preserve">          4145 - NON-TAXABLE SALES-SPECIAL ORDE</v>
      </c>
      <c r="C79" s="11"/>
      <c r="D79" s="2">
        <f>--19379.5</f>
        <v>19379.5</v>
      </c>
      <c r="E79" s="2"/>
      <c r="F79" s="19"/>
      <c r="G79" s="2"/>
      <c r="H79" s="2"/>
      <c r="I79" s="2"/>
      <c r="J79" s="19"/>
      <c r="K79" s="2"/>
      <c r="L79" s="2">
        <f t="shared" si="0"/>
        <v>19379.5</v>
      </c>
      <c r="M79" s="2"/>
      <c r="N79" s="19">
        <f t="shared" si="1"/>
        <v>0</v>
      </c>
      <c r="O79" s="11"/>
      <c r="P79" s="2">
        <f>--27208.18</f>
        <v>27208.18</v>
      </c>
      <c r="Q79" s="2"/>
      <c r="R79" s="19"/>
      <c r="S79" s="2"/>
      <c r="T79" s="2"/>
      <c r="U79" s="2"/>
      <c r="V79" s="19"/>
      <c r="W79" s="2"/>
      <c r="X79" s="2">
        <f t="shared" si="2"/>
        <v>27208.18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"4146", " - ", "NON-TAXABLE SALES-COIN OP MACH")</f>
        <v xml:space="preserve">          4146 - NON-TAXABLE SALES-COIN OP MACH</v>
      </c>
      <c r="C80" s="11"/>
      <c r="D80" s="2">
        <f t="shared" ref="D80:D81" si="12"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--205908.65</f>
        <v>205908.65</v>
      </c>
      <c r="Q80" s="2"/>
      <c r="R80" s="19"/>
      <c r="S80" s="2"/>
      <c r="T80" s="2"/>
      <c r="U80" s="2"/>
      <c r="V80" s="19"/>
      <c r="W80" s="2"/>
      <c r="X80" s="2">
        <f t="shared" si="2"/>
        <v>205908.65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"4147", " - ", "NON-TAXABLE SALES-MISC")</f>
        <v xml:space="preserve">          4147 - NON-TAXABLE SALES-MISC</v>
      </c>
      <c r="C81" s="11"/>
      <c r="D81" s="2">
        <f t="shared" si="12"/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--3446.37</f>
        <v>3446.37</v>
      </c>
      <c r="Q81" s="2"/>
      <c r="R81" s="19"/>
      <c r="S81" s="2"/>
      <c r="T81" s="2"/>
      <c r="U81" s="2"/>
      <c r="V81" s="19"/>
      <c r="W81" s="2"/>
      <c r="X81" s="2">
        <f t="shared" si="2"/>
        <v>3446.37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"4151", " - ", "NON-TAXABLE SALES-FOOD")</f>
        <v xml:space="preserve">          4151 - NON-TAXABLE SALES-FOOD</v>
      </c>
      <c r="C82" s="11"/>
      <c r="D82" s="2">
        <f>-138366.42</f>
        <v>-138366.42000000001</v>
      </c>
      <c r="E82" s="2"/>
      <c r="F82" s="19"/>
      <c r="G82" s="2"/>
      <c r="H82" s="2"/>
      <c r="I82" s="2"/>
      <c r="J82" s="19"/>
      <c r="K82" s="2"/>
      <c r="L82" s="2">
        <f t="shared" si="0"/>
        <v>-138366.42000000001</v>
      </c>
      <c r="M82" s="2"/>
      <c r="N82" s="19">
        <f t="shared" si="1"/>
        <v>0</v>
      </c>
      <c r="O82" s="11"/>
      <c r="P82" s="2">
        <f>--10892329.62</f>
        <v>10892329.619999999</v>
      </c>
      <c r="Q82" s="2"/>
      <c r="R82" s="19"/>
      <c r="S82" s="2"/>
      <c r="T82" s="2"/>
      <c r="U82" s="2"/>
      <c r="V82" s="19"/>
      <c r="W82" s="2"/>
      <c r="X82" s="2">
        <f t="shared" si="2"/>
        <v>10892329.619999999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"4152", " - ", "NON-TAXABLE SALES-FOOD")</f>
        <v xml:space="preserve">          4152 - NON-TAXABLE SALES-FOOD</v>
      </c>
      <c r="C83" s="11"/>
      <c r="D83" s="2">
        <f>0</f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--51415.27</f>
        <v>51415.27</v>
      </c>
      <c r="Q83" s="2"/>
      <c r="R83" s="19"/>
      <c r="S83" s="2"/>
      <c r="T83" s="2"/>
      <c r="U83" s="2"/>
      <c r="V83" s="19"/>
      <c r="W83" s="2"/>
      <c r="X83" s="2">
        <f t="shared" si="2"/>
        <v>51415.27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"4153", " - ", "NON-TAXABLE SALES-FOOD")</f>
        <v xml:space="preserve">          4153 - NON-TAXABLE SALES-FOOD</v>
      </c>
      <c r="C84" s="11"/>
      <c r="D84" s="2">
        <f>--4699.6</f>
        <v>4699.6000000000004</v>
      </c>
      <c r="E84" s="2"/>
      <c r="F84" s="19"/>
      <c r="G84" s="2"/>
      <c r="H84" s="2"/>
      <c r="I84" s="2"/>
      <c r="J84" s="19"/>
      <c r="K84" s="2"/>
      <c r="L84" s="2">
        <f t="shared" si="0"/>
        <v>4699.6000000000004</v>
      </c>
      <c r="M84" s="2"/>
      <c r="N84" s="19">
        <f t="shared" si="1"/>
        <v>0</v>
      </c>
      <c r="O84" s="11"/>
      <c r="P84" s="2">
        <f>--316965.82</f>
        <v>316965.82</v>
      </c>
      <c r="Q84" s="2"/>
      <c r="R84" s="19"/>
      <c r="S84" s="2"/>
      <c r="T84" s="2"/>
      <c r="U84" s="2"/>
      <c r="V84" s="19"/>
      <c r="W84" s="2"/>
      <c r="X84" s="2">
        <f t="shared" si="2"/>
        <v>316965.82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"4155", " - ", "NON-TAXABLE SALES-FOOD")</f>
        <v xml:space="preserve">          4155 - NON-TAXABLE SALES-FOOD</v>
      </c>
      <c r="C85" s="11"/>
      <c r="D85" s="2">
        <f t="shared" ref="D85:D87" si="13">0</f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--691123.63</f>
        <v>691123.63</v>
      </c>
      <c r="Q85" s="2"/>
      <c r="R85" s="19"/>
      <c r="S85" s="2"/>
      <c r="T85" s="2"/>
      <c r="U85" s="2"/>
      <c r="V85" s="19"/>
      <c r="W85" s="2"/>
      <c r="X85" s="2">
        <f t="shared" si="2"/>
        <v>691123.63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"4158", " - ", "NON-TAXABLE SALES-FOOD")</f>
        <v xml:space="preserve">          4158 - NON-TAXABLE SALES-FOOD</v>
      </c>
      <c r="C86" s="11"/>
      <c r="D86" s="2">
        <f t="shared" si="13"/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--474853.67</f>
        <v>474853.67</v>
      </c>
      <c r="Q86" s="2"/>
      <c r="R86" s="19"/>
      <c r="S86" s="2"/>
      <c r="T86" s="2"/>
      <c r="U86" s="2"/>
      <c r="V86" s="19"/>
      <c r="W86" s="2"/>
      <c r="X86" s="2">
        <f t="shared" si="2"/>
        <v>474853.67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"4159", " - ", "NON-TAXABLE SALES-FOOD")</f>
        <v xml:space="preserve">          4159 - NON-TAXABLE SALES-FOOD</v>
      </c>
      <c r="C87" s="11"/>
      <c r="D87" s="2">
        <f t="shared" si="13"/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--383.7</f>
        <v>383.7</v>
      </c>
      <c r="Q87" s="2"/>
      <c r="R87" s="19"/>
      <c r="S87" s="2"/>
      <c r="T87" s="2"/>
      <c r="U87" s="2"/>
      <c r="V87" s="19"/>
      <c r="W87" s="2"/>
      <c r="X87" s="2">
        <f t="shared" si="2"/>
        <v>383.7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"4181", " - ", "NON-TAXABLE SALES-ELECTRONICS")</f>
        <v xml:space="preserve">          4181 - NON-TAXABLE SALES-ELECTRONICS</v>
      </c>
      <c r="C88" s="11"/>
      <c r="D88" s="2">
        <f>--1267.95</f>
        <v>1267.95</v>
      </c>
      <c r="E88" s="2"/>
      <c r="F88" s="19"/>
      <c r="G88" s="2"/>
      <c r="H88" s="2"/>
      <c r="I88" s="2"/>
      <c r="J88" s="19"/>
      <c r="K88" s="2"/>
      <c r="L88" s="2">
        <f t="shared" si="0"/>
        <v>1267.95</v>
      </c>
      <c r="M88" s="2"/>
      <c r="N88" s="19">
        <f t="shared" si="1"/>
        <v>0</v>
      </c>
      <c r="O88" s="11"/>
      <c r="P88" s="2">
        <f>--3925.74</f>
        <v>3925.74</v>
      </c>
      <c r="Q88" s="2"/>
      <c r="R88" s="19"/>
      <c r="S88" s="2"/>
      <c r="T88" s="2"/>
      <c r="U88" s="2"/>
      <c r="V88" s="19"/>
      <c r="W88" s="2"/>
      <c r="X88" s="2">
        <f t="shared" si="2"/>
        <v>3925.74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"4182", " - ", "NON-TAXABLE SALES-COMPUTER HAR")</f>
        <v xml:space="preserve">          4182 - NON-TAXABLE SALES-COMPUTER HAR</v>
      </c>
      <c r="C89" s="11"/>
      <c r="D89" s="2">
        <f>--45022.25</f>
        <v>45022.25</v>
      </c>
      <c r="E89" s="2"/>
      <c r="F89" s="19"/>
      <c r="G89" s="2"/>
      <c r="H89" s="2"/>
      <c r="I89" s="2"/>
      <c r="J89" s="19"/>
      <c r="K89" s="2"/>
      <c r="L89" s="2">
        <f t="shared" si="0"/>
        <v>45022.25</v>
      </c>
      <c r="M89" s="2"/>
      <c r="N89" s="19">
        <f t="shared" si="1"/>
        <v>0</v>
      </c>
      <c r="O89" s="11"/>
      <c r="P89" s="2">
        <f>--221223.79</f>
        <v>221223.79</v>
      </c>
      <c r="Q89" s="2"/>
      <c r="R89" s="19"/>
      <c r="S89" s="2"/>
      <c r="T89" s="2"/>
      <c r="U89" s="2"/>
      <c r="V89" s="19"/>
      <c r="W89" s="2"/>
      <c r="X89" s="2">
        <f t="shared" si="2"/>
        <v>221223.79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"4183", " - ", "NON-TAXABLE SALES-COMPUTER EQU")</f>
        <v xml:space="preserve">          4183 - NON-TAXABLE SALES-COMPUTER EQU</v>
      </c>
      <c r="C90" s="11"/>
      <c r="D90" s="2">
        <f>--1394.82</f>
        <v>1394.82</v>
      </c>
      <c r="E90" s="2"/>
      <c r="F90" s="19"/>
      <c r="G90" s="2"/>
      <c r="H90" s="2"/>
      <c r="I90" s="2"/>
      <c r="J90" s="19"/>
      <c r="K90" s="2"/>
      <c r="L90" s="2">
        <f t="shared" si="0"/>
        <v>1394.82</v>
      </c>
      <c r="M90" s="2"/>
      <c r="N90" s="19">
        <f t="shared" si="1"/>
        <v>0</v>
      </c>
      <c r="O90" s="11"/>
      <c r="P90" s="2">
        <f>--12822.38</f>
        <v>12822.38</v>
      </c>
      <c r="Q90" s="2"/>
      <c r="R90" s="19"/>
      <c r="S90" s="2"/>
      <c r="T90" s="2"/>
      <c r="U90" s="2"/>
      <c r="V90" s="19"/>
      <c r="W90" s="2"/>
      <c r="X90" s="2">
        <f t="shared" si="2"/>
        <v>12822.38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"4184", " - ", "NON-TAXABLE SALES-SOFTWARE LIC")</f>
        <v xml:space="preserve">          4184 - NON-TAXABLE SALES-SOFTWARE LIC</v>
      </c>
      <c r="C91" s="11"/>
      <c r="D91" s="2">
        <f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--2728</f>
        <v>2728</v>
      </c>
      <c r="Q91" s="2"/>
      <c r="R91" s="19"/>
      <c r="S91" s="2"/>
      <c r="T91" s="2"/>
      <c r="U91" s="2"/>
      <c r="V91" s="19"/>
      <c r="W91" s="2"/>
      <c r="X91" s="2">
        <f t="shared" si="2"/>
        <v>2728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"4185", " - ", "NON-TAXABLE SALES-SOFTWARE")</f>
        <v xml:space="preserve">          4185 - NON-TAXABLE SALES-SOFTWARE</v>
      </c>
      <c r="C92" s="11"/>
      <c r="D92" s="2">
        <f>--5267.75</f>
        <v>5267.75</v>
      </c>
      <c r="E92" s="2"/>
      <c r="F92" s="19"/>
      <c r="G92" s="2"/>
      <c r="H92" s="2"/>
      <c r="I92" s="2"/>
      <c r="J92" s="19"/>
      <c r="K92" s="2"/>
      <c r="L92" s="2">
        <f t="shared" si="0"/>
        <v>5267.75</v>
      </c>
      <c r="M92" s="2"/>
      <c r="N92" s="19">
        <f t="shared" si="1"/>
        <v>0</v>
      </c>
      <c r="O92" s="11"/>
      <c r="P92" s="2">
        <f>--25792.1</f>
        <v>25792.1</v>
      </c>
      <c r="Q92" s="2"/>
      <c r="R92" s="19"/>
      <c r="S92" s="2"/>
      <c r="T92" s="2"/>
      <c r="U92" s="2"/>
      <c r="V92" s="19"/>
      <c r="W92" s="2"/>
      <c r="X92" s="2">
        <f t="shared" si="2"/>
        <v>25792.1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"4186", " - ", "NON-TAXABLE SALES-COMPUTER SUP")</f>
        <v xml:space="preserve">          4186 - NON-TAXABLE SALES-COMPUTER SUP</v>
      </c>
      <c r="C93" s="11"/>
      <c r="D93" s="2">
        <f>--431.97</f>
        <v>431.97</v>
      </c>
      <c r="E93" s="2"/>
      <c r="F93" s="19"/>
      <c r="G93" s="2"/>
      <c r="H93" s="2"/>
      <c r="I93" s="2"/>
      <c r="J93" s="19"/>
      <c r="K93" s="2"/>
      <c r="L93" s="2">
        <f t="shared" si="0"/>
        <v>431.97</v>
      </c>
      <c r="M93" s="2"/>
      <c r="N93" s="19">
        <f t="shared" si="1"/>
        <v>0</v>
      </c>
      <c r="O93" s="11"/>
      <c r="P93" s="2">
        <f>--3327.08</f>
        <v>3327.08</v>
      </c>
      <c r="Q93" s="2"/>
      <c r="R93" s="19"/>
      <c r="S93" s="2"/>
      <c r="T93" s="2"/>
      <c r="U93" s="2"/>
      <c r="V93" s="19"/>
      <c r="W93" s="2"/>
      <c r="X93" s="2">
        <f t="shared" si="2"/>
        <v>3327.08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"4188", " - ", "NON-TAXABLE SALES-MUSIC")</f>
        <v xml:space="preserve">          4188 - NON-TAXABLE SALES-MUSIC</v>
      </c>
      <c r="C94" s="11"/>
      <c r="D94" s="2">
        <f t="shared" ref="D94:D96" si="14">0</f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--343.94</f>
        <v>343.94</v>
      </c>
      <c r="Q94" s="2"/>
      <c r="R94" s="19"/>
      <c r="S94" s="2"/>
      <c r="T94" s="2"/>
      <c r="U94" s="2"/>
      <c r="V94" s="19"/>
      <c r="W94" s="2"/>
      <c r="X94" s="2">
        <f t="shared" si="2"/>
        <v>343.94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"4192", " - ", "NON-TAXABLE SALES-GRAD MERCH")</f>
        <v xml:space="preserve">          4192 - NON-TAXABLE SALES-GRAD MERCH</v>
      </c>
      <c r="C95" s="11"/>
      <c r="D95" s="2">
        <f t="shared" si="14"/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--119.4</f>
        <v>119.4</v>
      </c>
      <c r="Q95" s="2"/>
      <c r="R95" s="19"/>
      <c r="S95" s="2"/>
      <c r="T95" s="2"/>
      <c r="U95" s="2"/>
      <c r="V95" s="19"/>
      <c r="W95" s="2"/>
      <c r="X95" s="2">
        <f t="shared" si="2"/>
        <v>119.4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"4201", " - ", "SALES RETURN TAXABLE-NEW TEXT")</f>
        <v xml:space="preserve">          4201 - SALES RETURN TAXABLE-NEW TEXT</v>
      </c>
      <c r="C96" s="11"/>
      <c r="D96" s="2">
        <f t="shared" si="14"/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-121451.61</f>
        <v>-121451.61</v>
      </c>
      <c r="Q96" s="2"/>
      <c r="R96" s="19"/>
      <c r="S96" s="2"/>
      <c r="T96" s="2"/>
      <c r="U96" s="2"/>
      <c r="V96" s="19"/>
      <c r="W96" s="2"/>
      <c r="X96" s="2">
        <f t="shared" si="2"/>
        <v>-121451.61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"4202", " - ", "SALES RETURN TAXABLE-USED TEXT")</f>
        <v xml:space="preserve">          4202 - SALES RETURN TAXABLE-USED TEXT</v>
      </c>
      <c r="C97" s="11"/>
      <c r="D97" s="2">
        <f>-186.35</f>
        <v>-186.35</v>
      </c>
      <c r="E97" s="2"/>
      <c r="F97" s="19"/>
      <c r="G97" s="2"/>
      <c r="H97" s="2"/>
      <c r="I97" s="2"/>
      <c r="J97" s="19"/>
      <c r="K97" s="2"/>
      <c r="L97" s="2">
        <f t="shared" si="0"/>
        <v>-186.35</v>
      </c>
      <c r="M97" s="2"/>
      <c r="N97" s="19">
        <f t="shared" si="1"/>
        <v>0</v>
      </c>
      <c r="O97" s="11"/>
      <c r="P97" s="2">
        <f>-45799.46</f>
        <v>-45799.46</v>
      </c>
      <c r="Q97" s="2"/>
      <c r="R97" s="19"/>
      <c r="S97" s="2"/>
      <c r="T97" s="2"/>
      <c r="U97" s="2"/>
      <c r="V97" s="19"/>
      <c r="W97" s="2"/>
      <c r="X97" s="2">
        <f t="shared" si="2"/>
        <v>-45799.46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"4203", " - ", "SALES RETURN TAXABLE-RENTAL TE")</f>
        <v xml:space="preserve">          4203 - SALES RETURN TAXABLE-RENTAL TE</v>
      </c>
      <c r="C98" s="11"/>
      <c r="D98" s="2">
        <f t="shared" ref="D98:D99" si="15"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-144.99</f>
        <v>-144.99</v>
      </c>
      <c r="Q98" s="2"/>
      <c r="R98" s="19"/>
      <c r="S98" s="2"/>
      <c r="T98" s="2"/>
      <c r="U98" s="2"/>
      <c r="V98" s="19"/>
      <c r="W98" s="2"/>
      <c r="X98" s="2">
        <f t="shared" si="2"/>
        <v>-144.99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"4204", " - ", "SALES RETURN TAXABLE-DIGITAL T")</f>
        <v xml:space="preserve">          4204 - SALES RETURN TAXABLE-DIGITAL T</v>
      </c>
      <c r="C99" s="11"/>
      <c r="D99" s="2">
        <f t="shared" si="15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-17255.33</f>
        <v>-17255.330000000002</v>
      </c>
      <c r="Q99" s="2"/>
      <c r="R99" s="19"/>
      <c r="S99" s="2"/>
      <c r="T99" s="2"/>
      <c r="U99" s="2"/>
      <c r="V99" s="19"/>
      <c r="W99" s="2"/>
      <c r="X99" s="2">
        <f t="shared" si="2"/>
        <v>-17255.330000000002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"4213", " - ", "NON-TAXABLE SALES-TRADE BOOKS")</f>
        <v xml:space="preserve">          4213 - NON-TAXABLE SALES-TRADE BOOKS</v>
      </c>
      <c r="C100" s="11"/>
      <c r="D100" s="2">
        <f>-100.7</f>
        <v>-100.7</v>
      </c>
      <c r="E100" s="2"/>
      <c r="F100" s="19"/>
      <c r="G100" s="2"/>
      <c r="H100" s="2"/>
      <c r="I100" s="2"/>
      <c r="J100" s="19"/>
      <c r="K100" s="2"/>
      <c r="L100" s="2">
        <f t="shared" si="0"/>
        <v>-100.7</v>
      </c>
      <c r="M100" s="2"/>
      <c r="N100" s="19">
        <f t="shared" si="1"/>
        <v>0</v>
      </c>
      <c r="O100" s="11"/>
      <c r="P100" s="2">
        <f>-2869.37</f>
        <v>-2869.37</v>
      </c>
      <c r="Q100" s="2"/>
      <c r="R100" s="19"/>
      <c r="S100" s="2"/>
      <c r="T100" s="2"/>
      <c r="U100" s="2"/>
      <c r="V100" s="19"/>
      <c r="W100" s="2"/>
      <c r="X100" s="2">
        <f t="shared" si="2"/>
        <v>-2869.37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"4214", " - ", "SALES RETURN TAXABLE-REMAINDER")</f>
        <v xml:space="preserve">          4214 - SALES RETURN TAXABLE-REMAINDER</v>
      </c>
      <c r="C101" s="11"/>
      <c r="D101" s="2">
        <f t="shared" ref="D101:D105" si="16">0</f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-11.94</f>
        <v>-11.94</v>
      </c>
      <c r="Q101" s="2"/>
      <c r="R101" s="19"/>
      <c r="S101" s="2"/>
      <c r="T101" s="2"/>
      <c r="U101" s="2"/>
      <c r="V101" s="19"/>
      <c r="W101" s="2"/>
      <c r="X101" s="2">
        <f t="shared" si="2"/>
        <v>-11.94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"4217", " - ", "NON-TAXABLE SALES-DORM/HOUSEWA")</f>
        <v xml:space="preserve">          4217 - NON-TAXABLE SALES-DORM/HOUSEWA</v>
      </c>
      <c r="C102" s="11"/>
      <c r="D102" s="2">
        <f t="shared" si="16"/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-2.98</f>
        <v>-2.98</v>
      </c>
      <c r="Q102" s="2"/>
      <c r="R102" s="19"/>
      <c r="S102" s="2"/>
      <c r="T102" s="2"/>
      <c r="U102" s="2"/>
      <c r="V102" s="19"/>
      <c r="W102" s="2"/>
      <c r="X102" s="2">
        <f t="shared" si="2"/>
        <v>-2.98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"4218", " - ", "SALES RETURN TAXABLE-STUDY GUI")</f>
        <v xml:space="preserve">          4218 - SALES RETURN TAXABLE-STUDY GUI</v>
      </c>
      <c r="C103" s="11"/>
      <c r="D103" s="2">
        <f t="shared" si="16"/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-39.25</f>
        <v>-39.25</v>
      </c>
      <c r="Q103" s="2"/>
      <c r="R103" s="19"/>
      <c r="S103" s="2"/>
      <c r="T103" s="2"/>
      <c r="U103" s="2"/>
      <c r="V103" s="19"/>
      <c r="W103" s="2"/>
      <c r="X103" s="2">
        <f t="shared" si="2"/>
        <v>-39.25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"4225", " - ", "SALES RETURN TAXABLE-TEST FORM")</f>
        <v xml:space="preserve">          4225 - SALES RETURN TAXABLE-TEST FORM</v>
      </c>
      <c r="C104" s="11"/>
      <c r="D104" s="2">
        <f t="shared" si="16"/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-205.91</f>
        <v>-205.91</v>
      </c>
      <c r="Q104" s="2"/>
      <c r="R104" s="19"/>
      <c r="S104" s="2"/>
      <c r="T104" s="2"/>
      <c r="U104" s="2"/>
      <c r="V104" s="19"/>
      <c r="W104" s="2"/>
      <c r="X104" s="2">
        <f t="shared" si="2"/>
        <v>-205.91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"4226", " - ", "SALES RETURN TAXABLE-WRITING I")</f>
        <v xml:space="preserve">          4226 - SALES RETURN TAXABLE-WRITING I</v>
      </c>
      <c r="C105" s="11"/>
      <c r="D105" s="2">
        <f t="shared" si="16"/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-924.44</f>
        <v>-924.44</v>
      </c>
      <c r="Q105" s="2"/>
      <c r="R105" s="19"/>
      <c r="S105" s="2"/>
      <c r="T105" s="2"/>
      <c r="U105" s="2"/>
      <c r="V105" s="19"/>
      <c r="W105" s="2"/>
      <c r="X105" s="2">
        <f t="shared" si="2"/>
        <v>-924.44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"4227", " - ", "SALES RETURN TAXABLE-SCHOOL SU")</f>
        <v xml:space="preserve">          4227 - SALES RETURN TAXABLE-SCHOOL SU</v>
      </c>
      <c r="C106" s="11"/>
      <c r="D106" s="2">
        <f>-81.87</f>
        <v>-81.87</v>
      </c>
      <c r="E106" s="2"/>
      <c r="F106" s="19"/>
      <c r="G106" s="2"/>
      <c r="H106" s="2"/>
      <c r="I106" s="2"/>
      <c r="J106" s="19"/>
      <c r="K106" s="2"/>
      <c r="L106" s="2">
        <f t="shared" si="0"/>
        <v>-81.87</v>
      </c>
      <c r="M106" s="2"/>
      <c r="N106" s="19">
        <f t="shared" si="1"/>
        <v>0</v>
      </c>
      <c r="O106" s="11"/>
      <c r="P106" s="2">
        <f>-8728.9</f>
        <v>-8728.9</v>
      </c>
      <c r="Q106" s="2"/>
      <c r="R106" s="19"/>
      <c r="S106" s="2"/>
      <c r="T106" s="2"/>
      <c r="U106" s="2"/>
      <c r="V106" s="19"/>
      <c r="W106" s="2"/>
      <c r="X106" s="2">
        <f t="shared" si="2"/>
        <v>-8728.9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"4228", " - ", "SALES RETURN TAXABLE-ART/TECH")</f>
        <v xml:space="preserve">          4228 - SALES RETURN TAXABLE-ART/TECH</v>
      </c>
      <c r="C107" s="11"/>
      <c r="D107" s="2">
        <f t="shared" ref="D107:D108" si="17">0</f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-4739.1</f>
        <v>-4739.1000000000004</v>
      </c>
      <c r="Q107" s="2"/>
      <c r="R107" s="19"/>
      <c r="S107" s="2"/>
      <c r="T107" s="2"/>
      <c r="U107" s="2"/>
      <c r="V107" s="19"/>
      <c r="W107" s="2"/>
      <c r="X107" s="2">
        <f t="shared" si="2"/>
        <v>-4739.1000000000004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"4233", " - ", "SALES RETURN TAXABLE-CANDY")</f>
        <v xml:space="preserve">          4233 - SALES RETURN TAXABLE-CANDY</v>
      </c>
      <c r="C108" s="11"/>
      <c r="D108" s="2">
        <f t="shared" si="17"/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-8.25</f>
        <v>-8.25</v>
      </c>
      <c r="Q108" s="2"/>
      <c r="R108" s="19"/>
      <c r="S108" s="2"/>
      <c r="T108" s="2"/>
      <c r="U108" s="2"/>
      <c r="V108" s="19"/>
      <c r="W108" s="2"/>
      <c r="X108" s="2">
        <f t="shared" si="2"/>
        <v>-8.25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"4240", " - ", "SALES RETURN TAXABLE-LOGO CLOT")</f>
        <v xml:space="preserve">          4240 - SALES RETURN TAXABLE-LOGO CLOT</v>
      </c>
      <c r="C109" s="11"/>
      <c r="D109" s="2">
        <f>-2702.34</f>
        <v>-2702.34</v>
      </c>
      <c r="E109" s="2"/>
      <c r="F109" s="19"/>
      <c r="G109" s="2"/>
      <c r="H109" s="2"/>
      <c r="I109" s="2"/>
      <c r="J109" s="19"/>
      <c r="K109" s="2"/>
      <c r="L109" s="2">
        <f t="shared" si="0"/>
        <v>-2702.34</v>
      </c>
      <c r="M109" s="2"/>
      <c r="N109" s="19">
        <f t="shared" si="1"/>
        <v>0</v>
      </c>
      <c r="O109" s="11"/>
      <c r="P109" s="2">
        <f>-80387.11</f>
        <v>-80387.11</v>
      </c>
      <c r="Q109" s="2"/>
      <c r="R109" s="19"/>
      <c r="S109" s="2"/>
      <c r="T109" s="2"/>
      <c r="U109" s="2"/>
      <c r="V109" s="19"/>
      <c r="W109" s="2"/>
      <c r="X109" s="2">
        <f t="shared" si="2"/>
        <v>-80387.11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"4241", " - ", "SALES RETURN TAXABLE-LOGO GIFT")</f>
        <v xml:space="preserve">          4241 - SALES RETURN TAXABLE-LOGO GIFT</v>
      </c>
      <c r="C110" s="11"/>
      <c r="D110" s="2">
        <f>-525.51</f>
        <v>-525.51</v>
      </c>
      <c r="E110" s="2"/>
      <c r="F110" s="19"/>
      <c r="G110" s="2"/>
      <c r="H110" s="2"/>
      <c r="I110" s="2"/>
      <c r="J110" s="19"/>
      <c r="K110" s="2"/>
      <c r="L110" s="2">
        <f t="shared" si="0"/>
        <v>-525.51</v>
      </c>
      <c r="M110" s="2"/>
      <c r="N110" s="19">
        <f t="shared" si="1"/>
        <v>0</v>
      </c>
      <c r="O110" s="11"/>
      <c r="P110" s="2">
        <f>-7990.78</f>
        <v>-7990.78</v>
      </c>
      <c r="Q110" s="2"/>
      <c r="R110" s="19"/>
      <c r="S110" s="2"/>
      <c r="T110" s="2"/>
      <c r="U110" s="2"/>
      <c r="V110" s="19"/>
      <c r="W110" s="2"/>
      <c r="X110" s="2">
        <f t="shared" si="2"/>
        <v>-7990.78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"4242", " - ", "SALES RETURN TAXABLE-EVERYDAY")</f>
        <v xml:space="preserve">          4242 - SALES RETURN TAXABLE-EVERYDAY</v>
      </c>
      <c r="C111" s="11"/>
      <c r="D111" s="2">
        <f>-51.44</f>
        <v>-51.44</v>
      </c>
      <c r="E111" s="2"/>
      <c r="F111" s="19"/>
      <c r="G111" s="2"/>
      <c r="H111" s="2"/>
      <c r="I111" s="2"/>
      <c r="J111" s="19"/>
      <c r="K111" s="2"/>
      <c r="L111" s="2">
        <f t="shared" si="0"/>
        <v>-51.44</v>
      </c>
      <c r="M111" s="2"/>
      <c r="N111" s="19">
        <f t="shared" si="1"/>
        <v>0</v>
      </c>
      <c r="O111" s="11"/>
      <c r="P111" s="2">
        <f>-4232.85</f>
        <v>-4232.8500000000004</v>
      </c>
      <c r="Q111" s="2"/>
      <c r="R111" s="19"/>
      <c r="S111" s="2"/>
      <c r="T111" s="2"/>
      <c r="U111" s="2"/>
      <c r="V111" s="19"/>
      <c r="W111" s="2"/>
      <c r="X111" s="2">
        <f t="shared" si="2"/>
        <v>-4232.8500000000004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"4243", " - ", "SALES RETURN TAXABLE-CARDS")</f>
        <v xml:space="preserve">          4243 - SALES RETURN TAXABLE-CARDS</v>
      </c>
      <c r="C112" s="11"/>
      <c r="D112" s="2">
        <f>-19.99</f>
        <v>-19.989999999999998</v>
      </c>
      <c r="E112" s="2"/>
      <c r="F112" s="19"/>
      <c r="G112" s="2"/>
      <c r="H112" s="2"/>
      <c r="I112" s="2"/>
      <c r="J112" s="19"/>
      <c r="K112" s="2"/>
      <c r="L112" s="2">
        <f t="shared" si="0"/>
        <v>-19.989999999999998</v>
      </c>
      <c r="M112" s="2"/>
      <c r="N112" s="19">
        <f t="shared" si="1"/>
        <v>0</v>
      </c>
      <c r="O112" s="11"/>
      <c r="P112" s="2">
        <f>-3026.3</f>
        <v>-3026.3</v>
      </c>
      <c r="Q112" s="2"/>
      <c r="R112" s="19"/>
      <c r="S112" s="2"/>
      <c r="T112" s="2"/>
      <c r="U112" s="2"/>
      <c r="V112" s="19"/>
      <c r="W112" s="2"/>
      <c r="X112" s="2">
        <f t="shared" si="2"/>
        <v>-3026.3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"4244", " - ", "SALES RETURN TAXABLE-ACCESSORI")</f>
        <v xml:space="preserve">          4244 - SALES RETURN TAXABLE-ACCESSORI</v>
      </c>
      <c r="C113" s="11"/>
      <c r="D113" s="2">
        <f>0</f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-2726.41</f>
        <v>-2726.41</v>
      </c>
      <c r="Q113" s="2"/>
      <c r="R113" s="19"/>
      <c r="S113" s="2"/>
      <c r="T113" s="2"/>
      <c r="U113" s="2"/>
      <c r="V113" s="19"/>
      <c r="W113" s="2"/>
      <c r="X113" s="2">
        <f t="shared" si="2"/>
        <v>-2726.41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"4245", " - ", "SALES RETURN TAXABLE-SPECIAL O")</f>
        <v xml:space="preserve">          4245 - SALES RETURN TAXABLE-SPECIAL O</v>
      </c>
      <c r="C114" s="11"/>
      <c r="D114" s="2">
        <f>-2187.5</f>
        <v>-2187.5</v>
      </c>
      <c r="E114" s="2"/>
      <c r="F114" s="19"/>
      <c r="G114" s="2"/>
      <c r="H114" s="2"/>
      <c r="I114" s="2"/>
      <c r="J114" s="19"/>
      <c r="K114" s="2"/>
      <c r="L114" s="2">
        <f t="shared" si="0"/>
        <v>-2187.5</v>
      </c>
      <c r="M114" s="2"/>
      <c r="N114" s="19">
        <f t="shared" si="1"/>
        <v>0</v>
      </c>
      <c r="O114" s="11"/>
      <c r="P114" s="2">
        <f>-4097.53</f>
        <v>-4097.53</v>
      </c>
      <c r="Q114" s="2"/>
      <c r="R114" s="19"/>
      <c r="S114" s="2"/>
      <c r="T114" s="2"/>
      <c r="U114" s="2"/>
      <c r="V114" s="19"/>
      <c r="W114" s="2"/>
      <c r="X114" s="2">
        <f t="shared" si="2"/>
        <v>-4097.53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"4281", " - ", "SALES RETURN TAXABLE-ELECTRONI")</f>
        <v xml:space="preserve">          4281 - SALES RETURN TAXABLE-ELECTRONI</v>
      </c>
      <c r="C115" s="11"/>
      <c r="D115" s="2">
        <f>-159</f>
        <v>-159</v>
      </c>
      <c r="E115" s="2"/>
      <c r="F115" s="19"/>
      <c r="G115" s="2"/>
      <c r="H115" s="2"/>
      <c r="I115" s="2"/>
      <c r="J115" s="19"/>
      <c r="K115" s="2"/>
      <c r="L115" s="2">
        <f t="shared" si="0"/>
        <v>-159</v>
      </c>
      <c r="M115" s="2"/>
      <c r="N115" s="19">
        <f t="shared" si="1"/>
        <v>0</v>
      </c>
      <c r="O115" s="11"/>
      <c r="P115" s="2">
        <f>-8154.67</f>
        <v>-8154.67</v>
      </c>
      <c r="Q115" s="2"/>
      <c r="R115" s="19"/>
      <c r="S115" s="2"/>
      <c r="T115" s="2"/>
      <c r="U115" s="2"/>
      <c r="V115" s="19"/>
      <c r="W115" s="2"/>
      <c r="X115" s="2">
        <f t="shared" si="2"/>
        <v>-8154.67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"4282", " - ", "SALES RETURN TAXABLE-COMPUTER")</f>
        <v xml:space="preserve">          4282 - SALES RETURN TAXABLE-COMPUTER</v>
      </c>
      <c r="C116" s="11"/>
      <c r="D116" s="2">
        <f>-31763.9</f>
        <v>-31763.9</v>
      </c>
      <c r="E116" s="2"/>
      <c r="F116" s="19"/>
      <c r="G116" s="2"/>
      <c r="H116" s="2"/>
      <c r="I116" s="2"/>
      <c r="J116" s="19"/>
      <c r="K116" s="2"/>
      <c r="L116" s="2">
        <f t="shared" si="0"/>
        <v>-31763.9</v>
      </c>
      <c r="M116" s="2"/>
      <c r="N116" s="19">
        <f t="shared" si="1"/>
        <v>0</v>
      </c>
      <c r="O116" s="11"/>
      <c r="P116" s="2">
        <f>-247392.7</f>
        <v>-247392.7</v>
      </c>
      <c r="Q116" s="2"/>
      <c r="R116" s="19"/>
      <c r="S116" s="2"/>
      <c r="T116" s="2"/>
      <c r="U116" s="2"/>
      <c r="V116" s="19"/>
      <c r="W116" s="2"/>
      <c r="X116" s="2">
        <f t="shared" si="2"/>
        <v>-247392.7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"4283", " - ", "SALES RETURN TAXABLE-COMPUTER")</f>
        <v xml:space="preserve">          4283 - SALES RETURN TAXABLE-COMPUTER</v>
      </c>
      <c r="C117" s="11"/>
      <c r="D117" s="2">
        <f>-9.99</f>
        <v>-9.99</v>
      </c>
      <c r="E117" s="2"/>
      <c r="F117" s="19"/>
      <c r="G117" s="2"/>
      <c r="H117" s="2"/>
      <c r="I117" s="2"/>
      <c r="J117" s="19"/>
      <c r="K117" s="2"/>
      <c r="L117" s="2">
        <f t="shared" si="0"/>
        <v>-9.99</v>
      </c>
      <c r="M117" s="2"/>
      <c r="N117" s="19">
        <f t="shared" si="1"/>
        <v>0</v>
      </c>
      <c r="O117" s="11"/>
      <c r="P117" s="2">
        <f>-6718.01</f>
        <v>-6718.01</v>
      </c>
      <c r="Q117" s="2"/>
      <c r="R117" s="19"/>
      <c r="S117" s="2"/>
      <c r="T117" s="2"/>
      <c r="U117" s="2"/>
      <c r="V117" s="19"/>
      <c r="W117" s="2"/>
      <c r="X117" s="2">
        <f t="shared" si="2"/>
        <v>-6718.01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"4284", " - ", "SALES RETURN TAXABLE-SOFTWARE")</f>
        <v xml:space="preserve">          4284 - SALES RETURN TAXABLE-SOFTWARE</v>
      </c>
      <c r="C118" s="11"/>
      <c r="D118" s="2">
        <f t="shared" ref="D118:D121" si="18">0</f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-129</f>
        <v>-129</v>
      </c>
      <c r="Q118" s="2"/>
      <c r="R118" s="19"/>
      <c r="S118" s="2"/>
      <c r="T118" s="2"/>
      <c r="U118" s="2"/>
      <c r="V118" s="19"/>
      <c r="W118" s="2"/>
      <c r="X118" s="2">
        <f t="shared" si="2"/>
        <v>-129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"4285", " - ", "SALES RETURN TAXABLE-SOFTWARE")</f>
        <v xml:space="preserve">          4285 - SALES RETURN TAXABLE-SOFTWARE</v>
      </c>
      <c r="C119" s="11"/>
      <c r="D119" s="2">
        <f t="shared" si="18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-805.97</f>
        <v>-805.97</v>
      </c>
      <c r="Q119" s="2"/>
      <c r="R119" s="19"/>
      <c r="S119" s="2"/>
      <c r="T119" s="2"/>
      <c r="U119" s="2"/>
      <c r="V119" s="19"/>
      <c r="W119" s="2"/>
      <c r="X119" s="2">
        <f t="shared" si="2"/>
        <v>-805.97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"4286", " - ", "SALES RETURN TAXABLE-COMPUTER")</f>
        <v xml:space="preserve">          4286 - SALES RETURN TAXABLE-COMPUTER</v>
      </c>
      <c r="C120" s="11"/>
      <c r="D120" s="2">
        <f t="shared" si="18"/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-3660.86</f>
        <v>-3660.86</v>
      </c>
      <c r="Q120" s="2"/>
      <c r="R120" s="19"/>
      <c r="S120" s="2"/>
      <c r="T120" s="2"/>
      <c r="U120" s="2"/>
      <c r="V120" s="19"/>
      <c r="W120" s="2"/>
      <c r="X120" s="2">
        <f t="shared" si="2"/>
        <v>-3660.86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"4288", " - ", "TAXABLE SALES RETURN-MUSIC")</f>
        <v xml:space="preserve">          4288 - TAXABLE SALES RETURN-MUSIC</v>
      </c>
      <c r="C121" s="11"/>
      <c r="D121" s="2">
        <f t="shared" si="18"/>
        <v>0</v>
      </c>
      <c r="E121" s="2"/>
      <c r="F121" s="19"/>
      <c r="G121" s="2"/>
      <c r="H121" s="2"/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-152.99</f>
        <v>-152.99</v>
      </c>
      <c r="Q121" s="2"/>
      <c r="R121" s="19"/>
      <c r="S121" s="2"/>
      <c r="T121" s="2"/>
      <c r="U121" s="2"/>
      <c r="V121" s="19"/>
      <c r="W121" s="2"/>
      <c r="X121" s="2">
        <f t="shared" si="2"/>
        <v>-152.99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"4292", " - ", "SALES RETURN TAXABLE-GRAD MERC")</f>
        <v xml:space="preserve">          4292 - SALES RETURN TAXABLE-GRAD MERC</v>
      </c>
      <c r="C122" s="11"/>
      <c r="D122" s="2">
        <f>-214.68</f>
        <v>-214.68</v>
      </c>
      <c r="E122" s="2"/>
      <c r="F122" s="19"/>
      <c r="G122" s="2"/>
      <c r="H122" s="2"/>
      <c r="I122" s="2"/>
      <c r="J122" s="19"/>
      <c r="K122" s="2"/>
      <c r="L122" s="2">
        <f t="shared" si="0"/>
        <v>-214.68</v>
      </c>
      <c r="M122" s="2"/>
      <c r="N122" s="19">
        <f t="shared" si="1"/>
        <v>0</v>
      </c>
      <c r="O122" s="11"/>
      <c r="P122" s="2">
        <f>-793.52</f>
        <v>-793.52</v>
      </c>
      <c r="Q122" s="2"/>
      <c r="R122" s="19"/>
      <c r="S122" s="2"/>
      <c r="T122" s="2"/>
      <c r="U122" s="2"/>
      <c r="V122" s="19"/>
      <c r="W122" s="2"/>
      <c r="X122" s="2">
        <f t="shared" si="2"/>
        <v>-793.52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"4295", " - ", "SALES RETURN TAXABLE-CUSTOMER")</f>
        <v xml:space="preserve">          4295 - SALES RETURN TAXABLE-CUSTOMER</v>
      </c>
      <c r="C123" s="11"/>
      <c r="D123" s="2">
        <f>0</f>
        <v>0</v>
      </c>
      <c r="E123" s="2"/>
      <c r="F123" s="19"/>
      <c r="G123" s="2"/>
      <c r="H123" s="2"/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--0.99</f>
        <v>0.99</v>
      </c>
      <c r="Q123" s="2"/>
      <c r="R123" s="19"/>
      <c r="S123" s="2"/>
      <c r="T123" s="2"/>
      <c r="U123" s="2"/>
      <c r="V123" s="19"/>
      <c r="W123" s="2"/>
      <c r="X123" s="2">
        <f t="shared" si="2"/>
        <v>0.99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"4301", " - ", "SALES RETURN NON TAXABLE-NEW T")</f>
        <v xml:space="preserve">          4301 - SALES RETURN NON TAXABLE-NEW T</v>
      </c>
      <c r="C124" s="11"/>
      <c r="D124" s="2">
        <f>-253.49</f>
        <v>-253.49</v>
      </c>
      <c r="E124" s="2"/>
      <c r="F124" s="19"/>
      <c r="G124" s="2"/>
      <c r="H124" s="2"/>
      <c r="I124" s="2"/>
      <c r="J124" s="19"/>
      <c r="K124" s="2"/>
      <c r="L124" s="2">
        <f t="shared" si="0"/>
        <v>-253.49</v>
      </c>
      <c r="M124" s="2"/>
      <c r="N124" s="19">
        <f t="shared" si="1"/>
        <v>0</v>
      </c>
      <c r="O124" s="11"/>
      <c r="P124" s="2">
        <f>-21543.36</f>
        <v>-21543.360000000001</v>
      </c>
      <c r="Q124" s="2"/>
      <c r="R124" s="19"/>
      <c r="S124" s="2"/>
      <c r="T124" s="2"/>
      <c r="U124" s="2"/>
      <c r="V124" s="19"/>
      <c r="W124" s="2"/>
      <c r="X124" s="2">
        <f t="shared" si="2"/>
        <v>-21543.360000000001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"4302", " - ", "SALES RETURN NON TAXABLE-TEXT")</f>
        <v xml:space="preserve">          4302 - SALES RETURN NON TAXABLE-TEXT</v>
      </c>
      <c r="C125" s="11"/>
      <c r="D125" s="2">
        <f>-95.75</f>
        <v>-95.75</v>
      </c>
      <c r="E125" s="2"/>
      <c r="F125" s="19"/>
      <c r="G125" s="2"/>
      <c r="H125" s="2"/>
      <c r="I125" s="2"/>
      <c r="J125" s="19"/>
      <c r="K125" s="2"/>
      <c r="L125" s="2">
        <f t="shared" si="0"/>
        <v>-95.75</v>
      </c>
      <c r="M125" s="2"/>
      <c r="N125" s="19">
        <f t="shared" si="1"/>
        <v>0</v>
      </c>
      <c r="O125" s="11"/>
      <c r="P125" s="2">
        <f>-1475.62</f>
        <v>-1475.62</v>
      </c>
      <c r="Q125" s="2"/>
      <c r="R125" s="19"/>
      <c r="S125" s="2"/>
      <c r="T125" s="2"/>
      <c r="U125" s="2"/>
      <c r="V125" s="19"/>
      <c r="W125" s="2"/>
      <c r="X125" s="2">
        <f t="shared" si="2"/>
        <v>-1475.62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"4303", " - ", "SALES RETURN NON-TAXABLE-RENTA")</f>
        <v xml:space="preserve">          4303 - SALES RETURN NON-TAXABLE-RENTA</v>
      </c>
      <c r="C126" s="11"/>
      <c r="D126" s="2">
        <f>0</f>
        <v>0</v>
      </c>
      <c r="E126" s="2"/>
      <c r="F126" s="19"/>
      <c r="G126" s="2"/>
      <c r="H126" s="2"/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-184.99</f>
        <v>-184.99</v>
      </c>
      <c r="Q126" s="2"/>
      <c r="R126" s="19"/>
      <c r="S126" s="2"/>
      <c r="T126" s="2"/>
      <c r="U126" s="2"/>
      <c r="V126" s="19"/>
      <c r="W126" s="2"/>
      <c r="X126" s="2">
        <f t="shared" si="2"/>
        <v>-184.99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"4304", " - ", "SALES RETURN NON TAXABLE-DIGIT")</f>
        <v xml:space="preserve">          4304 - SALES RETURN NON TAXABLE-DIGIT</v>
      </c>
      <c r="C127" s="11"/>
      <c r="D127" s="2">
        <f>-398.87</f>
        <v>-398.87</v>
      </c>
      <c r="E127" s="2"/>
      <c r="F127" s="19"/>
      <c r="G127" s="2"/>
      <c r="H127" s="2"/>
      <c r="I127" s="2"/>
      <c r="J127" s="19"/>
      <c r="K127" s="2"/>
      <c r="L127" s="2">
        <f t="shared" si="0"/>
        <v>-398.87</v>
      </c>
      <c r="M127" s="2"/>
      <c r="N127" s="19">
        <f t="shared" si="1"/>
        <v>0</v>
      </c>
      <c r="O127" s="11"/>
      <c r="P127" s="2">
        <f>-19873.2</f>
        <v>-19873.2</v>
      </c>
      <c r="Q127" s="2"/>
      <c r="R127" s="19"/>
      <c r="S127" s="2"/>
      <c r="T127" s="2"/>
      <c r="U127" s="2"/>
      <c r="V127" s="19"/>
      <c r="W127" s="2"/>
      <c r="X127" s="2">
        <f t="shared" si="2"/>
        <v>-19873.2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"4311", " - ", "SALES RETURN NON TAXABLE-NO VA")</f>
        <v xml:space="preserve">          4311 - SALES RETURN NON TAXABLE-NO VA</v>
      </c>
      <c r="C128" s="11"/>
      <c r="D128" s="2">
        <f>-70.37</f>
        <v>-70.37</v>
      </c>
      <c r="E128" s="2"/>
      <c r="F128" s="19"/>
      <c r="G128" s="2"/>
      <c r="H128" s="2"/>
      <c r="I128" s="2"/>
      <c r="J128" s="19"/>
      <c r="K128" s="2"/>
      <c r="L128" s="2">
        <f t="shared" si="0"/>
        <v>-70.37</v>
      </c>
      <c r="M128" s="2"/>
      <c r="N128" s="19">
        <f t="shared" si="1"/>
        <v>0</v>
      </c>
      <c r="O128" s="11"/>
      <c r="P128" s="2">
        <f>-1011.65</f>
        <v>-1011.65</v>
      </c>
      <c r="Q128" s="2"/>
      <c r="R128" s="19"/>
      <c r="S128" s="2"/>
      <c r="T128" s="2"/>
      <c r="U128" s="2"/>
      <c r="V128" s="19"/>
      <c r="W128" s="2"/>
      <c r="X128" s="2">
        <f t="shared" si="2"/>
        <v>-1011.65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"4313", " - ", "SALES RETURN NON TAXABLE-TRADE")</f>
        <v xml:space="preserve">          4313 - SALES RETURN NON TAXABLE-TRADE</v>
      </c>
      <c r="C129" s="11"/>
      <c r="D129" s="2">
        <f>0</f>
        <v>0</v>
      </c>
      <c r="E129" s="2"/>
      <c r="F129" s="19"/>
      <c r="G129" s="2"/>
      <c r="H129" s="2"/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-2481.44</f>
        <v>-2481.44</v>
      </c>
      <c r="Q129" s="2"/>
      <c r="R129" s="19"/>
      <c r="S129" s="2"/>
      <c r="T129" s="2"/>
      <c r="U129" s="2"/>
      <c r="V129" s="19"/>
      <c r="W129" s="2"/>
      <c r="X129" s="2">
        <f t="shared" si="2"/>
        <v>-2481.44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"4326", " - ", "SALES RETURN NON TAXABLE-WRITI")</f>
        <v xml:space="preserve">          4326 - SALES RETURN NON TAXABLE-WRITI</v>
      </c>
      <c r="C130" s="11"/>
      <c r="D130" s="2">
        <f>-2.98</f>
        <v>-2.98</v>
      </c>
      <c r="E130" s="2"/>
      <c r="F130" s="19"/>
      <c r="G130" s="2"/>
      <c r="H130" s="2"/>
      <c r="I130" s="2"/>
      <c r="J130" s="19"/>
      <c r="K130" s="2"/>
      <c r="L130" s="2">
        <f t="shared" si="0"/>
        <v>-2.98</v>
      </c>
      <c r="M130" s="2"/>
      <c r="N130" s="19">
        <f t="shared" si="1"/>
        <v>0</v>
      </c>
      <c r="O130" s="11"/>
      <c r="P130" s="2">
        <f>-2.98</f>
        <v>-2.98</v>
      </c>
      <c r="Q130" s="2"/>
      <c r="R130" s="19"/>
      <c r="S130" s="2"/>
      <c r="T130" s="2"/>
      <c r="U130" s="2"/>
      <c r="V130" s="19"/>
      <c r="W130" s="2"/>
      <c r="X130" s="2">
        <f t="shared" si="2"/>
        <v>-2.98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"4327", " - ", "SALES RETURN NON TAXABLE-SCHOO")</f>
        <v xml:space="preserve">          4327 - SALES RETURN NON TAXABLE-SCHOO</v>
      </c>
      <c r="C131" s="11"/>
      <c r="D131" s="2">
        <f t="shared" ref="D131:D133" si="19">0</f>
        <v>0</v>
      </c>
      <c r="E131" s="2"/>
      <c r="F131" s="19"/>
      <c r="G131" s="2"/>
      <c r="H131" s="2"/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-21.87</f>
        <v>-21.87</v>
      </c>
      <c r="Q131" s="2"/>
      <c r="R131" s="19"/>
      <c r="S131" s="2"/>
      <c r="T131" s="2"/>
      <c r="U131" s="2"/>
      <c r="V131" s="19"/>
      <c r="W131" s="2"/>
      <c r="X131" s="2">
        <f t="shared" si="2"/>
        <v>-21.87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"4331", " - ", "SALES RETURN NON TAXABLE-FOOD")</f>
        <v xml:space="preserve">          4331 - SALES RETURN NON TAXABLE-FOOD</v>
      </c>
      <c r="C132" s="11"/>
      <c r="D132" s="2">
        <f t="shared" si="19"/>
        <v>0</v>
      </c>
      <c r="E132" s="2"/>
      <c r="F132" s="19"/>
      <c r="G132" s="2"/>
      <c r="H132" s="2"/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-12.57</f>
        <v>-12.57</v>
      </c>
      <c r="Q132" s="2"/>
      <c r="R132" s="19"/>
      <c r="S132" s="2"/>
      <c r="T132" s="2"/>
      <c r="U132" s="2"/>
      <c r="V132" s="19"/>
      <c r="W132" s="2"/>
      <c r="X132" s="2">
        <f t="shared" si="2"/>
        <v>-12.57</v>
      </c>
      <c r="Y132" s="2"/>
      <c r="Z132" s="19">
        <f t="shared" si="3"/>
        <v>0</v>
      </c>
    </row>
    <row r="133" spans="1:26" s="24" customFormat="1" hidden="1" outlineLevel="1" x14ac:dyDescent="0.25">
      <c r="A133" s="44"/>
      <c r="B133" s="11" t="str">
        <f>CONCATENATE("          ", "4332", " - ", "SALES RETURN NON TAXABLE-JUICE")</f>
        <v xml:space="preserve">          4332 - SALES RETURN NON TAXABLE-JUICE</v>
      </c>
      <c r="C133" s="11"/>
      <c r="D133" s="2">
        <f t="shared" si="19"/>
        <v>0</v>
      </c>
      <c r="E133" s="2"/>
      <c r="F133" s="19"/>
      <c r="G133" s="2"/>
      <c r="H133" s="2"/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>-2.79</f>
        <v>-2.79</v>
      </c>
      <c r="Q133" s="2"/>
      <c r="R133" s="19"/>
      <c r="S133" s="2"/>
      <c r="T133" s="2"/>
      <c r="U133" s="2"/>
      <c r="V133" s="19"/>
      <c r="W133" s="2"/>
      <c r="X133" s="2">
        <f t="shared" si="2"/>
        <v>-2.79</v>
      </c>
      <c r="Y133" s="2"/>
      <c r="Z133" s="19">
        <f t="shared" si="3"/>
        <v>0</v>
      </c>
    </row>
    <row r="134" spans="1:26" s="24" customFormat="1" hidden="1" outlineLevel="1" x14ac:dyDescent="0.25">
      <c r="A134" s="44"/>
      <c r="B134" s="11" t="str">
        <f>CONCATENATE("          ", "4340", " - ", "SALES RETURN NON TAXABLE-LOGO")</f>
        <v xml:space="preserve">          4340 - SALES RETURN NON TAXABLE-LOGO</v>
      </c>
      <c r="C134" s="11"/>
      <c r="D134" s="2">
        <f>-1045.65</f>
        <v>-1045.6500000000001</v>
      </c>
      <c r="E134" s="2"/>
      <c r="F134" s="19"/>
      <c r="G134" s="2"/>
      <c r="H134" s="2"/>
      <c r="I134" s="2"/>
      <c r="J134" s="19"/>
      <c r="K134" s="2"/>
      <c r="L134" s="2">
        <f t="shared" si="0"/>
        <v>-1045.6500000000001</v>
      </c>
      <c r="M134" s="2"/>
      <c r="N134" s="19">
        <f t="shared" si="1"/>
        <v>0</v>
      </c>
      <c r="O134" s="11"/>
      <c r="P134" s="2">
        <f>-2664.48</f>
        <v>-2664.48</v>
      </c>
      <c r="Q134" s="2"/>
      <c r="R134" s="19"/>
      <c r="S134" s="2"/>
      <c r="T134" s="2"/>
      <c r="U134" s="2"/>
      <c r="V134" s="19"/>
      <c r="W134" s="2"/>
      <c r="X134" s="2">
        <f t="shared" si="2"/>
        <v>-2664.48</v>
      </c>
      <c r="Y134" s="2"/>
      <c r="Z134" s="19">
        <f t="shared" si="3"/>
        <v>0</v>
      </c>
    </row>
    <row r="135" spans="1:26" s="24" customFormat="1" hidden="1" outlineLevel="1" x14ac:dyDescent="0.25">
      <c r="A135" s="44"/>
      <c r="B135" s="11" t="str">
        <f>CONCATENATE("          ", "4341", " - ", "SALES RETURN NON TAXABLE-LOGO")</f>
        <v xml:space="preserve">          4341 - SALES RETURN NON TAXABLE-LOGO</v>
      </c>
      <c r="C135" s="11"/>
      <c r="D135" s="2">
        <f>-9.9</f>
        <v>-9.9</v>
      </c>
      <c r="E135" s="2"/>
      <c r="F135" s="19"/>
      <c r="G135" s="2"/>
      <c r="H135" s="2"/>
      <c r="I135" s="2"/>
      <c r="J135" s="19"/>
      <c r="K135" s="2"/>
      <c r="L135" s="2">
        <f t="shared" si="0"/>
        <v>-9.9</v>
      </c>
      <c r="M135" s="2"/>
      <c r="N135" s="19">
        <f t="shared" si="1"/>
        <v>0</v>
      </c>
      <c r="O135" s="11"/>
      <c r="P135" s="2">
        <f>-295.35</f>
        <v>-295.35000000000002</v>
      </c>
      <c r="Q135" s="2"/>
      <c r="R135" s="19"/>
      <c r="S135" s="2"/>
      <c r="T135" s="2"/>
      <c r="U135" s="2"/>
      <c r="V135" s="19"/>
      <c r="W135" s="2"/>
      <c r="X135" s="2">
        <f t="shared" si="2"/>
        <v>-295.35000000000002</v>
      </c>
      <c r="Y135" s="2"/>
      <c r="Z135" s="19">
        <f t="shared" si="3"/>
        <v>0</v>
      </c>
    </row>
    <row r="136" spans="1:26" s="24" customFormat="1" hidden="1" outlineLevel="1" x14ac:dyDescent="0.25">
      <c r="A136" s="44"/>
      <c r="B136" s="11" t="str">
        <f>CONCATENATE("          ", "4342", " - ", "SALES RETURN NON TAXABLE-EVERY")</f>
        <v xml:space="preserve">          4342 - SALES RETURN NON TAXABLE-EVERY</v>
      </c>
      <c r="C136" s="11"/>
      <c r="D136" s="2">
        <f>-36.8</f>
        <v>-36.799999999999997</v>
      </c>
      <c r="E136" s="2"/>
      <c r="F136" s="19"/>
      <c r="G136" s="2"/>
      <c r="H136" s="2"/>
      <c r="I136" s="2"/>
      <c r="J136" s="19"/>
      <c r="K136" s="2"/>
      <c r="L136" s="2">
        <f t="shared" si="0"/>
        <v>-36.799999999999997</v>
      </c>
      <c r="M136" s="2"/>
      <c r="N136" s="19">
        <f t="shared" si="1"/>
        <v>0</v>
      </c>
      <c r="O136" s="11"/>
      <c r="P136" s="2">
        <f>-186.02</f>
        <v>-186.02</v>
      </c>
      <c r="Q136" s="2"/>
      <c r="R136" s="19"/>
      <c r="S136" s="2"/>
      <c r="T136" s="2"/>
      <c r="U136" s="2"/>
      <c r="V136" s="19"/>
      <c r="W136" s="2"/>
      <c r="X136" s="2">
        <f t="shared" si="2"/>
        <v>-186.02</v>
      </c>
      <c r="Y136" s="2"/>
      <c r="Z136" s="19">
        <f t="shared" si="3"/>
        <v>0</v>
      </c>
    </row>
    <row r="137" spans="1:26" s="24" customFormat="1" hidden="1" outlineLevel="1" x14ac:dyDescent="0.25">
      <c r="A137" s="44"/>
      <c r="B137" s="11" t="str">
        <f>CONCATENATE("          ", "4346", " - ", "SALES RETURN NON TAXABLE-COIN-")</f>
        <v xml:space="preserve">          4346 - SALES RETURN NON TAXABLE-COIN-</v>
      </c>
      <c r="C137" s="11"/>
      <c r="D137" s="2">
        <f t="shared" ref="D137:D141" si="20">0</f>
        <v>0</v>
      </c>
      <c r="E137" s="2"/>
      <c r="F137" s="19"/>
      <c r="G137" s="2"/>
      <c r="H137" s="2"/>
      <c r="I137" s="2"/>
      <c r="J137" s="19"/>
      <c r="K137" s="2"/>
      <c r="L137" s="2">
        <f t="shared" si="0"/>
        <v>0</v>
      </c>
      <c r="M137" s="2"/>
      <c r="N137" s="19">
        <f t="shared" si="1"/>
        <v>0</v>
      </c>
      <c r="O137" s="11"/>
      <c r="P137" s="2">
        <f>-8.15</f>
        <v>-8.15</v>
      </c>
      <c r="Q137" s="2"/>
      <c r="R137" s="19"/>
      <c r="S137" s="2"/>
      <c r="T137" s="2"/>
      <c r="U137" s="2"/>
      <c r="V137" s="19"/>
      <c r="W137" s="2"/>
      <c r="X137" s="2">
        <f t="shared" si="2"/>
        <v>-8.15</v>
      </c>
      <c r="Y137" s="2"/>
      <c r="Z137" s="19">
        <f t="shared" si="3"/>
        <v>0</v>
      </c>
    </row>
    <row r="138" spans="1:26" s="24" customFormat="1" hidden="1" outlineLevel="1" x14ac:dyDescent="0.25">
      <c r="A138" s="44"/>
      <c r="B138" s="11" t="str">
        <f>CONCATENATE("          ", "4347", " - ", "SALES RETURN NON TAXABLE-MISC")</f>
        <v xml:space="preserve">          4347 - SALES RETURN NON TAXABLE-MISC</v>
      </c>
      <c r="C138" s="11"/>
      <c r="D138" s="2">
        <f t="shared" si="20"/>
        <v>0</v>
      </c>
      <c r="E138" s="2"/>
      <c r="F138" s="19"/>
      <c r="G138" s="2"/>
      <c r="H138" s="2"/>
      <c r="I138" s="2"/>
      <c r="J138" s="19"/>
      <c r="K138" s="2"/>
      <c r="L138" s="2">
        <f t="shared" si="0"/>
        <v>0</v>
      </c>
      <c r="M138" s="2"/>
      <c r="N138" s="19">
        <f t="shared" si="1"/>
        <v>0</v>
      </c>
      <c r="O138" s="11"/>
      <c r="P138" s="2">
        <f>-84</f>
        <v>-84</v>
      </c>
      <c r="Q138" s="2"/>
      <c r="R138" s="19"/>
      <c r="S138" s="2"/>
      <c r="T138" s="2"/>
      <c r="U138" s="2"/>
      <c r="V138" s="19"/>
      <c r="W138" s="2"/>
      <c r="X138" s="2">
        <f t="shared" si="2"/>
        <v>-84</v>
      </c>
      <c r="Y138" s="2"/>
      <c r="Z138" s="19">
        <f t="shared" si="3"/>
        <v>0</v>
      </c>
    </row>
    <row r="139" spans="1:26" s="24" customFormat="1" hidden="1" outlineLevel="1" x14ac:dyDescent="0.25">
      <c r="A139" s="44"/>
      <c r="B139" s="11" t="str">
        <f>CONCATENATE("          ", "4381", " - ", "SALES RETURN NON TAXABLE-ELECT")</f>
        <v xml:space="preserve">          4381 - SALES RETURN NON TAXABLE-ELECT</v>
      </c>
      <c r="C139" s="11"/>
      <c r="D139" s="2">
        <f t="shared" si="20"/>
        <v>0</v>
      </c>
      <c r="E139" s="2"/>
      <c r="F139" s="19"/>
      <c r="G139" s="2"/>
      <c r="H139" s="2"/>
      <c r="I139" s="2"/>
      <c r="J139" s="19"/>
      <c r="K139" s="2"/>
      <c r="L139" s="2">
        <f t="shared" si="0"/>
        <v>0</v>
      </c>
      <c r="M139" s="2"/>
      <c r="N139" s="19">
        <f t="shared" si="1"/>
        <v>0</v>
      </c>
      <c r="O139" s="11"/>
      <c r="P139" s="2">
        <f>-1279.84</f>
        <v>-1279.8399999999999</v>
      </c>
      <c r="Q139" s="2"/>
      <c r="R139" s="19"/>
      <c r="S139" s="2"/>
      <c r="T139" s="2"/>
      <c r="U139" s="2"/>
      <c r="V139" s="19"/>
      <c r="W139" s="2"/>
      <c r="X139" s="2">
        <f t="shared" si="2"/>
        <v>-1279.8399999999999</v>
      </c>
      <c r="Y139" s="2"/>
      <c r="Z139" s="19">
        <f t="shared" si="3"/>
        <v>0</v>
      </c>
    </row>
    <row r="140" spans="1:26" s="24" customFormat="1" hidden="1" outlineLevel="1" x14ac:dyDescent="0.25">
      <c r="A140" s="44"/>
      <c r="B140" s="11" t="str">
        <f>CONCATENATE("          ", "4383", " - ", "SALES RETURN NON TAXABLE-COMPU")</f>
        <v xml:space="preserve">          4383 - SALES RETURN NON TAXABLE-COMPU</v>
      </c>
      <c r="C140" s="11"/>
      <c r="D140" s="2">
        <f t="shared" si="20"/>
        <v>0</v>
      </c>
      <c r="E140" s="2"/>
      <c r="F140" s="19"/>
      <c r="G140" s="2"/>
      <c r="H140" s="2"/>
      <c r="I140" s="2"/>
      <c r="J140" s="19"/>
      <c r="K140" s="2"/>
      <c r="L140" s="2">
        <f t="shared" si="0"/>
        <v>0</v>
      </c>
      <c r="M140" s="2"/>
      <c r="N140" s="19">
        <f t="shared" si="1"/>
        <v>0</v>
      </c>
      <c r="O140" s="11"/>
      <c r="P140" s="2">
        <f>-49.98</f>
        <v>-49.98</v>
      </c>
      <c r="Q140" s="2"/>
      <c r="R140" s="19"/>
      <c r="S140" s="2"/>
      <c r="T140" s="2"/>
      <c r="U140" s="2"/>
      <c r="V140" s="19"/>
      <c r="W140" s="2"/>
      <c r="X140" s="2">
        <f t="shared" si="2"/>
        <v>-49.98</v>
      </c>
      <c r="Y140" s="2"/>
      <c r="Z140" s="19">
        <f t="shared" si="3"/>
        <v>0</v>
      </c>
    </row>
    <row r="141" spans="1:26" s="24" customFormat="1" hidden="1" outlineLevel="1" x14ac:dyDescent="0.25">
      <c r="A141" s="44"/>
      <c r="B141" s="11" t="str">
        <f>CONCATENATE("          ", "4386", " - ", "SALES RETURN NON TAXABLE-COMPU")</f>
        <v xml:space="preserve">          4386 - SALES RETURN NON TAXABLE-COMPU</v>
      </c>
      <c r="C141" s="11"/>
      <c r="D141" s="2">
        <f t="shared" si="20"/>
        <v>0</v>
      </c>
      <c r="E141" s="2"/>
      <c r="F141" s="19"/>
      <c r="G141" s="2"/>
      <c r="H141" s="2"/>
      <c r="I141" s="2"/>
      <c r="J141" s="19"/>
      <c r="K141" s="2"/>
      <c r="L141" s="2">
        <f t="shared" si="0"/>
        <v>0</v>
      </c>
      <c r="M141" s="2"/>
      <c r="N141" s="19">
        <f t="shared" si="1"/>
        <v>0</v>
      </c>
      <c r="O141" s="11"/>
      <c r="P141" s="2">
        <f>-104.96</f>
        <v>-104.96</v>
      </c>
      <c r="Q141" s="2"/>
      <c r="R141" s="19"/>
      <c r="S141" s="2"/>
      <c r="T141" s="2"/>
      <c r="U141" s="2"/>
      <c r="V141" s="19"/>
      <c r="W141" s="2"/>
      <c r="X141" s="2">
        <f t="shared" si="2"/>
        <v>-104.96</v>
      </c>
      <c r="Y141" s="2"/>
      <c r="Z141" s="19">
        <f t="shared" si="3"/>
        <v>0</v>
      </c>
    </row>
    <row r="142" spans="1:26" x14ac:dyDescent="0.25">
      <c r="A142" s="9"/>
      <c r="B142" s="10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collapsed="1" x14ac:dyDescent="0.25">
      <c r="A143" s="10"/>
      <c r="B143" s="28" t="s">
        <v>8</v>
      </c>
      <c r="C143" s="10"/>
      <c r="D143" s="4">
        <f>SUM(OSRRefD16x_0)</f>
        <v>645725.08000000007</v>
      </c>
      <c r="E143" s="4"/>
      <c r="F143" s="13">
        <f t="shared" ref="F143:F204" si="21">IF(D$12=0,0,D143/D$12)</f>
        <v>1.104705051529145</v>
      </c>
      <c r="G143" s="4"/>
      <c r="H143" s="4">
        <f>SUM(OSRRefH16x_0)</f>
        <v>726619.06070999999</v>
      </c>
      <c r="I143" s="4"/>
      <c r="J143" s="13">
        <f t="shared" ref="J143:J204" si="22">IF(H$12=0,0,H143/H$12)</f>
        <v>0.5209462691557385</v>
      </c>
      <c r="K143" s="4"/>
      <c r="L143" s="4">
        <f t="shared" ref="L143:L204" si="23">+D143-H143</f>
        <v>-80893.980709999916</v>
      </c>
      <c r="M143" s="4"/>
      <c r="N143" s="13">
        <f t="shared" ref="N143:N204" si="24">IF(H143=0,0,L143/H143)</f>
        <v>-0.11132928529421747</v>
      </c>
      <c r="O143" s="10"/>
      <c r="P143" s="4">
        <f>SUM(OSRRefP16x_0)</f>
        <v>13088495.459999999</v>
      </c>
      <c r="Q143" s="4"/>
      <c r="R143" s="13">
        <f t="shared" ref="R143:R204" si="25">IF(P$12=0,0,P143/P$12)</f>
        <v>0.45710917968551673</v>
      </c>
      <c r="S143" s="4"/>
      <c r="T143" s="4">
        <f>SUM(OSRRefT16x_0)</f>
        <v>15857650.615010001</v>
      </c>
      <c r="U143" s="4"/>
      <c r="V143" s="13">
        <f t="shared" ref="V143:V204" si="26">IF(T$12=0,0,T143/T$12)</f>
        <v>0.42275580960376286</v>
      </c>
      <c r="W143" s="4"/>
      <c r="X143" s="4">
        <f t="shared" ref="X143:X204" si="27">+P143-T143</f>
        <v>-2769155.1550100017</v>
      </c>
      <c r="Y143" s="4"/>
      <c r="Z143" s="13">
        <f t="shared" ref="Z143:Z204" si="28">IF(T143=0,0,X143/T143)</f>
        <v>-0.17462581451938838</v>
      </c>
    </row>
    <row r="144" spans="1:26" s="24" customFormat="1" hidden="1" outlineLevel="1" x14ac:dyDescent="0.25">
      <c r="A144" s="44"/>
      <c r="B144" s="11" t="str">
        <f>CONCATENATE("          ", "5000", " - ", "PURCHASES @ COST")</f>
        <v xml:space="preserve">          5000 - PURCHASES @ COST</v>
      </c>
      <c r="C144" s="11"/>
      <c r="D144" s="2"/>
      <c r="E144" s="2"/>
      <c r="F144" s="19">
        <f t="shared" si="21"/>
        <v>0</v>
      </c>
      <c r="G144" s="2"/>
      <c r="H144" s="2">
        <v>726619.06070999999</v>
      </c>
      <c r="I144" s="2"/>
      <c r="J144" s="19">
        <f t="shared" si="22"/>
        <v>0.5209462691557385</v>
      </c>
      <c r="K144" s="2"/>
      <c r="L144" s="2">
        <f t="shared" si="23"/>
        <v>-726619.06070999999</v>
      </c>
      <c r="M144" s="2"/>
      <c r="N144" s="19">
        <f t="shared" si="24"/>
        <v>-1</v>
      </c>
      <c r="O144" s="11"/>
      <c r="P144" s="2">
        <v>0</v>
      </c>
      <c r="Q144" s="2"/>
      <c r="R144" s="19">
        <f t="shared" si="25"/>
        <v>0</v>
      </c>
      <c r="S144" s="2"/>
      <c r="T144" s="2">
        <v>15857650.615010001</v>
      </c>
      <c r="U144" s="2"/>
      <c r="V144" s="19">
        <f t="shared" si="26"/>
        <v>0.42275580960376286</v>
      </c>
      <c r="W144" s="2"/>
      <c r="X144" s="2">
        <f t="shared" si="27"/>
        <v>-15857650.615010001</v>
      </c>
      <c r="Y144" s="2"/>
      <c r="Z144" s="19">
        <f t="shared" si="28"/>
        <v>-1</v>
      </c>
    </row>
    <row r="145" spans="1:26" s="24" customFormat="1" hidden="1" outlineLevel="1" x14ac:dyDescent="0.25">
      <c r="A145" s="44"/>
      <c r="B145" s="11" t="str">
        <f>CONCATENATE("          ", "5001", " - ", "PURCHASES @ COST-NEW TEXT")</f>
        <v xml:space="preserve">          5001 - PURCHASES @ COST-NEW TEXT</v>
      </c>
      <c r="C145" s="11"/>
      <c r="D145" s="2">
        <v>21388.809999999998</v>
      </c>
      <c r="E145" s="2"/>
      <c r="F145" s="19">
        <f t="shared" si="21"/>
        <v>3.6591929266859335E-2</v>
      </c>
      <c r="G145" s="2"/>
      <c r="H145" s="2"/>
      <c r="I145" s="2"/>
      <c r="J145" s="19">
        <f t="shared" si="22"/>
        <v>0</v>
      </c>
      <c r="K145" s="2"/>
      <c r="L145" s="2">
        <f t="shared" si="23"/>
        <v>21388.809999999998</v>
      </c>
      <c r="M145" s="2"/>
      <c r="N145" s="19">
        <f t="shared" si="24"/>
        <v>0</v>
      </c>
      <c r="O145" s="11"/>
      <c r="P145" s="2">
        <v>1662669.27</v>
      </c>
      <c r="Q145" s="2"/>
      <c r="R145" s="19">
        <f t="shared" si="25"/>
        <v>5.8067895459851193E-2</v>
      </c>
      <c r="S145" s="2"/>
      <c r="T145" s="2"/>
      <c r="U145" s="2"/>
      <c r="V145" s="19">
        <f t="shared" si="26"/>
        <v>0</v>
      </c>
      <c r="W145" s="2"/>
      <c r="X145" s="2">
        <f t="shared" si="27"/>
        <v>1662669.27</v>
      </c>
      <c r="Y145" s="2"/>
      <c r="Z145" s="19">
        <f t="shared" si="28"/>
        <v>0</v>
      </c>
    </row>
    <row r="146" spans="1:26" s="24" customFormat="1" hidden="1" outlineLevel="1" x14ac:dyDescent="0.25">
      <c r="A146" s="44"/>
      <c r="B146" s="11" t="str">
        <f>CONCATENATE("          ", "5002", " - ", "PURCHASES @ COST-USED TEXT")</f>
        <v xml:space="preserve">          5002 - PURCHASES @ COST-USED TEXT</v>
      </c>
      <c r="C146" s="11"/>
      <c r="D146" s="2">
        <v>121021.81</v>
      </c>
      <c r="E146" s="2"/>
      <c r="F146" s="19">
        <f t="shared" si="21"/>
        <v>0.20704384728590747</v>
      </c>
      <c r="G146" s="2"/>
      <c r="H146" s="2"/>
      <c r="I146" s="2"/>
      <c r="J146" s="19">
        <f t="shared" si="22"/>
        <v>0</v>
      </c>
      <c r="K146" s="2"/>
      <c r="L146" s="2">
        <f t="shared" si="23"/>
        <v>121021.81</v>
      </c>
      <c r="M146" s="2"/>
      <c r="N146" s="19">
        <f t="shared" si="24"/>
        <v>0</v>
      </c>
      <c r="O146" s="11"/>
      <c r="P146" s="2">
        <v>731343.19</v>
      </c>
      <c r="Q146" s="2"/>
      <c r="R146" s="19">
        <f t="shared" si="25"/>
        <v>2.5541796356285628E-2</v>
      </c>
      <c r="S146" s="2"/>
      <c r="T146" s="2"/>
      <c r="U146" s="2"/>
      <c r="V146" s="19">
        <f t="shared" si="26"/>
        <v>0</v>
      </c>
      <c r="W146" s="2"/>
      <c r="X146" s="2">
        <f t="shared" si="27"/>
        <v>731343.19</v>
      </c>
      <c r="Y146" s="2"/>
      <c r="Z146" s="19">
        <f t="shared" si="28"/>
        <v>0</v>
      </c>
    </row>
    <row r="147" spans="1:26" s="24" customFormat="1" hidden="1" outlineLevel="1" x14ac:dyDescent="0.25">
      <c r="A147" s="44"/>
      <c r="B147" s="11" t="str">
        <f>CONCATENATE("          ", "5003", " - ", "PURCHASES @ COST-RENTAL TEXT")</f>
        <v xml:space="preserve">          5003 - PURCHASES @ COST-RENTAL TEXT</v>
      </c>
      <c r="C147" s="11"/>
      <c r="D147" s="2">
        <v>24656.6</v>
      </c>
      <c r="E147" s="2"/>
      <c r="F147" s="19">
        <f t="shared" si="21"/>
        <v>4.2182457236341994E-2</v>
      </c>
      <c r="G147" s="2"/>
      <c r="H147" s="2"/>
      <c r="I147" s="2"/>
      <c r="J147" s="19">
        <f t="shared" si="22"/>
        <v>0</v>
      </c>
      <c r="K147" s="2"/>
      <c r="L147" s="2">
        <f t="shared" si="23"/>
        <v>24656.6</v>
      </c>
      <c r="M147" s="2"/>
      <c r="N147" s="19">
        <f t="shared" si="24"/>
        <v>0</v>
      </c>
      <c r="O147" s="11"/>
      <c r="P147" s="2">
        <v>24578.2</v>
      </c>
      <c r="Q147" s="2"/>
      <c r="R147" s="19">
        <f t="shared" si="25"/>
        <v>8.5838138344333185E-4</v>
      </c>
      <c r="S147" s="2"/>
      <c r="T147" s="2"/>
      <c r="U147" s="2"/>
      <c r="V147" s="19">
        <f t="shared" si="26"/>
        <v>0</v>
      </c>
      <c r="W147" s="2"/>
      <c r="X147" s="2">
        <f t="shared" si="27"/>
        <v>24578.2</v>
      </c>
      <c r="Y147" s="2"/>
      <c r="Z147" s="19">
        <f t="shared" si="28"/>
        <v>0</v>
      </c>
    </row>
    <row r="148" spans="1:26" s="24" customFormat="1" hidden="1" outlineLevel="1" x14ac:dyDescent="0.25">
      <c r="A148" s="44"/>
      <c r="B148" s="11" t="str">
        <f>CONCATENATE("          ", "5004", " - ", "PURCHASES @ COST-DIGITAL TEXT")</f>
        <v xml:space="preserve">          5004 - PURCHASES @ COST-DIGITAL TEXT</v>
      </c>
      <c r="C148" s="11"/>
      <c r="D148" s="2">
        <v>5038.95</v>
      </c>
      <c r="E148" s="2"/>
      <c r="F148" s="19">
        <f t="shared" si="21"/>
        <v>8.6206246153591928E-3</v>
      </c>
      <c r="G148" s="2"/>
      <c r="H148" s="2"/>
      <c r="I148" s="2"/>
      <c r="J148" s="19">
        <f t="shared" si="22"/>
        <v>0</v>
      </c>
      <c r="K148" s="2"/>
      <c r="L148" s="2">
        <f t="shared" si="23"/>
        <v>5038.95</v>
      </c>
      <c r="M148" s="2"/>
      <c r="N148" s="19">
        <f t="shared" si="24"/>
        <v>0</v>
      </c>
      <c r="O148" s="11"/>
      <c r="P148" s="2">
        <v>451308.6</v>
      </c>
      <c r="Q148" s="2"/>
      <c r="R148" s="19">
        <f t="shared" si="25"/>
        <v>1.5761727890076297E-2</v>
      </c>
      <c r="S148" s="2"/>
      <c r="T148" s="2"/>
      <c r="U148" s="2"/>
      <c r="V148" s="19">
        <f t="shared" si="26"/>
        <v>0</v>
      </c>
      <c r="W148" s="2"/>
      <c r="X148" s="2">
        <f t="shared" si="27"/>
        <v>451308.6</v>
      </c>
      <c r="Y148" s="2"/>
      <c r="Z148" s="19">
        <f t="shared" si="28"/>
        <v>0</v>
      </c>
    </row>
    <row r="149" spans="1:26" s="24" customFormat="1" hidden="1" outlineLevel="1" x14ac:dyDescent="0.25">
      <c r="A149" s="44"/>
      <c r="B149" s="11" t="str">
        <f>CONCATENATE("          ", "5011", " - ", "PURCHASES @ COST-NO VALUE TEXT")</f>
        <v xml:space="preserve">          5011 - PURCHASES @ COST-NO VALUE TEXT</v>
      </c>
      <c r="C149" s="11"/>
      <c r="D149" s="2">
        <v>99</v>
      </c>
      <c r="E149" s="2"/>
      <c r="F149" s="19">
        <f t="shared" si="21"/>
        <v>1.6936898300649148E-4</v>
      </c>
      <c r="G149" s="2"/>
      <c r="H149" s="2"/>
      <c r="I149" s="2"/>
      <c r="J149" s="19">
        <f t="shared" si="22"/>
        <v>0</v>
      </c>
      <c r="K149" s="2"/>
      <c r="L149" s="2">
        <f t="shared" si="23"/>
        <v>99</v>
      </c>
      <c r="M149" s="2"/>
      <c r="N149" s="19">
        <f t="shared" si="24"/>
        <v>0</v>
      </c>
      <c r="O149" s="11"/>
      <c r="P149" s="2">
        <v>6462</v>
      </c>
      <c r="Q149" s="2"/>
      <c r="R149" s="19">
        <f t="shared" si="25"/>
        <v>2.2568212887073952E-4</v>
      </c>
      <c r="S149" s="2"/>
      <c r="T149" s="2"/>
      <c r="U149" s="2"/>
      <c r="V149" s="19">
        <f t="shared" si="26"/>
        <v>0</v>
      </c>
      <c r="W149" s="2"/>
      <c r="X149" s="2">
        <f t="shared" si="27"/>
        <v>6462</v>
      </c>
      <c r="Y149" s="2"/>
      <c r="Z149" s="19">
        <f t="shared" si="28"/>
        <v>0</v>
      </c>
    </row>
    <row r="150" spans="1:26" s="24" customFormat="1" hidden="1" outlineLevel="1" x14ac:dyDescent="0.25">
      <c r="A150" s="44"/>
      <c r="B150" s="11" t="str">
        <f>CONCATENATE("          ", "5013", " - ", "PURCHASES @ COST-TRADE BOOKS")</f>
        <v xml:space="preserve">          5013 - PURCHASES @ COST-TRADE BOOKS</v>
      </c>
      <c r="C150" s="11"/>
      <c r="D150" s="2">
        <v>-420.76</v>
      </c>
      <c r="E150" s="2"/>
      <c r="F150" s="19">
        <f t="shared" si="21"/>
        <v>-7.1983528575567015E-4</v>
      </c>
      <c r="G150" s="2"/>
      <c r="H150" s="2"/>
      <c r="I150" s="2"/>
      <c r="J150" s="19">
        <f t="shared" si="22"/>
        <v>0</v>
      </c>
      <c r="K150" s="2"/>
      <c r="L150" s="2">
        <f t="shared" si="23"/>
        <v>-420.76</v>
      </c>
      <c r="M150" s="2"/>
      <c r="N150" s="19">
        <f t="shared" si="24"/>
        <v>0</v>
      </c>
      <c r="O150" s="11"/>
      <c r="P150" s="2">
        <v>2777.09</v>
      </c>
      <c r="Q150" s="2"/>
      <c r="R150" s="19">
        <f t="shared" si="25"/>
        <v>9.6988483947019815E-5</v>
      </c>
      <c r="S150" s="2"/>
      <c r="T150" s="2"/>
      <c r="U150" s="2"/>
      <c r="V150" s="19">
        <f t="shared" si="26"/>
        <v>0</v>
      </c>
      <c r="W150" s="2"/>
      <c r="X150" s="2">
        <f t="shared" si="27"/>
        <v>2777.09</v>
      </c>
      <c r="Y150" s="2"/>
      <c r="Z150" s="19">
        <f t="shared" si="28"/>
        <v>0</v>
      </c>
    </row>
    <row r="151" spans="1:26" s="24" customFormat="1" hidden="1" outlineLevel="1" x14ac:dyDescent="0.25">
      <c r="A151" s="44"/>
      <c r="B151" s="11" t="str">
        <f>CONCATENATE("          ", "5014", " - ", "PURCHASES @ COST-REMAINDERS")</f>
        <v xml:space="preserve">          5014 - PURCHASES @ COST-REMAINDERS</v>
      </c>
      <c r="C151" s="11"/>
      <c r="D151" s="2">
        <v>132</v>
      </c>
      <c r="E151" s="2"/>
      <c r="F151" s="19">
        <f t="shared" si="21"/>
        <v>2.2582531067532195E-4</v>
      </c>
      <c r="G151" s="2"/>
      <c r="H151" s="2"/>
      <c r="I151" s="2"/>
      <c r="J151" s="19">
        <f t="shared" si="22"/>
        <v>0</v>
      </c>
      <c r="K151" s="2"/>
      <c r="L151" s="2">
        <f t="shared" si="23"/>
        <v>132</v>
      </c>
      <c r="M151" s="2"/>
      <c r="N151" s="19">
        <f t="shared" si="24"/>
        <v>0</v>
      </c>
      <c r="O151" s="11"/>
      <c r="P151" s="2">
        <v>747.07</v>
      </c>
      <c r="Q151" s="2"/>
      <c r="R151" s="19">
        <f t="shared" si="25"/>
        <v>2.6091047356153417E-5</v>
      </c>
      <c r="S151" s="2"/>
      <c r="T151" s="2"/>
      <c r="U151" s="2"/>
      <c r="V151" s="19">
        <f t="shared" si="26"/>
        <v>0</v>
      </c>
      <c r="W151" s="2"/>
      <c r="X151" s="2">
        <f t="shared" si="27"/>
        <v>747.07</v>
      </c>
      <c r="Y151" s="2"/>
      <c r="Z151" s="19">
        <f t="shared" si="28"/>
        <v>0</v>
      </c>
    </row>
    <row r="152" spans="1:26" s="24" customFormat="1" hidden="1" outlineLevel="1" x14ac:dyDescent="0.25">
      <c r="A152" s="44"/>
      <c r="B152" s="11" t="str">
        <f>CONCATENATE("          ", "5017", " - ", "PURCHASES @ COST-DORM/HOUSEWAR")</f>
        <v xml:space="preserve">          5017 - PURCHASES @ COST-DORM/HOUSEWAR</v>
      </c>
      <c r="C152" s="11"/>
      <c r="D152" s="2"/>
      <c r="E152" s="2"/>
      <c r="F152" s="19">
        <f t="shared" si="21"/>
        <v>0</v>
      </c>
      <c r="G152" s="2"/>
      <c r="H152" s="2"/>
      <c r="I152" s="2"/>
      <c r="J152" s="19">
        <f t="shared" si="22"/>
        <v>0</v>
      </c>
      <c r="K152" s="2"/>
      <c r="L152" s="2">
        <f t="shared" si="23"/>
        <v>0</v>
      </c>
      <c r="M152" s="2"/>
      <c r="N152" s="19">
        <f t="shared" si="24"/>
        <v>0</v>
      </c>
      <c r="O152" s="11"/>
      <c r="P152" s="2">
        <v>14.46</v>
      </c>
      <c r="Q152" s="2"/>
      <c r="R152" s="19">
        <f t="shared" si="25"/>
        <v>5.0500829208772725E-7</v>
      </c>
      <c r="S152" s="2"/>
      <c r="T152" s="2"/>
      <c r="U152" s="2"/>
      <c r="V152" s="19">
        <f t="shared" si="26"/>
        <v>0</v>
      </c>
      <c r="W152" s="2"/>
      <c r="X152" s="2">
        <f t="shared" si="27"/>
        <v>14.46</v>
      </c>
      <c r="Y152" s="2"/>
      <c r="Z152" s="19">
        <f t="shared" si="28"/>
        <v>0</v>
      </c>
    </row>
    <row r="153" spans="1:26" s="24" customFormat="1" hidden="1" outlineLevel="1" x14ac:dyDescent="0.25">
      <c r="A153" s="44"/>
      <c r="B153" s="11" t="str">
        <f>CONCATENATE("          ", "5018", " - ", "PURCHASES @ COST-STUDY GUIDES")</f>
        <v xml:space="preserve">          5018 - PURCHASES @ COST-STUDY GUIDES</v>
      </c>
      <c r="C153" s="11"/>
      <c r="D153" s="2">
        <v>-249.38</v>
      </c>
      <c r="E153" s="2"/>
      <c r="F153" s="19">
        <f t="shared" si="21"/>
        <v>-4.2663875739554387E-4</v>
      </c>
      <c r="G153" s="2"/>
      <c r="H153" s="2"/>
      <c r="I153" s="2"/>
      <c r="J153" s="19">
        <f t="shared" si="22"/>
        <v>0</v>
      </c>
      <c r="K153" s="2"/>
      <c r="L153" s="2">
        <f t="shared" si="23"/>
        <v>-249.38</v>
      </c>
      <c r="M153" s="2"/>
      <c r="N153" s="19">
        <f t="shared" si="24"/>
        <v>0</v>
      </c>
      <c r="O153" s="11"/>
      <c r="P153" s="2">
        <v>-454.52</v>
      </c>
      <c r="Q153" s="2"/>
      <c r="R153" s="19">
        <f t="shared" si="25"/>
        <v>-1.5873884434281727E-5</v>
      </c>
      <c r="S153" s="2"/>
      <c r="T153" s="2"/>
      <c r="U153" s="2"/>
      <c r="V153" s="19">
        <f t="shared" si="26"/>
        <v>0</v>
      </c>
      <c r="W153" s="2"/>
      <c r="X153" s="2">
        <f t="shared" si="27"/>
        <v>-454.52</v>
      </c>
      <c r="Y153" s="2"/>
      <c r="Z153" s="19">
        <f t="shared" si="28"/>
        <v>0</v>
      </c>
    </row>
    <row r="154" spans="1:26" s="24" customFormat="1" hidden="1" outlineLevel="1" x14ac:dyDescent="0.25">
      <c r="A154" s="44"/>
      <c r="B154" s="11" t="str">
        <f>CONCATENATE("          ", "5025", " - ", "PURCHASES @ COST-TEST FORMS")</f>
        <v xml:space="preserve">          5025 - PURCHASES @ COST-TEST FORMS</v>
      </c>
      <c r="C154" s="11"/>
      <c r="D154" s="2"/>
      <c r="E154" s="2"/>
      <c r="F154" s="19">
        <f t="shared" si="21"/>
        <v>0</v>
      </c>
      <c r="G154" s="2"/>
      <c r="H154" s="2"/>
      <c r="I154" s="2"/>
      <c r="J154" s="19">
        <f t="shared" si="22"/>
        <v>0</v>
      </c>
      <c r="K154" s="2"/>
      <c r="L154" s="2">
        <f t="shared" si="23"/>
        <v>0</v>
      </c>
      <c r="M154" s="2"/>
      <c r="N154" s="19">
        <f t="shared" si="24"/>
        <v>0</v>
      </c>
      <c r="O154" s="11"/>
      <c r="P154" s="2">
        <v>26400.390000000003</v>
      </c>
      <c r="Q154" s="2"/>
      <c r="R154" s="19">
        <f t="shared" si="25"/>
        <v>9.2202046088173692E-4</v>
      </c>
      <c r="S154" s="2"/>
      <c r="T154" s="2"/>
      <c r="U154" s="2"/>
      <c r="V154" s="19">
        <f t="shared" si="26"/>
        <v>0</v>
      </c>
      <c r="W154" s="2"/>
      <c r="X154" s="2">
        <f t="shared" si="27"/>
        <v>26400.390000000003</v>
      </c>
      <c r="Y154" s="2"/>
      <c r="Z154" s="19">
        <f t="shared" si="28"/>
        <v>0</v>
      </c>
    </row>
    <row r="155" spans="1:26" s="24" customFormat="1" hidden="1" outlineLevel="1" x14ac:dyDescent="0.25">
      <c r="A155" s="44"/>
      <c r="B155" s="11" t="str">
        <f>CONCATENATE("          ", "5026", " - ", "PURCHASES @ COST-WRITING INSTR")</f>
        <v xml:space="preserve">          5026 - PURCHASES @ COST-WRITING INSTR</v>
      </c>
      <c r="C155" s="11"/>
      <c r="D155" s="2"/>
      <c r="E155" s="2"/>
      <c r="F155" s="19">
        <f t="shared" si="21"/>
        <v>0</v>
      </c>
      <c r="G155" s="2"/>
      <c r="H155" s="2"/>
      <c r="I155" s="2"/>
      <c r="J155" s="19">
        <f t="shared" si="22"/>
        <v>0</v>
      </c>
      <c r="K155" s="2"/>
      <c r="L155" s="2">
        <f t="shared" si="23"/>
        <v>0</v>
      </c>
      <c r="M155" s="2"/>
      <c r="N155" s="19">
        <f t="shared" si="24"/>
        <v>0</v>
      </c>
      <c r="O155" s="11"/>
      <c r="P155" s="2">
        <v>44186.57</v>
      </c>
      <c r="Q155" s="2"/>
      <c r="R155" s="19">
        <f t="shared" si="25"/>
        <v>1.5431939314602217E-3</v>
      </c>
      <c r="S155" s="2"/>
      <c r="T155" s="2"/>
      <c r="U155" s="2"/>
      <c r="V155" s="19">
        <f t="shared" si="26"/>
        <v>0</v>
      </c>
      <c r="W155" s="2"/>
      <c r="X155" s="2">
        <f t="shared" si="27"/>
        <v>44186.57</v>
      </c>
      <c r="Y155" s="2"/>
      <c r="Z155" s="19">
        <f t="shared" si="28"/>
        <v>0</v>
      </c>
    </row>
    <row r="156" spans="1:26" s="24" customFormat="1" hidden="1" outlineLevel="1" x14ac:dyDescent="0.25">
      <c r="A156" s="44"/>
      <c r="B156" s="11" t="str">
        <f>CONCATENATE("          ", "5027", " - ", "PURCHASES @ COST-SCHOOL SUPPLI")</f>
        <v xml:space="preserve">          5027 - PURCHASES @ COST-SCHOOL SUPPLI</v>
      </c>
      <c r="C156" s="11"/>
      <c r="D156" s="2">
        <v>11947.58</v>
      </c>
      <c r="E156" s="2"/>
      <c r="F156" s="19">
        <f t="shared" si="21"/>
        <v>2.0439893676653508E-2</v>
      </c>
      <c r="G156" s="2"/>
      <c r="H156" s="2"/>
      <c r="I156" s="2"/>
      <c r="J156" s="19">
        <f t="shared" si="22"/>
        <v>0</v>
      </c>
      <c r="K156" s="2"/>
      <c r="L156" s="2">
        <f t="shared" si="23"/>
        <v>11947.58</v>
      </c>
      <c r="M156" s="2"/>
      <c r="N156" s="19">
        <f t="shared" si="24"/>
        <v>0</v>
      </c>
      <c r="O156" s="11"/>
      <c r="P156" s="2">
        <v>153162.12</v>
      </c>
      <c r="Q156" s="2"/>
      <c r="R156" s="19">
        <f t="shared" si="25"/>
        <v>5.3491106938959561E-3</v>
      </c>
      <c r="S156" s="2"/>
      <c r="T156" s="2"/>
      <c r="U156" s="2"/>
      <c r="V156" s="19">
        <f t="shared" si="26"/>
        <v>0</v>
      </c>
      <c r="W156" s="2"/>
      <c r="X156" s="2">
        <f t="shared" si="27"/>
        <v>153162.12</v>
      </c>
      <c r="Y156" s="2"/>
      <c r="Z156" s="19">
        <f t="shared" si="28"/>
        <v>0</v>
      </c>
    </row>
    <row r="157" spans="1:26" s="24" customFormat="1" hidden="1" outlineLevel="1" x14ac:dyDescent="0.25">
      <c r="A157" s="44"/>
      <c r="B157" s="11" t="str">
        <f>CONCATENATE("          ", "5028", " - ", "PURCHASES @ COST-ART/TECH")</f>
        <v xml:space="preserve">          5028 - PURCHASES @ COST-ART/TECH</v>
      </c>
      <c r="C157" s="11"/>
      <c r="D157" s="2">
        <v>-1073.3800000000001</v>
      </c>
      <c r="E157" s="2"/>
      <c r="F157" s="19">
        <f t="shared" si="21"/>
        <v>-1.8363361513081598E-3</v>
      </c>
      <c r="G157" s="2"/>
      <c r="H157" s="2"/>
      <c r="I157" s="2"/>
      <c r="J157" s="19">
        <f t="shared" si="22"/>
        <v>0</v>
      </c>
      <c r="K157" s="2"/>
      <c r="L157" s="2">
        <f t="shared" si="23"/>
        <v>-1073.3800000000001</v>
      </c>
      <c r="M157" s="2"/>
      <c r="N157" s="19">
        <f t="shared" si="24"/>
        <v>0</v>
      </c>
      <c r="O157" s="11"/>
      <c r="P157" s="2">
        <v>158554.31</v>
      </c>
      <c r="Q157" s="2"/>
      <c r="R157" s="19">
        <f t="shared" si="25"/>
        <v>5.5374302417875556E-3</v>
      </c>
      <c r="S157" s="2"/>
      <c r="T157" s="2"/>
      <c r="U157" s="2"/>
      <c r="V157" s="19">
        <f t="shared" si="26"/>
        <v>0</v>
      </c>
      <c r="W157" s="2"/>
      <c r="X157" s="2">
        <f t="shared" si="27"/>
        <v>158554.31</v>
      </c>
      <c r="Y157" s="2"/>
      <c r="Z157" s="19">
        <f t="shared" si="28"/>
        <v>0</v>
      </c>
    </row>
    <row r="158" spans="1:26" s="24" customFormat="1" hidden="1" outlineLevel="1" x14ac:dyDescent="0.25">
      <c r="A158" s="44"/>
      <c r="B158" s="11" t="str">
        <f>CONCATENATE("          ", "5031", " - ", "PURCHASES @ COST-FOOD")</f>
        <v xml:space="preserve">          5031 - PURCHASES @ COST-FOOD</v>
      </c>
      <c r="C158" s="11"/>
      <c r="D158" s="2"/>
      <c r="E158" s="2"/>
      <c r="F158" s="19">
        <f t="shared" si="21"/>
        <v>0</v>
      </c>
      <c r="G158" s="2"/>
      <c r="H158" s="2"/>
      <c r="I158" s="2"/>
      <c r="J158" s="19">
        <f t="shared" si="22"/>
        <v>0</v>
      </c>
      <c r="K158" s="2"/>
      <c r="L158" s="2">
        <f t="shared" si="23"/>
        <v>0</v>
      </c>
      <c r="M158" s="2"/>
      <c r="N158" s="19">
        <f t="shared" si="24"/>
        <v>0</v>
      </c>
      <c r="O158" s="11"/>
      <c r="P158" s="2">
        <v>33239.879999999997</v>
      </c>
      <c r="Q158" s="2"/>
      <c r="R158" s="19">
        <f t="shared" si="25"/>
        <v>1.1608862398340943E-3</v>
      </c>
      <c r="S158" s="2"/>
      <c r="T158" s="2"/>
      <c r="U158" s="2"/>
      <c r="V158" s="19">
        <f t="shared" si="26"/>
        <v>0</v>
      </c>
      <c r="W158" s="2"/>
      <c r="X158" s="2">
        <f t="shared" si="27"/>
        <v>33239.879999999997</v>
      </c>
      <c r="Y158" s="2"/>
      <c r="Z158" s="19">
        <f t="shared" si="28"/>
        <v>0</v>
      </c>
    </row>
    <row r="159" spans="1:26" s="24" customFormat="1" hidden="1" outlineLevel="1" x14ac:dyDescent="0.25">
      <c r="A159" s="44"/>
      <c r="B159" s="11" t="str">
        <f>CONCATENATE("          ", "5032", " - ", "PURCHASES @ COST-JUICE")</f>
        <v xml:space="preserve">          5032 - PURCHASES @ COST-JUICE</v>
      </c>
      <c r="C159" s="11"/>
      <c r="D159" s="2"/>
      <c r="E159" s="2"/>
      <c r="F159" s="19">
        <f t="shared" si="21"/>
        <v>0</v>
      </c>
      <c r="G159" s="2"/>
      <c r="H159" s="2"/>
      <c r="I159" s="2"/>
      <c r="J159" s="19">
        <f t="shared" si="22"/>
        <v>0</v>
      </c>
      <c r="K159" s="2"/>
      <c r="L159" s="2">
        <f t="shared" si="23"/>
        <v>0</v>
      </c>
      <c r="M159" s="2"/>
      <c r="N159" s="19">
        <f t="shared" si="24"/>
        <v>0</v>
      </c>
      <c r="O159" s="11"/>
      <c r="P159" s="2">
        <v>7802.45</v>
      </c>
      <c r="Q159" s="2"/>
      <c r="R159" s="19">
        <f t="shared" si="25"/>
        <v>2.7249667694328404E-4</v>
      </c>
      <c r="S159" s="2"/>
      <c r="T159" s="2"/>
      <c r="U159" s="2"/>
      <c r="V159" s="19">
        <f t="shared" si="26"/>
        <v>0</v>
      </c>
      <c r="W159" s="2"/>
      <c r="X159" s="2">
        <f t="shared" si="27"/>
        <v>7802.45</v>
      </c>
      <c r="Y159" s="2"/>
      <c r="Z159" s="19">
        <f t="shared" si="28"/>
        <v>0</v>
      </c>
    </row>
    <row r="160" spans="1:26" s="24" customFormat="1" hidden="1" outlineLevel="1" x14ac:dyDescent="0.25">
      <c r="A160" s="44"/>
      <c r="B160" s="11" t="str">
        <f>CONCATENATE("          ", "5033", " - ", "PURCHASES @ COST-CANDY")</f>
        <v xml:space="preserve">          5033 - PURCHASES @ COST-CANDY</v>
      </c>
      <c r="C160" s="11"/>
      <c r="D160" s="2"/>
      <c r="E160" s="2"/>
      <c r="F160" s="19">
        <f t="shared" si="21"/>
        <v>0</v>
      </c>
      <c r="G160" s="2"/>
      <c r="H160" s="2"/>
      <c r="I160" s="2"/>
      <c r="J160" s="19">
        <f t="shared" si="22"/>
        <v>0</v>
      </c>
      <c r="K160" s="2"/>
      <c r="L160" s="2">
        <f t="shared" si="23"/>
        <v>0</v>
      </c>
      <c r="M160" s="2"/>
      <c r="N160" s="19">
        <f t="shared" si="24"/>
        <v>0</v>
      </c>
      <c r="O160" s="11"/>
      <c r="P160" s="2">
        <v>9998.41</v>
      </c>
      <c r="Q160" s="2"/>
      <c r="R160" s="19">
        <f t="shared" si="25"/>
        <v>3.491894853176247E-4</v>
      </c>
      <c r="S160" s="2"/>
      <c r="T160" s="2"/>
      <c r="U160" s="2"/>
      <c r="V160" s="19">
        <f t="shared" si="26"/>
        <v>0</v>
      </c>
      <c r="W160" s="2"/>
      <c r="X160" s="2">
        <f t="shared" si="27"/>
        <v>9998.41</v>
      </c>
      <c r="Y160" s="2"/>
      <c r="Z160" s="19">
        <f t="shared" si="28"/>
        <v>0</v>
      </c>
    </row>
    <row r="161" spans="1:26" s="24" customFormat="1" hidden="1" outlineLevel="1" x14ac:dyDescent="0.25">
      <c r="A161" s="44"/>
      <c r="B161" s="11" t="str">
        <f>CONCATENATE("          ", "5034", " - ", "PURCHASES @ COST-SODA")</f>
        <v xml:space="preserve">          5034 - PURCHASES @ COST-SODA</v>
      </c>
      <c r="C161" s="11"/>
      <c r="D161" s="2"/>
      <c r="E161" s="2"/>
      <c r="F161" s="19">
        <f t="shared" si="21"/>
        <v>0</v>
      </c>
      <c r="G161" s="2"/>
      <c r="H161" s="2"/>
      <c r="I161" s="2"/>
      <c r="J161" s="19">
        <f t="shared" si="22"/>
        <v>0</v>
      </c>
      <c r="K161" s="2"/>
      <c r="L161" s="2">
        <f t="shared" si="23"/>
        <v>0</v>
      </c>
      <c r="M161" s="2"/>
      <c r="N161" s="19">
        <f t="shared" si="24"/>
        <v>0</v>
      </c>
      <c r="O161" s="11"/>
      <c r="P161" s="2">
        <v>4033.88</v>
      </c>
      <c r="Q161" s="2"/>
      <c r="R161" s="19">
        <f t="shared" si="25"/>
        <v>1.4088124822177325E-4</v>
      </c>
      <c r="S161" s="2"/>
      <c r="T161" s="2"/>
      <c r="U161" s="2"/>
      <c r="V161" s="19">
        <f t="shared" si="26"/>
        <v>0</v>
      </c>
      <c r="W161" s="2"/>
      <c r="X161" s="2">
        <f t="shared" si="27"/>
        <v>4033.88</v>
      </c>
      <c r="Y161" s="2"/>
      <c r="Z161" s="19">
        <f t="shared" si="28"/>
        <v>0</v>
      </c>
    </row>
    <row r="162" spans="1:26" s="24" customFormat="1" hidden="1" outlineLevel="1" x14ac:dyDescent="0.25">
      <c r="A162" s="44"/>
      <c r="B162" s="11" t="str">
        <f>CONCATENATE("          ", "5035", " - ", "PURCHASES @ COST-HEALTH &amp; BEAU")</f>
        <v xml:space="preserve">          5035 - PURCHASES @ COST-HEALTH &amp; BEAU</v>
      </c>
      <c r="C162" s="11"/>
      <c r="D162" s="2"/>
      <c r="E162" s="2"/>
      <c r="F162" s="19">
        <f t="shared" si="21"/>
        <v>0</v>
      </c>
      <c r="G162" s="2"/>
      <c r="H162" s="2"/>
      <c r="I162" s="2"/>
      <c r="J162" s="19">
        <f t="shared" si="22"/>
        <v>0</v>
      </c>
      <c r="K162" s="2"/>
      <c r="L162" s="2">
        <f t="shared" si="23"/>
        <v>0</v>
      </c>
      <c r="M162" s="2"/>
      <c r="N162" s="19">
        <f t="shared" si="24"/>
        <v>0</v>
      </c>
      <c r="O162" s="11"/>
      <c r="P162" s="2">
        <v>1117.6500000000001</v>
      </c>
      <c r="Q162" s="2"/>
      <c r="R162" s="19">
        <f t="shared" si="25"/>
        <v>3.9033369132216347E-5</v>
      </c>
      <c r="S162" s="2"/>
      <c r="T162" s="2"/>
      <c r="U162" s="2"/>
      <c r="V162" s="19">
        <f t="shared" si="26"/>
        <v>0</v>
      </c>
      <c r="W162" s="2"/>
      <c r="X162" s="2">
        <f t="shared" si="27"/>
        <v>1117.6500000000001</v>
      </c>
      <c r="Y162" s="2"/>
      <c r="Z162" s="19">
        <f t="shared" si="28"/>
        <v>0</v>
      </c>
    </row>
    <row r="163" spans="1:26" s="24" customFormat="1" hidden="1" outlineLevel="1" x14ac:dyDescent="0.25">
      <c r="A163" s="44"/>
      <c r="B163" s="11" t="str">
        <f>CONCATENATE("          ", "5037", " - ", "PURCHASES @ COST-WATER")</f>
        <v xml:space="preserve">          5037 - PURCHASES @ COST-WATER</v>
      </c>
      <c r="C163" s="11"/>
      <c r="D163" s="2"/>
      <c r="E163" s="2"/>
      <c r="F163" s="19">
        <f t="shared" si="21"/>
        <v>0</v>
      </c>
      <c r="G163" s="2"/>
      <c r="H163" s="2"/>
      <c r="I163" s="2"/>
      <c r="J163" s="19">
        <f t="shared" si="22"/>
        <v>0</v>
      </c>
      <c r="K163" s="2"/>
      <c r="L163" s="2">
        <f t="shared" si="23"/>
        <v>0</v>
      </c>
      <c r="M163" s="2"/>
      <c r="N163" s="19">
        <f t="shared" si="24"/>
        <v>0</v>
      </c>
      <c r="O163" s="11"/>
      <c r="P163" s="2">
        <v>5693.57</v>
      </c>
      <c r="Q163" s="2"/>
      <c r="R163" s="19">
        <f t="shared" si="25"/>
        <v>1.988450941619586E-4</v>
      </c>
      <c r="S163" s="2"/>
      <c r="T163" s="2"/>
      <c r="U163" s="2"/>
      <c r="V163" s="19">
        <f t="shared" si="26"/>
        <v>0</v>
      </c>
      <c r="W163" s="2"/>
      <c r="X163" s="2">
        <f t="shared" si="27"/>
        <v>5693.57</v>
      </c>
      <c r="Y163" s="2"/>
      <c r="Z163" s="19">
        <f t="shared" si="28"/>
        <v>0</v>
      </c>
    </row>
    <row r="164" spans="1:26" s="24" customFormat="1" hidden="1" outlineLevel="1" x14ac:dyDescent="0.25">
      <c r="A164" s="44"/>
      <c r="B164" s="11" t="str">
        <f>CONCATENATE("          ", "5040", " - ", "PURCHASES @ COST-LOGO CLOTHING")</f>
        <v xml:space="preserve">          5040 - PURCHASES @ COST-LOGO CLOTHING</v>
      </c>
      <c r="C164" s="11"/>
      <c r="D164" s="2">
        <v>6472.18</v>
      </c>
      <c r="E164" s="2"/>
      <c r="F164" s="19">
        <f t="shared" si="21"/>
        <v>1.1072591357928829E-2</v>
      </c>
      <c r="G164" s="2"/>
      <c r="H164" s="2"/>
      <c r="I164" s="2"/>
      <c r="J164" s="19">
        <f t="shared" si="22"/>
        <v>0</v>
      </c>
      <c r="K164" s="2"/>
      <c r="L164" s="2">
        <f t="shared" si="23"/>
        <v>6472.18</v>
      </c>
      <c r="M164" s="2"/>
      <c r="N164" s="19">
        <f t="shared" si="24"/>
        <v>0</v>
      </c>
      <c r="O164" s="11"/>
      <c r="P164" s="2">
        <v>982941.51</v>
      </c>
      <c r="Q164" s="2"/>
      <c r="R164" s="19">
        <f t="shared" si="25"/>
        <v>3.432874226744341E-2</v>
      </c>
      <c r="S164" s="2"/>
      <c r="T164" s="2"/>
      <c r="U164" s="2"/>
      <c r="V164" s="19">
        <f t="shared" si="26"/>
        <v>0</v>
      </c>
      <c r="W164" s="2"/>
      <c r="X164" s="2">
        <f t="shared" si="27"/>
        <v>982941.51</v>
      </c>
      <c r="Y164" s="2"/>
      <c r="Z164" s="19">
        <f t="shared" si="28"/>
        <v>0</v>
      </c>
    </row>
    <row r="165" spans="1:26" s="24" customFormat="1" hidden="1" outlineLevel="1" x14ac:dyDescent="0.25">
      <c r="A165" s="44"/>
      <c r="B165" s="11" t="str">
        <f>CONCATENATE("          ", "5041", " - ", "PURCHASES @ COST-LOGO GIFTS")</f>
        <v xml:space="preserve">          5041 - PURCHASES @ COST-LOGO GIFTS</v>
      </c>
      <c r="C165" s="11"/>
      <c r="D165" s="2">
        <v>13093.79</v>
      </c>
      <c r="E165" s="2"/>
      <c r="F165" s="19">
        <f t="shared" si="21"/>
        <v>2.240082723232897E-2</v>
      </c>
      <c r="G165" s="2"/>
      <c r="H165" s="2"/>
      <c r="I165" s="2"/>
      <c r="J165" s="19">
        <f t="shared" si="22"/>
        <v>0</v>
      </c>
      <c r="K165" s="2"/>
      <c r="L165" s="2">
        <f t="shared" si="23"/>
        <v>13093.79</v>
      </c>
      <c r="M165" s="2"/>
      <c r="N165" s="19">
        <f t="shared" si="24"/>
        <v>0</v>
      </c>
      <c r="O165" s="11"/>
      <c r="P165" s="2">
        <v>162844.62999999998</v>
      </c>
      <c r="Q165" s="2"/>
      <c r="R165" s="19">
        <f t="shared" si="25"/>
        <v>5.6872675291810412E-3</v>
      </c>
      <c r="S165" s="2"/>
      <c r="T165" s="2"/>
      <c r="U165" s="2"/>
      <c r="V165" s="19">
        <f t="shared" si="26"/>
        <v>0</v>
      </c>
      <c r="W165" s="2"/>
      <c r="X165" s="2">
        <f t="shared" si="27"/>
        <v>162844.62999999998</v>
      </c>
      <c r="Y165" s="2"/>
      <c r="Z165" s="19">
        <f t="shared" si="28"/>
        <v>0</v>
      </c>
    </row>
    <row r="166" spans="1:26" s="24" customFormat="1" hidden="1" outlineLevel="1" x14ac:dyDescent="0.25">
      <c r="A166" s="44"/>
      <c r="B166" s="11" t="str">
        <f>CONCATENATE("          ", "5042", " - ", "PURCHASES @ COST-EVERYDAY GIFT")</f>
        <v xml:space="preserve">          5042 - PURCHASES @ COST-EVERYDAY GIFT</v>
      </c>
      <c r="C166" s="11"/>
      <c r="D166" s="2">
        <v>-836.65</v>
      </c>
      <c r="E166" s="2"/>
      <c r="F166" s="19">
        <f t="shared" si="21"/>
        <v>-1.4313389861856675E-3</v>
      </c>
      <c r="G166" s="2"/>
      <c r="H166" s="2"/>
      <c r="I166" s="2"/>
      <c r="J166" s="19">
        <f t="shared" si="22"/>
        <v>0</v>
      </c>
      <c r="K166" s="2"/>
      <c r="L166" s="2">
        <f t="shared" si="23"/>
        <v>-836.65</v>
      </c>
      <c r="M166" s="2"/>
      <c r="N166" s="19">
        <f t="shared" si="24"/>
        <v>0</v>
      </c>
      <c r="O166" s="11"/>
      <c r="P166" s="2">
        <v>125778.54999999999</v>
      </c>
      <c r="Q166" s="2"/>
      <c r="R166" s="19">
        <f t="shared" si="25"/>
        <v>4.3927531616024069E-3</v>
      </c>
      <c r="S166" s="2"/>
      <c r="T166" s="2"/>
      <c r="U166" s="2"/>
      <c r="V166" s="19">
        <f t="shared" si="26"/>
        <v>0</v>
      </c>
      <c r="W166" s="2"/>
      <c r="X166" s="2">
        <f t="shared" si="27"/>
        <v>125778.54999999999</v>
      </c>
      <c r="Y166" s="2"/>
      <c r="Z166" s="19">
        <f t="shared" si="28"/>
        <v>0</v>
      </c>
    </row>
    <row r="167" spans="1:26" s="24" customFormat="1" hidden="1" outlineLevel="1" x14ac:dyDescent="0.25">
      <c r="A167" s="44"/>
      <c r="B167" s="11" t="str">
        <f>CONCATENATE("          ", "5043", " - ", "PURCHASES @ COST-CARDS")</f>
        <v xml:space="preserve">          5043 - PURCHASES @ COST-CARDS</v>
      </c>
      <c r="C167" s="11"/>
      <c r="D167" s="2">
        <v>0</v>
      </c>
      <c r="E167" s="2"/>
      <c r="F167" s="19">
        <f t="shared" si="21"/>
        <v>0</v>
      </c>
      <c r="G167" s="2"/>
      <c r="H167" s="2"/>
      <c r="I167" s="2"/>
      <c r="J167" s="19">
        <f t="shared" si="22"/>
        <v>0</v>
      </c>
      <c r="K167" s="2"/>
      <c r="L167" s="2">
        <f t="shared" si="23"/>
        <v>0</v>
      </c>
      <c r="M167" s="2"/>
      <c r="N167" s="19">
        <f t="shared" si="24"/>
        <v>0</v>
      </c>
      <c r="O167" s="11"/>
      <c r="P167" s="2">
        <v>30914.659999999996</v>
      </c>
      <c r="Q167" s="2"/>
      <c r="R167" s="19">
        <f t="shared" si="25"/>
        <v>1.0796790903923083E-3</v>
      </c>
      <c r="S167" s="2"/>
      <c r="T167" s="2"/>
      <c r="U167" s="2"/>
      <c r="V167" s="19">
        <f t="shared" si="26"/>
        <v>0</v>
      </c>
      <c r="W167" s="2"/>
      <c r="X167" s="2">
        <f t="shared" si="27"/>
        <v>30914.659999999996</v>
      </c>
      <c r="Y167" s="2"/>
      <c r="Z167" s="19">
        <f t="shared" si="28"/>
        <v>0</v>
      </c>
    </row>
    <row r="168" spans="1:26" s="24" customFormat="1" hidden="1" outlineLevel="1" x14ac:dyDescent="0.25">
      <c r="A168" s="44"/>
      <c r="B168" s="11" t="str">
        <f>CONCATENATE("          ", "5044", " - ", "PURCHASES @ COST-ACCESSORIES")</f>
        <v xml:space="preserve">          5044 - PURCHASES @ COST-ACCESSORIES</v>
      </c>
      <c r="C168" s="11"/>
      <c r="D168" s="2">
        <v>0</v>
      </c>
      <c r="E168" s="2"/>
      <c r="F168" s="19">
        <f t="shared" si="21"/>
        <v>0</v>
      </c>
      <c r="G168" s="2"/>
      <c r="H168" s="2"/>
      <c r="I168" s="2"/>
      <c r="J168" s="19">
        <f t="shared" si="22"/>
        <v>0</v>
      </c>
      <c r="K168" s="2"/>
      <c r="L168" s="2">
        <f t="shared" si="23"/>
        <v>0</v>
      </c>
      <c r="M168" s="2"/>
      <c r="N168" s="19">
        <f t="shared" si="24"/>
        <v>0</v>
      </c>
      <c r="O168" s="11"/>
      <c r="P168" s="2">
        <v>37869.03</v>
      </c>
      <c r="Q168" s="2"/>
      <c r="R168" s="19">
        <f t="shared" si="25"/>
        <v>1.3225569960801456E-3</v>
      </c>
      <c r="S168" s="2"/>
      <c r="T168" s="2"/>
      <c r="U168" s="2"/>
      <c r="V168" s="19">
        <f t="shared" si="26"/>
        <v>0</v>
      </c>
      <c r="W168" s="2"/>
      <c r="X168" s="2">
        <f t="shared" si="27"/>
        <v>37869.03</v>
      </c>
      <c r="Y168" s="2"/>
      <c r="Z168" s="19">
        <f t="shared" si="28"/>
        <v>0</v>
      </c>
    </row>
    <row r="169" spans="1:26" s="24" customFormat="1" hidden="1" outlineLevel="1" x14ac:dyDescent="0.25">
      <c r="A169" s="44"/>
      <c r="B169" s="11" t="str">
        <f>CONCATENATE("          ", "5045", " - ", "PURCHASES @ COST-SPECIAL ORDER")</f>
        <v xml:space="preserve">          5045 - PURCHASES @ COST-SPECIAL ORDER</v>
      </c>
      <c r="C169" s="11"/>
      <c r="D169" s="2">
        <v>52772.409999999996</v>
      </c>
      <c r="E169" s="2"/>
      <c r="F169" s="19">
        <f t="shared" si="21"/>
        <v>9.0282923358602024E-2</v>
      </c>
      <c r="G169" s="2"/>
      <c r="H169" s="2"/>
      <c r="I169" s="2"/>
      <c r="J169" s="19">
        <f t="shared" si="22"/>
        <v>0</v>
      </c>
      <c r="K169" s="2"/>
      <c r="L169" s="2">
        <f t="shared" si="23"/>
        <v>52772.409999999996</v>
      </c>
      <c r="M169" s="2"/>
      <c r="N169" s="19">
        <f t="shared" si="24"/>
        <v>0</v>
      </c>
      <c r="O169" s="11"/>
      <c r="P169" s="2">
        <v>131614.81</v>
      </c>
      <c r="Q169" s="2"/>
      <c r="R169" s="19">
        <f t="shared" si="25"/>
        <v>4.5965816328873256E-3</v>
      </c>
      <c r="S169" s="2"/>
      <c r="T169" s="2"/>
      <c r="U169" s="2"/>
      <c r="V169" s="19">
        <f t="shared" si="26"/>
        <v>0</v>
      </c>
      <c r="W169" s="2"/>
      <c r="X169" s="2">
        <f t="shared" si="27"/>
        <v>131614.81</v>
      </c>
      <c r="Y169" s="2"/>
      <c r="Z169" s="19">
        <f t="shared" si="28"/>
        <v>0</v>
      </c>
    </row>
    <row r="170" spans="1:26" s="24" customFormat="1" hidden="1" outlineLevel="1" x14ac:dyDescent="0.25">
      <c r="A170" s="44"/>
      <c r="B170" s="11" t="str">
        <f>CONCATENATE("          ", "5053", " - ", "PURCHASES @ COST-FOOD")</f>
        <v xml:space="preserve">          5053 - PURCHASES @ COST-FOOD</v>
      </c>
      <c r="C170" s="11"/>
      <c r="D170" s="2">
        <v>9832.27</v>
      </c>
      <c r="E170" s="2"/>
      <c r="F170" s="19">
        <f t="shared" si="21"/>
        <v>1.6821025965103393E-2</v>
      </c>
      <c r="G170" s="2"/>
      <c r="H170" s="2"/>
      <c r="I170" s="2"/>
      <c r="J170" s="19">
        <f t="shared" si="22"/>
        <v>0</v>
      </c>
      <c r="K170" s="2"/>
      <c r="L170" s="2">
        <f t="shared" si="23"/>
        <v>9832.27</v>
      </c>
      <c r="M170" s="2"/>
      <c r="N170" s="19">
        <f t="shared" si="24"/>
        <v>0</v>
      </c>
      <c r="O170" s="11"/>
      <c r="P170" s="2">
        <v>4941935.9800000004</v>
      </c>
      <c r="Q170" s="2"/>
      <c r="R170" s="19">
        <f t="shared" si="25"/>
        <v>0.17259465068234364</v>
      </c>
      <c r="S170" s="2"/>
      <c r="T170" s="2"/>
      <c r="U170" s="2"/>
      <c r="V170" s="19">
        <f t="shared" si="26"/>
        <v>0</v>
      </c>
      <c r="W170" s="2"/>
      <c r="X170" s="2">
        <f t="shared" si="27"/>
        <v>4941935.9800000004</v>
      </c>
      <c r="Y170" s="2"/>
      <c r="Z170" s="19">
        <f t="shared" si="28"/>
        <v>0</v>
      </c>
    </row>
    <row r="171" spans="1:26" s="24" customFormat="1" hidden="1" outlineLevel="1" x14ac:dyDescent="0.25">
      <c r="A171" s="44"/>
      <c r="B171" s="11" t="str">
        <f>CONCATENATE("          ", "5059", " - ", "PURCHASES @ COST-FOOD")</f>
        <v xml:space="preserve">          5059 - PURCHASES @ COST-FOOD</v>
      </c>
      <c r="C171" s="11"/>
      <c r="D171" s="2">
        <v>45921</v>
      </c>
      <c r="E171" s="2"/>
      <c r="F171" s="19">
        <f t="shared" si="21"/>
        <v>7.8561546147889849E-2</v>
      </c>
      <c r="G171" s="2"/>
      <c r="H171" s="2"/>
      <c r="I171" s="2"/>
      <c r="J171" s="19">
        <f t="shared" si="22"/>
        <v>0</v>
      </c>
      <c r="K171" s="2"/>
      <c r="L171" s="2">
        <f t="shared" si="23"/>
        <v>45921</v>
      </c>
      <c r="M171" s="2"/>
      <c r="N171" s="19">
        <f t="shared" si="24"/>
        <v>0</v>
      </c>
      <c r="O171" s="11"/>
      <c r="P171" s="2">
        <v>186122.53</v>
      </c>
      <c r="Q171" s="2"/>
      <c r="R171" s="19">
        <f t="shared" si="25"/>
        <v>6.5002365832881586E-3</v>
      </c>
      <c r="S171" s="2"/>
      <c r="T171" s="2"/>
      <c r="U171" s="2"/>
      <c r="V171" s="19">
        <f t="shared" si="26"/>
        <v>0</v>
      </c>
      <c r="W171" s="2"/>
      <c r="X171" s="2">
        <f t="shared" si="27"/>
        <v>186122.53</v>
      </c>
      <c r="Y171" s="2"/>
      <c r="Z171" s="19">
        <f t="shared" si="28"/>
        <v>0</v>
      </c>
    </row>
    <row r="172" spans="1:26" s="24" customFormat="1" hidden="1" outlineLevel="1" x14ac:dyDescent="0.25">
      <c r="A172" s="44"/>
      <c r="B172" s="11" t="str">
        <f>CONCATENATE("          ", "5081", " - ", "PURCHASES @ COST-ELECTRONICS")</f>
        <v xml:space="preserve">          5081 - PURCHASES @ COST-ELECTRONICS</v>
      </c>
      <c r="C172" s="11"/>
      <c r="D172" s="2">
        <v>-173.28</v>
      </c>
      <c r="E172" s="2"/>
      <c r="F172" s="19">
        <f t="shared" si="21"/>
        <v>-2.9644704419560445E-4</v>
      </c>
      <c r="G172" s="2"/>
      <c r="H172" s="2"/>
      <c r="I172" s="2"/>
      <c r="J172" s="19">
        <f t="shared" si="22"/>
        <v>0</v>
      </c>
      <c r="K172" s="2"/>
      <c r="L172" s="2">
        <f t="shared" si="23"/>
        <v>-173.28</v>
      </c>
      <c r="M172" s="2"/>
      <c r="N172" s="19">
        <f t="shared" si="24"/>
        <v>0</v>
      </c>
      <c r="O172" s="11"/>
      <c r="P172" s="2">
        <v>260296.33</v>
      </c>
      <c r="Q172" s="2"/>
      <c r="R172" s="19">
        <f t="shared" si="25"/>
        <v>9.0907195746890348E-3</v>
      </c>
      <c r="S172" s="2"/>
      <c r="T172" s="2"/>
      <c r="U172" s="2"/>
      <c r="V172" s="19">
        <f t="shared" si="26"/>
        <v>0</v>
      </c>
      <c r="W172" s="2"/>
      <c r="X172" s="2">
        <f t="shared" si="27"/>
        <v>260296.33</v>
      </c>
      <c r="Y172" s="2"/>
      <c r="Z172" s="19">
        <f t="shared" si="28"/>
        <v>0</v>
      </c>
    </row>
    <row r="173" spans="1:26" s="24" customFormat="1" hidden="1" outlineLevel="1" x14ac:dyDescent="0.25">
      <c r="A173" s="44"/>
      <c r="B173" s="11" t="str">
        <f>CONCATENATE("          ", "5082", " - ", "PURCHASES @ COST-COMPUTER HARD")</f>
        <v xml:space="preserve">          5082 - PURCHASES @ COST-COMPUTER HARD</v>
      </c>
      <c r="C173" s="11"/>
      <c r="D173" s="2">
        <v>190200.93</v>
      </c>
      <c r="E173" s="2"/>
      <c r="F173" s="19">
        <f t="shared" si="21"/>
        <v>0.32539533415140276</v>
      </c>
      <c r="G173" s="2"/>
      <c r="H173" s="2"/>
      <c r="I173" s="2"/>
      <c r="J173" s="19">
        <f t="shared" si="22"/>
        <v>0</v>
      </c>
      <c r="K173" s="2"/>
      <c r="L173" s="2">
        <f t="shared" si="23"/>
        <v>190200.93</v>
      </c>
      <c r="M173" s="2"/>
      <c r="N173" s="19">
        <f t="shared" si="24"/>
        <v>0</v>
      </c>
      <c r="O173" s="11"/>
      <c r="P173" s="2">
        <v>1831850.8299999998</v>
      </c>
      <c r="Q173" s="2"/>
      <c r="R173" s="19">
        <f t="shared" si="25"/>
        <v>6.3976477110496921E-2</v>
      </c>
      <c r="S173" s="2"/>
      <c r="T173" s="2"/>
      <c r="U173" s="2"/>
      <c r="V173" s="19">
        <f t="shared" si="26"/>
        <v>0</v>
      </c>
      <c r="W173" s="2"/>
      <c r="X173" s="2">
        <f t="shared" si="27"/>
        <v>1831850.8299999998</v>
      </c>
      <c r="Y173" s="2"/>
      <c r="Z173" s="19">
        <f t="shared" si="28"/>
        <v>0</v>
      </c>
    </row>
    <row r="174" spans="1:26" s="24" customFormat="1" hidden="1" outlineLevel="1" x14ac:dyDescent="0.25">
      <c r="A174" s="44"/>
      <c r="B174" s="11" t="str">
        <f>CONCATENATE("          ", "5083", " - ", "PURCHASES @ COST-COMPUTER EQUI")</f>
        <v xml:space="preserve">          5083 - PURCHASES @ COST-COMPUTER EQUI</v>
      </c>
      <c r="C174" s="11"/>
      <c r="D174" s="2">
        <v>12873.49</v>
      </c>
      <c r="E174" s="2"/>
      <c r="F174" s="19">
        <f t="shared" si="21"/>
        <v>2.2023938475194321E-2</v>
      </c>
      <c r="G174" s="2"/>
      <c r="H174" s="2"/>
      <c r="I174" s="2"/>
      <c r="J174" s="19">
        <f t="shared" si="22"/>
        <v>0</v>
      </c>
      <c r="K174" s="2"/>
      <c r="L174" s="2">
        <f t="shared" si="23"/>
        <v>12873.49</v>
      </c>
      <c r="M174" s="2"/>
      <c r="N174" s="19">
        <f t="shared" si="24"/>
        <v>0</v>
      </c>
      <c r="O174" s="11"/>
      <c r="P174" s="2">
        <v>107819.31</v>
      </c>
      <c r="Q174" s="2"/>
      <c r="R174" s="19">
        <f t="shared" si="25"/>
        <v>3.7655356567895719E-3</v>
      </c>
      <c r="S174" s="2"/>
      <c r="T174" s="2"/>
      <c r="U174" s="2"/>
      <c r="V174" s="19">
        <f t="shared" si="26"/>
        <v>0</v>
      </c>
      <c r="W174" s="2"/>
      <c r="X174" s="2">
        <f t="shared" si="27"/>
        <v>107819.31</v>
      </c>
      <c r="Y174" s="2"/>
      <c r="Z174" s="19">
        <f t="shared" si="28"/>
        <v>0</v>
      </c>
    </row>
    <row r="175" spans="1:26" s="24" customFormat="1" hidden="1" outlineLevel="1" x14ac:dyDescent="0.25">
      <c r="A175" s="44"/>
      <c r="B175" s="11" t="str">
        <f>CONCATENATE("          ", "5084", " - ", "PURCHASES @ COST-SOFTWARE LICE")</f>
        <v xml:space="preserve">          5084 - PURCHASES @ COST-SOFTWARE LICE</v>
      </c>
      <c r="C175" s="11"/>
      <c r="D175" s="2"/>
      <c r="E175" s="2"/>
      <c r="F175" s="19">
        <f t="shared" si="21"/>
        <v>0</v>
      </c>
      <c r="G175" s="2"/>
      <c r="H175" s="2"/>
      <c r="I175" s="2"/>
      <c r="J175" s="19">
        <f t="shared" si="22"/>
        <v>0</v>
      </c>
      <c r="K175" s="2"/>
      <c r="L175" s="2">
        <f t="shared" si="23"/>
        <v>0</v>
      </c>
      <c r="M175" s="2"/>
      <c r="N175" s="19">
        <f t="shared" si="24"/>
        <v>0</v>
      </c>
      <c r="O175" s="11"/>
      <c r="P175" s="2">
        <v>2728</v>
      </c>
      <c r="Q175" s="2"/>
      <c r="R175" s="19">
        <f t="shared" si="25"/>
        <v>9.5274040167034571E-5</v>
      </c>
      <c r="S175" s="2"/>
      <c r="T175" s="2"/>
      <c r="U175" s="2"/>
      <c r="V175" s="19">
        <f t="shared" si="26"/>
        <v>0</v>
      </c>
      <c r="W175" s="2"/>
      <c r="X175" s="2">
        <f t="shared" si="27"/>
        <v>2728</v>
      </c>
      <c r="Y175" s="2"/>
      <c r="Z175" s="19">
        <f t="shared" si="28"/>
        <v>0</v>
      </c>
    </row>
    <row r="176" spans="1:26" s="24" customFormat="1" hidden="1" outlineLevel="1" x14ac:dyDescent="0.25">
      <c r="A176" s="44"/>
      <c r="B176" s="11" t="str">
        <f>CONCATENATE("          ", "5085", " - ", "PURCHASES @ COST-SOFTWARE")</f>
        <v xml:space="preserve">          5085 - PURCHASES @ COST-SOFTWARE</v>
      </c>
      <c r="C176" s="11"/>
      <c r="D176" s="2">
        <v>1996.51</v>
      </c>
      <c r="E176" s="2"/>
      <c r="F176" s="19">
        <f t="shared" si="21"/>
        <v>3.4156249319423262E-3</v>
      </c>
      <c r="G176" s="2"/>
      <c r="H176" s="2"/>
      <c r="I176" s="2"/>
      <c r="J176" s="19">
        <f t="shared" si="22"/>
        <v>0</v>
      </c>
      <c r="K176" s="2"/>
      <c r="L176" s="2">
        <f t="shared" si="23"/>
        <v>1996.51</v>
      </c>
      <c r="M176" s="2"/>
      <c r="N176" s="19">
        <f t="shared" si="24"/>
        <v>0</v>
      </c>
      <c r="O176" s="11"/>
      <c r="P176" s="2">
        <v>17324.649999999998</v>
      </c>
      <c r="Q176" s="2"/>
      <c r="R176" s="19">
        <f t="shared" si="25"/>
        <v>6.0505476538849536E-4</v>
      </c>
      <c r="S176" s="2"/>
      <c r="T176" s="2"/>
      <c r="U176" s="2"/>
      <c r="V176" s="19">
        <f t="shared" si="26"/>
        <v>0</v>
      </c>
      <c r="W176" s="2"/>
      <c r="X176" s="2">
        <f t="shared" si="27"/>
        <v>17324.649999999998</v>
      </c>
      <c r="Y176" s="2"/>
      <c r="Z176" s="19">
        <f t="shared" si="28"/>
        <v>0</v>
      </c>
    </row>
    <row r="177" spans="1:26" s="24" customFormat="1" hidden="1" outlineLevel="1" x14ac:dyDescent="0.25">
      <c r="A177" s="44"/>
      <c r="B177" s="11" t="str">
        <f>CONCATENATE("          ", "5086", " - ", "PURCHASES @ COST-COMPUTER SUPP")</f>
        <v xml:space="preserve">          5086 - PURCHASES @ COST-COMPUTER SUPP</v>
      </c>
      <c r="C177" s="11"/>
      <c r="D177" s="2">
        <v>127.27</v>
      </c>
      <c r="E177" s="2"/>
      <c r="F177" s="19">
        <f t="shared" si="21"/>
        <v>2.177332370427896E-4</v>
      </c>
      <c r="G177" s="2"/>
      <c r="H177" s="2"/>
      <c r="I177" s="2"/>
      <c r="J177" s="19">
        <f t="shared" si="22"/>
        <v>0</v>
      </c>
      <c r="K177" s="2"/>
      <c r="L177" s="2">
        <f t="shared" si="23"/>
        <v>127.27</v>
      </c>
      <c r="M177" s="2"/>
      <c r="N177" s="19">
        <f t="shared" si="24"/>
        <v>0</v>
      </c>
      <c r="O177" s="11"/>
      <c r="P177" s="2">
        <v>30436.540000000005</v>
      </c>
      <c r="Q177" s="2"/>
      <c r="R177" s="19">
        <f t="shared" si="25"/>
        <v>1.0629809877219776E-3</v>
      </c>
      <c r="S177" s="2"/>
      <c r="T177" s="2"/>
      <c r="U177" s="2"/>
      <c r="V177" s="19">
        <f t="shared" si="26"/>
        <v>0</v>
      </c>
      <c r="W177" s="2"/>
      <c r="X177" s="2">
        <f t="shared" si="27"/>
        <v>30436.540000000005</v>
      </c>
      <c r="Y177" s="2"/>
      <c r="Z177" s="19">
        <f t="shared" si="28"/>
        <v>0</v>
      </c>
    </row>
    <row r="178" spans="1:26" s="24" customFormat="1" hidden="1" outlineLevel="1" x14ac:dyDescent="0.25">
      <c r="A178" s="44"/>
      <c r="B178" s="11" t="str">
        <f>CONCATENATE("          ", "5088", " - ", "PURCHASES @ COST-MUSIC")</f>
        <v xml:space="preserve">          5088 - PURCHASES @ COST-MUSIC</v>
      </c>
      <c r="C178" s="11"/>
      <c r="D178" s="2"/>
      <c r="E178" s="2"/>
      <c r="F178" s="19">
        <f t="shared" si="21"/>
        <v>0</v>
      </c>
      <c r="G178" s="2"/>
      <c r="H178" s="2"/>
      <c r="I178" s="2"/>
      <c r="J178" s="19">
        <f t="shared" si="22"/>
        <v>0</v>
      </c>
      <c r="K178" s="2"/>
      <c r="L178" s="2">
        <f t="shared" si="23"/>
        <v>0</v>
      </c>
      <c r="M178" s="2"/>
      <c r="N178" s="19">
        <f t="shared" si="24"/>
        <v>0</v>
      </c>
      <c r="O178" s="11"/>
      <c r="P178" s="2">
        <v>95.65</v>
      </c>
      <c r="Q178" s="2"/>
      <c r="R178" s="19">
        <f t="shared" si="25"/>
        <v>3.3405285711058863E-6</v>
      </c>
      <c r="S178" s="2"/>
      <c r="T178" s="2"/>
      <c r="U178" s="2"/>
      <c r="V178" s="19">
        <f t="shared" si="26"/>
        <v>0</v>
      </c>
      <c r="W178" s="2"/>
      <c r="X178" s="2">
        <f t="shared" si="27"/>
        <v>95.65</v>
      </c>
      <c r="Y178" s="2"/>
      <c r="Z178" s="19">
        <f t="shared" si="28"/>
        <v>0</v>
      </c>
    </row>
    <row r="179" spans="1:26" s="24" customFormat="1" hidden="1" outlineLevel="1" x14ac:dyDescent="0.25">
      <c r="A179" s="44"/>
      <c r="B179" s="11" t="str">
        <f>CONCATENATE("          ", "5092", " - ", "PURCHASES @ COST-GRAD MERCH")</f>
        <v xml:space="preserve">          5092 - PURCHASES @ COST-GRAD MERCH</v>
      </c>
      <c r="C179" s="11"/>
      <c r="D179" s="2">
        <v>9354.1</v>
      </c>
      <c r="E179" s="2"/>
      <c r="F179" s="19">
        <f t="shared" si="21"/>
        <v>1.6002973777182041E-2</v>
      </c>
      <c r="G179" s="2"/>
      <c r="H179" s="2"/>
      <c r="I179" s="2"/>
      <c r="J179" s="19">
        <f t="shared" si="22"/>
        <v>0</v>
      </c>
      <c r="K179" s="2"/>
      <c r="L179" s="2">
        <f t="shared" si="23"/>
        <v>9354.1</v>
      </c>
      <c r="M179" s="2"/>
      <c r="N179" s="19">
        <f t="shared" si="24"/>
        <v>0</v>
      </c>
      <c r="O179" s="11"/>
      <c r="P179" s="2">
        <v>13839.98</v>
      </c>
      <c r="Q179" s="2"/>
      <c r="R179" s="19">
        <f t="shared" si="25"/>
        <v>4.8335440265064337E-4</v>
      </c>
      <c r="S179" s="2"/>
      <c r="T179" s="2"/>
      <c r="U179" s="2"/>
      <c r="V179" s="19">
        <f t="shared" si="26"/>
        <v>0</v>
      </c>
      <c r="W179" s="2"/>
      <c r="X179" s="2">
        <f t="shared" si="27"/>
        <v>13839.98</v>
      </c>
      <c r="Y179" s="2"/>
      <c r="Z179" s="19">
        <f t="shared" si="28"/>
        <v>0</v>
      </c>
    </row>
    <row r="180" spans="1:26" s="24" customFormat="1" hidden="1" outlineLevel="1" x14ac:dyDescent="0.25">
      <c r="A180" s="44"/>
      <c r="B180" s="11" t="str">
        <f>CONCATENATE("          ", "5095", " - ", "PURCHASES @ COST-CUSTOMER SERV")</f>
        <v xml:space="preserve">          5095 - PURCHASES @ COST-CUSTOMER SERV</v>
      </c>
      <c r="C180" s="11"/>
      <c r="D180" s="2">
        <v>0</v>
      </c>
      <c r="E180" s="2"/>
      <c r="F180" s="19">
        <f t="shared" si="21"/>
        <v>0</v>
      </c>
      <c r="G180" s="2"/>
      <c r="H180" s="2"/>
      <c r="I180" s="2"/>
      <c r="J180" s="19">
        <f t="shared" si="22"/>
        <v>0</v>
      </c>
      <c r="K180" s="2"/>
      <c r="L180" s="2">
        <f t="shared" si="23"/>
        <v>0</v>
      </c>
      <c r="M180" s="2"/>
      <c r="N180" s="19">
        <f t="shared" si="24"/>
        <v>0</v>
      </c>
      <c r="O180" s="11"/>
      <c r="P180" s="2">
        <v>0</v>
      </c>
      <c r="Q180" s="2"/>
      <c r="R180" s="19">
        <f t="shared" si="25"/>
        <v>0</v>
      </c>
      <c r="S180" s="2"/>
      <c r="T180" s="2"/>
      <c r="U180" s="2"/>
      <c r="V180" s="19">
        <f t="shared" si="26"/>
        <v>0</v>
      </c>
      <c r="W180" s="2"/>
      <c r="X180" s="2">
        <f t="shared" si="27"/>
        <v>0</v>
      </c>
      <c r="Y180" s="2"/>
      <c r="Z180" s="19">
        <f t="shared" si="28"/>
        <v>0</v>
      </c>
    </row>
    <row r="181" spans="1:26" s="24" customFormat="1" hidden="1" outlineLevel="1" x14ac:dyDescent="0.25">
      <c r="A181" s="44"/>
      <c r="B181" s="11" t="str">
        <f>CONCATENATE("          ", "5200", " - ", "PURCHASES OFFSET")</f>
        <v xml:space="preserve">          5200 - PURCHASES OFFSET</v>
      </c>
      <c r="C181" s="11"/>
      <c r="D181" s="2">
        <v>-508944</v>
      </c>
      <c r="E181" s="2"/>
      <c r="F181" s="19">
        <f t="shared" si="21"/>
        <v>-0.87070027966925045</v>
      </c>
      <c r="G181" s="2"/>
      <c r="H181" s="2"/>
      <c r="I181" s="2"/>
      <c r="J181" s="19">
        <f t="shared" si="22"/>
        <v>0</v>
      </c>
      <c r="K181" s="2"/>
      <c r="L181" s="2">
        <f t="shared" si="23"/>
        <v>-508944</v>
      </c>
      <c r="M181" s="2"/>
      <c r="N181" s="19">
        <f t="shared" si="24"/>
        <v>0</v>
      </c>
      <c r="O181" s="11"/>
      <c r="P181" s="2">
        <v>-6025314</v>
      </c>
      <c r="Q181" s="2"/>
      <c r="R181" s="19">
        <f t="shared" si="25"/>
        <v>-0.21043108799669932</v>
      </c>
      <c r="S181" s="2"/>
      <c r="T181" s="2"/>
      <c r="U181" s="2"/>
      <c r="V181" s="19">
        <f t="shared" si="26"/>
        <v>0</v>
      </c>
      <c r="W181" s="2"/>
      <c r="X181" s="2">
        <f t="shared" si="27"/>
        <v>-6025314</v>
      </c>
      <c r="Y181" s="2"/>
      <c r="Z181" s="19">
        <f t="shared" si="28"/>
        <v>0</v>
      </c>
    </row>
    <row r="182" spans="1:26" s="24" customFormat="1" hidden="1" outlineLevel="1" x14ac:dyDescent="0.25">
      <c r="A182" s="44"/>
      <c r="B182" s="11" t="str">
        <f>CONCATENATE("          ", "5300", " - ", "COG$ OFFSET")</f>
        <v xml:space="preserve">          5300 - COG$ OFFSET</v>
      </c>
      <c r="C182" s="11"/>
      <c r="D182" s="2">
        <v>626650.53</v>
      </c>
      <c r="E182" s="2"/>
      <c r="F182" s="19">
        <f t="shared" si="21"/>
        <v>1.0720723531977665</v>
      </c>
      <c r="G182" s="2"/>
      <c r="H182" s="2"/>
      <c r="I182" s="2"/>
      <c r="J182" s="19">
        <f t="shared" si="22"/>
        <v>0</v>
      </c>
      <c r="K182" s="2"/>
      <c r="L182" s="2">
        <f t="shared" si="23"/>
        <v>626650.53</v>
      </c>
      <c r="M182" s="2"/>
      <c r="N182" s="19">
        <f t="shared" si="24"/>
        <v>0</v>
      </c>
      <c r="O182" s="11"/>
      <c r="P182" s="2">
        <v>6784339</v>
      </c>
      <c r="Q182" s="2"/>
      <c r="R182" s="19">
        <f t="shared" si="25"/>
        <v>0.23693965776861406</v>
      </c>
      <c r="S182" s="2"/>
      <c r="T182" s="2"/>
      <c r="U182" s="2"/>
      <c r="V182" s="19">
        <f t="shared" si="26"/>
        <v>0</v>
      </c>
      <c r="W182" s="2"/>
      <c r="X182" s="2">
        <f t="shared" si="27"/>
        <v>6784339</v>
      </c>
      <c r="Y182" s="2"/>
      <c r="Z182" s="19">
        <f t="shared" si="28"/>
        <v>0</v>
      </c>
    </row>
    <row r="183" spans="1:26" s="24" customFormat="1" hidden="1" outlineLevel="1" x14ac:dyDescent="0.25">
      <c r="A183" s="44"/>
      <c r="B183" s="11" t="str">
        <f>CONCATENATE("          ", "5500", " - ", "FREIGHT-IN")</f>
        <v xml:space="preserve">          5500 - FREIGHT-IN</v>
      </c>
      <c r="C183" s="11"/>
      <c r="D183" s="2">
        <v>83.13</v>
      </c>
      <c r="E183" s="2"/>
      <c r="F183" s="19">
        <f t="shared" si="21"/>
        <v>1.4221862179120845E-4</v>
      </c>
      <c r="G183" s="2"/>
      <c r="H183" s="2"/>
      <c r="I183" s="2"/>
      <c r="J183" s="19">
        <f t="shared" si="22"/>
        <v>0</v>
      </c>
      <c r="K183" s="2"/>
      <c r="L183" s="2">
        <f t="shared" si="23"/>
        <v>83.13</v>
      </c>
      <c r="M183" s="2"/>
      <c r="N183" s="19">
        <f t="shared" si="24"/>
        <v>0</v>
      </c>
      <c r="O183" s="11"/>
      <c r="P183" s="2">
        <v>239.61</v>
      </c>
      <c r="Q183" s="2"/>
      <c r="R183" s="19">
        <f t="shared" si="25"/>
        <v>8.3682598110055565E-6</v>
      </c>
      <c r="S183" s="2"/>
      <c r="T183" s="2"/>
      <c r="U183" s="2"/>
      <c r="V183" s="19">
        <f t="shared" si="26"/>
        <v>0</v>
      </c>
      <c r="W183" s="2"/>
      <c r="X183" s="2">
        <f t="shared" si="27"/>
        <v>239.61</v>
      </c>
      <c r="Y183" s="2"/>
      <c r="Z183" s="19">
        <f t="shared" si="28"/>
        <v>0</v>
      </c>
    </row>
    <row r="184" spans="1:26" s="24" customFormat="1" hidden="1" outlineLevel="1" x14ac:dyDescent="0.25">
      <c r="A184" s="44"/>
      <c r="B184" s="11" t="str">
        <f>CONCATENATE("          ", "5501", " - ", "FREIGHT-IN-NEW TEXT")</f>
        <v xml:space="preserve">          5501 - FREIGHT-IN-NEW TEXT</v>
      </c>
      <c r="C184" s="11"/>
      <c r="D184" s="2">
        <v>2483.06</v>
      </c>
      <c r="E184" s="2"/>
      <c r="F184" s="19">
        <f t="shared" si="21"/>
        <v>4.2480136054959469E-3</v>
      </c>
      <c r="G184" s="2"/>
      <c r="H184" s="2"/>
      <c r="I184" s="2"/>
      <c r="J184" s="19">
        <f t="shared" si="22"/>
        <v>0</v>
      </c>
      <c r="K184" s="2"/>
      <c r="L184" s="2">
        <f t="shared" si="23"/>
        <v>2483.06</v>
      </c>
      <c r="M184" s="2"/>
      <c r="N184" s="19">
        <f t="shared" si="24"/>
        <v>0</v>
      </c>
      <c r="O184" s="11"/>
      <c r="P184" s="2">
        <v>72230.790000000008</v>
      </c>
      <c r="Q184" s="2"/>
      <c r="R184" s="19">
        <f t="shared" si="25"/>
        <v>2.5226243356879178E-3</v>
      </c>
      <c r="S184" s="2"/>
      <c r="T184" s="2"/>
      <c r="U184" s="2"/>
      <c r="V184" s="19">
        <f t="shared" si="26"/>
        <v>0</v>
      </c>
      <c r="W184" s="2"/>
      <c r="X184" s="2">
        <f t="shared" si="27"/>
        <v>72230.790000000008</v>
      </c>
      <c r="Y184" s="2"/>
      <c r="Z184" s="19">
        <f t="shared" si="28"/>
        <v>0</v>
      </c>
    </row>
    <row r="185" spans="1:26" s="24" customFormat="1" hidden="1" outlineLevel="1" x14ac:dyDescent="0.25">
      <c r="A185" s="44"/>
      <c r="B185" s="11" t="str">
        <f>CONCATENATE("          ", "5502", " - ", "FREIGHT-IN-USED TEXT")</f>
        <v xml:space="preserve">          5502 - FREIGHT-IN-USED TEXT</v>
      </c>
      <c r="C185" s="11"/>
      <c r="D185" s="2">
        <v>519.36</v>
      </c>
      <c r="E185" s="2"/>
      <c r="F185" s="19">
        <f t="shared" si="21"/>
        <v>8.8851994963890315E-4</v>
      </c>
      <c r="G185" s="2"/>
      <c r="H185" s="2"/>
      <c r="I185" s="2"/>
      <c r="J185" s="19">
        <f t="shared" si="22"/>
        <v>0</v>
      </c>
      <c r="K185" s="2"/>
      <c r="L185" s="2">
        <f t="shared" si="23"/>
        <v>519.36</v>
      </c>
      <c r="M185" s="2"/>
      <c r="N185" s="19">
        <f t="shared" si="24"/>
        <v>0</v>
      </c>
      <c r="O185" s="11"/>
      <c r="P185" s="2">
        <v>16200.12</v>
      </c>
      <c r="Q185" s="2"/>
      <c r="R185" s="19">
        <f t="shared" si="25"/>
        <v>5.6578111568576989E-4</v>
      </c>
      <c r="S185" s="2"/>
      <c r="T185" s="2"/>
      <c r="U185" s="2"/>
      <c r="V185" s="19">
        <f t="shared" si="26"/>
        <v>0</v>
      </c>
      <c r="W185" s="2"/>
      <c r="X185" s="2">
        <f t="shared" si="27"/>
        <v>16200.12</v>
      </c>
      <c r="Y185" s="2"/>
      <c r="Z185" s="19">
        <f t="shared" si="28"/>
        <v>0</v>
      </c>
    </row>
    <row r="186" spans="1:26" s="24" customFormat="1" hidden="1" outlineLevel="1" x14ac:dyDescent="0.25">
      <c r="A186" s="44"/>
      <c r="B186" s="11" t="str">
        <f>CONCATENATE("          ", "5504", " - ", "FREIGHT-IN-DIGITAL TEXT")</f>
        <v xml:space="preserve">          5504 - FREIGHT-IN-DIGITAL TEXT</v>
      </c>
      <c r="C186" s="11"/>
      <c r="D186" s="2"/>
      <c r="E186" s="2"/>
      <c r="F186" s="19">
        <f t="shared" si="21"/>
        <v>0</v>
      </c>
      <c r="G186" s="2"/>
      <c r="H186" s="2"/>
      <c r="I186" s="2"/>
      <c r="J186" s="19">
        <f t="shared" si="22"/>
        <v>0</v>
      </c>
      <c r="K186" s="2"/>
      <c r="L186" s="2">
        <f t="shared" si="23"/>
        <v>0</v>
      </c>
      <c r="M186" s="2"/>
      <c r="N186" s="19">
        <f t="shared" si="24"/>
        <v>0</v>
      </c>
      <c r="O186" s="11"/>
      <c r="P186" s="2">
        <v>118.75</v>
      </c>
      <c r="Q186" s="2"/>
      <c r="R186" s="19">
        <f t="shared" si="25"/>
        <v>4.1472845563912593E-6</v>
      </c>
      <c r="S186" s="2"/>
      <c r="T186" s="2"/>
      <c r="U186" s="2"/>
      <c r="V186" s="19">
        <f t="shared" si="26"/>
        <v>0</v>
      </c>
      <c r="W186" s="2"/>
      <c r="X186" s="2">
        <f t="shared" si="27"/>
        <v>118.75</v>
      </c>
      <c r="Y186" s="2"/>
      <c r="Z186" s="19">
        <f t="shared" si="28"/>
        <v>0</v>
      </c>
    </row>
    <row r="187" spans="1:26" s="24" customFormat="1" hidden="1" outlineLevel="1" x14ac:dyDescent="0.25">
      <c r="A187" s="44"/>
      <c r="B187" s="11" t="str">
        <f>CONCATENATE("          ", "5513", " - ", "FREIGHT-IN-TRADE BOOKS")</f>
        <v xml:space="preserve">          5513 - FREIGHT-IN-TRADE BOOKS</v>
      </c>
      <c r="C187" s="11"/>
      <c r="D187" s="2"/>
      <c r="E187" s="2"/>
      <c r="F187" s="19">
        <f t="shared" si="21"/>
        <v>0</v>
      </c>
      <c r="G187" s="2"/>
      <c r="H187" s="2"/>
      <c r="I187" s="2"/>
      <c r="J187" s="19">
        <f t="shared" si="22"/>
        <v>0</v>
      </c>
      <c r="K187" s="2"/>
      <c r="L187" s="2">
        <f t="shared" si="23"/>
        <v>0</v>
      </c>
      <c r="M187" s="2"/>
      <c r="N187" s="19">
        <f t="shared" si="24"/>
        <v>0</v>
      </c>
      <c r="O187" s="11"/>
      <c r="P187" s="2">
        <v>30.24</v>
      </c>
      <c r="Q187" s="2"/>
      <c r="R187" s="19">
        <f t="shared" si="25"/>
        <v>1.0561169261917616E-6</v>
      </c>
      <c r="S187" s="2"/>
      <c r="T187" s="2"/>
      <c r="U187" s="2"/>
      <c r="V187" s="19">
        <f t="shared" si="26"/>
        <v>0</v>
      </c>
      <c r="W187" s="2"/>
      <c r="X187" s="2">
        <f t="shared" si="27"/>
        <v>30.24</v>
      </c>
      <c r="Y187" s="2"/>
      <c r="Z187" s="19">
        <f t="shared" si="28"/>
        <v>0</v>
      </c>
    </row>
    <row r="188" spans="1:26" s="24" customFormat="1" hidden="1" outlineLevel="1" x14ac:dyDescent="0.25">
      <c r="A188" s="44"/>
      <c r="B188" s="11" t="str">
        <f>CONCATENATE("          ", "5518", " - ", "FREIGHT-IN-STUDY GUIDES")</f>
        <v xml:space="preserve">          5518 - FREIGHT-IN-STUDY GUIDES</v>
      </c>
      <c r="C188" s="11"/>
      <c r="D188" s="2"/>
      <c r="E188" s="2"/>
      <c r="F188" s="19">
        <f t="shared" si="21"/>
        <v>0</v>
      </c>
      <c r="G188" s="2"/>
      <c r="H188" s="2"/>
      <c r="I188" s="2"/>
      <c r="J188" s="19">
        <f t="shared" si="22"/>
        <v>0</v>
      </c>
      <c r="K188" s="2"/>
      <c r="L188" s="2">
        <f t="shared" si="23"/>
        <v>0</v>
      </c>
      <c r="M188" s="2"/>
      <c r="N188" s="19">
        <f t="shared" si="24"/>
        <v>0</v>
      </c>
      <c r="O188" s="11"/>
      <c r="P188" s="2">
        <v>21.13</v>
      </c>
      <c r="Q188" s="2"/>
      <c r="R188" s="19">
        <f t="shared" si="25"/>
        <v>7.3795471727618782E-7</v>
      </c>
      <c r="S188" s="2"/>
      <c r="T188" s="2"/>
      <c r="U188" s="2"/>
      <c r="V188" s="19">
        <f t="shared" si="26"/>
        <v>0</v>
      </c>
      <c r="W188" s="2"/>
      <c r="X188" s="2">
        <f t="shared" si="27"/>
        <v>21.13</v>
      </c>
      <c r="Y188" s="2"/>
      <c r="Z188" s="19">
        <f t="shared" si="28"/>
        <v>0</v>
      </c>
    </row>
    <row r="189" spans="1:26" s="24" customFormat="1" hidden="1" outlineLevel="1" x14ac:dyDescent="0.25">
      <c r="A189" s="44"/>
      <c r="B189" s="11" t="str">
        <f>CONCATENATE("          ", "5525", " - ", "FREIGHT-IN-TEST FORMS")</f>
        <v xml:space="preserve">          5525 - FREIGHT-IN-TEST FORMS</v>
      </c>
      <c r="C189" s="11"/>
      <c r="D189" s="2"/>
      <c r="E189" s="2"/>
      <c r="F189" s="19">
        <f t="shared" si="21"/>
        <v>0</v>
      </c>
      <c r="G189" s="2"/>
      <c r="H189" s="2"/>
      <c r="I189" s="2"/>
      <c r="J189" s="19">
        <f t="shared" si="22"/>
        <v>0</v>
      </c>
      <c r="K189" s="2"/>
      <c r="L189" s="2">
        <f t="shared" si="23"/>
        <v>0</v>
      </c>
      <c r="M189" s="2"/>
      <c r="N189" s="19">
        <f t="shared" si="24"/>
        <v>0</v>
      </c>
      <c r="O189" s="11"/>
      <c r="P189" s="2">
        <v>1614.32</v>
      </c>
      <c r="Q189" s="2"/>
      <c r="R189" s="19">
        <f t="shared" si="25"/>
        <v>5.6379321305882423E-5</v>
      </c>
      <c r="S189" s="2"/>
      <c r="T189" s="2"/>
      <c r="U189" s="2"/>
      <c r="V189" s="19">
        <f t="shared" si="26"/>
        <v>0</v>
      </c>
      <c r="W189" s="2"/>
      <c r="X189" s="2">
        <f t="shared" si="27"/>
        <v>1614.32</v>
      </c>
      <c r="Y189" s="2"/>
      <c r="Z189" s="19">
        <f t="shared" si="28"/>
        <v>0</v>
      </c>
    </row>
    <row r="190" spans="1:26" s="24" customFormat="1" hidden="1" outlineLevel="1" x14ac:dyDescent="0.25">
      <c r="A190" s="44"/>
      <c r="B190" s="11" t="str">
        <f>CONCATENATE("          ", "5526", " - ", "FREIGHT-IN-WRITING INSTRUMENTS")</f>
        <v xml:space="preserve">          5526 - FREIGHT-IN-WRITING INSTRUMENTS</v>
      </c>
      <c r="C190" s="11"/>
      <c r="D190" s="2"/>
      <c r="E190" s="2"/>
      <c r="F190" s="19">
        <f t="shared" si="21"/>
        <v>0</v>
      </c>
      <c r="G190" s="2"/>
      <c r="H190" s="2"/>
      <c r="I190" s="2"/>
      <c r="J190" s="19">
        <f t="shared" si="22"/>
        <v>0</v>
      </c>
      <c r="K190" s="2"/>
      <c r="L190" s="2">
        <f t="shared" si="23"/>
        <v>0</v>
      </c>
      <c r="M190" s="2"/>
      <c r="N190" s="19">
        <f t="shared" si="24"/>
        <v>0</v>
      </c>
      <c r="O190" s="11"/>
      <c r="P190" s="2">
        <v>274.5</v>
      </c>
      <c r="Q190" s="2"/>
      <c r="R190" s="19">
        <f t="shared" si="25"/>
        <v>9.5867756693002164E-6</v>
      </c>
      <c r="S190" s="2"/>
      <c r="T190" s="2"/>
      <c r="U190" s="2"/>
      <c r="V190" s="19">
        <f t="shared" si="26"/>
        <v>0</v>
      </c>
      <c r="W190" s="2"/>
      <c r="X190" s="2">
        <f t="shared" si="27"/>
        <v>274.5</v>
      </c>
      <c r="Y190" s="2"/>
      <c r="Z190" s="19">
        <f t="shared" si="28"/>
        <v>0</v>
      </c>
    </row>
    <row r="191" spans="1:26" s="24" customFormat="1" hidden="1" outlineLevel="1" x14ac:dyDescent="0.25">
      <c r="A191" s="44"/>
      <c r="B191" s="11" t="str">
        <f>CONCATENATE("          ", "5527", " - ", "FREIGHT-IN-SCHOOL SUPPLIES")</f>
        <v xml:space="preserve">          5527 - FREIGHT-IN-SCHOOL SUPPLIES</v>
      </c>
      <c r="C191" s="11"/>
      <c r="D191" s="2"/>
      <c r="E191" s="2"/>
      <c r="F191" s="19">
        <f t="shared" si="21"/>
        <v>0</v>
      </c>
      <c r="G191" s="2"/>
      <c r="H191" s="2"/>
      <c r="I191" s="2"/>
      <c r="J191" s="19">
        <f t="shared" si="22"/>
        <v>0</v>
      </c>
      <c r="K191" s="2"/>
      <c r="L191" s="2">
        <f t="shared" si="23"/>
        <v>0</v>
      </c>
      <c r="M191" s="2"/>
      <c r="N191" s="19">
        <f t="shared" si="24"/>
        <v>0</v>
      </c>
      <c r="O191" s="11"/>
      <c r="P191" s="2">
        <v>1808</v>
      </c>
      <c r="Q191" s="2"/>
      <c r="R191" s="19">
        <f t="shared" si="25"/>
        <v>6.3143498761729659E-5</v>
      </c>
      <c r="S191" s="2"/>
      <c r="T191" s="2"/>
      <c r="U191" s="2"/>
      <c r="V191" s="19">
        <f t="shared" si="26"/>
        <v>0</v>
      </c>
      <c r="W191" s="2"/>
      <c r="X191" s="2">
        <f t="shared" si="27"/>
        <v>1808</v>
      </c>
      <c r="Y191" s="2"/>
      <c r="Z191" s="19">
        <f t="shared" si="28"/>
        <v>0</v>
      </c>
    </row>
    <row r="192" spans="1:26" s="24" customFormat="1" hidden="1" outlineLevel="1" x14ac:dyDescent="0.25">
      <c r="A192" s="44"/>
      <c r="B192" s="11" t="str">
        <f>CONCATENATE("          ", "5528", " - ", "FREIGHT-IN-ART/TECH")</f>
        <v xml:space="preserve">          5528 - FREIGHT-IN-ART/TECH</v>
      </c>
      <c r="C192" s="11"/>
      <c r="D192" s="2">
        <v>13.33</v>
      </c>
      <c r="E192" s="2"/>
      <c r="F192" s="19">
        <f t="shared" si="21"/>
        <v>2.2804934782591225E-5</v>
      </c>
      <c r="G192" s="2"/>
      <c r="H192" s="2"/>
      <c r="I192" s="2"/>
      <c r="J192" s="19">
        <f t="shared" si="22"/>
        <v>0</v>
      </c>
      <c r="K192" s="2"/>
      <c r="L192" s="2">
        <f t="shared" si="23"/>
        <v>13.33</v>
      </c>
      <c r="M192" s="2"/>
      <c r="N192" s="19">
        <f t="shared" si="24"/>
        <v>0</v>
      </c>
      <c r="O192" s="11"/>
      <c r="P192" s="2">
        <v>2837.7</v>
      </c>
      <c r="Q192" s="2"/>
      <c r="R192" s="19">
        <f t="shared" si="25"/>
        <v>9.910525798460191E-5</v>
      </c>
      <c r="S192" s="2"/>
      <c r="T192" s="2"/>
      <c r="U192" s="2"/>
      <c r="V192" s="19">
        <f t="shared" si="26"/>
        <v>0</v>
      </c>
      <c r="W192" s="2"/>
      <c r="X192" s="2">
        <f t="shared" si="27"/>
        <v>2837.7</v>
      </c>
      <c r="Y192" s="2"/>
      <c r="Z192" s="19">
        <f t="shared" si="28"/>
        <v>0</v>
      </c>
    </row>
    <row r="193" spans="1:26" s="24" customFormat="1" hidden="1" outlineLevel="1" x14ac:dyDescent="0.25">
      <c r="A193" s="44"/>
      <c r="B193" s="11" t="str">
        <f>CONCATENATE("          ", "5540", " - ", "FREIGHT-IN-LOGO CLOTHING")</f>
        <v xml:space="preserve">          5540 - FREIGHT-IN-LOGO CLOTHING</v>
      </c>
      <c r="C193" s="11"/>
      <c r="D193" s="2">
        <v>29.98</v>
      </c>
      <c r="E193" s="2"/>
      <c r="F193" s="19">
        <f t="shared" si="21"/>
        <v>5.1289718288228426E-5</v>
      </c>
      <c r="G193" s="2"/>
      <c r="H193" s="2"/>
      <c r="I193" s="2"/>
      <c r="J193" s="19">
        <f t="shared" si="22"/>
        <v>0</v>
      </c>
      <c r="K193" s="2"/>
      <c r="L193" s="2">
        <f t="shared" si="23"/>
        <v>29.98</v>
      </c>
      <c r="M193" s="2"/>
      <c r="N193" s="19">
        <f t="shared" si="24"/>
        <v>0</v>
      </c>
      <c r="O193" s="11"/>
      <c r="P193" s="2">
        <v>32548.979999999996</v>
      </c>
      <c r="Q193" s="2"/>
      <c r="R193" s="19">
        <f t="shared" si="25"/>
        <v>1.1367569017287408E-3</v>
      </c>
      <c r="S193" s="2"/>
      <c r="T193" s="2"/>
      <c r="U193" s="2"/>
      <c r="V193" s="19">
        <f t="shared" si="26"/>
        <v>0</v>
      </c>
      <c r="W193" s="2"/>
      <c r="X193" s="2">
        <f t="shared" si="27"/>
        <v>32548.979999999996</v>
      </c>
      <c r="Y193" s="2"/>
      <c r="Z193" s="19">
        <f t="shared" si="28"/>
        <v>0</v>
      </c>
    </row>
    <row r="194" spans="1:26" s="24" customFormat="1" hidden="1" outlineLevel="1" x14ac:dyDescent="0.25">
      <c r="A194" s="44"/>
      <c r="B194" s="11" t="str">
        <f>CONCATENATE("          ", "5541", " - ", "FREIGHT-IN-LOGO GIFTS")</f>
        <v xml:space="preserve">          5541 - FREIGHT-IN-LOGO GIFTS</v>
      </c>
      <c r="C194" s="11"/>
      <c r="D194" s="2">
        <v>348.31</v>
      </c>
      <c r="E194" s="2"/>
      <c r="F194" s="19">
        <f t="shared" si="21"/>
        <v>5.9588798455546506E-4</v>
      </c>
      <c r="G194" s="2"/>
      <c r="H194" s="2"/>
      <c r="I194" s="2"/>
      <c r="J194" s="19">
        <f t="shared" si="22"/>
        <v>0</v>
      </c>
      <c r="K194" s="2"/>
      <c r="L194" s="2">
        <f t="shared" si="23"/>
        <v>348.31</v>
      </c>
      <c r="M194" s="2"/>
      <c r="N194" s="19">
        <f t="shared" si="24"/>
        <v>0</v>
      </c>
      <c r="O194" s="11"/>
      <c r="P194" s="2">
        <v>5574.41</v>
      </c>
      <c r="Q194" s="2"/>
      <c r="R194" s="19">
        <f t="shared" si="25"/>
        <v>1.9468349055994105E-4</v>
      </c>
      <c r="S194" s="2"/>
      <c r="T194" s="2"/>
      <c r="U194" s="2"/>
      <c r="V194" s="19">
        <f t="shared" si="26"/>
        <v>0</v>
      </c>
      <c r="W194" s="2"/>
      <c r="X194" s="2">
        <f t="shared" si="27"/>
        <v>5574.41</v>
      </c>
      <c r="Y194" s="2"/>
      <c r="Z194" s="19">
        <f t="shared" si="28"/>
        <v>0</v>
      </c>
    </row>
    <row r="195" spans="1:26" s="24" customFormat="1" hidden="1" outlineLevel="1" x14ac:dyDescent="0.25">
      <c r="A195" s="44"/>
      <c r="B195" s="11" t="str">
        <f>CONCATENATE("          ", "5542", " - ", "FREIGHT-IN-EVERYDAY GIFTS")</f>
        <v xml:space="preserve">          5542 - FREIGHT-IN-EVERYDAY GIFTS</v>
      </c>
      <c r="C195" s="11"/>
      <c r="D195" s="2"/>
      <c r="E195" s="2"/>
      <c r="F195" s="19">
        <f t="shared" si="21"/>
        <v>0</v>
      </c>
      <c r="G195" s="2"/>
      <c r="H195" s="2"/>
      <c r="I195" s="2"/>
      <c r="J195" s="19">
        <f t="shared" si="22"/>
        <v>0</v>
      </c>
      <c r="K195" s="2"/>
      <c r="L195" s="2">
        <f t="shared" si="23"/>
        <v>0</v>
      </c>
      <c r="M195" s="2"/>
      <c r="N195" s="19">
        <f t="shared" si="24"/>
        <v>0</v>
      </c>
      <c r="O195" s="11"/>
      <c r="P195" s="2">
        <v>2223.5100000000002</v>
      </c>
      <c r="Q195" s="2"/>
      <c r="R195" s="19">
        <f t="shared" si="25"/>
        <v>7.7654978391423419E-5</v>
      </c>
      <c r="S195" s="2"/>
      <c r="T195" s="2"/>
      <c r="U195" s="2"/>
      <c r="V195" s="19">
        <f t="shared" si="26"/>
        <v>0</v>
      </c>
      <c r="W195" s="2"/>
      <c r="X195" s="2">
        <f t="shared" si="27"/>
        <v>2223.5100000000002</v>
      </c>
      <c r="Y195" s="2"/>
      <c r="Z195" s="19">
        <f t="shared" si="28"/>
        <v>0</v>
      </c>
    </row>
    <row r="196" spans="1:26" s="24" customFormat="1" hidden="1" outlineLevel="1" x14ac:dyDescent="0.25">
      <c r="A196" s="44"/>
      <c r="B196" s="11" t="str">
        <f>CONCATENATE("          ", "5543", " - ", "FREIGHT-IN-CARDS")</f>
        <v xml:space="preserve">          5543 - FREIGHT-IN-CARDS</v>
      </c>
      <c r="C196" s="11"/>
      <c r="D196" s="2"/>
      <c r="E196" s="2"/>
      <c r="F196" s="19">
        <f t="shared" si="21"/>
        <v>0</v>
      </c>
      <c r="G196" s="2"/>
      <c r="H196" s="2"/>
      <c r="I196" s="2"/>
      <c r="J196" s="19">
        <f t="shared" si="22"/>
        <v>0</v>
      </c>
      <c r="K196" s="2"/>
      <c r="L196" s="2">
        <f t="shared" si="23"/>
        <v>0</v>
      </c>
      <c r="M196" s="2"/>
      <c r="N196" s="19">
        <f t="shared" si="24"/>
        <v>0</v>
      </c>
      <c r="O196" s="11"/>
      <c r="P196" s="2">
        <v>2926.76</v>
      </c>
      <c r="Q196" s="2"/>
      <c r="R196" s="19">
        <f t="shared" si="25"/>
        <v>1.0221563409064155E-4</v>
      </c>
      <c r="S196" s="2"/>
      <c r="T196" s="2"/>
      <c r="U196" s="2"/>
      <c r="V196" s="19">
        <f t="shared" si="26"/>
        <v>0</v>
      </c>
      <c r="W196" s="2"/>
      <c r="X196" s="2">
        <f t="shared" si="27"/>
        <v>2926.76</v>
      </c>
      <c r="Y196" s="2"/>
      <c r="Z196" s="19">
        <f t="shared" si="28"/>
        <v>0</v>
      </c>
    </row>
    <row r="197" spans="1:26" s="24" customFormat="1" hidden="1" outlineLevel="1" x14ac:dyDescent="0.25">
      <c r="A197" s="44"/>
      <c r="B197" s="11" t="str">
        <f>CONCATENATE("          ", "5544", " - ", "FREIGHT-IN-ACCESSORIES")</f>
        <v xml:space="preserve">          5544 - FREIGHT-IN-ACCESSORIES</v>
      </c>
      <c r="C197" s="11"/>
      <c r="D197" s="2"/>
      <c r="E197" s="2"/>
      <c r="F197" s="19">
        <f t="shared" si="21"/>
        <v>0</v>
      </c>
      <c r="G197" s="2"/>
      <c r="H197" s="2"/>
      <c r="I197" s="2"/>
      <c r="J197" s="19">
        <f t="shared" si="22"/>
        <v>0</v>
      </c>
      <c r="K197" s="2"/>
      <c r="L197" s="2">
        <f t="shared" si="23"/>
        <v>0</v>
      </c>
      <c r="M197" s="2"/>
      <c r="N197" s="19">
        <f t="shared" si="24"/>
        <v>0</v>
      </c>
      <c r="O197" s="11"/>
      <c r="P197" s="2">
        <v>483.44</v>
      </c>
      <c r="Q197" s="2"/>
      <c r="R197" s="19">
        <f t="shared" si="25"/>
        <v>1.6883901018457182E-5</v>
      </c>
      <c r="S197" s="2"/>
      <c r="T197" s="2"/>
      <c r="U197" s="2"/>
      <c r="V197" s="19">
        <f t="shared" si="26"/>
        <v>0</v>
      </c>
      <c r="W197" s="2"/>
      <c r="X197" s="2">
        <f t="shared" si="27"/>
        <v>483.44</v>
      </c>
      <c r="Y197" s="2"/>
      <c r="Z197" s="19">
        <f t="shared" si="28"/>
        <v>0</v>
      </c>
    </row>
    <row r="198" spans="1:26" s="24" customFormat="1" hidden="1" outlineLevel="1" x14ac:dyDescent="0.25">
      <c r="A198" s="44"/>
      <c r="B198" s="11" t="str">
        <f>CONCATENATE("          ", "5545", " - ", "FREIGHT-IN-SPECIAL ORDERS")</f>
        <v xml:space="preserve">          5545 - FREIGHT-IN-SPECIAL ORDERS</v>
      </c>
      <c r="C198" s="11"/>
      <c r="D198" s="2">
        <v>355.3</v>
      </c>
      <c r="E198" s="2"/>
      <c r="F198" s="19">
        <f t="shared" si="21"/>
        <v>6.078464612344083E-4</v>
      </c>
      <c r="G198" s="2"/>
      <c r="H198" s="2"/>
      <c r="I198" s="2"/>
      <c r="J198" s="19">
        <f t="shared" si="22"/>
        <v>0</v>
      </c>
      <c r="K198" s="2"/>
      <c r="L198" s="2">
        <f t="shared" si="23"/>
        <v>355.3</v>
      </c>
      <c r="M198" s="2"/>
      <c r="N198" s="19">
        <f t="shared" si="24"/>
        <v>0</v>
      </c>
      <c r="O198" s="11"/>
      <c r="P198" s="2">
        <v>1420.62</v>
      </c>
      <c r="Q198" s="2"/>
      <c r="R198" s="19">
        <f t="shared" si="25"/>
        <v>4.9614445360004636E-5</v>
      </c>
      <c r="S198" s="2"/>
      <c r="T198" s="2"/>
      <c r="U198" s="2"/>
      <c r="V198" s="19">
        <f t="shared" si="26"/>
        <v>0</v>
      </c>
      <c r="W198" s="2"/>
      <c r="X198" s="2">
        <f t="shared" si="27"/>
        <v>1420.62</v>
      </c>
      <c r="Y198" s="2"/>
      <c r="Z198" s="19">
        <f t="shared" si="28"/>
        <v>0</v>
      </c>
    </row>
    <row r="199" spans="1:26" s="24" customFormat="1" hidden="1" outlineLevel="1" x14ac:dyDescent="0.25">
      <c r="A199" s="44"/>
      <c r="B199" s="11" t="str">
        <f>CONCATENATE("          ", "5581", " - ", "FREIGHT-IN-ELECTRONICS")</f>
        <v xml:space="preserve">          5581 - FREIGHT-IN-ELECTRONICS</v>
      </c>
      <c r="C199" s="11"/>
      <c r="D199" s="2"/>
      <c r="E199" s="2"/>
      <c r="F199" s="19">
        <f t="shared" si="21"/>
        <v>0</v>
      </c>
      <c r="G199" s="2"/>
      <c r="H199" s="2"/>
      <c r="I199" s="2"/>
      <c r="J199" s="19">
        <f t="shared" si="22"/>
        <v>0</v>
      </c>
      <c r="K199" s="2"/>
      <c r="L199" s="2">
        <f t="shared" si="23"/>
        <v>0</v>
      </c>
      <c r="M199" s="2"/>
      <c r="N199" s="19">
        <f t="shared" si="24"/>
        <v>0</v>
      </c>
      <c r="O199" s="11"/>
      <c r="P199" s="2">
        <v>137</v>
      </c>
      <c r="Q199" s="2"/>
      <c r="R199" s="19">
        <f t="shared" si="25"/>
        <v>4.7846567092682321E-6</v>
      </c>
      <c r="S199" s="2"/>
      <c r="T199" s="2"/>
      <c r="U199" s="2"/>
      <c r="V199" s="19">
        <f t="shared" si="26"/>
        <v>0</v>
      </c>
      <c r="W199" s="2"/>
      <c r="X199" s="2">
        <f t="shared" si="27"/>
        <v>137</v>
      </c>
      <c r="Y199" s="2"/>
      <c r="Z199" s="19">
        <f t="shared" si="28"/>
        <v>0</v>
      </c>
    </row>
    <row r="200" spans="1:26" s="24" customFormat="1" hidden="1" outlineLevel="1" x14ac:dyDescent="0.25">
      <c r="A200" s="44"/>
      <c r="B200" s="11" t="str">
        <f>CONCATENATE("          ", "5582", " - ", "FREIGHT-IN-COMPUTER HARDWARE")</f>
        <v xml:space="preserve">          5582 - FREIGHT-IN-COMPUTER HARDWARE</v>
      </c>
      <c r="C200" s="11"/>
      <c r="D200" s="2"/>
      <c r="E200" s="2"/>
      <c r="F200" s="19">
        <f t="shared" si="21"/>
        <v>0</v>
      </c>
      <c r="G200" s="2"/>
      <c r="H200" s="2"/>
      <c r="I200" s="2"/>
      <c r="J200" s="19">
        <f t="shared" si="22"/>
        <v>0</v>
      </c>
      <c r="K200" s="2"/>
      <c r="L200" s="2">
        <f t="shared" si="23"/>
        <v>0</v>
      </c>
      <c r="M200" s="2"/>
      <c r="N200" s="19">
        <f t="shared" si="24"/>
        <v>0</v>
      </c>
      <c r="O200" s="11"/>
      <c r="P200" s="2">
        <v>154.30000000000001</v>
      </c>
      <c r="Q200" s="2"/>
      <c r="R200" s="19">
        <f t="shared" si="25"/>
        <v>5.3888505856940749E-6</v>
      </c>
      <c r="S200" s="2"/>
      <c r="T200" s="2"/>
      <c r="U200" s="2"/>
      <c r="V200" s="19">
        <f t="shared" si="26"/>
        <v>0</v>
      </c>
      <c r="W200" s="2"/>
      <c r="X200" s="2">
        <f t="shared" si="27"/>
        <v>154.30000000000001</v>
      </c>
      <c r="Y200" s="2"/>
      <c r="Z200" s="19">
        <f t="shared" si="28"/>
        <v>0</v>
      </c>
    </row>
    <row r="201" spans="1:26" s="24" customFormat="1" hidden="1" outlineLevel="1" x14ac:dyDescent="0.25">
      <c r="A201" s="44"/>
      <c r="B201" s="11" t="str">
        <f>CONCATENATE("          ", "5583", " - ", "FREIGHT-IN-COMPUTER EQUIPMENT")</f>
        <v xml:space="preserve">          5583 - FREIGHT-IN-COMPUTER EQUIPMENT</v>
      </c>
      <c r="C201" s="11"/>
      <c r="D201" s="2"/>
      <c r="E201" s="2"/>
      <c r="F201" s="19">
        <f t="shared" si="21"/>
        <v>0</v>
      </c>
      <c r="G201" s="2"/>
      <c r="H201" s="2"/>
      <c r="I201" s="2"/>
      <c r="J201" s="19">
        <f t="shared" si="22"/>
        <v>0</v>
      </c>
      <c r="K201" s="2"/>
      <c r="L201" s="2">
        <f t="shared" si="23"/>
        <v>0</v>
      </c>
      <c r="M201" s="2"/>
      <c r="N201" s="19">
        <f t="shared" si="24"/>
        <v>0</v>
      </c>
      <c r="O201" s="11"/>
      <c r="P201" s="2">
        <v>96.55</v>
      </c>
      <c r="Q201" s="2"/>
      <c r="R201" s="19">
        <f t="shared" si="25"/>
        <v>3.371960622480641E-6</v>
      </c>
      <c r="S201" s="2"/>
      <c r="T201" s="2"/>
      <c r="U201" s="2"/>
      <c r="V201" s="19">
        <f t="shared" si="26"/>
        <v>0</v>
      </c>
      <c r="W201" s="2"/>
      <c r="X201" s="2">
        <f t="shared" si="27"/>
        <v>96.55</v>
      </c>
      <c r="Y201" s="2"/>
      <c r="Z201" s="19">
        <f t="shared" si="28"/>
        <v>0</v>
      </c>
    </row>
    <row r="202" spans="1:26" s="24" customFormat="1" hidden="1" outlineLevel="1" x14ac:dyDescent="0.25">
      <c r="A202" s="44"/>
      <c r="B202" s="11" t="str">
        <f>CONCATENATE("          ", "5585", " - ", "FREIGHT-IN-SOFTWARE")</f>
        <v xml:space="preserve">          5585 - FREIGHT-IN-SOFTWARE</v>
      </c>
      <c r="C202" s="11"/>
      <c r="D202" s="2"/>
      <c r="E202" s="2"/>
      <c r="F202" s="19">
        <f t="shared" si="21"/>
        <v>0</v>
      </c>
      <c r="G202" s="2"/>
      <c r="H202" s="2"/>
      <c r="I202" s="2"/>
      <c r="J202" s="19">
        <f t="shared" si="22"/>
        <v>0</v>
      </c>
      <c r="K202" s="2"/>
      <c r="L202" s="2">
        <f t="shared" si="23"/>
        <v>0</v>
      </c>
      <c r="M202" s="2"/>
      <c r="N202" s="19">
        <f t="shared" si="24"/>
        <v>0</v>
      </c>
      <c r="O202" s="11"/>
      <c r="P202" s="2">
        <v>10</v>
      </c>
      <c r="Q202" s="2"/>
      <c r="R202" s="19">
        <f t="shared" si="25"/>
        <v>3.4924501527505341E-7</v>
      </c>
      <c r="S202" s="2"/>
      <c r="T202" s="2"/>
      <c r="U202" s="2"/>
      <c r="V202" s="19">
        <f t="shared" si="26"/>
        <v>0</v>
      </c>
      <c r="W202" s="2"/>
      <c r="X202" s="2">
        <f t="shared" si="27"/>
        <v>10</v>
      </c>
      <c r="Y202" s="2"/>
      <c r="Z202" s="19">
        <f t="shared" si="28"/>
        <v>0</v>
      </c>
    </row>
    <row r="203" spans="1:26" s="24" customFormat="1" hidden="1" outlineLevel="1" x14ac:dyDescent="0.25">
      <c r="A203" s="44"/>
      <c r="B203" s="11" t="str">
        <f>CONCATENATE("          ", "5586", " - ", "FREIGHT-IN-COMPUTER SUPPLIES")</f>
        <v xml:space="preserve">          5586 - FREIGHT-IN-COMPUTER SUPPLIES</v>
      </c>
      <c r="C203" s="11"/>
      <c r="D203" s="2"/>
      <c r="E203" s="2"/>
      <c r="F203" s="19">
        <f t="shared" si="21"/>
        <v>0</v>
      </c>
      <c r="G203" s="2"/>
      <c r="H203" s="2"/>
      <c r="I203" s="2"/>
      <c r="J203" s="19">
        <f t="shared" si="22"/>
        <v>0</v>
      </c>
      <c r="K203" s="2"/>
      <c r="L203" s="2">
        <f t="shared" si="23"/>
        <v>0</v>
      </c>
      <c r="M203" s="2"/>
      <c r="N203" s="19">
        <f t="shared" si="24"/>
        <v>0</v>
      </c>
      <c r="O203" s="11"/>
      <c r="P203" s="2">
        <v>301.27</v>
      </c>
      <c r="Q203" s="2"/>
      <c r="R203" s="19">
        <f t="shared" si="25"/>
        <v>1.0521704575191533E-5</v>
      </c>
      <c r="S203" s="2"/>
      <c r="T203" s="2"/>
      <c r="U203" s="2"/>
      <c r="V203" s="19">
        <f t="shared" si="26"/>
        <v>0</v>
      </c>
      <c r="W203" s="2"/>
      <c r="X203" s="2">
        <f t="shared" si="27"/>
        <v>301.27</v>
      </c>
      <c r="Y203" s="2"/>
      <c r="Z203" s="19">
        <f t="shared" si="28"/>
        <v>0</v>
      </c>
    </row>
    <row r="204" spans="1:26" s="24" customFormat="1" hidden="1" outlineLevel="1" x14ac:dyDescent="0.25">
      <c r="A204" s="44"/>
      <c r="B204" s="11" t="str">
        <f>CONCATENATE("          ", "5592", " - ", "FREIGHT-IN-GRAD MERCH")</f>
        <v xml:space="preserve">          5592 - FREIGHT-IN-GRAD MERCH</v>
      </c>
      <c r="C204" s="11"/>
      <c r="D204" s="2">
        <v>10.83</v>
      </c>
      <c r="E204" s="2"/>
      <c r="F204" s="19">
        <f t="shared" si="21"/>
        <v>1.8527940262225278E-5</v>
      </c>
      <c r="G204" s="2"/>
      <c r="H204" s="2"/>
      <c r="I204" s="2"/>
      <c r="J204" s="19">
        <f t="shared" si="22"/>
        <v>0</v>
      </c>
      <c r="K204" s="2"/>
      <c r="L204" s="2">
        <f t="shared" si="23"/>
        <v>10.83</v>
      </c>
      <c r="M204" s="2"/>
      <c r="N204" s="19">
        <f t="shared" si="24"/>
        <v>0</v>
      </c>
      <c r="O204" s="11"/>
      <c r="P204" s="2">
        <v>170.88</v>
      </c>
      <c r="Q204" s="2"/>
      <c r="R204" s="19">
        <f t="shared" si="25"/>
        <v>5.9678988210201127E-6</v>
      </c>
      <c r="S204" s="2"/>
      <c r="T204" s="2"/>
      <c r="U204" s="2"/>
      <c r="V204" s="19">
        <f t="shared" si="26"/>
        <v>0</v>
      </c>
      <c r="W204" s="2"/>
      <c r="X204" s="2">
        <f t="shared" si="27"/>
        <v>170.88</v>
      </c>
      <c r="Y204" s="2"/>
      <c r="Z204" s="19">
        <f t="shared" si="28"/>
        <v>0</v>
      </c>
    </row>
    <row r="205" spans="1:26" x14ac:dyDescent="0.25">
      <c r="A205" s="9"/>
      <c r="B205" s="10"/>
      <c r="C205" s="10"/>
      <c r="D205" s="3"/>
      <c r="E205" s="3"/>
      <c r="F205" s="8"/>
      <c r="G205" s="3"/>
      <c r="H205" s="3"/>
      <c r="I205" s="3"/>
      <c r="J205" s="8"/>
      <c r="K205" s="3"/>
      <c r="L205" s="3"/>
      <c r="M205" s="3"/>
      <c r="N205" s="8"/>
      <c r="O205" s="10"/>
      <c r="P205" s="3"/>
      <c r="Q205" s="3"/>
      <c r="R205" s="8"/>
      <c r="S205" s="3"/>
      <c r="T205" s="3"/>
      <c r="U205" s="3"/>
      <c r="V205" s="8"/>
      <c r="W205" s="3"/>
      <c r="X205" s="3"/>
      <c r="Y205" s="3"/>
      <c r="Z205" s="8"/>
    </row>
    <row r="206" spans="1:26" s="23" customFormat="1" x14ac:dyDescent="0.25">
      <c r="A206" s="10"/>
      <c r="B206" s="29" t="s">
        <v>6</v>
      </c>
      <c r="C206" s="29"/>
      <c r="D206" s="22">
        <f>D12-D143</f>
        <v>-61202.470000000321</v>
      </c>
      <c r="E206" s="14"/>
      <c r="F206" s="20">
        <f>IF(D$12=0,0,D206/D$12)</f>
        <v>-0.10470505152914504</v>
      </c>
      <c r="G206" s="14"/>
      <c r="H206" s="22">
        <f>H12-H143</f>
        <v>668187.09057999996</v>
      </c>
      <c r="I206" s="14"/>
      <c r="J206" s="20">
        <f>IF(H$12=0,0,H206/H$12)</f>
        <v>0.4790537308442615</v>
      </c>
      <c r="K206" s="15"/>
      <c r="L206" s="22">
        <f>+D206-H206</f>
        <v>-729389.56058000028</v>
      </c>
      <c r="M206" s="15"/>
      <c r="N206" s="20">
        <f>IF(H206=0,0,L206/H206)</f>
        <v>-1.0915948105894644</v>
      </c>
      <c r="O206" s="28"/>
      <c r="P206" s="22">
        <f>P12-P143</f>
        <v>15544697.749999983</v>
      </c>
      <c r="Q206" s="14"/>
      <c r="R206" s="20">
        <f>IF(P$12=0,0,P206/P$12)</f>
        <v>0.54289082031448332</v>
      </c>
      <c r="S206" s="14"/>
      <c r="T206" s="22">
        <f>T12-T143</f>
        <v>21652539.084980004</v>
      </c>
      <c r="U206" s="14"/>
      <c r="V206" s="20">
        <f>IF(T$12=0,0,T206/T$12)</f>
        <v>0.5772441903962372</v>
      </c>
      <c r="W206" s="15"/>
      <c r="X206" s="22">
        <f>+P206-T206</f>
        <v>-6107841.3349800203</v>
      </c>
      <c r="Y206" s="15"/>
      <c r="Z206" s="20">
        <f>IF(T206=0,0,X206/T206)</f>
        <v>-0.28208430018338704</v>
      </c>
    </row>
    <row r="207" spans="1:26" x14ac:dyDescent="0.25">
      <c r="A207" s="9"/>
      <c r="B207" s="10"/>
      <c r="C207" s="9"/>
      <c r="D207" s="1"/>
      <c r="E207" s="1"/>
      <c r="F207" s="5"/>
      <c r="G207" s="1"/>
      <c r="H207" s="1"/>
      <c r="I207" s="1"/>
      <c r="J207" s="5"/>
      <c r="K207" s="1"/>
      <c r="L207" s="1"/>
      <c r="M207" s="1"/>
      <c r="N207" s="5"/>
      <c r="O207" s="36"/>
      <c r="P207" s="1"/>
      <c r="Q207" s="1"/>
      <c r="R207" s="5"/>
      <c r="S207" s="1"/>
      <c r="T207" s="1"/>
      <c r="U207" s="1"/>
      <c r="V207" s="5"/>
      <c r="W207" s="1"/>
      <c r="X207" s="1"/>
      <c r="Y207" s="1"/>
      <c r="Z207" s="5"/>
    </row>
    <row r="208" spans="1:26" s="23" customFormat="1" x14ac:dyDescent="0.25">
      <c r="A208" s="10"/>
      <c r="B208" s="28" t="s">
        <v>9</v>
      </c>
      <c r="C208" s="10"/>
      <c r="D208" s="21">
        <f>SUM(OSRRefD22x_0)</f>
        <v>631533.30999999994</v>
      </c>
      <c r="E208" s="21"/>
      <c r="F208" s="32">
        <f t="shared" ref="F208:F219" si="29">IF(D$12=0,0,D208/D$12)</f>
        <v>1.0804258025194273</v>
      </c>
      <c r="G208" s="21"/>
      <c r="H208" s="21">
        <f>SUM(OSRRefH22x_0)</f>
        <v>1205462.729616154</v>
      </c>
      <c r="I208" s="21"/>
      <c r="J208" s="32">
        <f t="shared" ref="J208:J219" si="30">IF(H$12=0,0,H208/H$12)</f>
        <v>0.86425108499935288</v>
      </c>
      <c r="K208" s="4"/>
      <c r="L208" s="21">
        <f t="shared" ref="L208:L219" si="31">+D208-H208</f>
        <v>-573929.41961615405</v>
      </c>
      <c r="M208" s="4"/>
      <c r="N208" s="32">
        <f t="shared" ref="N208:N219" si="32">IF(H208=0,0,L208/H208)</f>
        <v>-0.47610714584175146</v>
      </c>
      <c r="O208" s="10"/>
      <c r="P208" s="21">
        <f>SUM(OSRRefP22x_0)</f>
        <v>15683074.869999999</v>
      </c>
      <c r="Q208" s="21"/>
      <c r="R208" s="32">
        <f t="shared" ref="R208:R219" si="33">IF(P$12=0,0,P208/P$12)</f>
        <v>0.5477235722532956</v>
      </c>
      <c r="S208" s="21"/>
      <c r="T208" s="21">
        <f>SUM(OSRRefT22x_0)</f>
        <v>18181963.899062648</v>
      </c>
      <c r="U208" s="21"/>
      <c r="V208" s="32">
        <f t="shared" ref="V208:V219" si="34">IF(T$12=0,0,T208/T$12)</f>
        <v>0.48472065975895329</v>
      </c>
      <c r="W208" s="4"/>
      <c r="X208" s="21">
        <f t="shared" ref="X208:X219" si="35">+P208-T208</f>
        <v>-2498889.0290626492</v>
      </c>
      <c r="Y208" s="4"/>
      <c r="Z208" s="32">
        <f t="shared" ref="Z208:Z219" si="36">IF(T208=0,0,X208/T208)</f>
        <v>-0.13743779511032231</v>
      </c>
    </row>
    <row r="209" spans="1:26" s="26" customFormat="1" outlineLevel="1" collapsed="1" x14ac:dyDescent="0.25">
      <c r="A209" s="25"/>
      <c r="B209" s="12" t="str">
        <f>CONCATENATE("     ","*Benefits                                         ")</f>
        <v xml:space="preserve">     *Benefits                                         </v>
      </c>
      <c r="C209" s="12"/>
      <c r="D209" s="1">
        <f>SUM(OSRRefD22_0x_0)</f>
        <v>124944.92</v>
      </c>
      <c r="E209" s="1"/>
      <c r="F209" s="5">
        <f t="shared" si="29"/>
        <v>0.2137554952750246</v>
      </c>
      <c r="G209" s="1"/>
      <c r="H209" s="1">
        <f>SUM(OSRRefH22_0x_0)</f>
        <v>196662.95050247436</v>
      </c>
      <c r="I209" s="1"/>
      <c r="J209" s="5">
        <f t="shared" si="30"/>
        <v>0.14099661829035434</v>
      </c>
      <c r="K209" s="1"/>
      <c r="L209" s="1">
        <f t="shared" si="31"/>
        <v>-71718.030502474357</v>
      </c>
      <c r="M209" s="1"/>
      <c r="N209" s="5">
        <f t="shared" si="32"/>
        <v>-0.36467484251219967</v>
      </c>
      <c r="O209" s="12"/>
      <c r="P209" s="1">
        <f>SUM(OSRRefP22_0x_0)</f>
        <v>2384695.2200000002</v>
      </c>
      <c r="Q209" s="1"/>
      <c r="R209" s="5">
        <f t="shared" si="33"/>
        <v>8.3284291853524692E-2</v>
      </c>
      <c r="S209" s="1"/>
      <c r="T209" s="1">
        <f>SUM(OSRRefT22_0x_0)</f>
        <v>2617165.7810230497</v>
      </c>
      <c r="U209" s="1"/>
      <c r="V209" s="5">
        <f t="shared" si="34"/>
        <v>6.977212863905477E-2</v>
      </c>
      <c r="W209" s="1"/>
      <c r="X209" s="1">
        <f t="shared" si="35"/>
        <v>-232470.56102304952</v>
      </c>
      <c r="Y209" s="1"/>
      <c r="Z209" s="5">
        <f t="shared" si="36"/>
        <v>-8.8825309695198904E-2</v>
      </c>
    </row>
    <row r="210" spans="1:26" s="24" customFormat="1" hidden="1" outlineLevel="2" x14ac:dyDescent="0.25">
      <c r="A210" s="27"/>
      <c r="B210" s="11" t="str">
        <f>CONCATENATE("          ", "6111", " - ", "F.I.C.A.")</f>
        <v xml:space="preserve">          6111 - F.I.C.A.</v>
      </c>
      <c r="C210" s="11"/>
      <c r="D210" s="6">
        <v>19443.18</v>
      </c>
      <c r="E210" s="2"/>
      <c r="F210" s="7">
        <f t="shared" si="29"/>
        <v>3.3263349727395503E-2</v>
      </c>
      <c r="G210" s="2"/>
      <c r="H210" s="6">
        <v>37289.390881029321</v>
      </c>
      <c r="I210" s="2"/>
      <c r="J210" s="7">
        <f t="shared" si="30"/>
        <v>2.6734461162608057E-2</v>
      </c>
      <c r="K210" s="2"/>
      <c r="L210" s="6">
        <f t="shared" si="31"/>
        <v>-17846.210881029321</v>
      </c>
      <c r="M210" s="2"/>
      <c r="N210" s="7">
        <f t="shared" si="32"/>
        <v>-0.47858681676960396</v>
      </c>
      <c r="O210" s="11"/>
      <c r="P210" s="6">
        <v>440016.67</v>
      </c>
      <c r="Q210" s="2"/>
      <c r="R210" s="7">
        <f t="shared" si="33"/>
        <v>1.5367362863542814E-2</v>
      </c>
      <c r="S210" s="2"/>
      <c r="T210" s="6">
        <v>429751.93524202611</v>
      </c>
      <c r="U210" s="2"/>
      <c r="V210" s="7">
        <f t="shared" si="34"/>
        <v>1.1456938466033422E-2</v>
      </c>
      <c r="W210" s="2"/>
      <c r="X210" s="6">
        <f t="shared" si="35"/>
        <v>10264.734757973871</v>
      </c>
      <c r="Y210" s="2"/>
      <c r="Z210" s="7">
        <f t="shared" si="36"/>
        <v>2.3885255460671783E-2</v>
      </c>
    </row>
    <row r="211" spans="1:26" s="24" customFormat="1" hidden="1" outlineLevel="2" x14ac:dyDescent="0.25">
      <c r="A211" s="27"/>
      <c r="B211" s="11" t="str">
        <f>CONCATENATE("          ", "6112", " - ", "COMPENSATION INSURANCE")</f>
        <v xml:space="preserve">          6112 - COMPENSATION INSURANCE</v>
      </c>
      <c r="C211" s="11"/>
      <c r="D211" s="6">
        <v>6228.02</v>
      </c>
      <c r="E211" s="2"/>
      <c r="F211" s="7">
        <f t="shared" si="29"/>
        <v>1.0654882965091809E-2</v>
      </c>
      <c r="G211" s="2"/>
      <c r="H211" s="6">
        <v>15773.416254224607</v>
      </c>
      <c r="I211" s="2"/>
      <c r="J211" s="7">
        <f t="shared" si="30"/>
        <v>1.1308679876150826E-2</v>
      </c>
      <c r="K211" s="2"/>
      <c r="L211" s="6">
        <f t="shared" si="31"/>
        <v>-9545.3962542246063</v>
      </c>
      <c r="M211" s="2"/>
      <c r="N211" s="7">
        <f t="shared" si="32"/>
        <v>-0.60515718981726963</v>
      </c>
      <c r="O211" s="11"/>
      <c r="P211" s="6">
        <v>207129.35</v>
      </c>
      <c r="Q211" s="2"/>
      <c r="R211" s="7">
        <f t="shared" si="33"/>
        <v>7.2338893004661887E-3</v>
      </c>
      <c r="S211" s="2"/>
      <c r="T211" s="6">
        <v>278552.73826947226</v>
      </c>
      <c r="U211" s="2"/>
      <c r="V211" s="7">
        <f t="shared" si="34"/>
        <v>7.4260551732039494E-3</v>
      </c>
      <c r="W211" s="2"/>
      <c r="X211" s="6">
        <f t="shared" si="35"/>
        <v>-71423.388269472256</v>
      </c>
      <c r="Y211" s="2"/>
      <c r="Z211" s="7">
        <f t="shared" si="36"/>
        <v>-0.2564088535377354</v>
      </c>
    </row>
    <row r="212" spans="1:26" s="24" customFormat="1" hidden="1" outlineLevel="2" x14ac:dyDescent="0.25">
      <c r="A212" s="27"/>
      <c r="B212" s="11" t="str">
        <f>CONCATENATE("          ", "6113", " - ", "GROUP INSURANCE")</f>
        <v xml:space="preserve">          6113 - GROUP INSURANCE</v>
      </c>
      <c r="C212" s="11"/>
      <c r="D212" s="6">
        <v>75665.010000000009</v>
      </c>
      <c r="E212" s="2"/>
      <c r="F212" s="7">
        <f t="shared" si="29"/>
        <v>0.12944753326137381</v>
      </c>
      <c r="G212" s="2"/>
      <c r="H212" s="6">
        <v>90864.151923076919</v>
      </c>
      <c r="I212" s="2"/>
      <c r="J212" s="7">
        <f t="shared" si="30"/>
        <v>6.5144645253421299E-2</v>
      </c>
      <c r="K212" s="2"/>
      <c r="L212" s="6">
        <f t="shared" si="31"/>
        <v>-15199.14192307691</v>
      </c>
      <c r="M212" s="2"/>
      <c r="N212" s="7">
        <f t="shared" si="32"/>
        <v>-0.16727324914608879</v>
      </c>
      <c r="O212" s="11"/>
      <c r="P212" s="6">
        <v>1104113.71</v>
      </c>
      <c r="Q212" s="2"/>
      <c r="R212" s="7">
        <f t="shared" si="33"/>
        <v>3.8560620951434588E-2</v>
      </c>
      <c r="S212" s="2"/>
      <c r="T212" s="6">
        <v>1134682.1076923076</v>
      </c>
      <c r="U212" s="2"/>
      <c r="V212" s="7">
        <f t="shared" si="34"/>
        <v>3.0249969855327335E-2</v>
      </c>
      <c r="W212" s="2"/>
      <c r="X212" s="6">
        <f t="shared" si="35"/>
        <v>-30568.397692307597</v>
      </c>
      <c r="Y212" s="2"/>
      <c r="Z212" s="7">
        <f t="shared" si="36"/>
        <v>-2.6940054386225369E-2</v>
      </c>
    </row>
    <row r="213" spans="1:26" s="24" customFormat="1" hidden="1" outlineLevel="2" x14ac:dyDescent="0.25">
      <c r="A213" s="27"/>
      <c r="B213" s="11" t="str">
        <f>CONCATENATE("          ", "6114", " - ", "STATE UNEMPLOYMENT INSURANCE")</f>
        <v xml:space="preserve">          6114 - STATE UNEMPLOYMENT INSURANCE</v>
      </c>
      <c r="C213" s="11"/>
      <c r="D213" s="6">
        <v>-20622.75</v>
      </c>
      <c r="E213" s="2"/>
      <c r="F213" s="7">
        <f t="shared" si="29"/>
        <v>-3.528135549795073E-2</v>
      </c>
      <c r="G213" s="2"/>
      <c r="H213" s="6">
        <v>1394.716972118498</v>
      </c>
      <c r="I213" s="2"/>
      <c r="J213" s="7">
        <f t="shared" si="30"/>
        <v>9.9993606339388486E-4</v>
      </c>
      <c r="K213" s="2"/>
      <c r="L213" s="6">
        <f t="shared" si="31"/>
        <v>-22017.466972118498</v>
      </c>
      <c r="M213" s="2"/>
      <c r="N213" s="7">
        <f t="shared" si="32"/>
        <v>-15.786333293610948</v>
      </c>
      <c r="O213" s="11"/>
      <c r="P213" s="6">
        <v>0</v>
      </c>
      <c r="Q213" s="2"/>
      <c r="R213" s="7">
        <f t="shared" si="33"/>
        <v>0</v>
      </c>
      <c r="S213" s="2"/>
      <c r="T213" s="6">
        <v>23685.986160380533</v>
      </c>
      <c r="U213" s="2"/>
      <c r="V213" s="7">
        <f t="shared" si="34"/>
        <v>6.3145471536729778E-4</v>
      </c>
      <c r="W213" s="2"/>
      <c r="X213" s="6">
        <f t="shared" si="35"/>
        <v>-23685.986160380533</v>
      </c>
      <c r="Y213" s="2"/>
      <c r="Z213" s="7">
        <f t="shared" si="36"/>
        <v>-1</v>
      </c>
    </row>
    <row r="214" spans="1:26" s="24" customFormat="1" hidden="1" outlineLevel="2" x14ac:dyDescent="0.25">
      <c r="A214" s="27"/>
      <c r="B214" s="11" t="str">
        <f>CONCATENATE("          ", "6115", " - ", "P.E.R.S.")</f>
        <v xml:space="preserve">          6115 - P.E.R.S.</v>
      </c>
      <c r="C214" s="11"/>
      <c r="D214" s="6">
        <v>13005.81</v>
      </c>
      <c r="E214" s="2"/>
      <c r="F214" s="7">
        <f t="shared" si="29"/>
        <v>2.225031124116825E-2</v>
      </c>
      <c r="G214" s="2"/>
      <c r="H214" s="6">
        <v>18045.050416907696</v>
      </c>
      <c r="I214" s="2"/>
      <c r="J214" s="7">
        <f t="shared" si="30"/>
        <v>1.2937317777254249E-2</v>
      </c>
      <c r="K214" s="2"/>
      <c r="L214" s="6">
        <f t="shared" si="31"/>
        <v>-5039.2404169076963</v>
      </c>
      <c r="M214" s="2"/>
      <c r="N214" s="7">
        <f t="shared" si="32"/>
        <v>-0.27925887157323054</v>
      </c>
      <c r="O214" s="11"/>
      <c r="P214" s="6">
        <v>238902.88000000003</v>
      </c>
      <c r="Q214" s="2"/>
      <c r="R214" s="7">
        <f t="shared" si="33"/>
        <v>8.3435639974854276E-3</v>
      </c>
      <c r="S214" s="2"/>
      <c r="T214" s="6">
        <v>238059.85199010774</v>
      </c>
      <c r="U214" s="2"/>
      <c r="V214" s="7">
        <f t="shared" si="34"/>
        <v>6.3465382045287599E-3</v>
      </c>
      <c r="W214" s="2"/>
      <c r="X214" s="6">
        <f t="shared" si="35"/>
        <v>843.02800989229581</v>
      </c>
      <c r="Y214" s="2"/>
      <c r="Z214" s="7">
        <f t="shared" si="36"/>
        <v>3.5412439470361712E-3</v>
      </c>
    </row>
    <row r="215" spans="1:26" s="24" customFormat="1" hidden="1" outlineLevel="2" x14ac:dyDescent="0.25">
      <c r="A215" s="27"/>
      <c r="B215" s="11" t="str">
        <f>CONCATENATE("          ", "6116", " - ", "EDUCATIONAL BENEFITS")</f>
        <v xml:space="preserve">          6116 - EDUCATIONAL BENEFITS</v>
      </c>
      <c r="C215" s="11"/>
      <c r="D215" s="6"/>
      <c r="E215" s="2"/>
      <c r="F215" s="7">
        <f t="shared" si="29"/>
        <v>0</v>
      </c>
      <c r="G215" s="2"/>
      <c r="H215" s="6">
        <v>0</v>
      </c>
      <c r="I215" s="2"/>
      <c r="J215" s="7">
        <f t="shared" si="30"/>
        <v>0</v>
      </c>
      <c r="K215" s="2"/>
      <c r="L215" s="6">
        <f t="shared" si="31"/>
        <v>0</v>
      </c>
      <c r="M215" s="2"/>
      <c r="N215" s="7">
        <f t="shared" si="32"/>
        <v>0</v>
      </c>
      <c r="O215" s="11"/>
      <c r="P215" s="6"/>
      <c r="Q215" s="2"/>
      <c r="R215" s="7">
        <f t="shared" si="33"/>
        <v>0</v>
      </c>
      <c r="S215" s="2"/>
      <c r="T215" s="6">
        <v>24000</v>
      </c>
      <c r="U215" s="2"/>
      <c r="V215" s="7">
        <f t="shared" si="34"/>
        <v>6.3982614302818079E-4</v>
      </c>
      <c r="W215" s="2"/>
      <c r="X215" s="6">
        <f t="shared" si="35"/>
        <v>-24000</v>
      </c>
      <c r="Y215" s="2"/>
      <c r="Z215" s="7">
        <f t="shared" si="36"/>
        <v>-1</v>
      </c>
    </row>
    <row r="216" spans="1:26" s="24" customFormat="1" hidden="1" outlineLevel="2" x14ac:dyDescent="0.25">
      <c r="A216" s="27"/>
      <c r="B216" s="11" t="str">
        <f>CONCATENATE("          ", "6117", " - ", "RETIREMENT STAFF HOURLY")</f>
        <v xml:space="preserve">          6117 - RETIREMENT STAFF HOURLY</v>
      </c>
      <c r="C216" s="11"/>
      <c r="D216" s="6">
        <v>1829.61</v>
      </c>
      <c r="E216" s="2"/>
      <c r="F216" s="7">
        <f t="shared" si="29"/>
        <v>3.1300927777626955E-3</v>
      </c>
      <c r="G216" s="2"/>
      <c r="H216" s="6"/>
      <c r="I216" s="2"/>
      <c r="J216" s="7">
        <f t="shared" si="30"/>
        <v>0</v>
      </c>
      <c r="K216" s="2"/>
      <c r="L216" s="6">
        <f t="shared" si="31"/>
        <v>1829.61</v>
      </c>
      <c r="M216" s="2"/>
      <c r="N216" s="7">
        <f t="shared" si="32"/>
        <v>0</v>
      </c>
      <c r="O216" s="11"/>
      <c r="P216" s="6">
        <v>26345.710000000003</v>
      </c>
      <c r="Q216" s="2"/>
      <c r="R216" s="7">
        <f t="shared" si="33"/>
        <v>9.2011078913821292E-4</v>
      </c>
      <c r="S216" s="2"/>
      <c r="T216" s="6"/>
      <c r="U216" s="2"/>
      <c r="V216" s="7">
        <f t="shared" si="34"/>
        <v>0</v>
      </c>
      <c r="W216" s="2"/>
      <c r="X216" s="6">
        <f t="shared" si="35"/>
        <v>26345.710000000003</v>
      </c>
      <c r="Y216" s="2"/>
      <c r="Z216" s="7">
        <f t="shared" si="36"/>
        <v>0</v>
      </c>
    </row>
    <row r="217" spans="1:26" s="24" customFormat="1" hidden="1" outlineLevel="2" x14ac:dyDescent="0.25">
      <c r="A217" s="27"/>
      <c r="B217" s="11" t="str">
        <f>CONCATENATE("          ", "6118", " - ", "VACATION")</f>
        <v xml:space="preserve">          6118 - VACATION</v>
      </c>
      <c r="C217" s="11"/>
      <c r="D217" s="6">
        <v>15121.36</v>
      </c>
      <c r="E217" s="2"/>
      <c r="F217" s="7">
        <f t="shared" si="29"/>
        <v>2.5869589544192322E-2</v>
      </c>
      <c r="G217" s="2"/>
      <c r="H217" s="6">
        <v>13977.552736169226</v>
      </c>
      <c r="I217" s="2"/>
      <c r="J217" s="7">
        <f t="shared" si="30"/>
        <v>1.0021143599948962E-2</v>
      </c>
      <c r="K217" s="2"/>
      <c r="L217" s="6">
        <f t="shared" si="31"/>
        <v>1143.8072638307749</v>
      </c>
      <c r="M217" s="2"/>
      <c r="N217" s="7">
        <f t="shared" si="32"/>
        <v>8.1831725869363728E-2</v>
      </c>
      <c r="O217" s="11"/>
      <c r="P217" s="6">
        <v>270045.75</v>
      </c>
      <c r="Q217" s="2"/>
      <c r="R217" s="7">
        <f t="shared" si="33"/>
        <v>9.4312132083713262E-3</v>
      </c>
      <c r="S217" s="2"/>
      <c r="T217" s="6">
        <v>182535.73760712301</v>
      </c>
      <c r="U217" s="2"/>
      <c r="V217" s="7">
        <f t="shared" si="34"/>
        <v>4.8662973732487326E-3</v>
      </c>
      <c r="W217" s="2"/>
      <c r="X217" s="6">
        <f t="shared" si="35"/>
        <v>87510.01239287699</v>
      </c>
      <c r="Y217" s="2"/>
      <c r="Z217" s="7">
        <f t="shared" si="36"/>
        <v>0.47941303735944213</v>
      </c>
    </row>
    <row r="218" spans="1:26" s="24" customFormat="1" hidden="1" outlineLevel="2" x14ac:dyDescent="0.25">
      <c r="A218" s="27"/>
      <c r="B218" s="11" t="str">
        <f>CONCATENATE("          ", "6119", " - ", "SICK LEAVE")</f>
        <v xml:space="preserve">          6119 - SICK LEAVE</v>
      </c>
      <c r="C218" s="11"/>
      <c r="D218" s="6">
        <v>10164.280000000001</v>
      </c>
      <c r="E218" s="2"/>
      <c r="F218" s="7">
        <f t="shared" si="29"/>
        <v>1.7389027945386073E-2</v>
      </c>
      <c r="G218" s="2"/>
      <c r="H218" s="6">
        <v>14393.671318948071</v>
      </c>
      <c r="I218" s="2"/>
      <c r="J218" s="7">
        <f t="shared" si="30"/>
        <v>1.0319477947265966E-2</v>
      </c>
      <c r="K218" s="2"/>
      <c r="L218" s="6">
        <f t="shared" si="31"/>
        <v>-4229.39131894807</v>
      </c>
      <c r="M218" s="2"/>
      <c r="N218" s="7">
        <f t="shared" si="32"/>
        <v>-0.29383686935941272</v>
      </c>
      <c r="O218" s="11"/>
      <c r="P218" s="6">
        <v>2276.19</v>
      </c>
      <c r="Q218" s="2"/>
      <c r="R218" s="7">
        <f t="shared" si="33"/>
        <v>7.9494801131892387E-5</v>
      </c>
      <c r="S218" s="2"/>
      <c r="T218" s="6">
        <v>246672.42406163277</v>
      </c>
      <c r="U218" s="2"/>
      <c r="V218" s="7">
        <f t="shared" si="34"/>
        <v>6.5761444032819303E-3</v>
      </c>
      <c r="W218" s="2"/>
      <c r="X218" s="6">
        <f t="shared" si="35"/>
        <v>-244396.23406163277</v>
      </c>
      <c r="Y218" s="2"/>
      <c r="Z218" s="7">
        <f t="shared" si="36"/>
        <v>-0.9907724180817582</v>
      </c>
    </row>
    <row r="219" spans="1:26" s="24" customFormat="1" hidden="1" outlineLevel="2" x14ac:dyDescent="0.25">
      <c r="A219" s="27"/>
      <c r="B219" s="11" t="str">
        <f>CONCATENATE("          ", "6156", " - ", "EMPLOYEE MEALS")</f>
        <v xml:space="preserve">          6156 - EMPLOYEE MEALS</v>
      </c>
      <c r="C219" s="11"/>
      <c r="D219" s="6">
        <v>4110.3999999999996</v>
      </c>
      <c r="E219" s="2"/>
      <c r="F219" s="7">
        <f t="shared" si="29"/>
        <v>7.0320633106048733E-3</v>
      </c>
      <c r="G219" s="2"/>
      <c r="H219" s="6">
        <v>4925</v>
      </c>
      <c r="I219" s="2"/>
      <c r="J219" s="7">
        <f t="shared" si="30"/>
        <v>3.5309566103110934E-3</v>
      </c>
      <c r="K219" s="2"/>
      <c r="L219" s="6">
        <f t="shared" si="31"/>
        <v>-814.60000000000036</v>
      </c>
      <c r="M219" s="2"/>
      <c r="N219" s="7">
        <f t="shared" si="32"/>
        <v>-0.16540101522842646</v>
      </c>
      <c r="O219" s="11"/>
      <c r="P219" s="6">
        <v>95864.960000000006</v>
      </c>
      <c r="Q219" s="2"/>
      <c r="R219" s="7">
        <f t="shared" si="33"/>
        <v>3.3480359419542386E-3</v>
      </c>
      <c r="S219" s="2"/>
      <c r="T219" s="6">
        <v>59224.999999999993</v>
      </c>
      <c r="U219" s="2"/>
      <c r="V219" s="7">
        <f t="shared" si="34"/>
        <v>1.5789043050351669E-3</v>
      </c>
      <c r="W219" s="2"/>
      <c r="X219" s="6">
        <f t="shared" si="35"/>
        <v>36639.960000000014</v>
      </c>
      <c r="Y219" s="2"/>
      <c r="Z219" s="7">
        <f t="shared" si="36"/>
        <v>0.61865698607007202</v>
      </c>
    </row>
    <row r="220" spans="1:26" s="26" customFormat="1" outlineLevel="1" collapsed="1" x14ac:dyDescent="0.25">
      <c r="A220" s="25"/>
      <c r="B220" s="12" t="str">
        <f>CONCATENATE("     ","*Payroll                                          ")</f>
        <v xml:space="preserve">     *Payroll                                          </v>
      </c>
      <c r="C220" s="12"/>
      <c r="D220" s="1">
        <f>SUM(OSRRefD22_1x_0)</f>
        <v>218574.53999999998</v>
      </c>
      <c r="E220" s="1"/>
      <c r="F220" s="5">
        <f t="shared" ref="F220:F230" si="37">IF(D$12=0,0,D220/D$12)</f>
        <v>0.37393684394860288</v>
      </c>
      <c r="G220" s="1"/>
      <c r="H220" s="1">
        <f>SUM(OSRRefH22_1x_0)</f>
        <v>505922.77644506848</v>
      </c>
      <c r="I220" s="1"/>
      <c r="J220" s="5">
        <f t="shared" ref="J220:J230" si="38">IF(H$12=0,0,H220/H$12)</f>
        <v>0.36271906026307738</v>
      </c>
      <c r="K220" s="1"/>
      <c r="L220" s="1">
        <f t="shared" ref="L220:L230" si="39">+D220-H220</f>
        <v>-287348.2364450685</v>
      </c>
      <c r="M220" s="1"/>
      <c r="N220" s="5">
        <f t="shared" ref="N220:N230" si="40">IF(H220=0,0,L220/H220)</f>
        <v>-0.56796857114075372</v>
      </c>
      <c r="O220" s="12"/>
      <c r="P220" s="1">
        <f>SUM(OSRRefP22_1x_0)</f>
        <v>7467063.79</v>
      </c>
      <c r="Q220" s="1"/>
      <c r="R220" s="5">
        <f t="shared" ref="R220:R230" si="41">IF(P$12=0,0,P220/P$12)</f>
        <v>0.26078348073983482</v>
      </c>
      <c r="S220" s="1"/>
      <c r="T220" s="1">
        <f>SUM(OSRRefT22_1x_0)</f>
        <v>8687986.7553709894</v>
      </c>
      <c r="U220" s="1"/>
      <c r="V220" s="5">
        <f t="shared" ref="V220:V230" si="42">IF(T$12=0,0,T220/T$12)</f>
        <v>0.23161671068203915</v>
      </c>
      <c r="W220" s="1"/>
      <c r="X220" s="1">
        <f t="shared" ref="X220:X230" si="43">+P220-T220</f>
        <v>-1220922.9653709894</v>
      </c>
      <c r="Y220" s="1"/>
      <c r="Z220" s="5">
        <f t="shared" ref="Z220:Z230" si="44">IF(T220=0,0,X220/T220)</f>
        <v>-0.14053002148238822</v>
      </c>
    </row>
    <row r="221" spans="1:26" s="24" customFormat="1" hidden="1" outlineLevel="2" x14ac:dyDescent="0.25">
      <c r="A221" s="27"/>
      <c r="B221" s="11" t="str">
        <f>CONCATENATE("          ", "6001", " - ", "ADMINISTRATIVE SALARIES")</f>
        <v xml:space="preserve">          6001 - ADMINISTRATIVE SALARIES</v>
      </c>
      <c r="C221" s="11"/>
      <c r="D221" s="6">
        <v>16260.06</v>
      </c>
      <c r="E221" s="2"/>
      <c r="F221" s="7">
        <f t="shared" si="37"/>
        <v>2.7817675008328602E-2</v>
      </c>
      <c r="G221" s="2"/>
      <c r="H221" s="6">
        <v>61054.71516184615</v>
      </c>
      <c r="I221" s="2"/>
      <c r="J221" s="7">
        <f t="shared" si="38"/>
        <v>4.3772903571854128E-2</v>
      </c>
      <c r="K221" s="2"/>
      <c r="L221" s="6">
        <f t="shared" si="39"/>
        <v>-44794.655161846153</v>
      </c>
      <c r="M221" s="2"/>
      <c r="N221" s="7">
        <f t="shared" si="40"/>
        <v>-0.73368051989273531</v>
      </c>
      <c r="O221" s="11"/>
      <c r="P221" s="6">
        <v>380567.82</v>
      </c>
      <c r="Q221" s="2"/>
      <c r="R221" s="7">
        <f t="shared" si="41"/>
        <v>1.3291141410909379E-2</v>
      </c>
      <c r="S221" s="2"/>
      <c r="T221" s="6">
        <v>791195.67145399994</v>
      </c>
      <c r="U221" s="2"/>
      <c r="V221" s="7">
        <f t="shared" si="42"/>
        <v>2.1092819785291855E-2</v>
      </c>
      <c r="W221" s="2"/>
      <c r="X221" s="6">
        <f t="shared" si="43"/>
        <v>-410627.85145399993</v>
      </c>
      <c r="Y221" s="2"/>
      <c r="Z221" s="7">
        <f t="shared" si="44"/>
        <v>-0.51899658487688505</v>
      </c>
    </row>
    <row r="222" spans="1:26" s="24" customFormat="1" hidden="1" outlineLevel="2" x14ac:dyDescent="0.25">
      <c r="A222" s="27"/>
      <c r="B222" s="11" t="str">
        <f>CONCATENATE("          ", "6002", " - ", "STAFF SALARIES")</f>
        <v xml:space="preserve">          6002 - STAFF SALARIES</v>
      </c>
      <c r="C222" s="11"/>
      <c r="D222" s="6">
        <v>110167.96</v>
      </c>
      <c r="E222" s="2"/>
      <c r="F222" s="7">
        <f t="shared" si="37"/>
        <v>0.18847510449595792</v>
      </c>
      <c r="G222" s="2"/>
      <c r="H222" s="6">
        <v>131386.39101272312</v>
      </c>
      <c r="I222" s="2"/>
      <c r="J222" s="7">
        <f t="shared" si="38"/>
        <v>9.4196882406353849E-2</v>
      </c>
      <c r="K222" s="2"/>
      <c r="L222" s="6">
        <f t="shared" si="39"/>
        <v>-21218.431012723115</v>
      </c>
      <c r="M222" s="2"/>
      <c r="N222" s="7">
        <f t="shared" si="40"/>
        <v>-0.16149641412000104</v>
      </c>
      <c r="O222" s="11"/>
      <c r="P222" s="6">
        <v>1994775.85</v>
      </c>
      <c r="Q222" s="2"/>
      <c r="R222" s="7">
        <f t="shared" si="41"/>
        <v>6.9666552220355768E-2</v>
      </c>
      <c r="S222" s="2"/>
      <c r="T222" s="6">
        <v>1746794.1305500153</v>
      </c>
      <c r="U222" s="2"/>
      <c r="V222" s="7">
        <f t="shared" si="42"/>
        <v>4.6568522967253369E-2</v>
      </c>
      <c r="W222" s="2"/>
      <c r="X222" s="6">
        <f t="shared" si="43"/>
        <v>247981.71944998484</v>
      </c>
      <c r="Y222" s="2"/>
      <c r="Z222" s="7">
        <f t="shared" si="44"/>
        <v>0.14196390697277103</v>
      </c>
    </row>
    <row r="223" spans="1:26" s="24" customFormat="1" hidden="1" outlineLevel="2" x14ac:dyDescent="0.25">
      <c r="A223" s="27"/>
      <c r="B223" s="11" t="str">
        <f>CONCATENATE("          ", "6003", " - ", "STAFF HOURLY-9 MONTH")</f>
        <v xml:space="preserve">          6003 - STAFF HOURLY-9 MONTH</v>
      </c>
      <c r="C223" s="11"/>
      <c r="D223" s="6"/>
      <c r="E223" s="2"/>
      <c r="F223" s="7">
        <f t="shared" si="37"/>
        <v>0</v>
      </c>
      <c r="G223" s="2"/>
      <c r="H223" s="6">
        <v>0</v>
      </c>
      <c r="I223" s="2"/>
      <c r="J223" s="7">
        <f t="shared" si="38"/>
        <v>0</v>
      </c>
      <c r="K223" s="2"/>
      <c r="L223" s="6">
        <f t="shared" si="39"/>
        <v>0</v>
      </c>
      <c r="M223" s="2"/>
      <c r="N223" s="7">
        <f t="shared" si="40"/>
        <v>0</v>
      </c>
      <c r="O223" s="11"/>
      <c r="P223" s="6"/>
      <c r="Q223" s="2"/>
      <c r="R223" s="7">
        <f t="shared" si="41"/>
        <v>0</v>
      </c>
      <c r="S223" s="2"/>
      <c r="T223" s="6">
        <v>0</v>
      </c>
      <c r="U223" s="2"/>
      <c r="V223" s="7">
        <f t="shared" si="42"/>
        <v>0</v>
      </c>
      <c r="W223" s="2"/>
      <c r="X223" s="6">
        <f t="shared" si="43"/>
        <v>0</v>
      </c>
      <c r="Y223" s="2"/>
      <c r="Z223" s="7">
        <f t="shared" si="44"/>
        <v>0</v>
      </c>
    </row>
    <row r="224" spans="1:26" s="24" customFormat="1" hidden="1" outlineLevel="2" x14ac:dyDescent="0.25">
      <c r="A224" s="27"/>
      <c r="B224" s="11" t="str">
        <f>CONCATENATE("          ", "6004", " - ", "STAFF HOURLY")</f>
        <v xml:space="preserve">          6004 - STAFF HOURLY</v>
      </c>
      <c r="C224" s="11"/>
      <c r="D224" s="6">
        <v>52322.8</v>
      </c>
      <c r="E224" s="2"/>
      <c r="F224" s="7">
        <f t="shared" si="37"/>
        <v>8.9513731556081333E-2</v>
      </c>
      <c r="G224" s="2"/>
      <c r="H224" s="6">
        <v>139514.387422</v>
      </c>
      <c r="I224" s="2"/>
      <c r="J224" s="7">
        <f t="shared" si="38"/>
        <v>0.10002421289364746</v>
      </c>
      <c r="K224" s="2"/>
      <c r="L224" s="6">
        <f t="shared" si="39"/>
        <v>-87191.587421999997</v>
      </c>
      <c r="M224" s="2"/>
      <c r="N224" s="7">
        <f t="shared" si="40"/>
        <v>-0.62496484436594224</v>
      </c>
      <c r="O224" s="11"/>
      <c r="P224" s="6">
        <v>1006687.3599999999</v>
      </c>
      <c r="Q224" s="2"/>
      <c r="R224" s="7">
        <f t="shared" si="41"/>
        <v>3.5158054242040319E-2</v>
      </c>
      <c r="S224" s="2"/>
      <c r="T224" s="6">
        <v>1917447.3565459999</v>
      </c>
      <c r="U224" s="2"/>
      <c r="V224" s="7">
        <f t="shared" si="42"/>
        <v>5.1118039441600344E-2</v>
      </c>
      <c r="W224" s="2"/>
      <c r="X224" s="6">
        <f t="shared" si="43"/>
        <v>-910759.99654600001</v>
      </c>
      <c r="Y224" s="2"/>
      <c r="Z224" s="7">
        <f t="shared" si="44"/>
        <v>-0.47498565915603574</v>
      </c>
    </row>
    <row r="225" spans="1:26" s="24" customFormat="1" hidden="1" outlineLevel="2" x14ac:dyDescent="0.25">
      <c r="A225" s="27"/>
      <c r="B225" s="11" t="str">
        <f>CONCATENATE("          ", "6005", " - ", "TEMPORARY WAGES-HOURLY")</f>
        <v xml:space="preserve">          6005 - TEMPORARY WAGES-HOURLY</v>
      </c>
      <c r="C225" s="11"/>
      <c r="D225" s="6">
        <v>20064.68</v>
      </c>
      <c r="E225" s="2"/>
      <c r="F225" s="7">
        <f t="shared" si="37"/>
        <v>3.4326610565158476E-2</v>
      </c>
      <c r="G225" s="2"/>
      <c r="H225" s="6">
        <v>32886.316403999997</v>
      </c>
      <c r="I225" s="2"/>
      <c r="J225" s="7">
        <f t="shared" si="38"/>
        <v>2.3577696709743336E-2</v>
      </c>
      <c r="K225" s="2"/>
      <c r="L225" s="6">
        <f t="shared" si="39"/>
        <v>-12821.636403999997</v>
      </c>
      <c r="M225" s="2"/>
      <c r="N225" s="7">
        <f t="shared" si="40"/>
        <v>-0.38987754805036445</v>
      </c>
      <c r="O225" s="11"/>
      <c r="P225" s="6">
        <v>1218146.98</v>
      </c>
      <c r="Q225" s="2"/>
      <c r="R225" s="7">
        <f t="shared" si="41"/>
        <v>4.2543176063736018E-2</v>
      </c>
      <c r="S225" s="2"/>
      <c r="T225" s="6">
        <v>662929.475034</v>
      </c>
      <c r="U225" s="2"/>
      <c r="V225" s="7">
        <f t="shared" si="42"/>
        <v>1.7673317046279204E-2</v>
      </c>
      <c r="W225" s="2"/>
      <c r="X225" s="6">
        <f t="shared" si="43"/>
        <v>555217.50496599998</v>
      </c>
      <c r="Y225" s="2"/>
      <c r="Z225" s="7">
        <f t="shared" si="44"/>
        <v>0.83752122341147106</v>
      </c>
    </row>
    <row r="226" spans="1:26" s="24" customFormat="1" hidden="1" outlineLevel="2" x14ac:dyDescent="0.25">
      <c r="A226" s="27"/>
      <c r="B226" s="11" t="str">
        <f>CONCATENATE("          ", "6006", " - ", "TEMPORARY PART TIME")</f>
        <v xml:space="preserve">          6006 - TEMPORARY PART TIME</v>
      </c>
      <c r="C226" s="11"/>
      <c r="D226" s="6">
        <v>2246.59</v>
      </c>
      <c r="E226" s="2"/>
      <c r="F226" s="7">
        <f t="shared" si="37"/>
        <v>3.8434612478035726E-3</v>
      </c>
      <c r="G226" s="2"/>
      <c r="H226" s="6">
        <v>0</v>
      </c>
      <c r="I226" s="2"/>
      <c r="J226" s="7">
        <f t="shared" si="38"/>
        <v>0</v>
      </c>
      <c r="K226" s="2"/>
      <c r="L226" s="6">
        <f t="shared" si="39"/>
        <v>2246.59</v>
      </c>
      <c r="M226" s="2"/>
      <c r="N226" s="7">
        <f t="shared" si="40"/>
        <v>0</v>
      </c>
      <c r="O226" s="11"/>
      <c r="P226" s="6">
        <v>114083.83</v>
      </c>
      <c r="Q226" s="2"/>
      <c r="R226" s="7">
        <f t="shared" si="41"/>
        <v>3.9843208950986597E-3</v>
      </c>
      <c r="S226" s="2"/>
      <c r="T226" s="6">
        <v>0</v>
      </c>
      <c r="U226" s="2"/>
      <c r="V226" s="7">
        <f t="shared" si="42"/>
        <v>0</v>
      </c>
      <c r="W226" s="2"/>
      <c r="X226" s="6">
        <f t="shared" si="43"/>
        <v>114083.83</v>
      </c>
      <c r="Y226" s="2"/>
      <c r="Z226" s="7">
        <f t="shared" si="44"/>
        <v>0</v>
      </c>
    </row>
    <row r="227" spans="1:26" s="24" customFormat="1" hidden="1" outlineLevel="2" x14ac:dyDescent="0.25">
      <c r="A227" s="27"/>
      <c r="B227" s="11" t="str">
        <f>CONCATENATE("          ", "6007", " - ", "STUDENT HOURLY")</f>
        <v xml:space="preserve">          6007 - STUDENT HOURLY</v>
      </c>
      <c r="C227" s="11"/>
      <c r="D227" s="6">
        <v>17512.449999999997</v>
      </c>
      <c r="E227" s="2"/>
      <c r="F227" s="7">
        <f t="shared" si="37"/>
        <v>2.996026107527304E-2</v>
      </c>
      <c r="G227" s="2"/>
      <c r="H227" s="6">
        <v>128184.3067224992</v>
      </c>
      <c r="I227" s="2"/>
      <c r="J227" s="7">
        <f t="shared" si="38"/>
        <v>9.1901162469026035E-2</v>
      </c>
      <c r="K227" s="2"/>
      <c r="L227" s="6">
        <f t="shared" si="39"/>
        <v>-110671.8567224992</v>
      </c>
      <c r="M227" s="2"/>
      <c r="N227" s="7">
        <f t="shared" si="40"/>
        <v>-0.86338070199254613</v>
      </c>
      <c r="O227" s="11"/>
      <c r="P227" s="6">
        <v>2511655.41</v>
      </c>
      <c r="Q227" s="2"/>
      <c r="R227" s="7">
        <f t="shared" si="41"/>
        <v>8.7718313203112061E-2</v>
      </c>
      <c r="S227" s="2"/>
      <c r="T227" s="6">
        <v>836427.46967369923</v>
      </c>
      <c r="U227" s="2"/>
      <c r="V227" s="7">
        <f t="shared" si="42"/>
        <v>2.2298673410172654E-2</v>
      </c>
      <c r="W227" s="2"/>
      <c r="X227" s="6">
        <f t="shared" si="43"/>
        <v>1675227.9403263009</v>
      </c>
      <c r="Y227" s="2"/>
      <c r="Z227" s="7">
        <f t="shared" si="44"/>
        <v>2.0028370672472393</v>
      </c>
    </row>
    <row r="228" spans="1:26" s="24" customFormat="1" hidden="1" outlineLevel="2" x14ac:dyDescent="0.25">
      <c r="A228" s="27"/>
      <c r="B228" s="11" t="str">
        <f>CONCATENATE("          ", "6008", " - ", "STUDENT HOURLY-FICA EXEMPT")</f>
        <v xml:space="preserve">          6008 - STUDENT HOURLY-FICA EXEMPT</v>
      </c>
      <c r="C228" s="11"/>
      <c r="D228" s="6"/>
      <c r="E228" s="2"/>
      <c r="F228" s="7">
        <f t="shared" si="37"/>
        <v>0</v>
      </c>
      <c r="G228" s="2"/>
      <c r="H228" s="6">
        <v>12896.659722</v>
      </c>
      <c r="I228" s="2"/>
      <c r="J228" s="7">
        <f t="shared" si="38"/>
        <v>9.2462022124525332E-3</v>
      </c>
      <c r="K228" s="2"/>
      <c r="L228" s="6">
        <f t="shared" si="39"/>
        <v>-12896.659722</v>
      </c>
      <c r="M228" s="2"/>
      <c r="N228" s="7">
        <f t="shared" si="40"/>
        <v>-1</v>
      </c>
      <c r="O228" s="11"/>
      <c r="P228" s="6">
        <v>241146.53999999998</v>
      </c>
      <c r="Q228" s="2"/>
      <c r="R228" s="7">
        <f t="shared" si="41"/>
        <v>8.4219227045826284E-3</v>
      </c>
      <c r="S228" s="2"/>
      <c r="T228" s="6">
        <v>2733192.6521132751</v>
      </c>
      <c r="U228" s="2"/>
      <c r="V228" s="7">
        <f t="shared" si="42"/>
        <v>7.2865338031441726E-2</v>
      </c>
      <c r="W228" s="2"/>
      <c r="X228" s="6">
        <f t="shared" si="43"/>
        <v>-2492046.1121132751</v>
      </c>
      <c r="Y228" s="2"/>
      <c r="Z228" s="7">
        <f t="shared" si="44"/>
        <v>-0.91177111506810615</v>
      </c>
    </row>
    <row r="229" spans="1:26" s="24" customFormat="1" hidden="1" outlineLevel="2" x14ac:dyDescent="0.25">
      <c r="A229" s="27"/>
      <c r="B229" s="11" t="str">
        <f>CONCATENATE("          ", "6009", " - ", "TEMPORARY-SEASONAL")</f>
        <v xml:space="preserve">          6009 - TEMPORARY-SEASONAL</v>
      </c>
      <c r="C229" s="11"/>
      <c r="D229" s="6"/>
      <c r="E229" s="2"/>
      <c r="F229" s="7">
        <f t="shared" si="37"/>
        <v>0</v>
      </c>
      <c r="G229" s="2"/>
      <c r="H229" s="6">
        <v>0</v>
      </c>
      <c r="I229" s="2"/>
      <c r="J229" s="7">
        <f t="shared" si="38"/>
        <v>0</v>
      </c>
      <c r="K229" s="2"/>
      <c r="L229" s="6">
        <f t="shared" si="39"/>
        <v>0</v>
      </c>
      <c r="M229" s="2"/>
      <c r="N229" s="7">
        <f t="shared" si="40"/>
        <v>0</v>
      </c>
      <c r="O229" s="11"/>
      <c r="P229" s="6"/>
      <c r="Q229" s="2"/>
      <c r="R229" s="7">
        <f t="shared" si="41"/>
        <v>0</v>
      </c>
      <c r="S229" s="2"/>
      <c r="T229" s="6">
        <v>0</v>
      </c>
      <c r="U229" s="2"/>
      <c r="V229" s="7">
        <f t="shared" si="42"/>
        <v>0</v>
      </c>
      <c r="W229" s="2"/>
      <c r="X229" s="6">
        <f t="shared" si="43"/>
        <v>0</v>
      </c>
      <c r="Y229" s="2"/>
      <c r="Z229" s="7">
        <f t="shared" si="44"/>
        <v>0</v>
      </c>
    </row>
    <row r="230" spans="1:26" s="24" customFormat="1" hidden="1" outlineLevel="2" x14ac:dyDescent="0.25">
      <c r="A230" s="27"/>
      <c r="B230" s="11" t="str">
        <f>CONCATENATE("          ", "6010", " - ", "GRATUITY")</f>
        <v xml:space="preserve">          6010 - GRATUITY</v>
      </c>
      <c r="C230" s="11"/>
      <c r="D230" s="6"/>
      <c r="E230" s="2"/>
      <c r="F230" s="7">
        <f t="shared" si="37"/>
        <v>0</v>
      </c>
      <c r="G230" s="2"/>
      <c r="H230" s="6">
        <v>0</v>
      </c>
      <c r="I230" s="2"/>
      <c r="J230" s="7">
        <f t="shared" si="38"/>
        <v>0</v>
      </c>
      <c r="K230" s="2"/>
      <c r="L230" s="6">
        <f t="shared" si="39"/>
        <v>0</v>
      </c>
      <c r="M230" s="2"/>
      <c r="N230" s="7">
        <f t="shared" si="40"/>
        <v>0</v>
      </c>
      <c r="O230" s="11"/>
      <c r="P230" s="6"/>
      <c r="Q230" s="2"/>
      <c r="R230" s="7">
        <f t="shared" si="41"/>
        <v>0</v>
      </c>
      <c r="S230" s="2"/>
      <c r="T230" s="6">
        <v>0</v>
      </c>
      <c r="U230" s="2"/>
      <c r="V230" s="7">
        <f t="shared" si="42"/>
        <v>0</v>
      </c>
      <c r="W230" s="2"/>
      <c r="X230" s="6">
        <f t="shared" si="43"/>
        <v>0</v>
      </c>
      <c r="Y230" s="2"/>
      <c r="Z230" s="7">
        <f t="shared" si="44"/>
        <v>0</v>
      </c>
    </row>
    <row r="231" spans="1:26" s="26" customFormat="1" outlineLevel="1" collapsed="1" x14ac:dyDescent="0.25">
      <c r="A231" s="25"/>
      <c r="B231" s="12" t="str">
        <f>CONCATENATE("     ","Advertising/Promo                                 ")</f>
        <v xml:space="preserve">     Advertising/Promo                                 </v>
      </c>
      <c r="C231" s="12"/>
      <c r="D231" s="1">
        <f>SUM(OSRRefD22_2x_0)</f>
        <v>-2380.7399999999998</v>
      </c>
      <c r="E231" s="1"/>
      <c r="F231" s="5">
        <f t="shared" ref="F231:F235" si="45">IF(D$12=0,0,D231/D$12)</f>
        <v>-4.0729647737664087E-3</v>
      </c>
      <c r="G231" s="1"/>
      <c r="H231" s="1">
        <f>SUM(OSRRefH22_2x_0)</f>
        <v>5520</v>
      </c>
      <c r="I231" s="1"/>
      <c r="J231" s="5">
        <f t="shared" ref="J231:J235" si="46">IF(H$12=0,0,H231/H$12)</f>
        <v>3.9575391855669511E-3</v>
      </c>
      <c r="K231" s="1"/>
      <c r="L231" s="1">
        <f t="shared" ref="L231:L235" si="47">+D231-H231</f>
        <v>-7900.74</v>
      </c>
      <c r="M231" s="1"/>
      <c r="N231" s="5">
        <f t="shared" ref="N231:N235" si="48">IF(H231=0,0,L231/H231)</f>
        <v>-1.4312934782608695</v>
      </c>
      <c r="O231" s="12"/>
      <c r="P231" s="1">
        <f>SUM(OSRRefP22_2x_0)</f>
        <v>87492.22</v>
      </c>
      <c r="Q231" s="1"/>
      <c r="R231" s="5">
        <f t="shared" ref="R231:R235" si="49">IF(P$12=0,0,P231/P$12)</f>
        <v>3.0556221710348335E-3</v>
      </c>
      <c r="S231" s="1"/>
      <c r="T231" s="1">
        <f>SUM(OSRRefT22_2x_0)</f>
        <v>121950.00000000001</v>
      </c>
      <c r="U231" s="1"/>
      <c r="V231" s="5">
        <f t="shared" ref="V231:V235" si="50">IF(T$12=0,0,T231/T$12)</f>
        <v>3.2511165892619444E-3</v>
      </c>
      <c r="W231" s="1"/>
      <c r="X231" s="1">
        <f t="shared" ref="X231:X235" si="51">+P231-T231</f>
        <v>-34457.780000000013</v>
      </c>
      <c r="Y231" s="1"/>
      <c r="Z231" s="5">
        <f t="shared" ref="Z231:Z235" si="52">IF(T231=0,0,X231/T231)</f>
        <v>-0.28255662156621575</v>
      </c>
    </row>
    <row r="232" spans="1:26" s="24" customFormat="1" hidden="1" outlineLevel="2" x14ac:dyDescent="0.25">
      <c r="A232" s="27"/>
      <c r="B232" s="11" t="str">
        <f>CONCATENATE("          ", "6362", " - ", "ADVERTISING EXPENSE")</f>
        <v xml:space="preserve">          6362 - ADVERTISING EXPENSE</v>
      </c>
      <c r="C232" s="11"/>
      <c r="D232" s="6">
        <v>-2380.7399999999998</v>
      </c>
      <c r="E232" s="2"/>
      <c r="F232" s="7">
        <f t="shared" si="45"/>
        <v>-4.0729647737664087E-3</v>
      </c>
      <c r="G232" s="2"/>
      <c r="H232" s="6">
        <v>5520</v>
      </c>
      <c r="I232" s="2"/>
      <c r="J232" s="7">
        <f t="shared" si="46"/>
        <v>3.9575391855669511E-3</v>
      </c>
      <c r="K232" s="2"/>
      <c r="L232" s="6">
        <f t="shared" si="47"/>
        <v>-7900.74</v>
      </c>
      <c r="M232" s="2"/>
      <c r="N232" s="7">
        <f t="shared" si="48"/>
        <v>-1.4312934782608695</v>
      </c>
      <c r="O232" s="11"/>
      <c r="P232" s="6">
        <v>87492.22</v>
      </c>
      <c r="Q232" s="2"/>
      <c r="R232" s="7">
        <f t="shared" si="49"/>
        <v>3.0556221710348335E-3</v>
      </c>
      <c r="S232" s="2"/>
      <c r="T232" s="6">
        <v>121950.00000000001</v>
      </c>
      <c r="U232" s="2"/>
      <c r="V232" s="7">
        <f t="shared" si="50"/>
        <v>3.2511165892619444E-3</v>
      </c>
      <c r="W232" s="2"/>
      <c r="X232" s="6">
        <f t="shared" si="51"/>
        <v>-34457.780000000013</v>
      </c>
      <c r="Y232" s="2"/>
      <c r="Z232" s="7">
        <f t="shared" si="52"/>
        <v>-0.28255662156621575</v>
      </c>
    </row>
    <row r="233" spans="1:26" s="26" customFormat="1" outlineLevel="1" collapsed="1" x14ac:dyDescent="0.25">
      <c r="A233" s="25"/>
      <c r="B233" s="12" t="str">
        <f>CONCATENATE("     ","Bad Debts/Over/Short                              ")</f>
        <v xml:space="preserve">     Bad Debts/Over/Short                              </v>
      </c>
      <c r="C233" s="12"/>
      <c r="D233" s="1">
        <f>SUM(OSRRefD22_3x_0)</f>
        <v>0</v>
      </c>
      <c r="E233" s="1"/>
      <c r="F233" s="5">
        <f t="shared" si="45"/>
        <v>0</v>
      </c>
      <c r="G233" s="1"/>
      <c r="H233" s="1">
        <f>SUM(OSRRefH22_3x_0)</f>
        <v>402</v>
      </c>
      <c r="I233" s="1"/>
      <c r="J233" s="5">
        <f t="shared" si="46"/>
        <v>2.8821209286194099E-4</v>
      </c>
      <c r="K233" s="1"/>
      <c r="L233" s="1">
        <f t="shared" si="47"/>
        <v>-402</v>
      </c>
      <c r="M233" s="1"/>
      <c r="N233" s="5">
        <f t="shared" si="48"/>
        <v>-1</v>
      </c>
      <c r="O233" s="12"/>
      <c r="P233" s="1">
        <f>SUM(OSRRefP22_3x_0)</f>
        <v>-656.94</v>
      </c>
      <c r="Q233" s="1"/>
      <c r="R233" s="5">
        <f t="shared" si="49"/>
        <v>-2.2943302033479363E-5</v>
      </c>
      <c r="S233" s="1"/>
      <c r="T233" s="1">
        <f>SUM(OSRRefT22_3x_0)</f>
        <v>4836</v>
      </c>
      <c r="U233" s="1"/>
      <c r="V233" s="5">
        <f t="shared" si="50"/>
        <v>1.2892496782017842E-4</v>
      </c>
      <c r="W233" s="1"/>
      <c r="X233" s="1">
        <f t="shared" si="51"/>
        <v>-5492.9400000000005</v>
      </c>
      <c r="Y233" s="1"/>
      <c r="Z233" s="5">
        <f t="shared" si="52"/>
        <v>-1.1358436724565757</v>
      </c>
    </row>
    <row r="234" spans="1:26" s="24" customFormat="1" hidden="1" outlineLevel="2" x14ac:dyDescent="0.25">
      <c r="A234" s="27"/>
      <c r="B234" s="11" t="str">
        <f>CONCATENATE("          ", "6272", " - ", "CASH (OVER/SHORT)")</f>
        <v xml:space="preserve">          6272 - CASH (OVER/SHORT)</v>
      </c>
      <c r="C234" s="11"/>
      <c r="D234" s="6"/>
      <c r="E234" s="2"/>
      <c r="F234" s="7">
        <f t="shared" si="45"/>
        <v>0</v>
      </c>
      <c r="G234" s="2"/>
      <c r="H234" s="6">
        <v>342</v>
      </c>
      <c r="I234" s="2"/>
      <c r="J234" s="7">
        <f t="shared" si="46"/>
        <v>2.4519536258403937E-4</v>
      </c>
      <c r="K234" s="2"/>
      <c r="L234" s="6">
        <f t="shared" si="47"/>
        <v>-342</v>
      </c>
      <c r="M234" s="2"/>
      <c r="N234" s="7">
        <f t="shared" si="48"/>
        <v>-1</v>
      </c>
      <c r="O234" s="11"/>
      <c r="P234" s="6">
        <v>-701.74</v>
      </c>
      <c r="Q234" s="2"/>
      <c r="R234" s="7">
        <f t="shared" si="49"/>
        <v>-2.45079197019116E-5</v>
      </c>
      <c r="S234" s="2"/>
      <c r="T234" s="6">
        <v>4166</v>
      </c>
      <c r="U234" s="2"/>
      <c r="V234" s="7">
        <f t="shared" si="50"/>
        <v>1.1106315466064172E-4</v>
      </c>
      <c r="W234" s="2"/>
      <c r="X234" s="6">
        <f t="shared" si="51"/>
        <v>-4867.74</v>
      </c>
      <c r="Y234" s="2"/>
      <c r="Z234" s="7">
        <f t="shared" si="52"/>
        <v>-1.1684445511281805</v>
      </c>
    </row>
    <row r="235" spans="1:26" s="24" customFormat="1" hidden="1" outlineLevel="2" x14ac:dyDescent="0.25">
      <c r="A235" s="27"/>
      <c r="B235" s="11" t="str">
        <f>CONCATENATE("          ", "6342", " - ", "BAD DEBT")</f>
        <v xml:space="preserve">          6342 - BAD DEBT</v>
      </c>
      <c r="C235" s="11"/>
      <c r="D235" s="6"/>
      <c r="E235" s="2"/>
      <c r="F235" s="7">
        <f t="shared" si="45"/>
        <v>0</v>
      </c>
      <c r="G235" s="2"/>
      <c r="H235" s="6">
        <v>60</v>
      </c>
      <c r="I235" s="2"/>
      <c r="J235" s="7">
        <f t="shared" si="46"/>
        <v>4.3016730277901643E-5</v>
      </c>
      <c r="K235" s="2"/>
      <c r="L235" s="6">
        <f t="shared" si="47"/>
        <v>-60</v>
      </c>
      <c r="M235" s="2"/>
      <c r="N235" s="7">
        <f t="shared" si="48"/>
        <v>-1</v>
      </c>
      <c r="O235" s="11"/>
      <c r="P235" s="6">
        <v>44.8</v>
      </c>
      <c r="Q235" s="2"/>
      <c r="R235" s="7">
        <f t="shared" si="49"/>
        <v>1.5646176684322392E-6</v>
      </c>
      <c r="S235" s="2"/>
      <c r="T235" s="6">
        <v>670</v>
      </c>
      <c r="U235" s="2"/>
      <c r="V235" s="7">
        <f t="shared" si="50"/>
        <v>1.7861813159536715E-5</v>
      </c>
      <c r="W235" s="2"/>
      <c r="X235" s="6">
        <f t="shared" si="51"/>
        <v>-625.20000000000005</v>
      </c>
      <c r="Y235" s="2"/>
      <c r="Z235" s="7">
        <f t="shared" si="52"/>
        <v>-0.93313432835820898</v>
      </c>
    </row>
    <row r="236" spans="1:26" s="26" customFormat="1" outlineLevel="1" collapsed="1" x14ac:dyDescent="0.25">
      <c r="A236" s="25"/>
      <c r="B236" s="12" t="str">
        <f>CONCATENATE("     ","Bank/card Fees                                    ")</f>
        <v xml:space="preserve">     Bank/card Fees                                    </v>
      </c>
      <c r="C236" s="12"/>
      <c r="D236" s="1">
        <f>SUM(OSRRefD22_4x_0)</f>
        <v>4205.91</v>
      </c>
      <c r="E236" s="1"/>
      <c r="F236" s="5">
        <f t="shared" ref="F236:F242" si="53">IF(D$12=0,0,D236/D$12)</f>
        <v>7.1954616092609345E-3</v>
      </c>
      <c r="G236" s="1"/>
      <c r="H236" s="1">
        <f>SUM(OSRRefH22_4x_0)</f>
        <v>18220</v>
      </c>
      <c r="I236" s="1"/>
      <c r="J236" s="5">
        <f t="shared" ref="J236:J242" si="54">IF(H$12=0,0,H236/H$12)</f>
        <v>1.3062747094389466E-2</v>
      </c>
      <c r="K236" s="1"/>
      <c r="L236" s="1">
        <f t="shared" ref="L236:L242" si="55">+D236-H236</f>
        <v>-14014.09</v>
      </c>
      <c r="M236" s="1"/>
      <c r="N236" s="5">
        <f t="shared" ref="N236:N242" si="56">IF(H236=0,0,L236/H236)</f>
        <v>-0.7691597145993414</v>
      </c>
      <c r="O236" s="12"/>
      <c r="P236" s="1">
        <f>SUM(OSRRefP22_4x_0)</f>
        <v>409031.82</v>
      </c>
      <c r="Q236" s="1"/>
      <c r="R236" s="5">
        <f t="shared" ref="R236:R242" si="57">IF(P$12=0,0,P236/P$12)</f>
        <v>1.4285232422388291E-2</v>
      </c>
      <c r="S236" s="1"/>
      <c r="T236" s="1">
        <f>SUM(OSRRefT22_4x_0)</f>
        <v>439750</v>
      </c>
      <c r="U236" s="1"/>
      <c r="V236" s="5">
        <f t="shared" ref="V236:V242" si="58">IF(T$12=0,0,T236/T$12)</f>
        <v>1.1723481099860105E-2</v>
      </c>
      <c r="W236" s="1"/>
      <c r="X236" s="1">
        <f t="shared" ref="X236:X242" si="59">+P236-T236</f>
        <v>-30718.179999999993</v>
      </c>
      <c r="Y236" s="1"/>
      <c r="Z236" s="5">
        <f t="shared" ref="Z236:Z242" si="60">IF(T236=0,0,X236/T236)</f>
        <v>-6.9853735076748136E-2</v>
      </c>
    </row>
    <row r="237" spans="1:26" s="24" customFormat="1" hidden="1" outlineLevel="2" x14ac:dyDescent="0.25">
      <c r="A237" s="27"/>
      <c r="B237" s="11" t="str">
        <f>CONCATENATE("          ", "6381", " - ", "BANK/CREDIT CARD FEES")</f>
        <v xml:space="preserve">          6381 - BANK/CREDIT CARD FEES</v>
      </c>
      <c r="C237" s="11"/>
      <c r="D237" s="6">
        <v>4205.91</v>
      </c>
      <c r="E237" s="2"/>
      <c r="F237" s="7">
        <f t="shared" si="53"/>
        <v>7.1954616092609345E-3</v>
      </c>
      <c r="G237" s="2"/>
      <c r="H237" s="6">
        <v>18220</v>
      </c>
      <c r="I237" s="2"/>
      <c r="J237" s="7">
        <f t="shared" si="54"/>
        <v>1.3062747094389466E-2</v>
      </c>
      <c r="K237" s="2"/>
      <c r="L237" s="6">
        <f t="shared" si="55"/>
        <v>-14014.09</v>
      </c>
      <c r="M237" s="2"/>
      <c r="N237" s="7">
        <f t="shared" si="56"/>
        <v>-0.7691597145993414</v>
      </c>
      <c r="O237" s="11"/>
      <c r="P237" s="6">
        <v>409031.82</v>
      </c>
      <c r="Q237" s="2"/>
      <c r="R237" s="7">
        <f t="shared" si="57"/>
        <v>1.4285232422388291E-2</v>
      </c>
      <c r="S237" s="2"/>
      <c r="T237" s="6">
        <v>439750</v>
      </c>
      <c r="U237" s="2"/>
      <c r="V237" s="7">
        <f t="shared" si="58"/>
        <v>1.1723481099860105E-2</v>
      </c>
      <c r="W237" s="2"/>
      <c r="X237" s="6">
        <f t="shared" si="59"/>
        <v>-30718.179999999993</v>
      </c>
      <c r="Y237" s="2"/>
      <c r="Z237" s="7">
        <f t="shared" si="60"/>
        <v>-6.9853735076748136E-2</v>
      </c>
    </row>
    <row r="238" spans="1:26" s="26" customFormat="1" outlineLevel="1" collapsed="1" x14ac:dyDescent="0.25">
      <c r="A238" s="25"/>
      <c r="B238" s="12" t="str">
        <f>CONCATENATE("     ","Depreciation                                      ")</f>
        <v xml:space="preserve">     Depreciation                                      </v>
      </c>
      <c r="C238" s="12"/>
      <c r="D238" s="1">
        <f>SUM(OSRRefD22_5x_0)</f>
        <v>77570.97</v>
      </c>
      <c r="E238" s="1"/>
      <c r="F238" s="5">
        <f t="shared" si="53"/>
        <v>0.1327082454517885</v>
      </c>
      <c r="G238" s="1"/>
      <c r="H238" s="1">
        <f>SUM(OSRRefH22_5x_0)</f>
        <v>85493</v>
      </c>
      <c r="I238" s="1"/>
      <c r="J238" s="5">
        <f t="shared" si="54"/>
        <v>6.1293822027477421E-2</v>
      </c>
      <c r="K238" s="1"/>
      <c r="L238" s="1">
        <f t="shared" si="55"/>
        <v>-7922.0299999999988</v>
      </c>
      <c r="M238" s="1"/>
      <c r="N238" s="5">
        <f t="shared" si="56"/>
        <v>-9.2662908074345254E-2</v>
      </c>
      <c r="O238" s="12"/>
      <c r="P238" s="1">
        <f>SUM(OSRRefP22_5x_0)</f>
        <v>944656.55</v>
      </c>
      <c r="Q238" s="1"/>
      <c r="R238" s="5">
        <f t="shared" si="57"/>
        <v>3.2991659123442929E-2</v>
      </c>
      <c r="S238" s="1"/>
      <c r="T238" s="1">
        <f>SUM(OSRRefT22_5x_0)</f>
        <v>999377</v>
      </c>
      <c r="U238" s="1"/>
      <c r="V238" s="5">
        <f t="shared" si="58"/>
        <v>2.6642813805878095E-2</v>
      </c>
      <c r="W238" s="1"/>
      <c r="X238" s="1">
        <f t="shared" si="59"/>
        <v>-54720.449999999953</v>
      </c>
      <c r="Y238" s="1"/>
      <c r="Z238" s="5">
        <f t="shared" si="60"/>
        <v>-5.4754562092183386E-2</v>
      </c>
    </row>
    <row r="239" spans="1:26" s="24" customFormat="1" hidden="1" outlineLevel="2" x14ac:dyDescent="0.25">
      <c r="A239" s="27"/>
      <c r="B239" s="11" t="str">
        <f>CONCATENATE("          ", "6321", " - ", "BUILDING DEPRECIATION")</f>
        <v xml:space="preserve">          6321 - BUILDING DEPRECIATION</v>
      </c>
      <c r="C239" s="11"/>
      <c r="D239" s="6">
        <v>45504.62</v>
      </c>
      <c r="E239" s="2"/>
      <c r="F239" s="7">
        <f t="shared" si="53"/>
        <v>7.784920415653386E-2</v>
      </c>
      <c r="G239" s="2"/>
      <c r="H239" s="6">
        <v>44515</v>
      </c>
      <c r="I239" s="2"/>
      <c r="J239" s="7">
        <f t="shared" si="54"/>
        <v>3.1914829138679858E-2</v>
      </c>
      <c r="K239" s="2"/>
      <c r="L239" s="6">
        <f t="shared" si="55"/>
        <v>989.62000000000262</v>
      </c>
      <c r="M239" s="2"/>
      <c r="N239" s="7">
        <f t="shared" si="56"/>
        <v>2.2231158036616929E-2</v>
      </c>
      <c r="O239" s="11"/>
      <c r="P239" s="6">
        <v>546224.51</v>
      </c>
      <c r="Q239" s="2"/>
      <c r="R239" s="7">
        <f t="shared" si="57"/>
        <v>1.9076618733855858E-2</v>
      </c>
      <c r="S239" s="2"/>
      <c r="T239" s="6">
        <v>534594</v>
      </c>
      <c r="U239" s="2"/>
      <c r="V239" s="7">
        <f t="shared" si="58"/>
        <v>1.4251967379416971E-2</v>
      </c>
      <c r="W239" s="2"/>
      <c r="X239" s="6">
        <f t="shared" si="59"/>
        <v>11630.510000000009</v>
      </c>
      <c r="Y239" s="2"/>
      <c r="Z239" s="7">
        <f t="shared" si="60"/>
        <v>2.1755781022607827E-2</v>
      </c>
    </row>
    <row r="240" spans="1:26" s="24" customFormat="1" hidden="1" outlineLevel="2" x14ac:dyDescent="0.25">
      <c r="A240" s="27"/>
      <c r="B240" s="11" t="str">
        <f>CONCATENATE("          ", "6322", " - ", "EQUIPMENT DEPRECIATION EXPENSE")</f>
        <v xml:space="preserve">          6322 - EQUIPMENT DEPRECIATION EXPENSE</v>
      </c>
      <c r="C240" s="11"/>
      <c r="D240" s="6">
        <v>32066.350000000002</v>
      </c>
      <c r="E240" s="2"/>
      <c r="F240" s="7">
        <f t="shared" si="53"/>
        <v>5.4859041295254631E-2</v>
      </c>
      <c r="G240" s="2"/>
      <c r="H240" s="6">
        <v>31525</v>
      </c>
      <c r="I240" s="2"/>
      <c r="J240" s="7">
        <f t="shared" si="54"/>
        <v>2.2601707033514155E-2</v>
      </c>
      <c r="K240" s="2"/>
      <c r="L240" s="6">
        <f t="shared" si="55"/>
        <v>541.35000000000218</v>
      </c>
      <c r="M240" s="2"/>
      <c r="N240" s="7">
        <f t="shared" si="56"/>
        <v>1.7172085646312521E-2</v>
      </c>
      <c r="O240" s="11"/>
      <c r="P240" s="6">
        <v>394189.56</v>
      </c>
      <c r="Q240" s="2"/>
      <c r="R240" s="7">
        <f t="shared" si="57"/>
        <v>1.3766873890346658E-2</v>
      </c>
      <c r="S240" s="2"/>
      <c r="T240" s="6">
        <v>378300</v>
      </c>
      <c r="U240" s="2"/>
      <c r="V240" s="7">
        <f t="shared" si="58"/>
        <v>1.00852595794817E-2</v>
      </c>
      <c r="W240" s="2"/>
      <c r="X240" s="6">
        <f t="shared" si="59"/>
        <v>15889.559999999998</v>
      </c>
      <c r="Y240" s="2"/>
      <c r="Z240" s="7">
        <f t="shared" si="60"/>
        <v>4.2002537668517047E-2</v>
      </c>
    </row>
    <row r="241" spans="1:26" s="24" customFormat="1" hidden="1" outlineLevel="2" x14ac:dyDescent="0.25">
      <c r="A241" s="27"/>
      <c r="B241" s="11" t="str">
        <f>CONCATENATE("          ", "6324", " - ", "FURNITURE + FIXT DEPRECIATION")</f>
        <v xml:space="preserve">          6324 - FURNITURE + FIXT DEPRECIATION</v>
      </c>
      <c r="C241" s="11"/>
      <c r="D241" s="6"/>
      <c r="E241" s="2"/>
      <c r="F241" s="7">
        <f t="shared" si="53"/>
        <v>0</v>
      </c>
      <c r="G241" s="2"/>
      <c r="H241" s="6">
        <v>6946</v>
      </c>
      <c r="I241" s="2"/>
      <c r="J241" s="7">
        <f t="shared" si="54"/>
        <v>4.9799034751717465E-3</v>
      </c>
      <c r="K241" s="2"/>
      <c r="L241" s="6">
        <f t="shared" si="55"/>
        <v>-6946</v>
      </c>
      <c r="M241" s="2"/>
      <c r="N241" s="7">
        <f t="shared" si="56"/>
        <v>-1</v>
      </c>
      <c r="O241" s="11"/>
      <c r="P241" s="6"/>
      <c r="Q241" s="2"/>
      <c r="R241" s="7">
        <f t="shared" si="57"/>
        <v>0</v>
      </c>
      <c r="S241" s="2"/>
      <c r="T241" s="6">
        <v>62648</v>
      </c>
      <c r="U241" s="2"/>
      <c r="V241" s="7">
        <f t="shared" si="58"/>
        <v>1.6701595086845613E-3</v>
      </c>
      <c r="W241" s="2"/>
      <c r="X241" s="6">
        <f t="shared" si="59"/>
        <v>-62648</v>
      </c>
      <c r="Y241" s="2"/>
      <c r="Z241" s="7">
        <f t="shared" si="60"/>
        <v>-1</v>
      </c>
    </row>
    <row r="242" spans="1:26" s="24" customFormat="1" hidden="1" outlineLevel="2" x14ac:dyDescent="0.25">
      <c r="A242" s="27"/>
      <c r="B242" s="11" t="str">
        <f>CONCATENATE("          ", "6326", " - ", "VEHICLES DEPRECIATION EXPENSE")</f>
        <v xml:space="preserve">          6326 - VEHICLES DEPRECIATION EXPENSE</v>
      </c>
      <c r="C242" s="11"/>
      <c r="D242" s="6"/>
      <c r="E242" s="2"/>
      <c r="F242" s="7">
        <f t="shared" si="53"/>
        <v>0</v>
      </c>
      <c r="G242" s="2"/>
      <c r="H242" s="6">
        <v>2507</v>
      </c>
      <c r="I242" s="2"/>
      <c r="J242" s="7">
        <f t="shared" si="54"/>
        <v>1.7973823801116569E-3</v>
      </c>
      <c r="K242" s="2"/>
      <c r="L242" s="6">
        <f t="shared" si="55"/>
        <v>-2507</v>
      </c>
      <c r="M242" s="2"/>
      <c r="N242" s="7">
        <f t="shared" si="56"/>
        <v>-1</v>
      </c>
      <c r="O242" s="11"/>
      <c r="P242" s="6">
        <v>4242.4799999999996</v>
      </c>
      <c r="Q242" s="2"/>
      <c r="R242" s="7">
        <f t="shared" si="57"/>
        <v>1.4816649924041084E-4</v>
      </c>
      <c r="S242" s="2"/>
      <c r="T242" s="6">
        <v>23835</v>
      </c>
      <c r="U242" s="2"/>
      <c r="V242" s="7">
        <f t="shared" si="58"/>
        <v>6.3542733829486211E-4</v>
      </c>
      <c r="W242" s="2"/>
      <c r="X242" s="6">
        <f t="shared" si="59"/>
        <v>-19592.52</v>
      </c>
      <c r="Y242" s="2"/>
      <c r="Z242" s="7">
        <f t="shared" si="60"/>
        <v>-0.82200629326620522</v>
      </c>
    </row>
    <row r="243" spans="1:26" s="26" customFormat="1" outlineLevel="1" collapsed="1" x14ac:dyDescent="0.25">
      <c r="A243" s="25"/>
      <c r="B243" s="12" t="str">
        <f>CONCATENATE("     ","Discounts and Markdowns                           ")</f>
        <v xml:space="preserve">     Discounts and Markdowns                           </v>
      </c>
      <c r="C243" s="12"/>
      <c r="D243" s="1">
        <f>SUM(OSRRefD22_6x_0)</f>
        <v>42286.42</v>
      </c>
      <c r="E243" s="1"/>
      <c r="F243" s="5">
        <f t="shared" ref="F243:F245" si="61">IF(D$12=0,0,D243/D$12)</f>
        <v>7.2343514650357182E-2</v>
      </c>
      <c r="G243" s="1"/>
      <c r="H243" s="1">
        <f>SUM(OSRRefH22_6x_0)</f>
        <v>43725</v>
      </c>
      <c r="I243" s="1"/>
      <c r="J243" s="5">
        <f t="shared" ref="J243:J245" si="62">IF(H$12=0,0,H243/H$12)</f>
        <v>3.1348442190020823E-2</v>
      </c>
      <c r="K243" s="1"/>
      <c r="L243" s="1">
        <f t="shared" ref="L243:L245" si="63">+D243-H243</f>
        <v>-1438.5800000000017</v>
      </c>
      <c r="M243" s="1"/>
      <c r="N243" s="5">
        <f t="shared" ref="N243:N245" si="64">IF(H243=0,0,L243/H243)</f>
        <v>-3.2900628930817653E-2</v>
      </c>
      <c r="O243" s="12"/>
      <c r="P243" s="1">
        <f>SUM(OSRRefP22_6x_0)</f>
        <v>464181.86000000004</v>
      </c>
      <c r="Q243" s="1"/>
      <c r="R243" s="5">
        <f t="shared" ref="R243:R245" si="65">IF(P$12=0,0,P243/P$12)</f>
        <v>1.6211320078610272E-2</v>
      </c>
      <c r="S243" s="1"/>
      <c r="T243" s="1">
        <f>SUM(OSRRefT22_6x_0)</f>
        <v>399500</v>
      </c>
      <c r="U243" s="1"/>
      <c r="V243" s="5">
        <f t="shared" ref="V243:V245" si="66">IF(T$12=0,0,T243/T$12)</f>
        <v>1.0650439339156593E-2</v>
      </c>
      <c r="W243" s="1"/>
      <c r="X243" s="1">
        <f t="shared" ref="X243:X245" si="67">+P243-T243</f>
        <v>64681.860000000044</v>
      </c>
      <c r="Y243" s="1"/>
      <c r="Z243" s="5">
        <f t="shared" ref="Z243:Z245" si="68">IF(T243=0,0,X243/T243)</f>
        <v>0.16190703379224042</v>
      </c>
    </row>
    <row r="244" spans="1:26" s="24" customFormat="1" hidden="1" outlineLevel="2" x14ac:dyDescent="0.25">
      <c r="A244" s="27"/>
      <c r="B244" s="11" t="str">
        <f>CONCATENATE("          ", "6382", " - ", "DISCOUNTS/MARK DOWNS")</f>
        <v xml:space="preserve">          6382 - DISCOUNTS/MARK DOWNS</v>
      </c>
      <c r="C244" s="11"/>
      <c r="D244" s="6">
        <v>42289.279999999999</v>
      </c>
      <c r="E244" s="2"/>
      <c r="F244" s="7">
        <f t="shared" si="61"/>
        <v>7.2348407532088474E-2</v>
      </c>
      <c r="G244" s="2"/>
      <c r="H244" s="6">
        <v>43725</v>
      </c>
      <c r="I244" s="2"/>
      <c r="J244" s="7">
        <f t="shared" si="62"/>
        <v>3.1348442190020823E-2</v>
      </c>
      <c r="K244" s="2"/>
      <c r="L244" s="6">
        <f t="shared" si="63"/>
        <v>-1435.7200000000012</v>
      </c>
      <c r="M244" s="2"/>
      <c r="N244" s="7">
        <f t="shared" si="64"/>
        <v>-3.2835220125786192E-2</v>
      </c>
      <c r="O244" s="11"/>
      <c r="P244" s="6">
        <v>467416.34</v>
      </c>
      <c r="Q244" s="2"/>
      <c r="R244" s="7">
        <f t="shared" si="65"/>
        <v>1.6324282680310959E-2</v>
      </c>
      <c r="S244" s="2"/>
      <c r="T244" s="6">
        <v>399500</v>
      </c>
      <c r="U244" s="2"/>
      <c r="V244" s="7">
        <f t="shared" si="66"/>
        <v>1.0650439339156593E-2</v>
      </c>
      <c r="W244" s="2"/>
      <c r="X244" s="6">
        <f t="shared" si="67"/>
        <v>67916.340000000026</v>
      </c>
      <c r="Y244" s="2"/>
      <c r="Z244" s="7">
        <f t="shared" si="68"/>
        <v>0.17000335419274099</v>
      </c>
    </row>
    <row r="245" spans="1:26" s="24" customFormat="1" hidden="1" outlineLevel="2" x14ac:dyDescent="0.25">
      <c r="A245" s="27"/>
      <c r="B245" s="11" t="str">
        <f>CONCATENATE("          ", "9175", " - ", "EARNED DISCOUNTS")</f>
        <v xml:space="preserve">          9175 - EARNED DISCOUNTS</v>
      </c>
      <c r="C245" s="11"/>
      <c r="D245" s="6">
        <v>-2.86</v>
      </c>
      <c r="E245" s="2"/>
      <c r="F245" s="7">
        <f t="shared" si="61"/>
        <v>-4.8928817312986419E-6</v>
      </c>
      <c r="G245" s="2"/>
      <c r="H245" s="6"/>
      <c r="I245" s="2"/>
      <c r="J245" s="7">
        <f t="shared" si="62"/>
        <v>0</v>
      </c>
      <c r="K245" s="2"/>
      <c r="L245" s="6">
        <f t="shared" si="63"/>
        <v>-2.86</v>
      </c>
      <c r="M245" s="2"/>
      <c r="N245" s="7">
        <f t="shared" si="64"/>
        <v>0</v>
      </c>
      <c r="O245" s="11"/>
      <c r="P245" s="6">
        <v>-3234.48</v>
      </c>
      <c r="Q245" s="2"/>
      <c r="R245" s="7">
        <f t="shared" si="65"/>
        <v>-1.1296260170068549E-4</v>
      </c>
      <c r="S245" s="2"/>
      <c r="T245" s="6"/>
      <c r="U245" s="2"/>
      <c r="V245" s="7">
        <f t="shared" si="66"/>
        <v>0</v>
      </c>
      <c r="W245" s="2"/>
      <c r="X245" s="6">
        <f t="shared" si="67"/>
        <v>-3234.48</v>
      </c>
      <c r="Y245" s="2"/>
      <c r="Z245" s="7">
        <f t="shared" si="68"/>
        <v>0</v>
      </c>
    </row>
    <row r="246" spans="1:26" s="26" customFormat="1" outlineLevel="1" collapsed="1" x14ac:dyDescent="0.25">
      <c r="A246" s="25"/>
      <c r="B246" s="12" t="str">
        <f>CONCATENATE("     ","Donations                                         ")</f>
        <v xml:space="preserve">     Donations                                         </v>
      </c>
      <c r="C246" s="12"/>
      <c r="D246" s="1">
        <f>SUM(OSRRefD22_7x_0)</f>
        <v>0</v>
      </c>
      <c r="E246" s="1"/>
      <c r="F246" s="5">
        <f t="shared" ref="F246:F249" si="69">IF(D$12=0,0,D246/D$12)</f>
        <v>0</v>
      </c>
      <c r="G246" s="1"/>
      <c r="H246" s="1">
        <f>SUM(OSRRefH22_7x_0)</f>
        <v>1125</v>
      </c>
      <c r="I246" s="1"/>
      <c r="J246" s="5">
        <f t="shared" ref="J246:J249" si="70">IF(H$12=0,0,H246/H$12)</f>
        <v>8.0656369271065581E-4</v>
      </c>
      <c r="K246" s="1"/>
      <c r="L246" s="1">
        <f t="shared" ref="L246:L249" si="71">+D246-H246</f>
        <v>-1125</v>
      </c>
      <c r="M246" s="1"/>
      <c r="N246" s="5">
        <f t="shared" ref="N246:N249" si="72">IF(H246=0,0,L246/H246)</f>
        <v>-1</v>
      </c>
      <c r="O246" s="12"/>
      <c r="P246" s="1">
        <f>SUM(OSRRefP22_7x_0)</f>
        <v>151321.84000000003</v>
      </c>
      <c r="Q246" s="1"/>
      <c r="R246" s="5">
        <f t="shared" ref="R246:R249" si="73">IF(P$12=0,0,P246/P$12)</f>
        <v>5.2848398322249204E-3</v>
      </c>
      <c r="S246" s="1"/>
      <c r="T246" s="1">
        <f>SUM(OSRRefT22_7x_0)</f>
        <v>151908</v>
      </c>
      <c r="U246" s="1"/>
      <c r="V246" s="5">
        <f t="shared" ref="V246:V249" si="74">IF(T$12=0,0,T246/T$12)</f>
        <v>4.0497795722968704E-3</v>
      </c>
      <c r="W246" s="1"/>
      <c r="X246" s="1">
        <f t="shared" ref="X246:X249" si="75">+P246-T246</f>
        <v>-586.15999999997439</v>
      </c>
      <c r="Y246" s="1"/>
      <c r="Z246" s="5">
        <f t="shared" ref="Z246:Z249" si="76">IF(T246=0,0,X246/T246)</f>
        <v>-3.858651288937873E-3</v>
      </c>
    </row>
    <row r="247" spans="1:26" s="24" customFormat="1" hidden="1" outlineLevel="2" x14ac:dyDescent="0.25">
      <c r="A247" s="27"/>
      <c r="B247" s="11" t="str">
        <f>CONCATENATE("          ", "6395", " - ", "DONATION-OFF CAMPUS")</f>
        <v xml:space="preserve">          6395 - DONATION-OFF CAMPUS</v>
      </c>
      <c r="C247" s="11"/>
      <c r="D247" s="6"/>
      <c r="E247" s="2"/>
      <c r="F247" s="7">
        <f t="shared" si="69"/>
        <v>0</v>
      </c>
      <c r="G247" s="2"/>
      <c r="H247" s="6">
        <v>1025</v>
      </c>
      <c r="I247" s="2"/>
      <c r="J247" s="7">
        <f t="shared" si="70"/>
        <v>7.3486914224748644E-4</v>
      </c>
      <c r="K247" s="2"/>
      <c r="L247" s="6">
        <f t="shared" si="71"/>
        <v>-1025</v>
      </c>
      <c r="M247" s="2"/>
      <c r="N247" s="7">
        <f t="shared" si="72"/>
        <v>-1</v>
      </c>
      <c r="O247" s="11"/>
      <c r="P247" s="6"/>
      <c r="Q247" s="2"/>
      <c r="R247" s="7">
        <f t="shared" si="73"/>
        <v>0</v>
      </c>
      <c r="S247" s="2"/>
      <c r="T247" s="6">
        <v>12400</v>
      </c>
      <c r="U247" s="2"/>
      <c r="V247" s="7">
        <f t="shared" si="74"/>
        <v>3.3057684056456008E-4</v>
      </c>
      <c r="W247" s="2"/>
      <c r="X247" s="6">
        <f t="shared" si="75"/>
        <v>-12400</v>
      </c>
      <c r="Y247" s="2"/>
      <c r="Z247" s="7">
        <f t="shared" si="76"/>
        <v>-1</v>
      </c>
    </row>
    <row r="248" spans="1:26" s="24" customFormat="1" hidden="1" outlineLevel="2" x14ac:dyDescent="0.25">
      <c r="A248" s="27"/>
      <c r="B248" s="11" t="str">
        <f>CONCATENATE("          ", "6396", " - ", "COUPONS-CHARTROOM")</f>
        <v xml:space="preserve">          6396 - COUPONS-CHARTROOM</v>
      </c>
      <c r="C248" s="11"/>
      <c r="D248" s="6"/>
      <c r="E248" s="2"/>
      <c r="F248" s="7">
        <f t="shared" si="69"/>
        <v>0</v>
      </c>
      <c r="G248" s="2"/>
      <c r="H248" s="6">
        <v>100</v>
      </c>
      <c r="I248" s="2"/>
      <c r="J248" s="7">
        <f t="shared" si="70"/>
        <v>7.1694550463169399E-5</v>
      </c>
      <c r="K248" s="2"/>
      <c r="L248" s="6">
        <f t="shared" si="71"/>
        <v>-100</v>
      </c>
      <c r="M248" s="2"/>
      <c r="N248" s="7">
        <f t="shared" si="72"/>
        <v>-1</v>
      </c>
      <c r="O248" s="11"/>
      <c r="P248" s="6"/>
      <c r="Q248" s="2"/>
      <c r="R248" s="7">
        <f t="shared" si="73"/>
        <v>0</v>
      </c>
      <c r="S248" s="2"/>
      <c r="T248" s="6">
        <v>1200</v>
      </c>
      <c r="U248" s="2"/>
      <c r="V248" s="7">
        <f t="shared" si="74"/>
        <v>3.1991307151409042E-5</v>
      </c>
      <c r="W248" s="2"/>
      <c r="X248" s="6">
        <f t="shared" si="75"/>
        <v>-1200</v>
      </c>
      <c r="Y248" s="2"/>
      <c r="Z248" s="7">
        <f t="shared" si="76"/>
        <v>-1</v>
      </c>
    </row>
    <row r="249" spans="1:26" s="24" customFormat="1" hidden="1" outlineLevel="2" x14ac:dyDescent="0.25">
      <c r="A249" s="27"/>
      <c r="B249" s="11" t="str">
        <f>CONCATENATE("          ", "6399", " - ", "DONATION-ON CAMPUS")</f>
        <v xml:space="preserve">          6399 - DONATION-ON CAMPUS</v>
      </c>
      <c r="C249" s="11"/>
      <c r="D249" s="6"/>
      <c r="E249" s="2"/>
      <c r="F249" s="7">
        <f t="shared" si="69"/>
        <v>0</v>
      </c>
      <c r="G249" s="2"/>
      <c r="H249" s="6"/>
      <c r="I249" s="2"/>
      <c r="J249" s="7">
        <f t="shared" si="70"/>
        <v>0</v>
      </c>
      <c r="K249" s="2"/>
      <c r="L249" s="6">
        <f t="shared" si="71"/>
        <v>0</v>
      </c>
      <c r="M249" s="2"/>
      <c r="N249" s="7">
        <f t="shared" si="72"/>
        <v>0</v>
      </c>
      <c r="O249" s="11"/>
      <c r="P249" s="6">
        <v>151321.84000000003</v>
      </c>
      <c r="Q249" s="2"/>
      <c r="R249" s="7">
        <f t="shared" si="73"/>
        <v>5.2848398322249204E-3</v>
      </c>
      <c r="S249" s="2"/>
      <c r="T249" s="6">
        <v>138308</v>
      </c>
      <c r="U249" s="2"/>
      <c r="V249" s="7">
        <f t="shared" si="74"/>
        <v>3.6872114245809014E-3</v>
      </c>
      <c r="W249" s="2"/>
      <c r="X249" s="6">
        <f t="shared" si="75"/>
        <v>13013.840000000026</v>
      </c>
      <c r="Y249" s="2"/>
      <c r="Z249" s="7">
        <f t="shared" si="76"/>
        <v>9.4093183329959404E-2</v>
      </c>
    </row>
    <row r="250" spans="1:26" s="26" customFormat="1" outlineLevel="1" collapsed="1" x14ac:dyDescent="0.25">
      <c r="A250" s="25"/>
      <c r="B250" s="12" t="str">
        <f>CONCATENATE("     ","Employees' Appreciation                           ")</f>
        <v xml:space="preserve">     Employees' Appreciation                           </v>
      </c>
      <c r="C250" s="12"/>
      <c r="D250" s="1">
        <f>SUM(OSRRefD22_8x_0)</f>
        <v>57</v>
      </c>
      <c r="E250" s="1"/>
      <c r="F250" s="5">
        <f t="shared" ref="F250:F256" si="77">IF(D$12=0,0,D250/D$12)</f>
        <v>9.751547506434358E-5</v>
      </c>
      <c r="G250" s="1"/>
      <c r="H250" s="1">
        <f>SUM(OSRRefH22_8x_0)</f>
        <v>1795</v>
      </c>
      <c r="I250" s="1"/>
      <c r="J250" s="5">
        <f t="shared" ref="J250:J256" si="78">IF(H$12=0,0,H250/H$12)</f>
        <v>1.2869171808138908E-3</v>
      </c>
      <c r="K250" s="1"/>
      <c r="L250" s="1">
        <f t="shared" ref="L250:L256" si="79">+D250-H250</f>
        <v>-1738</v>
      </c>
      <c r="M250" s="1"/>
      <c r="N250" s="5">
        <f t="shared" ref="N250:N256" si="80">IF(H250=0,0,L250/H250)</f>
        <v>-0.96824512534818941</v>
      </c>
      <c r="O250" s="12"/>
      <c r="P250" s="1">
        <f>SUM(OSRRefP22_8x_0)</f>
        <v>5310.59</v>
      </c>
      <c r="Q250" s="1"/>
      <c r="R250" s="5">
        <f t="shared" ref="R250:R256" si="81">IF(P$12=0,0,P250/P$12)</f>
        <v>1.854697085669546E-4</v>
      </c>
      <c r="S250" s="1"/>
      <c r="T250" s="1">
        <f>SUM(OSRRefT22_8x_0)</f>
        <v>24750</v>
      </c>
      <c r="U250" s="1"/>
      <c r="V250" s="5">
        <f t="shared" ref="V250:V256" si="82">IF(T$12=0,0,T250/T$12)</f>
        <v>6.598207099978115E-4</v>
      </c>
      <c r="W250" s="1"/>
      <c r="X250" s="1">
        <f t="shared" ref="X250:X256" si="83">+P250-T250</f>
        <v>-19439.41</v>
      </c>
      <c r="Y250" s="1"/>
      <c r="Z250" s="5">
        <f t="shared" ref="Z250:Z256" si="84">IF(T250=0,0,X250/T250)</f>
        <v>-0.78543070707070706</v>
      </c>
    </row>
    <row r="251" spans="1:26" s="24" customFormat="1" hidden="1" outlineLevel="2" x14ac:dyDescent="0.25">
      <c r="A251" s="27"/>
      <c r="B251" s="11" t="str">
        <f>CONCATENATE("          ", "6277", " - ", "EMPLOYEE APPRECIATION")</f>
        <v xml:space="preserve">          6277 - EMPLOYEE APPRECIATION</v>
      </c>
      <c r="C251" s="11"/>
      <c r="D251" s="6">
        <v>57</v>
      </c>
      <c r="E251" s="2"/>
      <c r="F251" s="7">
        <f t="shared" si="77"/>
        <v>9.751547506434358E-5</v>
      </c>
      <c r="G251" s="2"/>
      <c r="H251" s="6">
        <v>1795</v>
      </c>
      <c r="I251" s="2"/>
      <c r="J251" s="7">
        <f t="shared" si="78"/>
        <v>1.2869171808138908E-3</v>
      </c>
      <c r="K251" s="2"/>
      <c r="L251" s="6">
        <f t="shared" si="79"/>
        <v>-1738</v>
      </c>
      <c r="M251" s="2"/>
      <c r="N251" s="7">
        <f t="shared" si="80"/>
        <v>-0.96824512534818941</v>
      </c>
      <c r="O251" s="11"/>
      <c r="P251" s="6">
        <v>5310.59</v>
      </c>
      <c r="Q251" s="2"/>
      <c r="R251" s="7">
        <f t="shared" si="81"/>
        <v>1.854697085669546E-4</v>
      </c>
      <c r="S251" s="2"/>
      <c r="T251" s="6">
        <v>24750</v>
      </c>
      <c r="U251" s="2"/>
      <c r="V251" s="7">
        <f t="shared" si="82"/>
        <v>6.598207099978115E-4</v>
      </c>
      <c r="W251" s="2"/>
      <c r="X251" s="6">
        <f t="shared" si="83"/>
        <v>-19439.41</v>
      </c>
      <c r="Y251" s="2"/>
      <c r="Z251" s="7">
        <f t="shared" si="84"/>
        <v>-0.78543070707070706</v>
      </c>
    </row>
    <row r="252" spans="1:26" s="26" customFormat="1" outlineLevel="1" collapsed="1" x14ac:dyDescent="0.25">
      <c r="A252" s="25"/>
      <c r="B252" s="12" t="str">
        <f>CONCATENATE("     ","Equipment Rental                                  ")</f>
        <v xml:space="preserve">     Equipment Rental                                  </v>
      </c>
      <c r="C252" s="12"/>
      <c r="D252" s="1">
        <f>SUM(OSRRefD22_9x_0)</f>
        <v>4178.84</v>
      </c>
      <c r="E252" s="1"/>
      <c r="F252" s="5">
        <f t="shared" si="77"/>
        <v>7.149150312594413E-3</v>
      </c>
      <c r="G252" s="1"/>
      <c r="H252" s="1">
        <f>SUM(OSRRefH22_9x_0)</f>
        <v>5290</v>
      </c>
      <c r="I252" s="1"/>
      <c r="J252" s="5">
        <f t="shared" si="78"/>
        <v>3.7926417195016616E-3</v>
      </c>
      <c r="K252" s="1"/>
      <c r="L252" s="1">
        <f t="shared" si="79"/>
        <v>-1111.1599999999999</v>
      </c>
      <c r="M252" s="1"/>
      <c r="N252" s="5">
        <f t="shared" si="80"/>
        <v>-0.21004914933837426</v>
      </c>
      <c r="O252" s="12"/>
      <c r="P252" s="1">
        <f>SUM(OSRRefP22_9x_0)</f>
        <v>55112.009999999995</v>
      </c>
      <c r="Q252" s="1"/>
      <c r="R252" s="5">
        <f t="shared" si="81"/>
        <v>1.9247594774288897E-3</v>
      </c>
      <c r="S252" s="1"/>
      <c r="T252" s="1">
        <f>SUM(OSRRefT22_9x_0)</f>
        <v>66511</v>
      </c>
      <c r="U252" s="1"/>
      <c r="V252" s="5">
        <f t="shared" si="82"/>
        <v>1.7731448582894724E-3</v>
      </c>
      <c r="W252" s="1"/>
      <c r="X252" s="1">
        <f t="shared" si="83"/>
        <v>-11398.990000000005</v>
      </c>
      <c r="Y252" s="1"/>
      <c r="Z252" s="5">
        <f t="shared" si="84"/>
        <v>-0.17138503405451738</v>
      </c>
    </row>
    <row r="253" spans="1:26" s="24" customFormat="1" hidden="1" outlineLevel="2" x14ac:dyDescent="0.25">
      <c r="A253" s="27"/>
      <c r="B253" s="11" t="str">
        <f>CONCATENATE("          ", "6351", " - ", "EQUIPMENT RENTAL")</f>
        <v xml:space="preserve">          6351 - EQUIPMENT RENTAL</v>
      </c>
      <c r="C253" s="11"/>
      <c r="D253" s="6">
        <v>4178.84</v>
      </c>
      <c r="E253" s="2"/>
      <c r="F253" s="7">
        <f t="shared" si="77"/>
        <v>7.149150312594413E-3</v>
      </c>
      <c r="G253" s="2"/>
      <c r="H253" s="6">
        <v>5290</v>
      </c>
      <c r="I253" s="2"/>
      <c r="J253" s="7">
        <f t="shared" si="78"/>
        <v>3.7926417195016616E-3</v>
      </c>
      <c r="K253" s="2"/>
      <c r="L253" s="6">
        <f t="shared" si="79"/>
        <v>-1111.1599999999999</v>
      </c>
      <c r="M253" s="2"/>
      <c r="N253" s="7">
        <f t="shared" si="80"/>
        <v>-0.21004914933837426</v>
      </c>
      <c r="O253" s="11"/>
      <c r="P253" s="6">
        <v>55112.009999999995</v>
      </c>
      <c r="Q253" s="2"/>
      <c r="R253" s="7">
        <f t="shared" si="81"/>
        <v>1.9247594774288897E-3</v>
      </c>
      <c r="S253" s="2"/>
      <c r="T253" s="6">
        <v>66511</v>
      </c>
      <c r="U253" s="2"/>
      <c r="V253" s="7">
        <f t="shared" si="82"/>
        <v>1.7731448582894724E-3</v>
      </c>
      <c r="W253" s="2"/>
      <c r="X253" s="6">
        <f t="shared" si="83"/>
        <v>-11398.990000000005</v>
      </c>
      <c r="Y253" s="2"/>
      <c r="Z253" s="7">
        <f t="shared" si="84"/>
        <v>-0.17138503405451738</v>
      </c>
    </row>
    <row r="254" spans="1:26" s="26" customFormat="1" outlineLevel="1" collapsed="1" x14ac:dyDescent="0.25">
      <c r="A254" s="25"/>
      <c r="B254" s="12" t="str">
        <f>CONCATENATE("     ","Freight out/Postage                               ")</f>
        <v xml:space="preserve">     Freight out/Postage                               </v>
      </c>
      <c r="C254" s="12"/>
      <c r="D254" s="1">
        <f>SUM(OSRRefD22_10x_0)</f>
        <v>25801.239999999998</v>
      </c>
      <c r="E254" s="1"/>
      <c r="F254" s="5">
        <f t="shared" si="77"/>
        <v>4.4140704839458665E-2</v>
      </c>
      <c r="G254" s="1"/>
      <c r="H254" s="1">
        <f>SUM(OSRRefH22_10x_0)</f>
        <v>-174</v>
      </c>
      <c r="I254" s="1"/>
      <c r="J254" s="5">
        <f t="shared" si="78"/>
        <v>-1.2474851780591476E-4</v>
      </c>
      <c r="K254" s="1"/>
      <c r="L254" s="1">
        <f t="shared" si="79"/>
        <v>25975.239999999998</v>
      </c>
      <c r="M254" s="1"/>
      <c r="N254" s="5">
        <f t="shared" si="80"/>
        <v>-149.28298850574711</v>
      </c>
      <c r="O254" s="12"/>
      <c r="P254" s="1">
        <f>SUM(OSRRefP22_10x_0)</f>
        <v>42245.960000000006</v>
      </c>
      <c r="Q254" s="1"/>
      <c r="R254" s="5">
        <f t="shared" si="81"/>
        <v>1.4754190945509298E-3</v>
      </c>
      <c r="S254" s="1"/>
      <c r="T254" s="1">
        <f>SUM(OSRRefT22_10x_0)</f>
        <v>-54288</v>
      </c>
      <c r="U254" s="1"/>
      <c r="V254" s="5">
        <f t="shared" si="82"/>
        <v>-1.4472867355297451E-3</v>
      </c>
      <c r="W254" s="1"/>
      <c r="X254" s="1">
        <f t="shared" si="83"/>
        <v>96533.96</v>
      </c>
      <c r="Y254" s="1"/>
      <c r="Z254" s="5">
        <f t="shared" si="84"/>
        <v>-1.7781822870615975</v>
      </c>
    </row>
    <row r="255" spans="1:26" s="24" customFormat="1" hidden="1" outlineLevel="2" x14ac:dyDescent="0.25">
      <c r="A255" s="27"/>
      <c r="B255" s="11" t="str">
        <f>CONCATENATE("          ", "6305", " - ", "FREIGHT OUT")</f>
        <v xml:space="preserve">          6305 - FREIGHT OUT</v>
      </c>
      <c r="C255" s="11"/>
      <c r="D255" s="6">
        <v>32899.67</v>
      </c>
      <c r="E255" s="2"/>
      <c r="F255" s="7">
        <f t="shared" si="77"/>
        <v>5.6284683324739161E-2</v>
      </c>
      <c r="G255" s="2"/>
      <c r="H255" s="6">
        <v>-225</v>
      </c>
      <c r="I255" s="2"/>
      <c r="J255" s="7">
        <f t="shared" si="78"/>
        <v>-1.6131273854213117E-4</v>
      </c>
      <c r="K255" s="2"/>
      <c r="L255" s="6">
        <f t="shared" si="79"/>
        <v>33124.67</v>
      </c>
      <c r="M255" s="2"/>
      <c r="N255" s="7">
        <f t="shared" si="80"/>
        <v>-147.22075555555554</v>
      </c>
      <c r="O255" s="11"/>
      <c r="P255" s="6">
        <v>103262.63</v>
      </c>
      <c r="Q255" s="2"/>
      <c r="R255" s="7">
        <f t="shared" si="81"/>
        <v>3.6063958791692193E-3</v>
      </c>
      <c r="S255" s="2"/>
      <c r="T255" s="6">
        <v>-54900</v>
      </c>
      <c r="U255" s="2"/>
      <c r="V255" s="7">
        <f t="shared" si="82"/>
        <v>-1.4636023021769636E-3</v>
      </c>
      <c r="W255" s="2"/>
      <c r="X255" s="6">
        <f t="shared" si="83"/>
        <v>158162.63</v>
      </c>
      <c r="Y255" s="2"/>
      <c r="Z255" s="7">
        <f t="shared" si="84"/>
        <v>-2.8809222222222224</v>
      </c>
    </row>
    <row r="256" spans="1:26" s="24" customFormat="1" hidden="1" outlineLevel="2" x14ac:dyDescent="0.25">
      <c r="A256" s="27"/>
      <c r="B256" s="11" t="str">
        <f>CONCATENATE("          ", "6307", " - ", "POSTAGE")</f>
        <v xml:space="preserve">          6307 - POSTAGE</v>
      </c>
      <c r="C256" s="11"/>
      <c r="D256" s="6">
        <v>-7098.43</v>
      </c>
      <c r="E256" s="2"/>
      <c r="F256" s="7">
        <f t="shared" si="77"/>
        <v>-1.2143978485280498E-2</v>
      </c>
      <c r="G256" s="2"/>
      <c r="H256" s="6">
        <v>51</v>
      </c>
      <c r="I256" s="2"/>
      <c r="J256" s="7">
        <f t="shared" si="78"/>
        <v>3.6564220736216399E-5</v>
      </c>
      <c r="K256" s="2"/>
      <c r="L256" s="6">
        <f t="shared" si="79"/>
        <v>-7149.43</v>
      </c>
      <c r="M256" s="2"/>
      <c r="N256" s="7">
        <f t="shared" si="80"/>
        <v>-140.18490196078432</v>
      </c>
      <c r="O256" s="11"/>
      <c r="P256" s="6">
        <v>-61016.67</v>
      </c>
      <c r="Q256" s="2"/>
      <c r="R256" s="7">
        <f t="shared" si="81"/>
        <v>-2.1309767846182893E-3</v>
      </c>
      <c r="S256" s="2"/>
      <c r="T256" s="6">
        <v>612</v>
      </c>
      <c r="U256" s="2"/>
      <c r="V256" s="7">
        <f t="shared" si="82"/>
        <v>1.6315566647218611E-5</v>
      </c>
      <c r="W256" s="2"/>
      <c r="X256" s="6">
        <f t="shared" si="83"/>
        <v>-61628.67</v>
      </c>
      <c r="Y256" s="2"/>
      <c r="Z256" s="7">
        <f t="shared" si="84"/>
        <v>-100.70044117647059</v>
      </c>
    </row>
    <row r="257" spans="1:26" s="26" customFormat="1" outlineLevel="1" collapsed="1" x14ac:dyDescent="0.25">
      <c r="A257" s="25"/>
      <c r="B257" s="12" t="str">
        <f>CONCATENATE("     ","General                                           ")</f>
        <v xml:space="preserve">     General                                           </v>
      </c>
      <c r="C257" s="12"/>
      <c r="D257" s="1">
        <f>SUM(OSRRefD22_11x_0)</f>
        <v>2960.82</v>
      </c>
      <c r="E257" s="1"/>
      <c r="F257" s="5">
        <f t="shared" ref="F257:F259" si="85">IF(D$12=0,0,D257/D$12)</f>
        <v>5.0653643663159604E-3</v>
      </c>
      <c r="G257" s="1"/>
      <c r="H257" s="1">
        <f>SUM(OSRRefH22_11x_0)</f>
        <v>3770</v>
      </c>
      <c r="I257" s="1"/>
      <c r="J257" s="5">
        <f t="shared" ref="J257:J259" si="86">IF(H$12=0,0,H257/H$12)</f>
        <v>2.7028845524614867E-3</v>
      </c>
      <c r="K257" s="1"/>
      <c r="L257" s="1">
        <f t="shared" ref="L257:L259" si="87">+D257-H257</f>
        <v>-809.17999999999984</v>
      </c>
      <c r="M257" s="1"/>
      <c r="N257" s="5">
        <f t="shared" ref="N257:N259" si="88">IF(H257=0,0,L257/H257)</f>
        <v>-0.21463660477453578</v>
      </c>
      <c r="O257" s="12"/>
      <c r="P257" s="1">
        <f>SUM(OSRRefP22_11x_0)</f>
        <v>105025.13</v>
      </c>
      <c r="Q257" s="1"/>
      <c r="R257" s="5">
        <f t="shared" ref="R257:R259" si="89">IF(P$12=0,0,P257/P$12)</f>
        <v>3.6679503131114475E-3</v>
      </c>
      <c r="S257" s="1"/>
      <c r="T257" s="1">
        <f>SUM(OSRRefT22_11x_0)</f>
        <v>110777</v>
      </c>
      <c r="U257" s="1"/>
      <c r="V257" s="5">
        <f t="shared" ref="V257:V259" si="90">IF(T$12=0,0,T257/T$12)</f>
        <v>2.9532508602596996E-3</v>
      </c>
      <c r="W257" s="1"/>
      <c r="X257" s="1">
        <f t="shared" ref="X257:X259" si="91">+P257-T257</f>
        <v>-5751.8699999999953</v>
      </c>
      <c r="Y257" s="1"/>
      <c r="Z257" s="5">
        <f t="shared" ref="Z257:Z259" si="92">IF(T257=0,0,X257/T257)</f>
        <v>-5.1922962347779732E-2</v>
      </c>
    </row>
    <row r="258" spans="1:26" s="24" customFormat="1" hidden="1" outlineLevel="2" x14ac:dyDescent="0.25">
      <c r="A258" s="27"/>
      <c r="B258" s="11" t="str">
        <f>CONCATENATE("          ", "6269", " - ", "ENTERTAINMENT")</f>
        <v xml:space="preserve">          6269 - ENTERTAINMENT</v>
      </c>
      <c r="C258" s="11"/>
      <c r="D258" s="6"/>
      <c r="E258" s="2"/>
      <c r="F258" s="7">
        <f t="shared" si="85"/>
        <v>0</v>
      </c>
      <c r="G258" s="2"/>
      <c r="H258" s="6">
        <v>0</v>
      </c>
      <c r="I258" s="2"/>
      <c r="J258" s="7">
        <f t="shared" si="86"/>
        <v>0</v>
      </c>
      <c r="K258" s="2"/>
      <c r="L258" s="6">
        <f t="shared" si="87"/>
        <v>0</v>
      </c>
      <c r="M258" s="2"/>
      <c r="N258" s="7">
        <f t="shared" si="88"/>
        <v>0</v>
      </c>
      <c r="O258" s="11"/>
      <c r="P258" s="6">
        <v>10050</v>
      </c>
      <c r="Q258" s="2"/>
      <c r="R258" s="7">
        <f t="shared" si="89"/>
        <v>3.5099124035142869E-4</v>
      </c>
      <c r="S258" s="2"/>
      <c r="T258" s="6">
        <v>7250</v>
      </c>
      <c r="U258" s="2"/>
      <c r="V258" s="7">
        <f t="shared" si="90"/>
        <v>1.9328081403976297E-4</v>
      </c>
      <c r="W258" s="2"/>
      <c r="X258" s="6">
        <f t="shared" si="91"/>
        <v>2800</v>
      </c>
      <c r="Y258" s="2"/>
      <c r="Z258" s="7">
        <f t="shared" si="92"/>
        <v>0.38620689655172413</v>
      </c>
    </row>
    <row r="259" spans="1:26" s="24" customFormat="1" hidden="1" outlineLevel="2" x14ac:dyDescent="0.25">
      <c r="A259" s="27"/>
      <c r="B259" s="11" t="str">
        <f>CONCATENATE("          ", "6279", " - ", "GENERAL EXPENSE")</f>
        <v xml:space="preserve">          6279 - GENERAL EXPENSE</v>
      </c>
      <c r="C259" s="11"/>
      <c r="D259" s="6">
        <v>2960.82</v>
      </c>
      <c r="E259" s="2"/>
      <c r="F259" s="7">
        <f t="shared" si="85"/>
        <v>5.0653643663159604E-3</v>
      </c>
      <c r="G259" s="2"/>
      <c r="H259" s="6">
        <v>3770</v>
      </c>
      <c r="I259" s="2"/>
      <c r="J259" s="7">
        <f t="shared" si="86"/>
        <v>2.7028845524614867E-3</v>
      </c>
      <c r="K259" s="2"/>
      <c r="L259" s="6">
        <f t="shared" si="87"/>
        <v>-809.17999999999984</v>
      </c>
      <c r="M259" s="2"/>
      <c r="N259" s="7">
        <f t="shared" si="88"/>
        <v>-0.21463660477453578</v>
      </c>
      <c r="O259" s="11"/>
      <c r="P259" s="6">
        <v>94975.13</v>
      </c>
      <c r="Q259" s="2"/>
      <c r="R259" s="7">
        <f t="shared" si="89"/>
        <v>3.3169590727600189E-3</v>
      </c>
      <c r="S259" s="2"/>
      <c r="T259" s="6">
        <v>103527</v>
      </c>
      <c r="U259" s="2"/>
      <c r="V259" s="7">
        <f t="shared" si="90"/>
        <v>2.7599700462199363E-3</v>
      </c>
      <c r="W259" s="2"/>
      <c r="X259" s="6">
        <f t="shared" si="91"/>
        <v>-8551.8699999999953</v>
      </c>
      <c r="Y259" s="2"/>
      <c r="Z259" s="7">
        <f t="shared" si="92"/>
        <v>-8.2605214098737487E-2</v>
      </c>
    </row>
    <row r="260" spans="1:26" s="26" customFormat="1" outlineLevel="1" collapsed="1" x14ac:dyDescent="0.25">
      <c r="A260" s="25"/>
      <c r="B260" s="12" t="str">
        <f>CONCATENATE("     ","Insurance                                         ")</f>
        <v xml:space="preserve">     Insurance                                         </v>
      </c>
      <c r="C260" s="12"/>
      <c r="D260" s="1">
        <f>SUM(OSRRefD22_12x_0)</f>
        <v>8563.32</v>
      </c>
      <c r="E260" s="1"/>
      <c r="F260" s="5">
        <f t="shared" ref="F260:F301" si="93">IF(D$12=0,0,D260/D$12)</f>
        <v>1.4650109086456045E-2</v>
      </c>
      <c r="G260" s="1"/>
      <c r="H260" s="1">
        <f>SUM(OSRRefH22_12x_0)</f>
        <v>8081</v>
      </c>
      <c r="I260" s="1"/>
      <c r="J260" s="5">
        <f t="shared" ref="J260:J301" si="94">IF(H$12=0,0,H260/H$12)</f>
        <v>5.7936366229287195E-3</v>
      </c>
      <c r="K260" s="1"/>
      <c r="L260" s="1">
        <f t="shared" ref="L260:L301" si="95">+D260-H260</f>
        <v>482.31999999999971</v>
      </c>
      <c r="M260" s="1"/>
      <c r="N260" s="5">
        <f t="shared" ref="N260:N301" si="96">IF(H260=0,0,L260/H260)</f>
        <v>5.9685682465041419E-2</v>
      </c>
      <c r="O260" s="12"/>
      <c r="P260" s="1">
        <f>SUM(OSRRefP22_12x_0)</f>
        <v>108520.84</v>
      </c>
      <c r="Q260" s="1"/>
      <c r="R260" s="5">
        <f t="shared" ref="R260:R301" si="97">IF(P$12=0,0,P260/P$12)</f>
        <v>3.7900362423461628E-3</v>
      </c>
      <c r="S260" s="1"/>
      <c r="T260" s="1">
        <f>SUM(OSRRefT22_12x_0)</f>
        <v>96972</v>
      </c>
      <c r="U260" s="1"/>
      <c r="V260" s="5">
        <f t="shared" ref="V260:V301" si="98">IF(T$12=0,0,T260/T$12)</f>
        <v>2.5852175309053647E-3</v>
      </c>
      <c r="W260" s="1"/>
      <c r="X260" s="1">
        <f t="shared" ref="X260:X301" si="99">+P260-T260</f>
        <v>11548.839999999997</v>
      </c>
      <c r="Y260" s="1"/>
      <c r="Z260" s="5">
        <f t="shared" ref="Z260:Z301" si="100">IF(T260=0,0,X260/T260)</f>
        <v>0.11909458400362988</v>
      </c>
    </row>
    <row r="261" spans="1:26" s="24" customFormat="1" hidden="1" outlineLevel="2" x14ac:dyDescent="0.25">
      <c r="A261" s="27"/>
      <c r="B261" s="11" t="str">
        <f>CONCATENATE("          ", "6314", " - ", "LIABILITY INSURANCE")</f>
        <v xml:space="preserve">          6314 - LIABILITY INSURANCE</v>
      </c>
      <c r="C261" s="11"/>
      <c r="D261" s="6">
        <v>8563.32</v>
      </c>
      <c r="E261" s="2"/>
      <c r="F261" s="7">
        <f t="shared" si="93"/>
        <v>1.4650109086456045E-2</v>
      </c>
      <c r="G261" s="2"/>
      <c r="H261" s="6">
        <v>8081</v>
      </c>
      <c r="I261" s="2"/>
      <c r="J261" s="7">
        <f t="shared" si="94"/>
        <v>5.7936366229287195E-3</v>
      </c>
      <c r="K261" s="2"/>
      <c r="L261" s="6">
        <f t="shared" si="95"/>
        <v>482.31999999999971</v>
      </c>
      <c r="M261" s="2"/>
      <c r="N261" s="7">
        <f t="shared" si="96"/>
        <v>5.9685682465041419E-2</v>
      </c>
      <c r="O261" s="11"/>
      <c r="P261" s="6">
        <v>108520.84</v>
      </c>
      <c r="Q261" s="2"/>
      <c r="R261" s="7">
        <f t="shared" si="97"/>
        <v>3.7900362423461628E-3</v>
      </c>
      <c r="S261" s="2"/>
      <c r="T261" s="6">
        <v>96972</v>
      </c>
      <c r="U261" s="2"/>
      <c r="V261" s="7">
        <f t="shared" si="98"/>
        <v>2.5852175309053647E-3</v>
      </c>
      <c r="W261" s="2"/>
      <c r="X261" s="6">
        <f t="shared" si="99"/>
        <v>11548.839999999997</v>
      </c>
      <c r="Y261" s="2"/>
      <c r="Z261" s="7">
        <f t="shared" si="100"/>
        <v>0.11909458400362988</v>
      </c>
    </row>
    <row r="262" spans="1:26" s="26" customFormat="1" outlineLevel="1" collapsed="1" x14ac:dyDescent="0.25">
      <c r="A262" s="25"/>
      <c r="B262" s="12" t="str">
        <f>CONCATENATE("     ","Interest                                          ")</f>
        <v xml:space="preserve">     Interest                                          </v>
      </c>
      <c r="C262" s="12"/>
      <c r="D262" s="1">
        <f>SUM(OSRRefD22_13x_0)</f>
        <v>11929</v>
      </c>
      <c r="E262" s="1"/>
      <c r="F262" s="5">
        <f t="shared" si="93"/>
        <v>2.0408107053378151E-2</v>
      </c>
      <c r="G262" s="1"/>
      <c r="H262" s="1">
        <f>SUM(OSRRefH22_13x_0)</f>
        <v>11554</v>
      </c>
      <c r="I262" s="1"/>
      <c r="J262" s="5">
        <f t="shared" si="94"/>
        <v>8.2835883605145936E-3</v>
      </c>
      <c r="K262" s="1"/>
      <c r="L262" s="1">
        <f t="shared" si="95"/>
        <v>375</v>
      </c>
      <c r="M262" s="1"/>
      <c r="N262" s="5">
        <f t="shared" si="96"/>
        <v>3.2456292193179852E-2</v>
      </c>
      <c r="O262" s="12"/>
      <c r="P262" s="1">
        <f>SUM(OSRRefP22_13x_0)</f>
        <v>139548.05000000002</v>
      </c>
      <c r="Q262" s="1"/>
      <c r="R262" s="5">
        <f t="shared" si="97"/>
        <v>4.8736460853853929E-3</v>
      </c>
      <c r="S262" s="1"/>
      <c r="T262" s="1">
        <f>SUM(OSRRefT22_13x_0)</f>
        <v>142400</v>
      </c>
      <c r="U262" s="1"/>
      <c r="V262" s="5">
        <f t="shared" si="98"/>
        <v>3.7963017819672065E-3</v>
      </c>
      <c r="W262" s="1"/>
      <c r="X262" s="1">
        <f t="shared" si="99"/>
        <v>-2851.9499999999825</v>
      </c>
      <c r="Y262" s="1"/>
      <c r="Z262" s="5">
        <f t="shared" si="100"/>
        <v>-2.002773876404482E-2</v>
      </c>
    </row>
    <row r="263" spans="1:26" s="24" customFormat="1" hidden="1" outlineLevel="2" x14ac:dyDescent="0.25">
      <c r="A263" s="27"/>
      <c r="B263" s="11" t="str">
        <f>CONCATENATE("          ", "6401", " - ", "INTEREST EXPENSE")</f>
        <v xml:space="preserve">          6401 - INTEREST EXPENSE</v>
      </c>
      <c r="C263" s="11"/>
      <c r="D263" s="6">
        <v>11929</v>
      </c>
      <c r="E263" s="2"/>
      <c r="F263" s="7">
        <f t="shared" si="93"/>
        <v>2.0408107053378151E-2</v>
      </c>
      <c r="G263" s="2"/>
      <c r="H263" s="6">
        <v>11554</v>
      </c>
      <c r="I263" s="2"/>
      <c r="J263" s="7">
        <f t="shared" si="94"/>
        <v>8.2835883605145936E-3</v>
      </c>
      <c r="K263" s="2"/>
      <c r="L263" s="6">
        <f t="shared" si="95"/>
        <v>375</v>
      </c>
      <c r="M263" s="2"/>
      <c r="N263" s="7">
        <f t="shared" si="96"/>
        <v>3.2456292193179852E-2</v>
      </c>
      <c r="O263" s="11"/>
      <c r="P263" s="6">
        <v>139548.05000000002</v>
      </c>
      <c r="Q263" s="2"/>
      <c r="R263" s="7">
        <f t="shared" si="97"/>
        <v>4.8736460853853929E-3</v>
      </c>
      <c r="S263" s="2"/>
      <c r="T263" s="6">
        <v>142400</v>
      </c>
      <c r="U263" s="2"/>
      <c r="V263" s="7">
        <f t="shared" si="98"/>
        <v>3.7963017819672065E-3</v>
      </c>
      <c r="W263" s="2"/>
      <c r="X263" s="6">
        <f t="shared" si="99"/>
        <v>-2851.9499999999825</v>
      </c>
      <c r="Y263" s="2"/>
      <c r="Z263" s="7">
        <f t="shared" si="100"/>
        <v>-2.002773876404482E-2</v>
      </c>
    </row>
    <row r="264" spans="1:26" s="26" customFormat="1" outlineLevel="1" collapsed="1" x14ac:dyDescent="0.25">
      <c r="A264" s="25"/>
      <c r="B264" s="12" t="str">
        <f>CONCATENATE("     ","Inventory Adjustment                              ")</f>
        <v xml:space="preserve">     Inventory Adjustment                              </v>
      </c>
      <c r="C264" s="12"/>
      <c r="D264" s="1">
        <f>SUM(OSRRefD22_14x_0)</f>
        <v>-53350</v>
      </c>
      <c r="E264" s="1"/>
      <c r="F264" s="5">
        <f t="shared" si="93"/>
        <v>-9.127106306460929E-2</v>
      </c>
      <c r="G264" s="1"/>
      <c r="H264" s="1">
        <f>SUM(OSRRefH22_14x_0)</f>
        <v>90050</v>
      </c>
      <c r="I264" s="1"/>
      <c r="J264" s="5">
        <f t="shared" si="94"/>
        <v>6.4560942692084053E-2</v>
      </c>
      <c r="K264" s="1"/>
      <c r="L264" s="1">
        <f t="shared" si="95"/>
        <v>-143400</v>
      </c>
      <c r="M264" s="1"/>
      <c r="N264" s="5">
        <f t="shared" si="96"/>
        <v>-1.5924486396446418</v>
      </c>
      <c r="O264" s="12"/>
      <c r="P264" s="1">
        <f>SUM(OSRRefP22_14x_0)</f>
        <v>7.2759576141834259E-12</v>
      </c>
      <c r="Q264" s="1"/>
      <c r="R264" s="5">
        <f t="shared" si="97"/>
        <v>2.541091928106132E-19</v>
      </c>
      <c r="S264" s="1"/>
      <c r="T264" s="1">
        <f>SUM(OSRRefT22_14x_0)</f>
        <v>143400</v>
      </c>
      <c r="U264" s="1"/>
      <c r="V264" s="5">
        <f t="shared" si="98"/>
        <v>3.8229612045933806E-3</v>
      </c>
      <c r="W264" s="1"/>
      <c r="X264" s="1">
        <f t="shared" si="99"/>
        <v>-143400</v>
      </c>
      <c r="Y264" s="1"/>
      <c r="Z264" s="5">
        <f t="shared" si="100"/>
        <v>-1</v>
      </c>
    </row>
    <row r="265" spans="1:26" s="24" customFormat="1" hidden="1" outlineLevel="2" x14ac:dyDescent="0.25">
      <c r="A265" s="27"/>
      <c r="B265" s="11" t="str">
        <f>CONCATENATE("          ", "6408", " - ", "INVENTORY ADJUSTMENT")</f>
        <v xml:space="preserve">          6408 - INVENTORY ADJUSTMENT</v>
      </c>
      <c r="C265" s="11"/>
      <c r="D265" s="6">
        <v>-53350</v>
      </c>
      <c r="E265" s="2"/>
      <c r="F265" s="7">
        <f t="shared" si="93"/>
        <v>-9.127106306460929E-2</v>
      </c>
      <c r="G265" s="2"/>
      <c r="H265" s="6">
        <v>90050</v>
      </c>
      <c r="I265" s="2"/>
      <c r="J265" s="7">
        <f t="shared" si="94"/>
        <v>6.4560942692084053E-2</v>
      </c>
      <c r="K265" s="2"/>
      <c r="L265" s="6">
        <f t="shared" si="95"/>
        <v>-143400</v>
      </c>
      <c r="M265" s="2"/>
      <c r="N265" s="7">
        <f t="shared" si="96"/>
        <v>-1.5924486396446418</v>
      </c>
      <c r="O265" s="11"/>
      <c r="P265" s="6">
        <v>0</v>
      </c>
      <c r="Q265" s="2"/>
      <c r="R265" s="7">
        <f t="shared" si="97"/>
        <v>0</v>
      </c>
      <c r="S265" s="2"/>
      <c r="T265" s="6">
        <v>143400</v>
      </c>
      <c r="U265" s="2"/>
      <c r="V265" s="7">
        <f t="shared" si="98"/>
        <v>3.8229612045933806E-3</v>
      </c>
      <c r="W265" s="2"/>
      <c r="X265" s="6">
        <f t="shared" si="99"/>
        <v>-143400</v>
      </c>
      <c r="Y265" s="2"/>
      <c r="Z265" s="7">
        <f t="shared" si="100"/>
        <v>-1</v>
      </c>
    </row>
    <row r="266" spans="1:26" s="24" customFormat="1" hidden="1" outlineLevel="2" x14ac:dyDescent="0.25">
      <c r="A266" s="27"/>
      <c r="B266" s="11" t="str">
        <f>CONCATENATE("          ", "7700", " - ", "INV. SHRINKAGE @ RETAIL-CONTRA")</f>
        <v xml:space="preserve">          7700 - INV. SHRINKAGE @ RETAIL-CONTRA</v>
      </c>
      <c r="C266" s="11"/>
      <c r="D266" s="6">
        <v>-99781</v>
      </c>
      <c r="E266" s="2"/>
      <c r="F266" s="7">
        <f t="shared" si="93"/>
        <v>-0.1707051160946538</v>
      </c>
      <c r="G266" s="2"/>
      <c r="H266" s="6"/>
      <c r="I266" s="2"/>
      <c r="J266" s="7">
        <f t="shared" si="94"/>
        <v>0</v>
      </c>
      <c r="K266" s="2"/>
      <c r="L266" s="6">
        <f t="shared" si="95"/>
        <v>-99781</v>
      </c>
      <c r="M266" s="2"/>
      <c r="N266" s="7">
        <f t="shared" si="96"/>
        <v>0</v>
      </c>
      <c r="O266" s="11"/>
      <c r="P266" s="6">
        <v>-99781</v>
      </c>
      <c r="Q266" s="2"/>
      <c r="R266" s="7">
        <f t="shared" si="97"/>
        <v>-3.4848016869160107E-3</v>
      </c>
      <c r="S266" s="2"/>
      <c r="T266" s="6"/>
      <c r="U266" s="2"/>
      <c r="V266" s="7">
        <f t="shared" si="98"/>
        <v>0</v>
      </c>
      <c r="W266" s="2"/>
      <c r="X266" s="6">
        <f t="shared" si="99"/>
        <v>-99781</v>
      </c>
      <c r="Y266" s="2"/>
      <c r="Z266" s="7">
        <f t="shared" si="100"/>
        <v>0</v>
      </c>
    </row>
    <row r="267" spans="1:26" s="24" customFormat="1" hidden="1" outlineLevel="2" x14ac:dyDescent="0.25">
      <c r="A267" s="27"/>
      <c r="B267" s="11" t="str">
        <f>CONCATENATE("          ", "7701", " - ", "INV. SHRINKAGE-NEW TEXT")</f>
        <v xml:space="preserve">          7701 - INV. SHRINKAGE-NEW TEXT</v>
      </c>
      <c r="C267" s="11"/>
      <c r="D267" s="6">
        <v>-4346</v>
      </c>
      <c r="E267" s="2"/>
      <c r="F267" s="7">
        <f t="shared" si="93"/>
        <v>-7.4351272742041608E-3</v>
      </c>
      <c r="G267" s="2"/>
      <c r="H267" s="6"/>
      <c r="I267" s="2"/>
      <c r="J267" s="7">
        <f t="shared" si="94"/>
        <v>0</v>
      </c>
      <c r="K267" s="2"/>
      <c r="L267" s="6">
        <f t="shared" si="95"/>
        <v>-4346</v>
      </c>
      <c r="M267" s="2"/>
      <c r="N267" s="7">
        <f t="shared" si="96"/>
        <v>0</v>
      </c>
      <c r="O267" s="11"/>
      <c r="P267" s="6">
        <v>-4346</v>
      </c>
      <c r="Q267" s="2"/>
      <c r="R267" s="7">
        <f t="shared" si="97"/>
        <v>-1.5178188363853821E-4</v>
      </c>
      <c r="S267" s="2"/>
      <c r="T267" s="6"/>
      <c r="U267" s="2"/>
      <c r="V267" s="7">
        <f t="shared" si="98"/>
        <v>0</v>
      </c>
      <c r="W267" s="2"/>
      <c r="X267" s="6">
        <f t="shared" si="99"/>
        <v>-4346</v>
      </c>
      <c r="Y267" s="2"/>
      <c r="Z267" s="7">
        <f t="shared" si="100"/>
        <v>0</v>
      </c>
    </row>
    <row r="268" spans="1:26" s="24" customFormat="1" hidden="1" outlineLevel="2" x14ac:dyDescent="0.25">
      <c r="A268" s="27"/>
      <c r="B268" s="11" t="str">
        <f>CONCATENATE("          ", "7702", " - ", "INV. SHRINKAGE-USED TEXT")</f>
        <v xml:space="preserve">          7702 - INV. SHRINKAGE-USED TEXT</v>
      </c>
      <c r="C268" s="11"/>
      <c r="D268" s="6">
        <v>-29494</v>
      </c>
      <c r="E268" s="2"/>
      <c r="F268" s="7">
        <f t="shared" si="93"/>
        <v>-5.0458270553469291E-2</v>
      </c>
      <c r="G268" s="2"/>
      <c r="H268" s="6"/>
      <c r="I268" s="2"/>
      <c r="J268" s="7">
        <f t="shared" si="94"/>
        <v>0</v>
      </c>
      <c r="K268" s="2"/>
      <c r="L268" s="6">
        <f t="shared" si="95"/>
        <v>-29494</v>
      </c>
      <c r="M268" s="2"/>
      <c r="N268" s="7">
        <f t="shared" si="96"/>
        <v>0</v>
      </c>
      <c r="O268" s="11"/>
      <c r="P268" s="6">
        <v>-29494</v>
      </c>
      <c r="Q268" s="2"/>
      <c r="R268" s="7">
        <f t="shared" si="97"/>
        <v>-1.0300632480522425E-3</v>
      </c>
      <c r="S268" s="2"/>
      <c r="T268" s="6"/>
      <c r="U268" s="2"/>
      <c r="V268" s="7">
        <f t="shared" si="98"/>
        <v>0</v>
      </c>
      <c r="W268" s="2"/>
      <c r="X268" s="6">
        <f t="shared" si="99"/>
        <v>-29494</v>
      </c>
      <c r="Y268" s="2"/>
      <c r="Z268" s="7">
        <f t="shared" si="100"/>
        <v>0</v>
      </c>
    </row>
    <row r="269" spans="1:26" s="24" customFormat="1" hidden="1" outlineLevel="2" x14ac:dyDescent="0.25">
      <c r="A269" s="27"/>
      <c r="B269" s="11" t="str">
        <f>CONCATENATE("          ", "7703", " - ", "INV. SHRINKAGE-RENTAL TEXT")</f>
        <v xml:space="preserve">          7703 - INV. SHRINKAGE-RENTAL TEXT</v>
      </c>
      <c r="C269" s="11"/>
      <c r="D269" s="6">
        <v>526</v>
      </c>
      <c r="E269" s="2"/>
      <c r="F269" s="7">
        <f t="shared" si="93"/>
        <v>8.9987964708499509E-4</v>
      </c>
      <c r="G269" s="2"/>
      <c r="H269" s="6"/>
      <c r="I269" s="2"/>
      <c r="J269" s="7">
        <f t="shared" si="94"/>
        <v>0</v>
      </c>
      <c r="K269" s="2"/>
      <c r="L269" s="6">
        <f t="shared" si="95"/>
        <v>526</v>
      </c>
      <c r="M269" s="2"/>
      <c r="N269" s="7">
        <f t="shared" si="96"/>
        <v>0</v>
      </c>
      <c r="O269" s="11"/>
      <c r="P269" s="6">
        <v>526</v>
      </c>
      <c r="Q269" s="2"/>
      <c r="R269" s="7">
        <f t="shared" si="97"/>
        <v>1.837028780346781E-5</v>
      </c>
      <c r="S269" s="2"/>
      <c r="T269" s="6"/>
      <c r="U269" s="2"/>
      <c r="V269" s="7">
        <f t="shared" si="98"/>
        <v>0</v>
      </c>
      <c r="W269" s="2"/>
      <c r="X269" s="6">
        <f t="shared" si="99"/>
        <v>526</v>
      </c>
      <c r="Y269" s="2"/>
      <c r="Z269" s="7">
        <f t="shared" si="100"/>
        <v>0</v>
      </c>
    </row>
    <row r="270" spans="1:26" s="24" customFormat="1" hidden="1" outlineLevel="2" x14ac:dyDescent="0.25">
      <c r="A270" s="27"/>
      <c r="B270" s="11" t="str">
        <f>CONCATENATE("          ", "7704", " - ", "INV. SHRINKAGE-DIGITAL TEXT")</f>
        <v xml:space="preserve">          7704 - INV. SHRINKAGE-DIGITAL TEXT</v>
      </c>
      <c r="C270" s="11"/>
      <c r="D270" s="6">
        <v>816</v>
      </c>
      <c r="E270" s="2"/>
      <c r="F270" s="7">
        <f t="shared" si="93"/>
        <v>1.3960110114474449E-3</v>
      </c>
      <c r="G270" s="2"/>
      <c r="H270" s="6"/>
      <c r="I270" s="2"/>
      <c r="J270" s="7">
        <f t="shared" si="94"/>
        <v>0</v>
      </c>
      <c r="K270" s="2"/>
      <c r="L270" s="6">
        <f t="shared" si="95"/>
        <v>816</v>
      </c>
      <c r="M270" s="2"/>
      <c r="N270" s="7">
        <f t="shared" si="96"/>
        <v>0</v>
      </c>
      <c r="O270" s="11"/>
      <c r="P270" s="6">
        <v>816</v>
      </c>
      <c r="Q270" s="2"/>
      <c r="R270" s="7">
        <f t="shared" si="97"/>
        <v>2.849839324644436E-5</v>
      </c>
      <c r="S270" s="2"/>
      <c r="T270" s="6"/>
      <c r="U270" s="2"/>
      <c r="V270" s="7">
        <f t="shared" si="98"/>
        <v>0</v>
      </c>
      <c r="W270" s="2"/>
      <c r="X270" s="6">
        <f t="shared" si="99"/>
        <v>816</v>
      </c>
      <c r="Y270" s="2"/>
      <c r="Z270" s="7">
        <f t="shared" si="100"/>
        <v>0</v>
      </c>
    </row>
    <row r="271" spans="1:26" s="24" customFormat="1" hidden="1" outlineLevel="2" x14ac:dyDescent="0.25">
      <c r="A271" s="27"/>
      <c r="B271" s="11" t="str">
        <f>CONCATENATE("          ", "7711", " - ", "INV. SHRINKAGE-NO VALUE TEXT")</f>
        <v xml:space="preserve">          7711 - INV. SHRINKAGE-NO VALUE TEXT</v>
      </c>
      <c r="C271" s="11"/>
      <c r="D271" s="6">
        <v>-1126</v>
      </c>
      <c r="E271" s="2"/>
      <c r="F271" s="7">
        <f t="shared" si="93"/>
        <v>-1.9263583319728223E-3</v>
      </c>
      <c r="G271" s="2"/>
      <c r="H271" s="6"/>
      <c r="I271" s="2"/>
      <c r="J271" s="7">
        <f t="shared" si="94"/>
        <v>0</v>
      </c>
      <c r="K271" s="2"/>
      <c r="L271" s="6">
        <f t="shared" si="95"/>
        <v>-1126</v>
      </c>
      <c r="M271" s="2"/>
      <c r="N271" s="7">
        <f t="shared" si="96"/>
        <v>0</v>
      </c>
      <c r="O271" s="11"/>
      <c r="P271" s="6">
        <v>-1126</v>
      </c>
      <c r="Q271" s="2"/>
      <c r="R271" s="7">
        <f t="shared" si="97"/>
        <v>-3.9324988719971013E-5</v>
      </c>
      <c r="S271" s="2"/>
      <c r="T271" s="6"/>
      <c r="U271" s="2"/>
      <c r="V271" s="7">
        <f t="shared" si="98"/>
        <v>0</v>
      </c>
      <c r="W271" s="2"/>
      <c r="X271" s="6">
        <f t="shared" si="99"/>
        <v>-1126</v>
      </c>
      <c r="Y271" s="2"/>
      <c r="Z271" s="7">
        <f t="shared" si="100"/>
        <v>0</v>
      </c>
    </row>
    <row r="272" spans="1:26" s="24" customFormat="1" hidden="1" outlineLevel="2" x14ac:dyDescent="0.25">
      <c r="A272" s="27"/>
      <c r="B272" s="11" t="str">
        <f>CONCATENATE("          ", "7713", " - ", "INV. SHRINKAGE-TRADE BOOKS")</f>
        <v xml:space="preserve">          7713 - INV. SHRINKAGE-TRADE BOOKS</v>
      </c>
      <c r="C272" s="11"/>
      <c r="D272" s="6">
        <v>-385</v>
      </c>
      <c r="E272" s="2"/>
      <c r="F272" s="7">
        <f t="shared" si="93"/>
        <v>-6.5865715613635568E-4</v>
      </c>
      <c r="G272" s="2"/>
      <c r="H272" s="6"/>
      <c r="I272" s="2"/>
      <c r="J272" s="7">
        <f t="shared" si="94"/>
        <v>0</v>
      </c>
      <c r="K272" s="2"/>
      <c r="L272" s="6">
        <f t="shared" si="95"/>
        <v>-385</v>
      </c>
      <c r="M272" s="2"/>
      <c r="N272" s="7">
        <f t="shared" si="96"/>
        <v>0</v>
      </c>
      <c r="O272" s="11"/>
      <c r="P272" s="6">
        <v>-385</v>
      </c>
      <c r="Q272" s="2"/>
      <c r="R272" s="7">
        <f t="shared" si="97"/>
        <v>-1.3445933088089558E-5</v>
      </c>
      <c r="S272" s="2"/>
      <c r="T272" s="6"/>
      <c r="U272" s="2"/>
      <c r="V272" s="7">
        <f t="shared" si="98"/>
        <v>0</v>
      </c>
      <c r="W272" s="2"/>
      <c r="X272" s="6">
        <f t="shared" si="99"/>
        <v>-385</v>
      </c>
      <c r="Y272" s="2"/>
      <c r="Z272" s="7">
        <f t="shared" si="100"/>
        <v>0</v>
      </c>
    </row>
    <row r="273" spans="1:26" s="24" customFormat="1" hidden="1" outlineLevel="2" x14ac:dyDescent="0.25">
      <c r="A273" s="27"/>
      <c r="B273" s="11" t="str">
        <f>CONCATENATE("          ", "7714", " - ", "INV. SHRINKAGE-REMAINDERS")</f>
        <v xml:space="preserve">          7714 - INV. SHRINKAGE-REMAINDERS</v>
      </c>
      <c r="C273" s="11"/>
      <c r="D273" s="6">
        <v>204</v>
      </c>
      <c r="E273" s="2"/>
      <c r="F273" s="7">
        <f t="shared" si="93"/>
        <v>3.4900275286186124E-4</v>
      </c>
      <c r="G273" s="2"/>
      <c r="H273" s="6"/>
      <c r="I273" s="2"/>
      <c r="J273" s="7">
        <f t="shared" si="94"/>
        <v>0</v>
      </c>
      <c r="K273" s="2"/>
      <c r="L273" s="6">
        <f t="shared" si="95"/>
        <v>204</v>
      </c>
      <c r="M273" s="2"/>
      <c r="N273" s="7">
        <f t="shared" si="96"/>
        <v>0</v>
      </c>
      <c r="O273" s="11"/>
      <c r="P273" s="6">
        <v>204</v>
      </c>
      <c r="Q273" s="2"/>
      <c r="R273" s="7">
        <f t="shared" si="97"/>
        <v>7.1245983116110901E-6</v>
      </c>
      <c r="S273" s="2"/>
      <c r="T273" s="6"/>
      <c r="U273" s="2"/>
      <c r="V273" s="7">
        <f t="shared" si="98"/>
        <v>0</v>
      </c>
      <c r="W273" s="2"/>
      <c r="X273" s="6">
        <f t="shared" si="99"/>
        <v>204</v>
      </c>
      <c r="Y273" s="2"/>
      <c r="Z273" s="7">
        <f t="shared" si="100"/>
        <v>0</v>
      </c>
    </row>
    <row r="274" spans="1:26" s="24" customFormat="1" hidden="1" outlineLevel="2" x14ac:dyDescent="0.25">
      <c r="A274" s="27"/>
      <c r="B274" s="11" t="str">
        <f>CONCATENATE("          ", "7717", " - ", "INV. SHRINKAGE-DORM/HOUSEWARES")</f>
        <v xml:space="preserve">          7717 - INV. SHRINKAGE-DORM/HOUSEWARES</v>
      </c>
      <c r="C274" s="11"/>
      <c r="D274" s="6">
        <v>-254</v>
      </c>
      <c r="E274" s="2"/>
      <c r="F274" s="7">
        <f t="shared" si="93"/>
        <v>-4.3454264326918017E-4</v>
      </c>
      <c r="G274" s="2"/>
      <c r="H274" s="6"/>
      <c r="I274" s="2"/>
      <c r="J274" s="7">
        <f t="shared" si="94"/>
        <v>0</v>
      </c>
      <c r="K274" s="2"/>
      <c r="L274" s="6">
        <f t="shared" si="95"/>
        <v>-254</v>
      </c>
      <c r="M274" s="2"/>
      <c r="N274" s="7">
        <f t="shared" si="96"/>
        <v>0</v>
      </c>
      <c r="O274" s="11"/>
      <c r="P274" s="6">
        <v>-254</v>
      </c>
      <c r="Q274" s="2"/>
      <c r="R274" s="7">
        <f t="shared" si="97"/>
        <v>-8.8708233879863564E-6</v>
      </c>
      <c r="S274" s="2"/>
      <c r="T274" s="6"/>
      <c r="U274" s="2"/>
      <c r="V274" s="7">
        <f t="shared" si="98"/>
        <v>0</v>
      </c>
      <c r="W274" s="2"/>
      <c r="X274" s="6">
        <f t="shared" si="99"/>
        <v>-254</v>
      </c>
      <c r="Y274" s="2"/>
      <c r="Z274" s="7">
        <f t="shared" si="100"/>
        <v>0</v>
      </c>
    </row>
    <row r="275" spans="1:26" s="24" customFormat="1" hidden="1" outlineLevel="2" x14ac:dyDescent="0.25">
      <c r="A275" s="27"/>
      <c r="B275" s="11" t="str">
        <f>CONCATENATE("          ", "7718", " - ", "INV. SHRINKAGE-STUDY GUIDES")</f>
        <v xml:space="preserve">          7718 - INV. SHRINKAGE-STUDY GUIDES</v>
      </c>
      <c r="C275" s="11"/>
      <c r="D275" s="6">
        <v>458</v>
      </c>
      <c r="E275" s="2"/>
      <c r="F275" s="7">
        <f t="shared" si="93"/>
        <v>7.8354539613104135E-4</v>
      </c>
      <c r="G275" s="2"/>
      <c r="H275" s="6"/>
      <c r="I275" s="2"/>
      <c r="J275" s="7">
        <f t="shared" si="94"/>
        <v>0</v>
      </c>
      <c r="K275" s="2"/>
      <c r="L275" s="6">
        <f t="shared" si="95"/>
        <v>458</v>
      </c>
      <c r="M275" s="2"/>
      <c r="N275" s="7">
        <f t="shared" si="96"/>
        <v>0</v>
      </c>
      <c r="O275" s="11"/>
      <c r="P275" s="6">
        <v>458</v>
      </c>
      <c r="Q275" s="2"/>
      <c r="R275" s="7">
        <f t="shared" si="97"/>
        <v>1.5995421699597447E-5</v>
      </c>
      <c r="S275" s="2"/>
      <c r="T275" s="6"/>
      <c r="U275" s="2"/>
      <c r="V275" s="7">
        <f t="shared" si="98"/>
        <v>0</v>
      </c>
      <c r="W275" s="2"/>
      <c r="X275" s="6">
        <f t="shared" si="99"/>
        <v>458</v>
      </c>
      <c r="Y275" s="2"/>
      <c r="Z275" s="7">
        <f t="shared" si="100"/>
        <v>0</v>
      </c>
    </row>
    <row r="276" spans="1:26" s="24" customFormat="1" hidden="1" outlineLevel="2" x14ac:dyDescent="0.25">
      <c r="A276" s="27"/>
      <c r="B276" s="11" t="str">
        <f>CONCATENATE("          ", "7719", " - ", "INV. SHRINKAGE-BOOK RELATED")</f>
        <v xml:space="preserve">          7719 - INV. SHRINKAGE-BOOK RELATED</v>
      </c>
      <c r="C276" s="11"/>
      <c r="D276" s="6">
        <v>-43</v>
      </c>
      <c r="E276" s="2"/>
      <c r="F276" s="7">
        <f t="shared" si="93"/>
        <v>-7.356430575029428E-5</v>
      </c>
      <c r="G276" s="2"/>
      <c r="H276" s="6"/>
      <c r="I276" s="2"/>
      <c r="J276" s="7">
        <f t="shared" si="94"/>
        <v>0</v>
      </c>
      <c r="K276" s="2"/>
      <c r="L276" s="6">
        <f t="shared" si="95"/>
        <v>-43</v>
      </c>
      <c r="M276" s="2"/>
      <c r="N276" s="7">
        <f t="shared" si="96"/>
        <v>0</v>
      </c>
      <c r="O276" s="11"/>
      <c r="P276" s="6">
        <v>-43</v>
      </c>
      <c r="Q276" s="2"/>
      <c r="R276" s="7">
        <f t="shared" si="97"/>
        <v>-1.5017535656827297E-6</v>
      </c>
      <c r="S276" s="2"/>
      <c r="T276" s="6"/>
      <c r="U276" s="2"/>
      <c r="V276" s="7">
        <f t="shared" si="98"/>
        <v>0</v>
      </c>
      <c r="W276" s="2"/>
      <c r="X276" s="6">
        <f t="shared" si="99"/>
        <v>-43</v>
      </c>
      <c r="Y276" s="2"/>
      <c r="Z276" s="7">
        <f t="shared" si="100"/>
        <v>0</v>
      </c>
    </row>
    <row r="277" spans="1:26" s="24" customFormat="1" hidden="1" outlineLevel="2" x14ac:dyDescent="0.25">
      <c r="A277" s="27"/>
      <c r="B277" s="11" t="str">
        <f>CONCATENATE("          ", "7725", " - ", "INV. SHRINKAGE-TEST FORMS")</f>
        <v xml:space="preserve">          7725 - INV. SHRINKAGE-TEST FORMS</v>
      </c>
      <c r="C277" s="11"/>
      <c r="D277" s="6">
        <v>3987</v>
      </c>
      <c r="E277" s="2"/>
      <c r="F277" s="7">
        <f t="shared" si="93"/>
        <v>6.8209508610796114E-3</v>
      </c>
      <c r="G277" s="2"/>
      <c r="H277" s="6"/>
      <c r="I277" s="2"/>
      <c r="J277" s="7">
        <f t="shared" si="94"/>
        <v>0</v>
      </c>
      <c r="K277" s="2"/>
      <c r="L277" s="6">
        <f t="shared" si="95"/>
        <v>3987</v>
      </c>
      <c r="M277" s="2"/>
      <c r="N277" s="7">
        <f t="shared" si="96"/>
        <v>0</v>
      </c>
      <c r="O277" s="11"/>
      <c r="P277" s="6">
        <v>3987</v>
      </c>
      <c r="Q277" s="2"/>
      <c r="R277" s="7">
        <f t="shared" si="97"/>
        <v>1.392439875901638E-4</v>
      </c>
      <c r="S277" s="2"/>
      <c r="T277" s="6"/>
      <c r="U277" s="2"/>
      <c r="V277" s="7">
        <f t="shared" si="98"/>
        <v>0</v>
      </c>
      <c r="W277" s="2"/>
      <c r="X277" s="6">
        <f t="shared" si="99"/>
        <v>3987</v>
      </c>
      <c r="Y277" s="2"/>
      <c r="Z277" s="7">
        <f t="shared" si="100"/>
        <v>0</v>
      </c>
    </row>
    <row r="278" spans="1:26" s="24" customFormat="1" hidden="1" outlineLevel="2" x14ac:dyDescent="0.25">
      <c r="A278" s="27"/>
      <c r="B278" s="11" t="str">
        <f>CONCATENATE("          ", "7726", " - ", "INV. SHRINKAGE-WRITING INSTRUM")</f>
        <v xml:space="preserve">          7726 - INV. SHRINKAGE-WRITING INSTRUM</v>
      </c>
      <c r="C278" s="11"/>
      <c r="D278" s="6">
        <v>9153</v>
      </c>
      <c r="E278" s="2"/>
      <c r="F278" s="7">
        <f t="shared" si="93"/>
        <v>1.5658932337963803E-2</v>
      </c>
      <c r="G278" s="2"/>
      <c r="H278" s="6"/>
      <c r="I278" s="2"/>
      <c r="J278" s="7">
        <f t="shared" si="94"/>
        <v>0</v>
      </c>
      <c r="K278" s="2"/>
      <c r="L278" s="6">
        <f t="shared" si="95"/>
        <v>9153</v>
      </c>
      <c r="M278" s="2"/>
      <c r="N278" s="7">
        <f t="shared" si="96"/>
        <v>0</v>
      </c>
      <c r="O278" s="11"/>
      <c r="P278" s="6">
        <v>9153</v>
      </c>
      <c r="Q278" s="2"/>
      <c r="R278" s="7">
        <f t="shared" si="97"/>
        <v>3.196639624812564E-4</v>
      </c>
      <c r="S278" s="2"/>
      <c r="T278" s="6"/>
      <c r="U278" s="2"/>
      <c r="V278" s="7">
        <f t="shared" si="98"/>
        <v>0</v>
      </c>
      <c r="W278" s="2"/>
      <c r="X278" s="6">
        <f t="shared" si="99"/>
        <v>9153</v>
      </c>
      <c r="Y278" s="2"/>
      <c r="Z278" s="7">
        <f t="shared" si="100"/>
        <v>0</v>
      </c>
    </row>
    <row r="279" spans="1:26" s="24" customFormat="1" hidden="1" outlineLevel="2" x14ac:dyDescent="0.25">
      <c r="A279" s="27"/>
      <c r="B279" s="11" t="str">
        <f>CONCATENATE("          ", "7727", " - ", "INV. SHRINKAGE-SCHOOL SUPPLIES")</f>
        <v xml:space="preserve">          7727 - INV. SHRINKAGE-SCHOOL SUPPLIES</v>
      </c>
      <c r="C279" s="11"/>
      <c r="D279" s="6">
        <v>9822</v>
      </c>
      <c r="E279" s="2"/>
      <c r="F279" s="7">
        <f t="shared" si="93"/>
        <v>1.680345607161373E-2</v>
      </c>
      <c r="G279" s="2"/>
      <c r="H279" s="6"/>
      <c r="I279" s="2"/>
      <c r="J279" s="7">
        <f t="shared" si="94"/>
        <v>0</v>
      </c>
      <c r="K279" s="2"/>
      <c r="L279" s="6">
        <f t="shared" si="95"/>
        <v>9822</v>
      </c>
      <c r="M279" s="2"/>
      <c r="N279" s="7">
        <f t="shared" si="96"/>
        <v>0</v>
      </c>
      <c r="O279" s="11"/>
      <c r="P279" s="6">
        <v>9822</v>
      </c>
      <c r="Q279" s="2"/>
      <c r="R279" s="7">
        <f t="shared" si="97"/>
        <v>3.4302845400315749E-4</v>
      </c>
      <c r="S279" s="2"/>
      <c r="T279" s="6"/>
      <c r="U279" s="2"/>
      <c r="V279" s="7">
        <f t="shared" si="98"/>
        <v>0</v>
      </c>
      <c r="W279" s="2"/>
      <c r="X279" s="6">
        <f t="shared" si="99"/>
        <v>9822</v>
      </c>
      <c r="Y279" s="2"/>
      <c r="Z279" s="7">
        <f t="shared" si="100"/>
        <v>0</v>
      </c>
    </row>
    <row r="280" spans="1:26" s="24" customFormat="1" hidden="1" outlineLevel="2" x14ac:dyDescent="0.25">
      <c r="A280" s="27"/>
      <c r="B280" s="11" t="str">
        <f>CONCATENATE("          ", "7728", " - ", "INV. SHRINKAGE-ART/TECH")</f>
        <v xml:space="preserve">          7728 - INV. SHRINKAGE-ART/TECH</v>
      </c>
      <c r="C280" s="11"/>
      <c r="D280" s="6">
        <v>8990</v>
      </c>
      <c r="E280" s="2"/>
      <c r="F280" s="7">
        <f t="shared" si="93"/>
        <v>1.5380072295235943E-2</v>
      </c>
      <c r="G280" s="2"/>
      <c r="H280" s="6"/>
      <c r="I280" s="2"/>
      <c r="J280" s="7">
        <f t="shared" si="94"/>
        <v>0</v>
      </c>
      <c r="K280" s="2"/>
      <c r="L280" s="6">
        <f t="shared" si="95"/>
        <v>8990</v>
      </c>
      <c r="M280" s="2"/>
      <c r="N280" s="7">
        <f t="shared" si="96"/>
        <v>0</v>
      </c>
      <c r="O280" s="11"/>
      <c r="P280" s="6">
        <v>8990</v>
      </c>
      <c r="Q280" s="2"/>
      <c r="R280" s="7">
        <f t="shared" si="97"/>
        <v>3.1397126873227305E-4</v>
      </c>
      <c r="S280" s="2"/>
      <c r="T280" s="6"/>
      <c r="U280" s="2"/>
      <c r="V280" s="7">
        <f t="shared" si="98"/>
        <v>0</v>
      </c>
      <c r="W280" s="2"/>
      <c r="X280" s="6">
        <f t="shared" si="99"/>
        <v>8990</v>
      </c>
      <c r="Y280" s="2"/>
      <c r="Z280" s="7">
        <f t="shared" si="100"/>
        <v>0</v>
      </c>
    </row>
    <row r="281" spans="1:26" s="24" customFormat="1" hidden="1" outlineLevel="2" x14ac:dyDescent="0.25">
      <c r="A281" s="27"/>
      <c r="B281" s="11" t="str">
        <f>CONCATENATE("          ", "7731", " - ", "INV. SHRINKAGE-FOOD")</f>
        <v xml:space="preserve">          7731 - INV. SHRINKAGE-FOOD</v>
      </c>
      <c r="C281" s="11"/>
      <c r="D281" s="6">
        <v>6964</v>
      </c>
      <c r="E281" s="2"/>
      <c r="F281" s="7">
        <f t="shared" si="93"/>
        <v>1.1913995935931379E-2</v>
      </c>
      <c r="G281" s="2"/>
      <c r="H281" s="6"/>
      <c r="I281" s="2"/>
      <c r="J281" s="7">
        <f t="shared" si="94"/>
        <v>0</v>
      </c>
      <c r="K281" s="2"/>
      <c r="L281" s="6">
        <f t="shared" si="95"/>
        <v>6964</v>
      </c>
      <c r="M281" s="2"/>
      <c r="N281" s="7">
        <f t="shared" si="96"/>
        <v>0</v>
      </c>
      <c r="O281" s="11"/>
      <c r="P281" s="6">
        <v>6964</v>
      </c>
      <c r="Q281" s="2"/>
      <c r="R281" s="7">
        <f t="shared" si="97"/>
        <v>2.4321422863754721E-4</v>
      </c>
      <c r="S281" s="2"/>
      <c r="T281" s="6"/>
      <c r="U281" s="2"/>
      <c r="V281" s="7">
        <f t="shared" si="98"/>
        <v>0</v>
      </c>
      <c r="W281" s="2"/>
      <c r="X281" s="6">
        <f t="shared" si="99"/>
        <v>6964</v>
      </c>
      <c r="Y281" s="2"/>
      <c r="Z281" s="7">
        <f t="shared" si="100"/>
        <v>0</v>
      </c>
    </row>
    <row r="282" spans="1:26" s="24" customFormat="1" hidden="1" outlineLevel="2" x14ac:dyDescent="0.25">
      <c r="A282" s="27"/>
      <c r="B282" s="11" t="str">
        <f>CONCATENATE("          ", "7732", " - ", "INV. SHRINKAGE-JUICE")</f>
        <v xml:space="preserve">          7732 - INV. SHRINKAGE-JUICE</v>
      </c>
      <c r="C282" s="11"/>
      <c r="D282" s="6">
        <v>-1942</v>
      </c>
      <c r="E282" s="2"/>
      <c r="F282" s="7">
        <f t="shared" si="93"/>
        <v>-3.322369343420267E-3</v>
      </c>
      <c r="G282" s="2"/>
      <c r="H282" s="6"/>
      <c r="I282" s="2"/>
      <c r="J282" s="7">
        <f t="shared" si="94"/>
        <v>0</v>
      </c>
      <c r="K282" s="2"/>
      <c r="L282" s="6">
        <f t="shared" si="95"/>
        <v>-1942</v>
      </c>
      <c r="M282" s="2"/>
      <c r="N282" s="7">
        <f t="shared" si="96"/>
        <v>0</v>
      </c>
      <c r="O282" s="11"/>
      <c r="P282" s="6">
        <v>-1942</v>
      </c>
      <c r="Q282" s="2"/>
      <c r="R282" s="7">
        <f t="shared" si="97"/>
        <v>-6.782338196641537E-5</v>
      </c>
      <c r="S282" s="2"/>
      <c r="T282" s="6"/>
      <c r="U282" s="2"/>
      <c r="V282" s="7">
        <f t="shared" si="98"/>
        <v>0</v>
      </c>
      <c r="W282" s="2"/>
      <c r="X282" s="6">
        <f t="shared" si="99"/>
        <v>-1942</v>
      </c>
      <c r="Y282" s="2"/>
      <c r="Z282" s="7">
        <f t="shared" si="100"/>
        <v>0</v>
      </c>
    </row>
    <row r="283" spans="1:26" s="24" customFormat="1" hidden="1" outlineLevel="2" x14ac:dyDescent="0.25">
      <c r="A283" s="27"/>
      <c r="B283" s="11" t="str">
        <f>CONCATENATE("          ", "7733", " - ", "INV. SHRINKAGE-CANDY")</f>
        <v xml:space="preserve">          7733 - INV. SHRINKAGE-CANDY</v>
      </c>
      <c r="C283" s="11"/>
      <c r="D283" s="6">
        <v>2710</v>
      </c>
      <c r="E283" s="2"/>
      <c r="F283" s="7">
        <f t="shared" si="93"/>
        <v>4.6362620600766853E-3</v>
      </c>
      <c r="G283" s="2"/>
      <c r="H283" s="6"/>
      <c r="I283" s="2"/>
      <c r="J283" s="7">
        <f t="shared" si="94"/>
        <v>0</v>
      </c>
      <c r="K283" s="2"/>
      <c r="L283" s="6">
        <f t="shared" si="95"/>
        <v>2710</v>
      </c>
      <c r="M283" s="2"/>
      <c r="N283" s="7">
        <f t="shared" si="96"/>
        <v>0</v>
      </c>
      <c r="O283" s="11"/>
      <c r="P283" s="6">
        <v>2710</v>
      </c>
      <c r="Q283" s="2"/>
      <c r="R283" s="7">
        <f t="shared" si="97"/>
        <v>9.464539913953948E-5</v>
      </c>
      <c r="S283" s="2"/>
      <c r="T283" s="6"/>
      <c r="U283" s="2"/>
      <c r="V283" s="7">
        <f t="shared" si="98"/>
        <v>0</v>
      </c>
      <c r="W283" s="2"/>
      <c r="X283" s="6">
        <f t="shared" si="99"/>
        <v>2710</v>
      </c>
      <c r="Y283" s="2"/>
      <c r="Z283" s="7">
        <f t="shared" si="100"/>
        <v>0</v>
      </c>
    </row>
    <row r="284" spans="1:26" s="24" customFormat="1" hidden="1" outlineLevel="2" x14ac:dyDescent="0.25">
      <c r="A284" s="27"/>
      <c r="B284" s="11" t="str">
        <f>CONCATENATE("          ", "7734", " - ", "INV. SHRINKAGE-SODA")</f>
        <v xml:space="preserve">          7734 - INV. SHRINKAGE-SODA</v>
      </c>
      <c r="C284" s="11"/>
      <c r="D284" s="6">
        <v>1253</v>
      </c>
      <c r="E284" s="2"/>
      <c r="F284" s="7">
        <f t="shared" si="93"/>
        <v>2.1436296536074123E-3</v>
      </c>
      <c r="G284" s="2"/>
      <c r="H284" s="6"/>
      <c r="I284" s="2"/>
      <c r="J284" s="7">
        <f t="shared" si="94"/>
        <v>0</v>
      </c>
      <c r="K284" s="2"/>
      <c r="L284" s="6">
        <f t="shared" si="95"/>
        <v>1253</v>
      </c>
      <c r="M284" s="2"/>
      <c r="N284" s="7">
        <f t="shared" si="96"/>
        <v>0</v>
      </c>
      <c r="O284" s="11"/>
      <c r="P284" s="6">
        <v>1253</v>
      </c>
      <c r="Q284" s="2"/>
      <c r="R284" s="7">
        <f t="shared" si="97"/>
        <v>4.3760400413964194E-5</v>
      </c>
      <c r="S284" s="2"/>
      <c r="T284" s="6"/>
      <c r="U284" s="2"/>
      <c r="V284" s="7">
        <f t="shared" si="98"/>
        <v>0</v>
      </c>
      <c r="W284" s="2"/>
      <c r="X284" s="6">
        <f t="shared" si="99"/>
        <v>1253</v>
      </c>
      <c r="Y284" s="2"/>
      <c r="Z284" s="7">
        <f t="shared" si="100"/>
        <v>0</v>
      </c>
    </row>
    <row r="285" spans="1:26" s="24" customFormat="1" hidden="1" outlineLevel="2" x14ac:dyDescent="0.25">
      <c r="A285" s="27"/>
      <c r="B285" s="11" t="str">
        <f>CONCATENATE("          ", "7735", " - ", "INV. SHRINKAGE-HEALTH/BEAUTY")</f>
        <v xml:space="preserve">          7735 - INV. SHRINKAGE-HEALTH/BEAUTY</v>
      </c>
      <c r="C285" s="11"/>
      <c r="D285" s="6">
        <v>369</v>
      </c>
      <c r="E285" s="2"/>
      <c r="F285" s="7">
        <f t="shared" si="93"/>
        <v>6.3128439120601362E-4</v>
      </c>
      <c r="G285" s="2"/>
      <c r="H285" s="6"/>
      <c r="I285" s="2"/>
      <c r="J285" s="7">
        <f t="shared" si="94"/>
        <v>0</v>
      </c>
      <c r="K285" s="2"/>
      <c r="L285" s="6">
        <f t="shared" si="95"/>
        <v>369</v>
      </c>
      <c r="M285" s="2"/>
      <c r="N285" s="7">
        <f t="shared" si="96"/>
        <v>0</v>
      </c>
      <c r="O285" s="11"/>
      <c r="P285" s="6">
        <v>369</v>
      </c>
      <c r="Q285" s="2"/>
      <c r="R285" s="7">
        <f t="shared" si="97"/>
        <v>1.2887141063649472E-5</v>
      </c>
      <c r="S285" s="2"/>
      <c r="T285" s="6"/>
      <c r="U285" s="2"/>
      <c r="V285" s="7">
        <f t="shared" si="98"/>
        <v>0</v>
      </c>
      <c r="W285" s="2"/>
      <c r="X285" s="6">
        <f t="shared" si="99"/>
        <v>369</v>
      </c>
      <c r="Y285" s="2"/>
      <c r="Z285" s="7">
        <f t="shared" si="100"/>
        <v>0</v>
      </c>
    </row>
    <row r="286" spans="1:26" s="24" customFormat="1" hidden="1" outlineLevel="2" x14ac:dyDescent="0.25">
      <c r="A286" s="27"/>
      <c r="B286" s="11" t="str">
        <f>CONCATENATE("          ", "7737", " - ", "INV. SHRINKAGE-WATER")</f>
        <v xml:space="preserve">          7737 - INV. SHRINKAGE-WATER</v>
      </c>
      <c r="C286" s="11"/>
      <c r="D286" s="6">
        <v>763</v>
      </c>
      <c r="E286" s="2"/>
      <c r="F286" s="7">
        <f t="shared" si="93"/>
        <v>1.3053387276156867E-3</v>
      </c>
      <c r="G286" s="2"/>
      <c r="H286" s="6"/>
      <c r="I286" s="2"/>
      <c r="J286" s="7">
        <f t="shared" si="94"/>
        <v>0</v>
      </c>
      <c r="K286" s="2"/>
      <c r="L286" s="6">
        <f t="shared" si="95"/>
        <v>763</v>
      </c>
      <c r="M286" s="2"/>
      <c r="N286" s="7">
        <f t="shared" si="96"/>
        <v>0</v>
      </c>
      <c r="O286" s="11"/>
      <c r="P286" s="6">
        <v>763</v>
      </c>
      <c r="Q286" s="2"/>
      <c r="R286" s="7">
        <f t="shared" si="97"/>
        <v>2.6647394665486575E-5</v>
      </c>
      <c r="S286" s="2"/>
      <c r="T286" s="6"/>
      <c r="U286" s="2"/>
      <c r="V286" s="7">
        <f t="shared" si="98"/>
        <v>0</v>
      </c>
      <c r="W286" s="2"/>
      <c r="X286" s="6">
        <f t="shared" si="99"/>
        <v>763</v>
      </c>
      <c r="Y286" s="2"/>
      <c r="Z286" s="7">
        <f t="shared" si="100"/>
        <v>0</v>
      </c>
    </row>
    <row r="287" spans="1:26" s="24" customFormat="1" hidden="1" outlineLevel="2" x14ac:dyDescent="0.25">
      <c r="A287" s="27"/>
      <c r="B287" s="11" t="str">
        <f>CONCATENATE("          ", "7740", " - ", "INV. SHRINKAGE-LOGO CLOTHING")</f>
        <v xml:space="preserve">          7740 - INV. SHRINKAGE-LOGO CLOTHING</v>
      </c>
      <c r="C287" s="11"/>
      <c r="D287" s="6">
        <v>62007.000000000007</v>
      </c>
      <c r="E287" s="2"/>
      <c r="F287" s="7">
        <f t="shared" si="93"/>
        <v>0.10608143968973251</v>
      </c>
      <c r="G287" s="2"/>
      <c r="H287" s="6"/>
      <c r="I287" s="2"/>
      <c r="J287" s="7">
        <f t="shared" si="94"/>
        <v>0</v>
      </c>
      <c r="K287" s="2"/>
      <c r="L287" s="6">
        <f t="shared" si="95"/>
        <v>62007.000000000007</v>
      </c>
      <c r="M287" s="2"/>
      <c r="N287" s="7">
        <f t="shared" si="96"/>
        <v>0</v>
      </c>
      <c r="O287" s="11"/>
      <c r="P287" s="6">
        <v>62007.000000000007</v>
      </c>
      <c r="Q287" s="2"/>
      <c r="R287" s="7">
        <f t="shared" si="97"/>
        <v>2.1655635662160243E-3</v>
      </c>
      <c r="S287" s="2"/>
      <c r="T287" s="6"/>
      <c r="U287" s="2"/>
      <c r="V287" s="7">
        <f t="shared" si="98"/>
        <v>0</v>
      </c>
      <c r="W287" s="2"/>
      <c r="X287" s="6">
        <f t="shared" si="99"/>
        <v>62007.000000000007</v>
      </c>
      <c r="Y287" s="2"/>
      <c r="Z287" s="7">
        <f t="shared" si="100"/>
        <v>0</v>
      </c>
    </row>
    <row r="288" spans="1:26" s="24" customFormat="1" hidden="1" outlineLevel="2" x14ac:dyDescent="0.25">
      <c r="A288" s="27"/>
      <c r="B288" s="11" t="str">
        <f>CONCATENATE("          ", "7741", " - ", "INV. SHRINKAGE-LOGO GIFTS")</f>
        <v xml:space="preserve">          7741 - INV. SHRINKAGE-LOGO GIFTS</v>
      </c>
      <c r="C288" s="11"/>
      <c r="D288" s="6">
        <v>30707</v>
      </c>
      <c r="E288" s="2"/>
      <c r="F288" s="7">
        <f t="shared" si="93"/>
        <v>5.2533468294750842E-2</v>
      </c>
      <c r="G288" s="2"/>
      <c r="H288" s="6"/>
      <c r="I288" s="2"/>
      <c r="J288" s="7">
        <f t="shared" si="94"/>
        <v>0</v>
      </c>
      <c r="K288" s="2"/>
      <c r="L288" s="6">
        <f t="shared" si="95"/>
        <v>30707</v>
      </c>
      <c r="M288" s="2"/>
      <c r="N288" s="7">
        <f t="shared" si="96"/>
        <v>0</v>
      </c>
      <c r="O288" s="11"/>
      <c r="P288" s="6">
        <v>30707</v>
      </c>
      <c r="Q288" s="2"/>
      <c r="R288" s="7">
        <f t="shared" si="97"/>
        <v>1.0724266684051067E-3</v>
      </c>
      <c r="S288" s="2"/>
      <c r="T288" s="6"/>
      <c r="U288" s="2"/>
      <c r="V288" s="7">
        <f t="shared" si="98"/>
        <v>0</v>
      </c>
      <c r="W288" s="2"/>
      <c r="X288" s="6">
        <f t="shared" si="99"/>
        <v>30707</v>
      </c>
      <c r="Y288" s="2"/>
      <c r="Z288" s="7">
        <f t="shared" si="100"/>
        <v>0</v>
      </c>
    </row>
    <row r="289" spans="1:26" s="24" customFormat="1" hidden="1" outlineLevel="2" x14ac:dyDescent="0.25">
      <c r="A289" s="27"/>
      <c r="B289" s="11" t="str">
        <f>CONCATENATE("          ", "7742", " - ", "INV. SHRINKAGE-EVERYDAY GIFTS")</f>
        <v xml:space="preserve">          7742 - INV. SHRINKAGE-EVERYDAY GIFTS</v>
      </c>
      <c r="C289" s="11"/>
      <c r="D289" s="6">
        <v>26197</v>
      </c>
      <c r="E289" s="2"/>
      <c r="F289" s="7">
        <f t="shared" si="93"/>
        <v>4.481777018001068E-2</v>
      </c>
      <c r="G289" s="2"/>
      <c r="H289" s="6"/>
      <c r="I289" s="2"/>
      <c r="J289" s="7">
        <f t="shared" si="94"/>
        <v>0</v>
      </c>
      <c r="K289" s="2"/>
      <c r="L289" s="6">
        <f t="shared" si="95"/>
        <v>26197</v>
      </c>
      <c r="M289" s="2"/>
      <c r="N289" s="7">
        <f t="shared" si="96"/>
        <v>0</v>
      </c>
      <c r="O289" s="11"/>
      <c r="P289" s="6">
        <v>26197</v>
      </c>
      <c r="Q289" s="2"/>
      <c r="R289" s="7">
        <f t="shared" si="97"/>
        <v>9.1491716651605746E-4</v>
      </c>
      <c r="S289" s="2"/>
      <c r="T289" s="6"/>
      <c r="U289" s="2"/>
      <c r="V289" s="7">
        <f t="shared" si="98"/>
        <v>0</v>
      </c>
      <c r="W289" s="2"/>
      <c r="X289" s="6">
        <f t="shared" si="99"/>
        <v>26197</v>
      </c>
      <c r="Y289" s="2"/>
      <c r="Z289" s="7">
        <f t="shared" si="100"/>
        <v>0</v>
      </c>
    </row>
    <row r="290" spans="1:26" s="24" customFormat="1" hidden="1" outlineLevel="2" x14ac:dyDescent="0.25">
      <c r="A290" s="27"/>
      <c r="B290" s="11" t="str">
        <f>CONCATENATE("          ", "7743", " - ", "INV. SHRINKAGE-CARDS")</f>
        <v xml:space="preserve">          7743 - INV. SHRINKAGE-CARDS</v>
      </c>
      <c r="C290" s="11"/>
      <c r="D290" s="6">
        <v>-12818</v>
      </c>
      <c r="E290" s="2"/>
      <c r="F290" s="7">
        <f t="shared" si="93"/>
        <v>-2.1929006304820281E-2</v>
      </c>
      <c r="G290" s="2"/>
      <c r="H290" s="6"/>
      <c r="I290" s="2"/>
      <c r="J290" s="7">
        <f t="shared" si="94"/>
        <v>0</v>
      </c>
      <c r="K290" s="2"/>
      <c r="L290" s="6">
        <f t="shared" si="95"/>
        <v>-12818</v>
      </c>
      <c r="M290" s="2"/>
      <c r="N290" s="7">
        <f t="shared" si="96"/>
        <v>0</v>
      </c>
      <c r="O290" s="11"/>
      <c r="P290" s="6">
        <v>-12818</v>
      </c>
      <c r="Q290" s="2"/>
      <c r="R290" s="7">
        <f t="shared" si="97"/>
        <v>-4.476622605795635E-4</v>
      </c>
      <c r="S290" s="2"/>
      <c r="T290" s="6"/>
      <c r="U290" s="2"/>
      <c r="V290" s="7">
        <f t="shared" si="98"/>
        <v>0</v>
      </c>
      <c r="W290" s="2"/>
      <c r="X290" s="6">
        <f t="shared" si="99"/>
        <v>-12818</v>
      </c>
      <c r="Y290" s="2"/>
      <c r="Z290" s="7">
        <f t="shared" si="100"/>
        <v>0</v>
      </c>
    </row>
    <row r="291" spans="1:26" s="24" customFormat="1" hidden="1" outlineLevel="2" x14ac:dyDescent="0.25">
      <c r="A291" s="27"/>
      <c r="B291" s="11" t="str">
        <f>CONCATENATE("          ", "7744", " - ", "INV. SHRINKAGE-ACCESSORIES")</f>
        <v xml:space="preserve">          7744 - INV. SHRINKAGE-ACCESSORIES</v>
      </c>
      <c r="C291" s="11"/>
      <c r="D291" s="6">
        <v>-16780</v>
      </c>
      <c r="E291" s="2"/>
      <c r="F291" s="7">
        <f t="shared" si="93"/>
        <v>-2.8707187220696231E-2</v>
      </c>
      <c r="G291" s="2"/>
      <c r="H291" s="6"/>
      <c r="I291" s="2"/>
      <c r="J291" s="7">
        <f t="shared" si="94"/>
        <v>0</v>
      </c>
      <c r="K291" s="2"/>
      <c r="L291" s="6">
        <f t="shared" si="95"/>
        <v>-16780</v>
      </c>
      <c r="M291" s="2"/>
      <c r="N291" s="7">
        <f t="shared" si="96"/>
        <v>0</v>
      </c>
      <c r="O291" s="11"/>
      <c r="P291" s="6">
        <v>-16780</v>
      </c>
      <c r="Q291" s="2"/>
      <c r="R291" s="7">
        <f t="shared" si="97"/>
        <v>-5.8603313563153965E-4</v>
      </c>
      <c r="S291" s="2"/>
      <c r="T291" s="6"/>
      <c r="U291" s="2"/>
      <c r="V291" s="7">
        <f t="shared" si="98"/>
        <v>0</v>
      </c>
      <c r="W291" s="2"/>
      <c r="X291" s="6">
        <f t="shared" si="99"/>
        <v>-16780</v>
      </c>
      <c r="Y291" s="2"/>
      <c r="Z291" s="7">
        <f t="shared" si="100"/>
        <v>0</v>
      </c>
    </row>
    <row r="292" spans="1:26" s="24" customFormat="1" hidden="1" outlineLevel="2" x14ac:dyDescent="0.25">
      <c r="A292" s="27"/>
      <c r="B292" s="11" t="str">
        <f>CONCATENATE("          ", "7745", " - ", "INV. SHRINKAGE-SPECIAL ORDERS")</f>
        <v xml:space="preserve">          7745 - INV. SHRINKAGE-SPECIAL ORDERS</v>
      </c>
      <c r="C292" s="11"/>
      <c r="D292" s="6">
        <v>44531</v>
      </c>
      <c r="E292" s="2"/>
      <c r="F292" s="7">
        <f t="shared" si="93"/>
        <v>7.6183537194566386E-2</v>
      </c>
      <c r="G292" s="2"/>
      <c r="H292" s="6"/>
      <c r="I292" s="2"/>
      <c r="J292" s="7">
        <f t="shared" si="94"/>
        <v>0</v>
      </c>
      <c r="K292" s="2"/>
      <c r="L292" s="6">
        <f t="shared" si="95"/>
        <v>44531</v>
      </c>
      <c r="M292" s="2"/>
      <c r="N292" s="7">
        <f t="shared" si="96"/>
        <v>0</v>
      </c>
      <c r="O292" s="11"/>
      <c r="P292" s="6">
        <v>44531</v>
      </c>
      <c r="Q292" s="2"/>
      <c r="R292" s="7">
        <f t="shared" si="97"/>
        <v>1.5552229775213403E-3</v>
      </c>
      <c r="S292" s="2"/>
      <c r="T292" s="6"/>
      <c r="U292" s="2"/>
      <c r="V292" s="7">
        <f t="shared" si="98"/>
        <v>0</v>
      </c>
      <c r="W292" s="2"/>
      <c r="X292" s="6">
        <f t="shared" si="99"/>
        <v>44531</v>
      </c>
      <c r="Y292" s="2"/>
      <c r="Z292" s="7">
        <f t="shared" si="100"/>
        <v>0</v>
      </c>
    </row>
    <row r="293" spans="1:26" s="24" customFormat="1" hidden="1" outlineLevel="2" x14ac:dyDescent="0.25">
      <c r="A293" s="27"/>
      <c r="B293" s="11" t="str">
        <f>CONCATENATE("          ", "7781", " - ", "INV. SHRINKAGE-ELECTRONICS")</f>
        <v xml:space="preserve">          7781 - INV. SHRINKAGE-ELECTRONICS</v>
      </c>
      <c r="C293" s="11"/>
      <c r="D293" s="6">
        <v>-18533</v>
      </c>
      <c r="E293" s="2"/>
      <c r="F293" s="7">
        <f t="shared" si="93"/>
        <v>-3.1706215778376831E-2</v>
      </c>
      <c r="G293" s="2"/>
      <c r="H293" s="6"/>
      <c r="I293" s="2"/>
      <c r="J293" s="7">
        <f t="shared" si="94"/>
        <v>0</v>
      </c>
      <c r="K293" s="2"/>
      <c r="L293" s="6">
        <f t="shared" si="95"/>
        <v>-18533</v>
      </c>
      <c r="M293" s="2"/>
      <c r="N293" s="7">
        <f t="shared" si="96"/>
        <v>0</v>
      </c>
      <c r="O293" s="11"/>
      <c r="P293" s="6">
        <v>-18533</v>
      </c>
      <c r="Q293" s="2"/>
      <c r="R293" s="7">
        <f t="shared" si="97"/>
        <v>-6.4725578680925654E-4</v>
      </c>
      <c r="S293" s="2"/>
      <c r="T293" s="6"/>
      <c r="U293" s="2"/>
      <c r="V293" s="7">
        <f t="shared" si="98"/>
        <v>0</v>
      </c>
      <c r="W293" s="2"/>
      <c r="X293" s="6">
        <f t="shared" si="99"/>
        <v>-18533</v>
      </c>
      <c r="Y293" s="2"/>
      <c r="Z293" s="7">
        <f t="shared" si="100"/>
        <v>0</v>
      </c>
    </row>
    <row r="294" spans="1:26" s="24" customFormat="1" hidden="1" outlineLevel="2" x14ac:dyDescent="0.25">
      <c r="A294" s="27"/>
      <c r="B294" s="11" t="str">
        <f>CONCATENATE("          ", "7782", " - ", "INV. SHRINKAGE-COMPUTER HARDWA")</f>
        <v xml:space="preserve">          7782 - INV. SHRINKAGE-COMPUTER HARDWA</v>
      </c>
      <c r="C294" s="11"/>
      <c r="D294" s="6">
        <v>-30194</v>
      </c>
      <c r="E294" s="2"/>
      <c r="F294" s="7">
        <f t="shared" si="93"/>
        <v>-5.1655829019171755E-2</v>
      </c>
      <c r="G294" s="2"/>
      <c r="H294" s="6"/>
      <c r="I294" s="2"/>
      <c r="J294" s="7">
        <f t="shared" si="94"/>
        <v>0</v>
      </c>
      <c r="K294" s="2"/>
      <c r="L294" s="6">
        <f t="shared" si="95"/>
        <v>-30194</v>
      </c>
      <c r="M294" s="2"/>
      <c r="N294" s="7">
        <f t="shared" si="96"/>
        <v>0</v>
      </c>
      <c r="O294" s="11"/>
      <c r="P294" s="6">
        <v>-30194</v>
      </c>
      <c r="Q294" s="2"/>
      <c r="R294" s="7">
        <f t="shared" si="97"/>
        <v>-1.0545103991214963E-3</v>
      </c>
      <c r="S294" s="2"/>
      <c r="T294" s="6"/>
      <c r="U294" s="2"/>
      <c r="V294" s="7">
        <f t="shared" si="98"/>
        <v>0</v>
      </c>
      <c r="W294" s="2"/>
      <c r="X294" s="6">
        <f t="shared" si="99"/>
        <v>-30194</v>
      </c>
      <c r="Y294" s="2"/>
      <c r="Z294" s="7">
        <f t="shared" si="100"/>
        <v>0</v>
      </c>
    </row>
    <row r="295" spans="1:26" s="24" customFormat="1" hidden="1" outlineLevel="2" x14ac:dyDescent="0.25">
      <c r="A295" s="27"/>
      <c r="B295" s="11" t="str">
        <f>CONCATENATE("          ", "7783", " - ", "INV. SHRINKAGE-COMPUTER EQUIPM")</f>
        <v xml:space="preserve">          7783 - INV. SHRINKAGE-COMPUTER EQUIPM</v>
      </c>
      <c r="C295" s="11"/>
      <c r="D295" s="6">
        <v>2995</v>
      </c>
      <c r="E295" s="2"/>
      <c r="F295" s="7">
        <f t="shared" si="93"/>
        <v>5.1238394353984038E-3</v>
      </c>
      <c r="G295" s="2"/>
      <c r="H295" s="6"/>
      <c r="I295" s="2"/>
      <c r="J295" s="7">
        <f t="shared" si="94"/>
        <v>0</v>
      </c>
      <c r="K295" s="2"/>
      <c r="L295" s="6">
        <f t="shared" si="95"/>
        <v>2995</v>
      </c>
      <c r="M295" s="2"/>
      <c r="N295" s="7">
        <f t="shared" si="96"/>
        <v>0</v>
      </c>
      <c r="O295" s="11"/>
      <c r="P295" s="6">
        <v>2995</v>
      </c>
      <c r="Q295" s="2"/>
      <c r="R295" s="7">
        <f t="shared" si="97"/>
        <v>1.045988820748785E-4</v>
      </c>
      <c r="S295" s="2"/>
      <c r="T295" s="6"/>
      <c r="U295" s="2"/>
      <c r="V295" s="7">
        <f t="shared" si="98"/>
        <v>0</v>
      </c>
      <c r="W295" s="2"/>
      <c r="X295" s="6">
        <f t="shared" si="99"/>
        <v>2995</v>
      </c>
      <c r="Y295" s="2"/>
      <c r="Z295" s="7">
        <f t="shared" si="100"/>
        <v>0</v>
      </c>
    </row>
    <row r="296" spans="1:26" s="24" customFormat="1" hidden="1" outlineLevel="2" x14ac:dyDescent="0.25">
      <c r="A296" s="27"/>
      <c r="B296" s="11" t="str">
        <f>CONCATENATE("          ", "7784", " - ", "INV. SHRINKAGE-SOFTWARE LICENS")</f>
        <v xml:space="preserve">          7784 - INV. SHRINKAGE-SOFTWARE LICENS</v>
      </c>
      <c r="C296" s="11"/>
      <c r="D296" s="6">
        <v>1394</v>
      </c>
      <c r="E296" s="2"/>
      <c r="F296" s="7">
        <f t="shared" si="93"/>
        <v>2.3848521445560518E-3</v>
      </c>
      <c r="G296" s="2"/>
      <c r="H296" s="6"/>
      <c r="I296" s="2"/>
      <c r="J296" s="7">
        <f t="shared" si="94"/>
        <v>0</v>
      </c>
      <c r="K296" s="2"/>
      <c r="L296" s="6">
        <f t="shared" si="95"/>
        <v>1394</v>
      </c>
      <c r="M296" s="2"/>
      <c r="N296" s="7">
        <f t="shared" si="96"/>
        <v>0</v>
      </c>
      <c r="O296" s="11"/>
      <c r="P296" s="6">
        <v>1394</v>
      </c>
      <c r="Q296" s="2"/>
      <c r="R296" s="7">
        <f t="shared" si="97"/>
        <v>4.8684755129342448E-5</v>
      </c>
      <c r="S296" s="2"/>
      <c r="T296" s="6"/>
      <c r="U296" s="2"/>
      <c r="V296" s="7">
        <f t="shared" si="98"/>
        <v>0</v>
      </c>
      <c r="W296" s="2"/>
      <c r="X296" s="6">
        <f t="shared" si="99"/>
        <v>1394</v>
      </c>
      <c r="Y296" s="2"/>
      <c r="Z296" s="7">
        <f t="shared" si="100"/>
        <v>0</v>
      </c>
    </row>
    <row r="297" spans="1:26" s="24" customFormat="1" hidden="1" outlineLevel="2" x14ac:dyDescent="0.25">
      <c r="A297" s="27"/>
      <c r="B297" s="11" t="str">
        <f>CONCATENATE("          ", "7785", " - ", "INV. SHRINKAGE-SOFTWARE")</f>
        <v xml:space="preserve">          7785 - INV. SHRINKAGE-SOFTWARE</v>
      </c>
      <c r="C297" s="11"/>
      <c r="D297" s="6">
        <v>-3743</v>
      </c>
      <c r="E297" s="2"/>
      <c r="F297" s="7">
        <f t="shared" si="93"/>
        <v>-6.4035161958918944E-3</v>
      </c>
      <c r="G297" s="2"/>
      <c r="H297" s="6"/>
      <c r="I297" s="2"/>
      <c r="J297" s="7">
        <f t="shared" si="94"/>
        <v>0</v>
      </c>
      <c r="K297" s="2"/>
      <c r="L297" s="6">
        <f t="shared" si="95"/>
        <v>-3743</v>
      </c>
      <c r="M297" s="2"/>
      <c r="N297" s="7">
        <f t="shared" si="96"/>
        <v>0</v>
      </c>
      <c r="O297" s="11"/>
      <c r="P297" s="6">
        <v>-3743</v>
      </c>
      <c r="Q297" s="2"/>
      <c r="R297" s="7">
        <f t="shared" si="97"/>
        <v>-1.3072240921745251E-4</v>
      </c>
      <c r="S297" s="2"/>
      <c r="T297" s="6"/>
      <c r="U297" s="2"/>
      <c r="V297" s="7">
        <f t="shared" si="98"/>
        <v>0</v>
      </c>
      <c r="W297" s="2"/>
      <c r="X297" s="6">
        <f t="shared" si="99"/>
        <v>-3743</v>
      </c>
      <c r="Y297" s="2"/>
      <c r="Z297" s="7">
        <f t="shared" si="100"/>
        <v>0</v>
      </c>
    </row>
    <row r="298" spans="1:26" s="24" customFormat="1" hidden="1" outlineLevel="2" x14ac:dyDescent="0.25">
      <c r="A298" s="27"/>
      <c r="B298" s="11" t="str">
        <f>CONCATENATE("          ", "7786", " - ", "INV. SHRINKAGE-COMPUTER SUPPLI")</f>
        <v xml:space="preserve">          7786 - INV. SHRINKAGE-COMPUTER SUPPLI</v>
      </c>
      <c r="C298" s="11"/>
      <c r="D298" s="6">
        <v>5038</v>
      </c>
      <c r="E298" s="2"/>
      <c r="F298" s="7">
        <f t="shared" si="93"/>
        <v>8.6189993574414554E-3</v>
      </c>
      <c r="G298" s="2"/>
      <c r="H298" s="6"/>
      <c r="I298" s="2"/>
      <c r="J298" s="7">
        <f t="shared" si="94"/>
        <v>0</v>
      </c>
      <c r="K298" s="2"/>
      <c r="L298" s="6">
        <f t="shared" si="95"/>
        <v>5038</v>
      </c>
      <c r="M298" s="2"/>
      <c r="N298" s="7">
        <f t="shared" si="96"/>
        <v>0</v>
      </c>
      <c r="O298" s="11"/>
      <c r="P298" s="6">
        <v>5038</v>
      </c>
      <c r="Q298" s="2"/>
      <c r="R298" s="7">
        <f t="shared" si="97"/>
        <v>1.7594963869557191E-4</v>
      </c>
      <c r="S298" s="2"/>
      <c r="T298" s="6"/>
      <c r="U298" s="2"/>
      <c r="V298" s="7">
        <f t="shared" si="98"/>
        <v>0</v>
      </c>
      <c r="W298" s="2"/>
      <c r="X298" s="6">
        <f t="shared" si="99"/>
        <v>5038</v>
      </c>
      <c r="Y298" s="2"/>
      <c r="Z298" s="7">
        <f t="shared" si="100"/>
        <v>0</v>
      </c>
    </row>
    <row r="299" spans="1:26" s="24" customFormat="1" hidden="1" outlineLevel="2" x14ac:dyDescent="0.25">
      <c r="A299" s="27"/>
      <c r="B299" s="11" t="str">
        <f>CONCATENATE("          ", "7788", " - ", "INV. SHRINKAGE-MUSIC")</f>
        <v xml:space="preserve">          7788 - INV. SHRINKAGE-MUSIC</v>
      </c>
      <c r="C299" s="11"/>
      <c r="D299" s="6">
        <v>152</v>
      </c>
      <c r="E299" s="2"/>
      <c r="F299" s="7">
        <f t="shared" si="93"/>
        <v>2.6004126683824955E-4</v>
      </c>
      <c r="G299" s="2"/>
      <c r="H299" s="6"/>
      <c r="I299" s="2"/>
      <c r="J299" s="7">
        <f t="shared" si="94"/>
        <v>0</v>
      </c>
      <c r="K299" s="2"/>
      <c r="L299" s="6">
        <f t="shared" si="95"/>
        <v>152</v>
      </c>
      <c r="M299" s="2"/>
      <c r="N299" s="7">
        <f t="shared" si="96"/>
        <v>0</v>
      </c>
      <c r="O299" s="11"/>
      <c r="P299" s="6">
        <v>152</v>
      </c>
      <c r="Q299" s="2"/>
      <c r="R299" s="7">
        <f t="shared" si="97"/>
        <v>5.3085242321808118E-6</v>
      </c>
      <c r="S299" s="2"/>
      <c r="T299" s="6"/>
      <c r="U299" s="2"/>
      <c r="V299" s="7">
        <f t="shared" si="98"/>
        <v>0</v>
      </c>
      <c r="W299" s="2"/>
      <c r="X299" s="6">
        <f t="shared" si="99"/>
        <v>152</v>
      </c>
      <c r="Y299" s="2"/>
      <c r="Z299" s="7">
        <f t="shared" si="100"/>
        <v>0</v>
      </c>
    </row>
    <row r="300" spans="1:26" s="24" customFormat="1" hidden="1" outlineLevel="2" x14ac:dyDescent="0.25">
      <c r="A300" s="27"/>
      <c r="B300" s="11" t="str">
        <f>CONCATENATE("          ", "7792", " - ", "INV. SHRINKAGE-GRAD MERCH")</f>
        <v xml:space="preserve">          7792 - INV. SHRINKAGE-GRAD MERCH</v>
      </c>
      <c r="C300" s="11"/>
      <c r="D300" s="6">
        <v>535</v>
      </c>
      <c r="E300" s="2"/>
      <c r="F300" s="7">
        <f t="shared" si="93"/>
        <v>9.1527682735831253E-4</v>
      </c>
      <c r="G300" s="2"/>
      <c r="H300" s="6"/>
      <c r="I300" s="2"/>
      <c r="J300" s="7">
        <f t="shared" si="94"/>
        <v>0</v>
      </c>
      <c r="K300" s="2"/>
      <c r="L300" s="6">
        <f t="shared" si="95"/>
        <v>535</v>
      </c>
      <c r="M300" s="2"/>
      <c r="N300" s="7">
        <f t="shared" si="96"/>
        <v>0</v>
      </c>
      <c r="O300" s="11"/>
      <c r="P300" s="6">
        <v>535</v>
      </c>
      <c r="Q300" s="2"/>
      <c r="R300" s="7">
        <f t="shared" si="97"/>
        <v>1.8684608317215359E-5</v>
      </c>
      <c r="S300" s="2"/>
      <c r="T300" s="6"/>
      <c r="U300" s="2"/>
      <c r="V300" s="7">
        <f t="shared" si="98"/>
        <v>0</v>
      </c>
      <c r="W300" s="2"/>
      <c r="X300" s="6">
        <f t="shared" si="99"/>
        <v>535</v>
      </c>
      <c r="Y300" s="2"/>
      <c r="Z300" s="7">
        <f t="shared" si="100"/>
        <v>0</v>
      </c>
    </row>
    <row r="301" spans="1:26" s="24" customFormat="1" hidden="1" outlineLevel="2" x14ac:dyDescent="0.25">
      <c r="A301" s="27"/>
      <c r="B301" s="11" t="str">
        <f>CONCATENATE("          ", "7795", " - ", "INV. SHRINKAGE-CUSTOMER SERVIC")</f>
        <v xml:space="preserve">          7795 - INV. SHRINKAGE-CUSTOMER SERVIC</v>
      </c>
      <c r="C301" s="11"/>
      <c r="D301" s="6">
        <v>-132</v>
      </c>
      <c r="E301" s="2"/>
      <c r="F301" s="7">
        <f t="shared" si="93"/>
        <v>-2.2582531067532195E-4</v>
      </c>
      <c r="G301" s="2"/>
      <c r="H301" s="6"/>
      <c r="I301" s="2"/>
      <c r="J301" s="7">
        <f t="shared" si="94"/>
        <v>0</v>
      </c>
      <c r="K301" s="2"/>
      <c r="L301" s="6">
        <f t="shared" si="95"/>
        <v>-132</v>
      </c>
      <c r="M301" s="2"/>
      <c r="N301" s="7">
        <f t="shared" si="96"/>
        <v>0</v>
      </c>
      <c r="O301" s="11"/>
      <c r="P301" s="6">
        <v>-132</v>
      </c>
      <c r="Q301" s="2"/>
      <c r="R301" s="7">
        <f t="shared" si="97"/>
        <v>-4.6100342016307056E-6</v>
      </c>
      <c r="S301" s="2"/>
      <c r="T301" s="6"/>
      <c r="U301" s="2"/>
      <c r="V301" s="7">
        <f t="shared" si="98"/>
        <v>0</v>
      </c>
      <c r="W301" s="2"/>
      <c r="X301" s="6">
        <f t="shared" si="99"/>
        <v>-132</v>
      </c>
      <c r="Y301" s="2"/>
      <c r="Z301" s="7">
        <f t="shared" si="100"/>
        <v>0</v>
      </c>
    </row>
    <row r="302" spans="1:26" s="26" customFormat="1" outlineLevel="1" collapsed="1" x14ac:dyDescent="0.25">
      <c r="A302" s="25"/>
      <c r="B302" s="12" t="str">
        <f>CONCATENATE("     ","Professional Services                             ")</f>
        <v xml:space="preserve">     Professional Services                             </v>
      </c>
      <c r="C302" s="12"/>
      <c r="D302" s="1">
        <f>SUM(OSRRefD22_15x_0)</f>
        <v>8441.9599999999991</v>
      </c>
      <c r="E302" s="1"/>
      <c r="F302" s="5">
        <f t="shared" ref="F302:F312" si="101">IF(D$12=0,0,D302/D$12)</f>
        <v>1.44424866644594E-2</v>
      </c>
      <c r="G302" s="1"/>
      <c r="H302" s="1">
        <f>SUM(OSRRefH22_15x_0)</f>
        <v>1415</v>
      </c>
      <c r="I302" s="1"/>
      <c r="J302" s="5">
        <f t="shared" ref="J302:J312" si="102">IF(H$12=0,0,H302/H$12)</f>
        <v>1.014477889053847E-3</v>
      </c>
      <c r="K302" s="1"/>
      <c r="L302" s="1">
        <f t="shared" ref="L302:L312" si="103">+D302-H302</f>
        <v>7026.9599999999991</v>
      </c>
      <c r="M302" s="1"/>
      <c r="N302" s="5">
        <f t="shared" ref="N302:N312" si="104">IF(H302=0,0,L302/H302)</f>
        <v>4.9660494699646636</v>
      </c>
      <c r="O302" s="12"/>
      <c r="P302" s="1">
        <f>SUM(OSRRefP22_15x_0)</f>
        <v>17696.52</v>
      </c>
      <c r="Q302" s="1"/>
      <c r="R302" s="5">
        <f t="shared" ref="R302:R312" si="105">IF(P$12=0,0,P302/P$12)</f>
        <v>6.1804213977152884E-4</v>
      </c>
      <c r="S302" s="1"/>
      <c r="T302" s="1">
        <f>SUM(OSRRefT22_15x_0)</f>
        <v>20130</v>
      </c>
      <c r="U302" s="1"/>
      <c r="V302" s="5">
        <f t="shared" ref="V302:V312" si="106">IF(T$12=0,0,T302/T$12)</f>
        <v>5.3665417746488666E-4</v>
      </c>
      <c r="W302" s="1"/>
      <c r="X302" s="1">
        <f t="shared" ref="X302:X312" si="107">+P302-T302</f>
        <v>-2433.4799999999996</v>
      </c>
      <c r="Y302" s="1"/>
      <c r="Z302" s="5">
        <f t="shared" ref="Z302:Z312" si="108">IF(T302=0,0,X302/T302)</f>
        <v>-0.12088822652757077</v>
      </c>
    </row>
    <row r="303" spans="1:26" s="24" customFormat="1" hidden="1" outlineLevel="2" x14ac:dyDescent="0.25">
      <c r="A303" s="27"/>
      <c r="B303" s="11" t="str">
        <f>CONCATENATE("          ", "6336", " - ", "PROFESSIONAL SERVICES")</f>
        <v xml:space="preserve">          6336 - PROFESSIONAL SERVICES</v>
      </c>
      <c r="C303" s="11"/>
      <c r="D303" s="6">
        <v>8441.9599999999991</v>
      </c>
      <c r="E303" s="2"/>
      <c r="F303" s="7">
        <f t="shared" si="101"/>
        <v>1.44424866644594E-2</v>
      </c>
      <c r="G303" s="2"/>
      <c r="H303" s="6">
        <v>1415</v>
      </c>
      <c r="I303" s="2"/>
      <c r="J303" s="7">
        <f t="shared" si="102"/>
        <v>1.014477889053847E-3</v>
      </c>
      <c r="K303" s="2"/>
      <c r="L303" s="6">
        <f t="shared" si="103"/>
        <v>7026.9599999999991</v>
      </c>
      <c r="M303" s="2"/>
      <c r="N303" s="7">
        <f t="shared" si="104"/>
        <v>4.9660494699646636</v>
      </c>
      <c r="O303" s="11"/>
      <c r="P303" s="6">
        <v>17696.52</v>
      </c>
      <c r="Q303" s="2"/>
      <c r="R303" s="7">
        <f t="shared" si="105"/>
        <v>6.1804213977152884E-4</v>
      </c>
      <c r="S303" s="2"/>
      <c r="T303" s="6">
        <v>20130</v>
      </c>
      <c r="U303" s="2"/>
      <c r="V303" s="7">
        <f t="shared" si="106"/>
        <v>5.3665417746488666E-4</v>
      </c>
      <c r="W303" s="2"/>
      <c r="X303" s="6">
        <f t="shared" si="107"/>
        <v>-2433.4799999999996</v>
      </c>
      <c r="Y303" s="2"/>
      <c r="Z303" s="7">
        <f t="shared" si="108"/>
        <v>-0.12088822652757077</v>
      </c>
    </row>
    <row r="304" spans="1:26" s="26" customFormat="1" outlineLevel="1" collapsed="1" x14ac:dyDescent="0.25">
      <c r="A304" s="25"/>
      <c r="B304" s="12" t="str">
        <f>CONCATENATE("     ","R/H Commissions                                   ")</f>
        <v xml:space="preserve">     R/H Commissions                                   </v>
      </c>
      <c r="C304" s="12"/>
      <c r="D304" s="1">
        <f>SUM(OSRRefD22_16x_0)</f>
        <v>-11146.03</v>
      </c>
      <c r="E304" s="1"/>
      <c r="F304" s="5">
        <f t="shared" si="101"/>
        <v>-1.9068603693533779E-2</v>
      </c>
      <c r="G304" s="1"/>
      <c r="H304" s="1">
        <f>SUM(OSRRefH22_16x_0)</f>
        <v>9494</v>
      </c>
      <c r="I304" s="1"/>
      <c r="J304" s="5">
        <f t="shared" si="102"/>
        <v>6.806680620973303E-3</v>
      </c>
      <c r="K304" s="1"/>
      <c r="L304" s="1">
        <f t="shared" si="103"/>
        <v>-20640.03</v>
      </c>
      <c r="M304" s="1"/>
      <c r="N304" s="5">
        <f t="shared" si="104"/>
        <v>-2.1740077943964606</v>
      </c>
      <c r="O304" s="12"/>
      <c r="P304" s="1">
        <f>SUM(OSRRefP22_16x_0)</f>
        <v>703130.05</v>
      </c>
      <c r="Q304" s="1"/>
      <c r="R304" s="5">
        <f t="shared" si="105"/>
        <v>2.4556466505259909E-2</v>
      </c>
      <c r="S304" s="1"/>
      <c r="T304" s="1">
        <f>SUM(OSRRefT22_16x_0)</f>
        <v>899591</v>
      </c>
      <c r="U304" s="1"/>
      <c r="V304" s="5">
        <f t="shared" si="106"/>
        <v>2.3982576659702676E-2</v>
      </c>
      <c r="W304" s="1"/>
      <c r="X304" s="1">
        <f t="shared" si="107"/>
        <v>-196460.94999999995</v>
      </c>
      <c r="Y304" s="1"/>
      <c r="Z304" s="5">
        <f t="shared" si="108"/>
        <v>-0.21838919019865691</v>
      </c>
    </row>
    <row r="305" spans="1:26" s="24" customFormat="1" hidden="1" outlineLevel="2" x14ac:dyDescent="0.25">
      <c r="A305" s="27"/>
      <c r="B305" s="11" t="str">
        <f>CONCATENATE("          ", "6387", " - ", "COMMISSION DUE HOUSING")</f>
        <v xml:space="preserve">          6387 - COMMISSION DUE HOUSING</v>
      </c>
      <c r="C305" s="11"/>
      <c r="D305" s="6">
        <v>-11146.03</v>
      </c>
      <c r="E305" s="2"/>
      <c r="F305" s="7">
        <f t="shared" si="101"/>
        <v>-1.9068603693533779E-2</v>
      </c>
      <c r="G305" s="2"/>
      <c r="H305" s="6">
        <v>9494</v>
      </c>
      <c r="I305" s="2"/>
      <c r="J305" s="7">
        <f t="shared" si="102"/>
        <v>6.806680620973303E-3</v>
      </c>
      <c r="K305" s="2"/>
      <c r="L305" s="6">
        <f t="shared" si="103"/>
        <v>-20640.03</v>
      </c>
      <c r="M305" s="2"/>
      <c r="N305" s="7">
        <f t="shared" si="104"/>
        <v>-2.1740077943964606</v>
      </c>
      <c r="O305" s="11"/>
      <c r="P305" s="6">
        <v>703130.05</v>
      </c>
      <c r="Q305" s="2"/>
      <c r="R305" s="7">
        <f t="shared" si="105"/>
        <v>2.4556466505259909E-2</v>
      </c>
      <c r="S305" s="2"/>
      <c r="T305" s="6">
        <v>899591</v>
      </c>
      <c r="U305" s="2"/>
      <c r="V305" s="7">
        <f t="shared" si="106"/>
        <v>2.3982576659702676E-2</v>
      </c>
      <c r="W305" s="2"/>
      <c r="X305" s="6">
        <f t="shared" si="107"/>
        <v>-196460.94999999995</v>
      </c>
      <c r="Y305" s="2"/>
      <c r="Z305" s="7">
        <f t="shared" si="108"/>
        <v>-0.21838919019865691</v>
      </c>
    </row>
    <row r="306" spans="1:26" s="26" customFormat="1" outlineLevel="1" collapsed="1" x14ac:dyDescent="0.25">
      <c r="A306" s="25"/>
      <c r="B306" s="12" t="str">
        <f>CONCATENATE("     ","Rent                                              ")</f>
        <v xml:space="preserve">     Rent                                              </v>
      </c>
      <c r="C306" s="12"/>
      <c r="D306" s="1">
        <f>SUM(OSRRefD22_17x_0)</f>
        <v>9900</v>
      </c>
      <c r="E306" s="1"/>
      <c r="F306" s="5">
        <f t="shared" si="101"/>
        <v>1.6936898300649147E-2</v>
      </c>
      <c r="G306" s="1"/>
      <c r="H306" s="1">
        <f>SUM(OSRRefH22_17x_0)</f>
        <v>10200</v>
      </c>
      <c r="I306" s="1"/>
      <c r="J306" s="5">
        <f t="shared" si="102"/>
        <v>7.312844147243279E-3</v>
      </c>
      <c r="K306" s="1"/>
      <c r="L306" s="1">
        <f t="shared" si="103"/>
        <v>-300</v>
      </c>
      <c r="M306" s="1"/>
      <c r="N306" s="5">
        <f t="shared" si="104"/>
        <v>-2.9411764705882353E-2</v>
      </c>
      <c r="O306" s="12"/>
      <c r="P306" s="1">
        <f>SUM(OSRRefP22_17x_0)</f>
        <v>118800</v>
      </c>
      <c r="Q306" s="1"/>
      <c r="R306" s="5">
        <f t="shared" si="105"/>
        <v>4.1490307814676351E-3</v>
      </c>
      <c r="S306" s="1"/>
      <c r="T306" s="1">
        <f>SUM(OSRRefT22_17x_0)</f>
        <v>122400</v>
      </c>
      <c r="U306" s="1"/>
      <c r="V306" s="5">
        <f t="shared" si="106"/>
        <v>3.2631133294437221E-3</v>
      </c>
      <c r="W306" s="1"/>
      <c r="X306" s="1">
        <f t="shared" si="107"/>
        <v>-3600</v>
      </c>
      <c r="Y306" s="1"/>
      <c r="Z306" s="5">
        <f t="shared" si="108"/>
        <v>-2.9411764705882353E-2</v>
      </c>
    </row>
    <row r="307" spans="1:26" s="24" customFormat="1" hidden="1" outlineLevel="2" x14ac:dyDescent="0.25">
      <c r="A307" s="27"/>
      <c r="B307" s="11" t="str">
        <f>CONCATENATE("          ", "6273", " - ", "RENT")</f>
        <v xml:space="preserve">          6273 - RENT</v>
      </c>
      <c r="C307" s="11"/>
      <c r="D307" s="6">
        <v>9900</v>
      </c>
      <c r="E307" s="2"/>
      <c r="F307" s="7">
        <f t="shared" si="101"/>
        <v>1.6936898300649147E-2</v>
      </c>
      <c r="G307" s="2"/>
      <c r="H307" s="6">
        <v>10200</v>
      </c>
      <c r="I307" s="2"/>
      <c r="J307" s="7">
        <f t="shared" si="102"/>
        <v>7.312844147243279E-3</v>
      </c>
      <c r="K307" s="2"/>
      <c r="L307" s="6">
        <f t="shared" si="103"/>
        <v>-300</v>
      </c>
      <c r="M307" s="2"/>
      <c r="N307" s="7">
        <f t="shared" si="104"/>
        <v>-2.9411764705882353E-2</v>
      </c>
      <c r="O307" s="11"/>
      <c r="P307" s="6">
        <v>118800</v>
      </c>
      <c r="Q307" s="2"/>
      <c r="R307" s="7">
        <f t="shared" si="105"/>
        <v>4.1490307814676351E-3</v>
      </c>
      <c r="S307" s="2"/>
      <c r="T307" s="6">
        <v>122400</v>
      </c>
      <c r="U307" s="2"/>
      <c r="V307" s="7">
        <f t="shared" si="106"/>
        <v>3.2631133294437221E-3</v>
      </c>
      <c r="W307" s="2"/>
      <c r="X307" s="6">
        <f t="shared" si="107"/>
        <v>-3600</v>
      </c>
      <c r="Y307" s="2"/>
      <c r="Z307" s="7">
        <f t="shared" si="108"/>
        <v>-2.9411764705882353E-2</v>
      </c>
    </row>
    <row r="308" spans="1:26" s="26" customFormat="1" outlineLevel="1" collapsed="1" x14ac:dyDescent="0.25">
      <c r="A308" s="25"/>
      <c r="B308" s="12" t="str">
        <f>CONCATENATE("     ","Repair and Maintenance                            ")</f>
        <v xml:space="preserve">     Repair and Maintenance                            </v>
      </c>
      <c r="C308" s="12"/>
      <c r="D308" s="1">
        <f>SUM(OSRRefD22_18x_0)</f>
        <v>35187.649999999994</v>
      </c>
      <c r="E308" s="1"/>
      <c r="F308" s="5">
        <f t="shared" si="101"/>
        <v>6.0198954493821906E-2</v>
      </c>
      <c r="G308" s="1"/>
      <c r="H308" s="1">
        <f>SUM(OSRRefH22_18x_0)</f>
        <v>34927</v>
      </c>
      <c r="I308" s="1"/>
      <c r="J308" s="5">
        <f t="shared" si="102"/>
        <v>2.5040755640271178E-2</v>
      </c>
      <c r="K308" s="1"/>
      <c r="L308" s="1">
        <f t="shared" si="103"/>
        <v>260.64999999999418</v>
      </c>
      <c r="M308" s="1"/>
      <c r="N308" s="5">
        <f t="shared" si="104"/>
        <v>7.4627079336901016E-3</v>
      </c>
      <c r="O308" s="12"/>
      <c r="P308" s="1">
        <f>SUM(OSRRefP22_18x_0)</f>
        <v>596377.39999999991</v>
      </c>
      <c r="Q308" s="1"/>
      <c r="R308" s="5">
        <f t="shared" si="105"/>
        <v>2.0828183417269663E-2</v>
      </c>
      <c r="S308" s="1"/>
      <c r="T308" s="1">
        <f>SUM(OSRRefT22_18x_0)</f>
        <v>692460</v>
      </c>
      <c r="U308" s="1"/>
      <c r="V308" s="5">
        <f t="shared" si="106"/>
        <v>1.8460583791720588E-2</v>
      </c>
      <c r="W308" s="1"/>
      <c r="X308" s="1">
        <f t="shared" si="107"/>
        <v>-96082.600000000093</v>
      </c>
      <c r="Y308" s="1"/>
      <c r="Z308" s="5">
        <f t="shared" si="108"/>
        <v>-0.13875545157843067</v>
      </c>
    </row>
    <row r="309" spans="1:26" s="24" customFormat="1" hidden="1" outlineLevel="2" x14ac:dyDescent="0.25">
      <c r="A309" s="27"/>
      <c r="B309" s="11" t="str">
        <f>CONCATENATE("          ", "6371", " - ", "COMPUTER SOFTWARE MAINTENANCE")</f>
        <v xml:space="preserve">          6371 - COMPUTER SOFTWARE MAINTENANCE</v>
      </c>
      <c r="C309" s="11"/>
      <c r="D309" s="6">
        <v>12181.05</v>
      </c>
      <c r="E309" s="2"/>
      <c r="F309" s="7">
        <f t="shared" si="101"/>
        <v>2.0839313640921443E-2</v>
      </c>
      <c r="G309" s="2"/>
      <c r="H309" s="6">
        <v>2047</v>
      </c>
      <c r="I309" s="2"/>
      <c r="J309" s="7">
        <f t="shared" si="102"/>
        <v>1.4675874479810776E-3</v>
      </c>
      <c r="K309" s="2"/>
      <c r="L309" s="6">
        <f t="shared" si="103"/>
        <v>10134.049999999999</v>
      </c>
      <c r="M309" s="2"/>
      <c r="N309" s="7">
        <f t="shared" si="104"/>
        <v>4.9506839276990711</v>
      </c>
      <c r="O309" s="11"/>
      <c r="P309" s="6">
        <v>104343.41</v>
      </c>
      <c r="Q309" s="2"/>
      <c r="R309" s="7">
        <f t="shared" si="105"/>
        <v>3.6441415819301166E-3</v>
      </c>
      <c r="S309" s="2"/>
      <c r="T309" s="6">
        <v>215549</v>
      </c>
      <c r="U309" s="2"/>
      <c r="V309" s="7">
        <f t="shared" si="106"/>
        <v>5.7464118876492231E-3</v>
      </c>
      <c r="W309" s="2"/>
      <c r="X309" s="6">
        <f t="shared" si="107"/>
        <v>-111205.59</v>
      </c>
      <c r="Y309" s="2"/>
      <c r="Z309" s="7">
        <f t="shared" si="108"/>
        <v>-0.51591791193649705</v>
      </c>
    </row>
    <row r="310" spans="1:26" s="24" customFormat="1" hidden="1" outlineLevel="2" x14ac:dyDescent="0.25">
      <c r="A310" s="27"/>
      <c r="B310" s="11" t="str">
        <f>CONCATENATE("          ", "6372", " - ", "COMPUTER HARDWARE MAINTENANCE")</f>
        <v xml:space="preserve">          6372 - COMPUTER HARDWARE MAINTENANCE</v>
      </c>
      <c r="C310" s="11"/>
      <c r="D310" s="6">
        <v>-2</v>
      </c>
      <c r="E310" s="2"/>
      <c r="F310" s="7">
        <f t="shared" si="101"/>
        <v>-3.4215956162927568E-6</v>
      </c>
      <c r="G310" s="2"/>
      <c r="H310" s="6">
        <v>2070</v>
      </c>
      <c r="I310" s="2"/>
      <c r="J310" s="7">
        <f t="shared" si="102"/>
        <v>1.4840771945876068E-3</v>
      </c>
      <c r="K310" s="2"/>
      <c r="L310" s="6">
        <f t="shared" si="103"/>
        <v>-2072</v>
      </c>
      <c r="M310" s="2"/>
      <c r="N310" s="7">
        <f t="shared" si="104"/>
        <v>-1.0009661835748793</v>
      </c>
      <c r="O310" s="11"/>
      <c r="P310" s="6">
        <v>8193.19</v>
      </c>
      <c r="Q310" s="2"/>
      <c r="R310" s="7">
        <f t="shared" si="105"/>
        <v>2.8614307667014152E-4</v>
      </c>
      <c r="S310" s="2"/>
      <c r="T310" s="6">
        <v>24680</v>
      </c>
      <c r="U310" s="2"/>
      <c r="V310" s="7">
        <f t="shared" si="106"/>
        <v>6.5795455041397924E-4</v>
      </c>
      <c r="W310" s="2"/>
      <c r="X310" s="6">
        <f t="shared" si="107"/>
        <v>-16486.809999999998</v>
      </c>
      <c r="Y310" s="2"/>
      <c r="Z310" s="7">
        <f t="shared" si="108"/>
        <v>-0.66802309562398698</v>
      </c>
    </row>
    <row r="311" spans="1:26" s="24" customFormat="1" hidden="1" outlineLevel="2" x14ac:dyDescent="0.25">
      <c r="A311" s="27"/>
      <c r="B311" s="11" t="str">
        <f>CONCATENATE("          ", "6373", " - ", "MAINTENANCE CONTRACTS")</f>
        <v xml:space="preserve">          6373 - MAINTENANCE CONTRACTS</v>
      </c>
      <c r="C311" s="11"/>
      <c r="D311" s="6">
        <v>20672.96</v>
      </c>
      <c r="E311" s="2"/>
      <c r="F311" s="7">
        <f t="shared" si="101"/>
        <v>3.5367254655897754E-2</v>
      </c>
      <c r="G311" s="2"/>
      <c r="H311" s="6">
        <v>9518</v>
      </c>
      <c r="I311" s="2"/>
      <c r="J311" s="7">
        <f t="shared" si="102"/>
        <v>6.8238873130844636E-3</v>
      </c>
      <c r="K311" s="2"/>
      <c r="L311" s="6">
        <f t="shared" si="103"/>
        <v>11154.96</v>
      </c>
      <c r="M311" s="2"/>
      <c r="N311" s="7">
        <f t="shared" si="104"/>
        <v>1.1719857112838832</v>
      </c>
      <c r="O311" s="11"/>
      <c r="P311" s="6">
        <v>311305.74</v>
      </c>
      <c r="Q311" s="2"/>
      <c r="R311" s="7">
        <f t="shared" si="105"/>
        <v>1.0872197792151182E-2</v>
      </c>
      <c r="S311" s="2"/>
      <c r="T311" s="6">
        <v>119807</v>
      </c>
      <c r="U311" s="2"/>
      <c r="V311" s="7">
        <f t="shared" si="106"/>
        <v>3.1939854465740524E-3</v>
      </c>
      <c r="W311" s="2"/>
      <c r="X311" s="6">
        <f t="shared" si="107"/>
        <v>191498.74</v>
      </c>
      <c r="Y311" s="2"/>
      <c r="Z311" s="7">
        <f t="shared" si="108"/>
        <v>1.5983935830126788</v>
      </c>
    </row>
    <row r="312" spans="1:26" s="24" customFormat="1" hidden="1" outlineLevel="2" x14ac:dyDescent="0.25">
      <c r="A312" s="27"/>
      <c r="B312" s="11" t="str">
        <f>CONCATENATE("          ", "6375", " - ", "OUTSIDE REPAIRS &amp; MAINTENANCE")</f>
        <v xml:space="preserve">          6375 - OUTSIDE REPAIRS &amp; MAINTENANCE</v>
      </c>
      <c r="C312" s="11"/>
      <c r="D312" s="6">
        <v>2335.64</v>
      </c>
      <c r="E312" s="2"/>
      <c r="F312" s="7">
        <f t="shared" si="101"/>
        <v>3.9958077926190074E-3</v>
      </c>
      <c r="G312" s="2"/>
      <c r="H312" s="6">
        <v>21292</v>
      </c>
      <c r="I312" s="2"/>
      <c r="J312" s="7">
        <f t="shared" si="102"/>
        <v>1.5265203684618029E-2</v>
      </c>
      <c r="K312" s="2"/>
      <c r="L312" s="6">
        <f t="shared" si="103"/>
        <v>-18956.36</v>
      </c>
      <c r="M312" s="2"/>
      <c r="N312" s="7">
        <f t="shared" si="104"/>
        <v>-0.89030433965808753</v>
      </c>
      <c r="O312" s="11"/>
      <c r="P312" s="6">
        <v>172535.06</v>
      </c>
      <c r="Q312" s="2"/>
      <c r="R312" s="7">
        <f t="shared" si="105"/>
        <v>6.0257009665182258E-3</v>
      </c>
      <c r="S312" s="2"/>
      <c r="T312" s="6">
        <v>332424</v>
      </c>
      <c r="U312" s="2"/>
      <c r="V312" s="7">
        <f t="shared" si="106"/>
        <v>8.862231907083332E-3</v>
      </c>
      <c r="W312" s="2"/>
      <c r="X312" s="6">
        <f t="shared" si="107"/>
        <v>-159888.94</v>
      </c>
      <c r="Y312" s="2"/>
      <c r="Z312" s="7">
        <f t="shared" si="108"/>
        <v>-0.48097893052246532</v>
      </c>
    </row>
    <row r="313" spans="1:26" s="26" customFormat="1" outlineLevel="1" collapsed="1" x14ac:dyDescent="0.25">
      <c r="A313" s="25"/>
      <c r="B313" s="12" t="str">
        <f>CONCATENATE("     ","Royalty &amp; Commissions                             ")</f>
        <v xml:space="preserve">     Royalty &amp; Commissions                             </v>
      </c>
      <c r="C313" s="12"/>
      <c r="D313" s="1">
        <f>SUM(OSRRefD22_19x_0)</f>
        <v>0</v>
      </c>
      <c r="E313" s="1"/>
      <c r="F313" s="5">
        <f t="shared" ref="F313:F317" si="109">IF(D$12=0,0,D313/D$12)</f>
        <v>0</v>
      </c>
      <c r="G313" s="1"/>
      <c r="H313" s="1">
        <f>SUM(OSRRefH22_19x_0)</f>
        <v>27400</v>
      </c>
      <c r="I313" s="1"/>
      <c r="J313" s="5">
        <f t="shared" ref="J313:J317" si="110">IF(H$12=0,0,H313/H$12)</f>
        <v>1.9644306826908417E-2</v>
      </c>
      <c r="K313" s="1"/>
      <c r="L313" s="1">
        <f t="shared" ref="L313:L317" si="111">+D313-H313</f>
        <v>-27400</v>
      </c>
      <c r="M313" s="1"/>
      <c r="N313" s="5">
        <f t="shared" ref="N313:N317" si="112">IF(H313=0,0,L313/H313)</f>
        <v>-1</v>
      </c>
      <c r="O313" s="12"/>
      <c r="P313" s="1">
        <f>SUM(OSRRefP22_19x_0)</f>
        <v>381769.01</v>
      </c>
      <c r="Q313" s="1"/>
      <c r="R313" s="5">
        <f t="shared" ref="R313:R317" si="113">IF(P$12=0,0,P313/P$12)</f>
        <v>1.3333092372899202E-2</v>
      </c>
      <c r="S313" s="1"/>
      <c r="T313" s="1">
        <f>SUM(OSRRefT22_19x_0)</f>
        <v>615512</v>
      </c>
      <c r="U313" s="1"/>
      <c r="V313" s="5">
        <f t="shared" ref="V313:V317" si="114">IF(T$12=0,0,T313/T$12)</f>
        <v>1.6409194539481736E-2</v>
      </c>
      <c r="W313" s="1"/>
      <c r="X313" s="1">
        <f t="shared" ref="X313:X317" si="115">+P313-T313</f>
        <v>-233742.99</v>
      </c>
      <c r="Y313" s="1"/>
      <c r="Z313" s="5">
        <f t="shared" ref="Z313:Z317" si="116">IF(T313=0,0,X313/T313)</f>
        <v>-0.37975374972380715</v>
      </c>
    </row>
    <row r="314" spans="1:26" s="24" customFormat="1" hidden="1" outlineLevel="2" x14ac:dyDescent="0.25">
      <c r="A314" s="27"/>
      <c r="B314" s="11" t="str">
        <f>CONCATENATE("          ", "6252", " - ", "ROYALTY DUE CSTV")</f>
        <v xml:space="preserve">          6252 - ROYALTY DUE CSTV</v>
      </c>
      <c r="C314" s="11"/>
      <c r="D314" s="6"/>
      <c r="E314" s="2"/>
      <c r="F314" s="7">
        <f t="shared" si="109"/>
        <v>0</v>
      </c>
      <c r="G314" s="2"/>
      <c r="H314" s="6">
        <v>1085</v>
      </c>
      <c r="I314" s="2"/>
      <c r="J314" s="7">
        <f t="shared" si="110"/>
        <v>7.7788587252538806E-4</v>
      </c>
      <c r="K314" s="2"/>
      <c r="L314" s="6">
        <f t="shared" si="111"/>
        <v>-1085</v>
      </c>
      <c r="M314" s="2"/>
      <c r="N314" s="7">
        <f t="shared" si="112"/>
        <v>-1</v>
      </c>
      <c r="O314" s="11"/>
      <c r="P314" s="6"/>
      <c r="Q314" s="2"/>
      <c r="R314" s="7">
        <f t="shared" si="113"/>
        <v>0</v>
      </c>
      <c r="S314" s="2"/>
      <c r="T314" s="6">
        <v>59020</v>
      </c>
      <c r="U314" s="2"/>
      <c r="V314" s="7">
        <f t="shared" si="114"/>
        <v>1.5734391233968013E-3</v>
      </c>
      <c r="W314" s="2"/>
      <c r="X314" s="6">
        <f t="shared" si="115"/>
        <v>-59020</v>
      </c>
      <c r="Y314" s="2"/>
      <c r="Z314" s="7">
        <f t="shared" si="116"/>
        <v>-1</v>
      </c>
    </row>
    <row r="315" spans="1:26" s="24" customFormat="1" hidden="1" outlineLevel="2" x14ac:dyDescent="0.25">
      <c r="A315" s="27"/>
      <c r="B315" s="11" t="str">
        <f>CONCATENATE("          ", "6253", " - ", "ROYALTY DUE ATHLETICS-LRG")</f>
        <v xml:space="preserve">          6253 - ROYALTY DUE ATHLETICS-LRG</v>
      </c>
      <c r="C315" s="11"/>
      <c r="D315" s="6"/>
      <c r="E315" s="2"/>
      <c r="F315" s="7">
        <f t="shared" si="109"/>
        <v>0</v>
      </c>
      <c r="G315" s="2"/>
      <c r="H315" s="6">
        <v>9700</v>
      </c>
      <c r="I315" s="2"/>
      <c r="J315" s="7">
        <f t="shared" si="110"/>
        <v>6.9543713949274319E-3</v>
      </c>
      <c r="K315" s="2"/>
      <c r="L315" s="6">
        <f t="shared" si="111"/>
        <v>-9700</v>
      </c>
      <c r="M315" s="2"/>
      <c r="N315" s="7">
        <f t="shared" si="112"/>
        <v>-1</v>
      </c>
      <c r="O315" s="11"/>
      <c r="P315" s="6">
        <v>32870.44</v>
      </c>
      <c r="Q315" s="2"/>
      <c r="R315" s="7">
        <f t="shared" si="113"/>
        <v>1.1479837319897728E-3</v>
      </c>
      <c r="S315" s="2"/>
      <c r="T315" s="6">
        <v>217400</v>
      </c>
      <c r="U315" s="2"/>
      <c r="V315" s="7">
        <f t="shared" si="114"/>
        <v>5.7957584789302711E-3</v>
      </c>
      <c r="W315" s="2"/>
      <c r="X315" s="6">
        <f t="shared" si="115"/>
        <v>-184529.56</v>
      </c>
      <c r="Y315" s="2"/>
      <c r="Z315" s="7">
        <f t="shared" si="116"/>
        <v>-0.84880202391904325</v>
      </c>
    </row>
    <row r="316" spans="1:26" s="24" customFormat="1" hidden="1" outlineLevel="2" x14ac:dyDescent="0.25">
      <c r="A316" s="27"/>
      <c r="B316" s="11" t="str">
        <f>CONCATENATE("          ", "6254", " - ", "ROYALTY &amp; COMMISSIONS")</f>
        <v xml:space="preserve">          6254 - ROYALTY &amp; COMMISSIONS</v>
      </c>
      <c r="C316" s="11"/>
      <c r="D316" s="6"/>
      <c r="E316" s="2"/>
      <c r="F316" s="7">
        <f t="shared" si="109"/>
        <v>0</v>
      </c>
      <c r="G316" s="2"/>
      <c r="H316" s="6">
        <v>12700</v>
      </c>
      <c r="I316" s="2"/>
      <c r="J316" s="7">
        <f t="shared" si="110"/>
        <v>9.1052079088225144E-3</v>
      </c>
      <c r="K316" s="2"/>
      <c r="L316" s="6">
        <f t="shared" si="111"/>
        <v>-12700</v>
      </c>
      <c r="M316" s="2"/>
      <c r="N316" s="7">
        <f t="shared" si="112"/>
        <v>-1</v>
      </c>
      <c r="O316" s="11"/>
      <c r="P316" s="6">
        <v>161620.87</v>
      </c>
      <c r="Q316" s="2"/>
      <c r="R316" s="7">
        <f t="shared" si="113"/>
        <v>5.6445283211917427E-3</v>
      </c>
      <c r="S316" s="2"/>
      <c r="T316" s="6">
        <v>147517</v>
      </c>
      <c r="U316" s="2"/>
      <c r="V316" s="7">
        <f t="shared" si="114"/>
        <v>3.93271804754534E-3</v>
      </c>
      <c r="W316" s="2"/>
      <c r="X316" s="6">
        <f t="shared" si="115"/>
        <v>14103.869999999995</v>
      </c>
      <c r="Y316" s="2"/>
      <c r="Z316" s="7">
        <f t="shared" si="116"/>
        <v>9.5608438349478339E-2</v>
      </c>
    </row>
    <row r="317" spans="1:26" s="24" customFormat="1" hidden="1" outlineLevel="2" x14ac:dyDescent="0.25">
      <c r="A317" s="27"/>
      <c r="B317" s="11" t="str">
        <f>CONCATENATE("          ", "6259", " - ", "ROYALTY &amp; COMMISSIONS")</f>
        <v xml:space="preserve">          6259 - ROYALTY &amp; COMMISSIONS</v>
      </c>
      <c r="C317" s="11"/>
      <c r="D317" s="6"/>
      <c r="E317" s="2"/>
      <c r="F317" s="7">
        <f t="shared" si="109"/>
        <v>0</v>
      </c>
      <c r="G317" s="2"/>
      <c r="H317" s="6">
        <v>3915</v>
      </c>
      <c r="I317" s="2"/>
      <c r="J317" s="7">
        <f t="shared" si="110"/>
        <v>2.8068416506330822E-3</v>
      </c>
      <c r="K317" s="2"/>
      <c r="L317" s="6">
        <f t="shared" si="111"/>
        <v>-3915</v>
      </c>
      <c r="M317" s="2"/>
      <c r="N317" s="7">
        <f t="shared" si="112"/>
        <v>-1</v>
      </c>
      <c r="O317" s="11"/>
      <c r="P317" s="6">
        <v>187277.7</v>
      </c>
      <c r="Q317" s="2"/>
      <c r="R317" s="7">
        <f t="shared" si="113"/>
        <v>6.5405803197176879E-3</v>
      </c>
      <c r="S317" s="2"/>
      <c r="T317" s="6">
        <v>191575</v>
      </c>
      <c r="U317" s="2"/>
      <c r="V317" s="7">
        <f t="shared" si="114"/>
        <v>5.1072788896093227E-3</v>
      </c>
      <c r="W317" s="2"/>
      <c r="X317" s="6">
        <f t="shared" si="115"/>
        <v>-4297.2999999999884</v>
      </c>
      <c r="Y317" s="2"/>
      <c r="Z317" s="7">
        <f t="shared" si="116"/>
        <v>-2.2431423724389866E-2</v>
      </c>
    </row>
    <row r="318" spans="1:26" s="26" customFormat="1" outlineLevel="1" collapsed="1" x14ac:dyDescent="0.25">
      <c r="A318" s="25"/>
      <c r="B318" s="12" t="str">
        <f>CONCATENATE("     ","Services                                          ")</f>
        <v xml:space="preserve">     Services                                          </v>
      </c>
      <c r="C318" s="12"/>
      <c r="D318" s="1">
        <f>SUM(OSRRefD22_20x_0)</f>
        <v>36962.33</v>
      </c>
      <c r="E318" s="1"/>
      <c r="F318" s="5">
        <f t="shared" ref="F318:F324" si="117">IF(D$12=0,0,D318/D$12)</f>
        <v>6.3235073147983129E-2</v>
      </c>
      <c r="G318" s="1"/>
      <c r="H318" s="1">
        <f>SUM(OSRRefH22_20x_0)</f>
        <v>46863.5</v>
      </c>
      <c r="I318" s="1"/>
      <c r="J318" s="5">
        <f t="shared" ref="J318:J324" si="118">IF(H$12=0,0,H318/H$12)</f>
        <v>3.3598575656307396E-2</v>
      </c>
      <c r="K318" s="1"/>
      <c r="L318" s="1">
        <f t="shared" ref="L318:L324" si="119">+D318-H318</f>
        <v>-9901.1699999999983</v>
      </c>
      <c r="M318" s="1"/>
      <c r="N318" s="5">
        <f t="shared" ref="N318:N324" si="120">IF(H318=0,0,L318/H318)</f>
        <v>-0.2112767932399415</v>
      </c>
      <c r="O318" s="12"/>
      <c r="P318" s="1">
        <f>SUM(OSRRefP22_20x_0)</f>
        <v>505649.15</v>
      </c>
      <c r="Q318" s="1"/>
      <c r="R318" s="5">
        <f t="shared" ref="R318:R324" si="121">IF(P$12=0,0,P318/P$12)</f>
        <v>1.7659544511556779E-2</v>
      </c>
      <c r="S318" s="1"/>
      <c r="T318" s="1">
        <f>SUM(OSRRefT22_20x_0)</f>
        <v>567822</v>
      </c>
      <c r="U318" s="1"/>
      <c r="V318" s="5">
        <f t="shared" ref="V318:V324" si="122">IF(T$12=0,0,T318/T$12)</f>
        <v>1.5137806674439487E-2</v>
      </c>
      <c r="W318" s="1"/>
      <c r="X318" s="1">
        <f t="shared" ref="X318:X324" si="123">+P318-T318</f>
        <v>-62172.849999999977</v>
      </c>
      <c r="Y318" s="1"/>
      <c r="Z318" s="5">
        <f t="shared" ref="Z318:Z324" si="124">IF(T318=0,0,X318/T318)</f>
        <v>-0.1094935560791938</v>
      </c>
    </row>
    <row r="319" spans="1:26" s="24" customFormat="1" hidden="1" outlineLevel="2" x14ac:dyDescent="0.25">
      <c r="A319" s="27"/>
      <c r="B319" s="11" t="str">
        <f>CONCATENATE("          ", "6281", " - ", "STORAGE FEE")</f>
        <v xml:space="preserve">          6281 - STORAGE FEE</v>
      </c>
      <c r="C319" s="11"/>
      <c r="D319" s="6"/>
      <c r="E319" s="2"/>
      <c r="F319" s="7">
        <f t="shared" si="117"/>
        <v>0</v>
      </c>
      <c r="G319" s="2"/>
      <c r="H319" s="6"/>
      <c r="I319" s="2"/>
      <c r="J319" s="7">
        <f t="shared" si="118"/>
        <v>0</v>
      </c>
      <c r="K319" s="2"/>
      <c r="L319" s="6">
        <f t="shared" si="119"/>
        <v>0</v>
      </c>
      <c r="M319" s="2"/>
      <c r="N319" s="7">
        <f t="shared" si="120"/>
        <v>0</v>
      </c>
      <c r="O319" s="11"/>
      <c r="P319" s="6"/>
      <c r="Q319" s="2"/>
      <c r="R319" s="7">
        <f t="shared" si="121"/>
        <v>0</v>
      </c>
      <c r="S319" s="2"/>
      <c r="T319" s="6">
        <v>0</v>
      </c>
      <c r="U319" s="2"/>
      <c r="V319" s="7">
        <f t="shared" si="122"/>
        <v>0</v>
      </c>
      <c r="W319" s="2"/>
      <c r="X319" s="6">
        <f t="shared" si="123"/>
        <v>0</v>
      </c>
      <c r="Y319" s="2"/>
      <c r="Z319" s="7">
        <f t="shared" si="124"/>
        <v>0</v>
      </c>
    </row>
    <row r="320" spans="1:26" s="24" customFormat="1" hidden="1" outlineLevel="2" x14ac:dyDescent="0.25">
      <c r="A320" s="27"/>
      <c r="B320" s="11" t="str">
        <f>CONCATENATE("          ", "6282", " - ", "JANITORIAL/EXTERMINATOR EXPENS")</f>
        <v xml:space="preserve">          6282 - JANITORIAL/EXTERMINATOR EXPENS</v>
      </c>
      <c r="C320" s="11"/>
      <c r="D320" s="6">
        <v>4889.2299999999996</v>
      </c>
      <c r="E320" s="2"/>
      <c r="F320" s="7">
        <f t="shared" si="117"/>
        <v>8.3644839675235168E-3</v>
      </c>
      <c r="G320" s="2"/>
      <c r="H320" s="6">
        <v>3579</v>
      </c>
      <c r="I320" s="2"/>
      <c r="J320" s="7">
        <f t="shared" si="118"/>
        <v>2.565947961076833E-3</v>
      </c>
      <c r="K320" s="2"/>
      <c r="L320" s="6">
        <f t="shared" si="119"/>
        <v>1310.2299999999996</v>
      </c>
      <c r="M320" s="2"/>
      <c r="N320" s="7">
        <f t="shared" si="120"/>
        <v>0.36608829281922312</v>
      </c>
      <c r="O320" s="11"/>
      <c r="P320" s="6">
        <v>44969.91</v>
      </c>
      <c r="Q320" s="2"/>
      <c r="R320" s="7">
        <f t="shared" si="121"/>
        <v>1.5705516904867779E-3</v>
      </c>
      <c r="S320" s="2"/>
      <c r="T320" s="6">
        <v>42012</v>
      </c>
      <c r="U320" s="2"/>
      <c r="V320" s="7">
        <f t="shared" si="122"/>
        <v>1.1200156633708305E-3</v>
      </c>
      <c r="W320" s="2"/>
      <c r="X320" s="6">
        <f t="shared" si="123"/>
        <v>2957.9100000000035</v>
      </c>
      <c r="Y320" s="2"/>
      <c r="Z320" s="7">
        <f t="shared" si="124"/>
        <v>7.0406312482148042E-2</v>
      </c>
    </row>
    <row r="321" spans="1:26" s="24" customFormat="1" hidden="1" outlineLevel="2" x14ac:dyDescent="0.25">
      <c r="A321" s="27"/>
      <c r="B321" s="11" t="str">
        <f>CONCATENATE("          ", "6283", " - ", "PLANT SERVICE")</f>
        <v xml:space="preserve">          6283 - PLANT SERVICE</v>
      </c>
      <c r="C321" s="11"/>
      <c r="D321" s="6"/>
      <c r="E321" s="2"/>
      <c r="F321" s="7">
        <f t="shared" si="117"/>
        <v>0</v>
      </c>
      <c r="G321" s="2"/>
      <c r="H321" s="6">
        <v>245</v>
      </c>
      <c r="I321" s="2"/>
      <c r="J321" s="7">
        <f t="shared" si="118"/>
        <v>1.7565164863476504E-4</v>
      </c>
      <c r="K321" s="2"/>
      <c r="L321" s="6">
        <f t="shared" si="119"/>
        <v>-245</v>
      </c>
      <c r="M321" s="2"/>
      <c r="N321" s="7">
        <f t="shared" si="120"/>
        <v>-1</v>
      </c>
      <c r="O321" s="11"/>
      <c r="P321" s="6">
        <v>2340</v>
      </c>
      <c r="Q321" s="2"/>
      <c r="R321" s="7">
        <f t="shared" si="121"/>
        <v>8.1723333574362499E-5</v>
      </c>
      <c r="S321" s="2"/>
      <c r="T321" s="6">
        <v>2905</v>
      </c>
      <c r="U321" s="2"/>
      <c r="V321" s="7">
        <f t="shared" si="122"/>
        <v>7.744562272903605E-5</v>
      </c>
      <c r="W321" s="2"/>
      <c r="X321" s="6">
        <f t="shared" si="123"/>
        <v>-565</v>
      </c>
      <c r="Y321" s="2"/>
      <c r="Z321" s="7">
        <f t="shared" si="124"/>
        <v>-0.1944922547332186</v>
      </c>
    </row>
    <row r="322" spans="1:26" s="24" customFormat="1" hidden="1" outlineLevel="2" x14ac:dyDescent="0.25">
      <c r="A322" s="27"/>
      <c r="B322" s="11" t="str">
        <f>CONCATENATE("          ", "6284", " - ", "TRASH REMOVAL EXPENSE")</f>
        <v xml:space="preserve">          6284 - TRASH REMOVAL EXPENSE</v>
      </c>
      <c r="C322" s="11"/>
      <c r="D322" s="6">
        <v>5551.82</v>
      </c>
      <c r="E322" s="2"/>
      <c r="F322" s="7">
        <f t="shared" si="117"/>
        <v>9.4980414872232258E-3</v>
      </c>
      <c r="G322" s="2"/>
      <c r="H322" s="6">
        <v>4277.5</v>
      </c>
      <c r="I322" s="2"/>
      <c r="J322" s="7">
        <f t="shared" si="118"/>
        <v>3.0667343960620714E-3</v>
      </c>
      <c r="K322" s="2"/>
      <c r="L322" s="6">
        <f t="shared" si="119"/>
        <v>1274.3199999999997</v>
      </c>
      <c r="M322" s="2"/>
      <c r="N322" s="7">
        <f t="shared" si="120"/>
        <v>0.29791233196960837</v>
      </c>
      <c r="O322" s="11"/>
      <c r="P322" s="6">
        <v>58753.84</v>
      </c>
      <c r="Q322" s="2"/>
      <c r="R322" s="7">
        <f t="shared" si="121"/>
        <v>2.0519485748268043E-3</v>
      </c>
      <c r="S322" s="2"/>
      <c r="T322" s="6">
        <v>51280</v>
      </c>
      <c r="U322" s="2"/>
      <c r="V322" s="7">
        <f t="shared" si="122"/>
        <v>1.367095192270213E-3</v>
      </c>
      <c r="W322" s="2"/>
      <c r="X322" s="6">
        <f t="shared" si="123"/>
        <v>7473.8399999999965</v>
      </c>
      <c r="Y322" s="2"/>
      <c r="Z322" s="7">
        <f t="shared" si="124"/>
        <v>0.14574570982839308</v>
      </c>
    </row>
    <row r="323" spans="1:26" s="24" customFormat="1" hidden="1" outlineLevel="2" x14ac:dyDescent="0.25">
      <c r="A323" s="27"/>
      <c r="B323" s="11" t="str">
        <f>CONCATENATE("          ", "6285", " - ", "JANITORIAL SERVICES")</f>
        <v xml:space="preserve">          6285 - JANITORIAL SERVICES</v>
      </c>
      <c r="C323" s="11"/>
      <c r="D323" s="6">
        <v>25849.710000000003</v>
      </c>
      <c r="E323" s="2"/>
      <c r="F323" s="7">
        <f t="shared" si="117"/>
        <v>4.4223627209219525E-2</v>
      </c>
      <c r="G323" s="2"/>
      <c r="H323" s="6">
        <v>29680</v>
      </c>
      <c r="I323" s="2"/>
      <c r="J323" s="7">
        <f t="shared" si="118"/>
        <v>2.1278942577468679E-2</v>
      </c>
      <c r="K323" s="2"/>
      <c r="L323" s="6">
        <f t="shared" si="119"/>
        <v>-3830.2899999999972</v>
      </c>
      <c r="M323" s="2"/>
      <c r="N323" s="7">
        <f t="shared" si="120"/>
        <v>-0.12905289757412389</v>
      </c>
      <c r="O323" s="11"/>
      <c r="P323" s="6">
        <v>324178.06</v>
      </c>
      <c r="Q323" s="2"/>
      <c r="R323" s="7">
        <f t="shared" si="121"/>
        <v>1.1321757151653719E-2</v>
      </c>
      <c r="S323" s="2"/>
      <c r="T323" s="6">
        <v>363139</v>
      </c>
      <c r="U323" s="2"/>
      <c r="V323" s="7">
        <f t="shared" si="122"/>
        <v>9.6810760730462742E-3</v>
      </c>
      <c r="W323" s="2"/>
      <c r="X323" s="6">
        <f t="shared" si="123"/>
        <v>-38960.94</v>
      </c>
      <c r="Y323" s="2"/>
      <c r="Z323" s="7">
        <f t="shared" si="124"/>
        <v>-0.10728932998108164</v>
      </c>
    </row>
    <row r="324" spans="1:26" s="24" customFormat="1" hidden="1" outlineLevel="2" x14ac:dyDescent="0.25">
      <c r="A324" s="27"/>
      <c r="B324" s="11" t="str">
        <f>CONCATENATE("          ", "6286", " - ", "LAUNDRY EXPENSE")</f>
        <v xml:space="preserve">          6286 - LAUNDRY EXPENSE</v>
      </c>
      <c r="C324" s="11"/>
      <c r="D324" s="6">
        <v>671.57</v>
      </c>
      <c r="E324" s="2"/>
      <c r="F324" s="7">
        <f t="shared" si="117"/>
        <v>1.1489204840168636E-3</v>
      </c>
      <c r="G324" s="2"/>
      <c r="H324" s="6">
        <v>9082</v>
      </c>
      <c r="I324" s="2"/>
      <c r="J324" s="7">
        <f t="shared" si="118"/>
        <v>6.5112990730650452E-3</v>
      </c>
      <c r="K324" s="2"/>
      <c r="L324" s="6">
        <f t="shared" si="119"/>
        <v>-8410.43</v>
      </c>
      <c r="M324" s="2"/>
      <c r="N324" s="7">
        <f t="shared" si="120"/>
        <v>-0.92605483373706232</v>
      </c>
      <c r="O324" s="11"/>
      <c r="P324" s="6">
        <v>75407.34</v>
      </c>
      <c r="Q324" s="2"/>
      <c r="R324" s="7">
        <f t="shared" si="121"/>
        <v>2.6335637610151144E-3</v>
      </c>
      <c r="S324" s="2"/>
      <c r="T324" s="6">
        <v>108486</v>
      </c>
      <c r="U324" s="2"/>
      <c r="V324" s="7">
        <f t="shared" si="122"/>
        <v>2.8921741230231346E-3</v>
      </c>
      <c r="W324" s="2"/>
      <c r="X324" s="6">
        <f t="shared" si="123"/>
        <v>-33078.660000000003</v>
      </c>
      <c r="Y324" s="2"/>
      <c r="Z324" s="7">
        <f t="shared" si="124"/>
        <v>-0.30491178585255241</v>
      </c>
    </row>
    <row r="325" spans="1:26" s="26" customFormat="1" outlineLevel="1" collapsed="1" x14ac:dyDescent="0.25">
      <c r="A325" s="25"/>
      <c r="B325" s="12" t="str">
        <f>CONCATENATE("     ","Subscriptions &amp; Dues                              ")</f>
        <v xml:space="preserve">     Subscriptions &amp; Dues                              </v>
      </c>
      <c r="C325" s="12"/>
      <c r="D325" s="1">
        <f>SUM(OSRRefD22_21x_0)</f>
        <v>1101.25</v>
      </c>
      <c r="E325" s="1"/>
      <c r="F325" s="5">
        <f t="shared" ref="F325:F327" si="125">IF(D$12=0,0,D325/D$12)</f>
        <v>1.8840160862211993E-3</v>
      </c>
      <c r="G325" s="1"/>
      <c r="H325" s="1">
        <f>SUM(OSRRefH22_21x_0)</f>
        <v>1589</v>
      </c>
      <c r="I325" s="1"/>
      <c r="J325" s="5">
        <f t="shared" ref="J325:J327" si="126">IF(H$12=0,0,H325/H$12)</f>
        <v>1.1392264068597619E-3</v>
      </c>
      <c r="K325" s="1"/>
      <c r="L325" s="1">
        <f t="shared" ref="L325:L327" si="127">+D325-H325</f>
        <v>-487.75</v>
      </c>
      <c r="M325" s="1"/>
      <c r="N325" s="5">
        <f t="shared" ref="N325:N327" si="128">IF(H325=0,0,L325/H325)</f>
        <v>-0.30695405915670232</v>
      </c>
      <c r="O325" s="12"/>
      <c r="P325" s="1">
        <f>SUM(OSRRefP22_21x_0)</f>
        <v>14025.349999999999</v>
      </c>
      <c r="Q325" s="1"/>
      <c r="R325" s="5">
        <f t="shared" ref="R325:R327" si="129">IF(P$12=0,0,P325/P$12)</f>
        <v>4.8982835749879705E-4</v>
      </c>
      <c r="S325" s="1"/>
      <c r="T325" s="1">
        <f>SUM(OSRRefT22_21x_0)</f>
        <v>29733</v>
      </c>
      <c r="U325" s="1"/>
      <c r="V325" s="5">
        <f t="shared" ref="V325:V327" si="130">IF(T$12=0,0,T325/T$12)</f>
        <v>7.9266461294403754E-4</v>
      </c>
      <c r="W325" s="1"/>
      <c r="X325" s="1">
        <f t="shared" ref="X325:X327" si="131">+P325-T325</f>
        <v>-15707.650000000001</v>
      </c>
      <c r="Y325" s="1"/>
      <c r="Z325" s="5">
        <f t="shared" ref="Z325:Z327" si="132">IF(T325=0,0,X325/T325)</f>
        <v>-0.52829011536003767</v>
      </c>
    </row>
    <row r="326" spans="1:26" s="24" customFormat="1" hidden="1" outlineLevel="2" x14ac:dyDescent="0.25">
      <c r="A326" s="27"/>
      <c r="B326" s="11" t="str">
        <f>CONCATENATE("          ", "6258", " - ", "MEMBERSHIP DUES")</f>
        <v xml:space="preserve">          6258 - MEMBERSHIP DUES</v>
      </c>
      <c r="C326" s="11"/>
      <c r="D326" s="6">
        <v>1101.25</v>
      </c>
      <c r="E326" s="2"/>
      <c r="F326" s="7">
        <f t="shared" si="125"/>
        <v>1.8840160862211993E-3</v>
      </c>
      <c r="G326" s="2"/>
      <c r="H326" s="6">
        <v>700</v>
      </c>
      <c r="I326" s="2"/>
      <c r="J326" s="7">
        <f t="shared" si="126"/>
        <v>5.0186185324218582E-4</v>
      </c>
      <c r="K326" s="2"/>
      <c r="L326" s="6">
        <f t="shared" si="127"/>
        <v>401.25</v>
      </c>
      <c r="M326" s="2"/>
      <c r="N326" s="7">
        <f t="shared" si="128"/>
        <v>0.57321428571428568</v>
      </c>
      <c r="O326" s="11"/>
      <c r="P326" s="6">
        <v>6251.16</v>
      </c>
      <c r="Q326" s="2"/>
      <c r="R326" s="7">
        <f t="shared" si="129"/>
        <v>2.183186469686803E-4</v>
      </c>
      <c r="S326" s="2"/>
      <c r="T326" s="6">
        <v>17290</v>
      </c>
      <c r="U326" s="2"/>
      <c r="V326" s="7">
        <f t="shared" si="130"/>
        <v>4.6094141720655194E-4</v>
      </c>
      <c r="W326" s="2"/>
      <c r="X326" s="6">
        <f t="shared" si="131"/>
        <v>-11038.84</v>
      </c>
      <c r="Y326" s="2"/>
      <c r="Z326" s="7">
        <f t="shared" si="132"/>
        <v>-0.63845228455754777</v>
      </c>
    </row>
    <row r="327" spans="1:26" s="24" customFormat="1" hidden="1" outlineLevel="2" x14ac:dyDescent="0.25">
      <c r="A327" s="27"/>
      <c r="B327" s="11" t="str">
        <f>CONCATENATE("          ", "6275", " - ", "SUBSCRIPTIONS")</f>
        <v xml:space="preserve">          6275 - SUBSCRIPTIONS</v>
      </c>
      <c r="C327" s="11"/>
      <c r="D327" s="6"/>
      <c r="E327" s="2"/>
      <c r="F327" s="7">
        <f t="shared" si="125"/>
        <v>0</v>
      </c>
      <c r="G327" s="2"/>
      <c r="H327" s="6">
        <v>889</v>
      </c>
      <c r="I327" s="2"/>
      <c r="J327" s="7">
        <f t="shared" si="126"/>
        <v>6.3736455361757601E-4</v>
      </c>
      <c r="K327" s="2"/>
      <c r="L327" s="6">
        <f t="shared" si="127"/>
        <v>-889</v>
      </c>
      <c r="M327" s="2"/>
      <c r="N327" s="7">
        <f t="shared" si="128"/>
        <v>-1</v>
      </c>
      <c r="O327" s="11"/>
      <c r="P327" s="6">
        <v>7774.19</v>
      </c>
      <c r="Q327" s="2"/>
      <c r="R327" s="7">
        <f t="shared" si="129"/>
        <v>2.7150971053011675E-4</v>
      </c>
      <c r="S327" s="2"/>
      <c r="T327" s="6">
        <v>12443</v>
      </c>
      <c r="U327" s="2"/>
      <c r="V327" s="7">
        <f t="shared" si="130"/>
        <v>3.317231957374856E-4</v>
      </c>
      <c r="W327" s="2"/>
      <c r="X327" s="6">
        <f t="shared" si="131"/>
        <v>-4668.8100000000004</v>
      </c>
      <c r="Y327" s="2"/>
      <c r="Z327" s="7">
        <f t="shared" si="132"/>
        <v>-0.37521578397492572</v>
      </c>
    </row>
    <row r="328" spans="1:26" s="26" customFormat="1" outlineLevel="1" collapsed="1" x14ac:dyDescent="0.25">
      <c r="A328" s="25"/>
      <c r="B328" s="12" t="str">
        <f>CONCATENATE("     ","Supplies                                          ")</f>
        <v xml:space="preserve">     Supplies                                          </v>
      </c>
      <c r="C328" s="12"/>
      <c r="D328" s="1">
        <f>SUM(OSRRefD22_22x_0)</f>
        <v>60504.98</v>
      </c>
      <c r="E328" s="1"/>
      <c r="F328" s="5">
        <f t="shared" ref="F328:F339" si="133">IF(D$12=0,0,D328/D$12)</f>
        <v>0.10351178716594048</v>
      </c>
      <c r="G328" s="1"/>
      <c r="H328" s="1">
        <f>SUM(OSRRefH22_22x_0)</f>
        <v>57566</v>
      </c>
      <c r="I328" s="1"/>
      <c r="J328" s="5">
        <f t="shared" ref="J328:J339" si="134">IF(H$12=0,0,H328/H$12)</f>
        <v>4.1271684919628099E-2</v>
      </c>
      <c r="K328" s="1"/>
      <c r="L328" s="1">
        <f t="shared" ref="L328:L339" si="135">+D328-H328</f>
        <v>2938.9800000000032</v>
      </c>
      <c r="M328" s="1"/>
      <c r="N328" s="5">
        <f t="shared" ref="N328:N339" si="136">IF(H328=0,0,L328/H328)</f>
        <v>5.1054094430740424E-2</v>
      </c>
      <c r="O328" s="12"/>
      <c r="P328" s="1">
        <f>SUM(OSRRefP22_22x_0)</f>
        <v>593315.59000000008</v>
      </c>
      <c r="Q328" s="1"/>
      <c r="R328" s="5">
        <f t="shared" ref="R328:R339" si="137">IF(P$12=0,0,P328/P$12)</f>
        <v>2.0721251229247738E-2</v>
      </c>
      <c r="S328" s="1"/>
      <c r="T328" s="1">
        <f>SUM(OSRRefT22_22x_0)</f>
        <v>790816.85999999987</v>
      </c>
      <c r="U328" s="1"/>
      <c r="V328" s="5">
        <f t="shared" ref="V328:V339" si="138">IF(T$12=0,0,T328/T$12)</f>
        <v>2.1082720890644033E-2</v>
      </c>
      <c r="W328" s="1"/>
      <c r="X328" s="1">
        <f t="shared" ref="X328:X339" si="139">+P328-T328</f>
        <v>-197501.26999999979</v>
      </c>
      <c r="Y328" s="1"/>
      <c r="Z328" s="5">
        <f t="shared" ref="Z328:Z339" si="140">IF(T328=0,0,X328/T328)</f>
        <v>-0.24974337294730897</v>
      </c>
    </row>
    <row r="329" spans="1:26" s="24" customFormat="1" hidden="1" outlineLevel="2" x14ac:dyDescent="0.25">
      <c r="A329" s="27"/>
      <c r="B329" s="11" t="str">
        <f>CONCATENATE("          ", "6234", " - ", "EXPENDABLE SUPPLIES &amp; EQUIPMEN")</f>
        <v xml:space="preserve">          6234 - EXPENDABLE SUPPLIES &amp; EQUIPMEN</v>
      </c>
      <c r="C329" s="11"/>
      <c r="D329" s="6">
        <v>5404.9</v>
      </c>
      <c r="E329" s="2"/>
      <c r="F329" s="7">
        <f t="shared" si="133"/>
        <v>9.2466910732503602E-3</v>
      </c>
      <c r="G329" s="2"/>
      <c r="H329" s="6">
        <v>8300</v>
      </c>
      <c r="I329" s="2"/>
      <c r="J329" s="7">
        <f t="shared" si="134"/>
        <v>5.9506476884430603E-3</v>
      </c>
      <c r="K329" s="2"/>
      <c r="L329" s="6">
        <f t="shared" si="135"/>
        <v>-2895.1000000000004</v>
      </c>
      <c r="M329" s="2"/>
      <c r="N329" s="7">
        <f t="shared" si="136"/>
        <v>-0.34880722891566268</v>
      </c>
      <c r="O329" s="11"/>
      <c r="P329" s="6">
        <v>25858.02</v>
      </c>
      <c r="Q329" s="2"/>
      <c r="R329" s="7">
        <f t="shared" si="137"/>
        <v>9.0307845898826371E-4</v>
      </c>
      <c r="S329" s="2"/>
      <c r="T329" s="6">
        <v>104200</v>
      </c>
      <c r="U329" s="2"/>
      <c r="V329" s="7">
        <f t="shared" si="138"/>
        <v>2.7779118376473518E-3</v>
      </c>
      <c r="W329" s="2"/>
      <c r="X329" s="6">
        <f t="shared" si="139"/>
        <v>-78341.98</v>
      </c>
      <c r="Y329" s="2"/>
      <c r="Z329" s="7">
        <f t="shared" si="140"/>
        <v>-0.75184241842610355</v>
      </c>
    </row>
    <row r="330" spans="1:26" s="24" customFormat="1" hidden="1" outlineLevel="2" x14ac:dyDescent="0.25">
      <c r="A330" s="27"/>
      <c r="B330" s="11" t="str">
        <f>CONCATENATE("          ", "6235", " - ", "COVID-19 EXPENSES")</f>
        <v xml:space="preserve">          6235 - COVID-19 EXPENSES</v>
      </c>
      <c r="C330" s="11"/>
      <c r="D330" s="6">
        <v>3541.44</v>
      </c>
      <c r="E330" s="2"/>
      <c r="F330" s="7">
        <f t="shared" si="133"/>
        <v>6.0586877896819111E-3</v>
      </c>
      <c r="G330" s="2"/>
      <c r="H330" s="6"/>
      <c r="I330" s="2"/>
      <c r="J330" s="7">
        <f t="shared" si="134"/>
        <v>0</v>
      </c>
      <c r="K330" s="2"/>
      <c r="L330" s="6">
        <f t="shared" si="135"/>
        <v>3541.44</v>
      </c>
      <c r="M330" s="2"/>
      <c r="N330" s="7">
        <f t="shared" si="136"/>
        <v>0</v>
      </c>
      <c r="O330" s="11"/>
      <c r="P330" s="6">
        <v>7042.55</v>
      </c>
      <c r="Q330" s="2"/>
      <c r="R330" s="7">
        <f t="shared" si="137"/>
        <v>2.4595754823253277E-4</v>
      </c>
      <c r="S330" s="2"/>
      <c r="T330" s="6"/>
      <c r="U330" s="2"/>
      <c r="V330" s="7">
        <f t="shared" si="138"/>
        <v>0</v>
      </c>
      <c r="W330" s="2"/>
      <c r="X330" s="6">
        <f t="shared" si="139"/>
        <v>7042.55</v>
      </c>
      <c r="Y330" s="2"/>
      <c r="Z330" s="7">
        <f t="shared" si="140"/>
        <v>0</v>
      </c>
    </row>
    <row r="331" spans="1:26" s="24" customFormat="1" hidden="1" outlineLevel="2" x14ac:dyDescent="0.25">
      <c r="A331" s="27"/>
      <c r="B331" s="11" t="str">
        <f>CONCATENATE("          ", "6237", " - ", "JANITORIAL SUPPLIES")</f>
        <v xml:space="preserve">          6237 - JANITORIAL SUPPLIES</v>
      </c>
      <c r="C331" s="11"/>
      <c r="D331" s="6">
        <v>4102.6400000000003</v>
      </c>
      <c r="E331" s="2"/>
      <c r="F331" s="7">
        <f t="shared" si="133"/>
        <v>7.0187875196136588E-3</v>
      </c>
      <c r="G331" s="2"/>
      <c r="H331" s="6">
        <v>13491</v>
      </c>
      <c r="I331" s="2"/>
      <c r="J331" s="7">
        <f t="shared" si="134"/>
        <v>9.6723118029861839E-3</v>
      </c>
      <c r="K331" s="2"/>
      <c r="L331" s="6">
        <f t="shared" si="135"/>
        <v>-9388.36</v>
      </c>
      <c r="M331" s="2"/>
      <c r="N331" s="7">
        <f t="shared" si="136"/>
        <v>-0.69589800607812624</v>
      </c>
      <c r="O331" s="11"/>
      <c r="P331" s="6">
        <v>136514.57999999999</v>
      </c>
      <c r="Q331" s="2"/>
      <c r="R331" s="7">
        <f t="shared" si="137"/>
        <v>4.7677036577367495E-3</v>
      </c>
      <c r="S331" s="2"/>
      <c r="T331" s="6">
        <v>168832</v>
      </c>
      <c r="U331" s="2"/>
      <c r="V331" s="7">
        <f t="shared" si="138"/>
        <v>4.5009636408222427E-3</v>
      </c>
      <c r="W331" s="2"/>
      <c r="X331" s="6">
        <f t="shared" si="139"/>
        <v>-32317.420000000013</v>
      </c>
      <c r="Y331" s="2"/>
      <c r="Z331" s="7">
        <f t="shared" si="140"/>
        <v>-0.19141762225170592</v>
      </c>
    </row>
    <row r="332" spans="1:26" s="24" customFormat="1" hidden="1" outlineLevel="2" x14ac:dyDescent="0.25">
      <c r="A332" s="27"/>
      <c r="B332" s="11" t="str">
        <f>CONCATENATE("          ", "6239", " - ", "KITCHEN SUPPLIES")</f>
        <v xml:space="preserve">          6239 - KITCHEN SUPPLIES</v>
      </c>
      <c r="C332" s="11"/>
      <c r="D332" s="6">
        <v>349.26</v>
      </c>
      <c r="E332" s="2"/>
      <c r="F332" s="7">
        <f t="shared" si="133"/>
        <v>5.975132424732041E-4</v>
      </c>
      <c r="G332" s="2"/>
      <c r="H332" s="6">
        <v>6750</v>
      </c>
      <c r="I332" s="2"/>
      <c r="J332" s="7">
        <f t="shared" si="134"/>
        <v>4.8393821562639347E-3</v>
      </c>
      <c r="K332" s="2"/>
      <c r="L332" s="6">
        <f t="shared" si="135"/>
        <v>-6400.74</v>
      </c>
      <c r="M332" s="2"/>
      <c r="N332" s="7">
        <f t="shared" si="136"/>
        <v>-0.94825777777777776</v>
      </c>
      <c r="O332" s="11"/>
      <c r="P332" s="6">
        <v>73164.59</v>
      </c>
      <c r="Q332" s="2"/>
      <c r="R332" s="7">
        <f t="shared" si="137"/>
        <v>2.555236835214302E-3</v>
      </c>
      <c r="S332" s="2"/>
      <c r="T332" s="6">
        <v>85154.150000000009</v>
      </c>
      <c r="U332" s="2"/>
      <c r="V332" s="7">
        <f t="shared" si="138"/>
        <v>2.2701604732226323E-3</v>
      </c>
      <c r="W332" s="2"/>
      <c r="X332" s="6">
        <f t="shared" si="139"/>
        <v>-11989.560000000012</v>
      </c>
      <c r="Y332" s="2"/>
      <c r="Z332" s="7">
        <f t="shared" si="140"/>
        <v>-0.14079830519123274</v>
      </c>
    </row>
    <row r="333" spans="1:26" s="24" customFormat="1" hidden="1" outlineLevel="2" x14ac:dyDescent="0.25">
      <c r="A333" s="27"/>
      <c r="B333" s="11" t="str">
        <f>CONCATENATE("          ", "6241", " - ", "OFFICE EXPENSE")</f>
        <v xml:space="preserve">          6241 - OFFICE EXPENSE</v>
      </c>
      <c r="C333" s="11"/>
      <c r="D333" s="6">
        <v>40583.32</v>
      </c>
      <c r="E333" s="2"/>
      <c r="F333" s="7">
        <f t="shared" si="133"/>
        <v>6.9429854903303084E-2</v>
      </c>
      <c r="G333" s="2"/>
      <c r="H333" s="6">
        <v>4549</v>
      </c>
      <c r="I333" s="2"/>
      <c r="J333" s="7">
        <f t="shared" si="134"/>
        <v>3.261385100569576E-3</v>
      </c>
      <c r="K333" s="2"/>
      <c r="L333" s="6">
        <f t="shared" si="135"/>
        <v>36034.32</v>
      </c>
      <c r="M333" s="2"/>
      <c r="N333" s="7">
        <f t="shared" si="136"/>
        <v>7.9213717300505602</v>
      </c>
      <c r="O333" s="11"/>
      <c r="P333" s="6">
        <v>139188.92000000001</v>
      </c>
      <c r="Q333" s="2"/>
      <c r="R333" s="7">
        <f t="shared" si="137"/>
        <v>4.8611036491518194E-3</v>
      </c>
      <c r="S333" s="2"/>
      <c r="T333" s="6">
        <v>50097.82</v>
      </c>
      <c r="U333" s="2"/>
      <c r="V333" s="7">
        <f t="shared" si="138"/>
        <v>1.3355789560300024E-3</v>
      </c>
      <c r="W333" s="2"/>
      <c r="X333" s="6">
        <f t="shared" si="139"/>
        <v>89091.1</v>
      </c>
      <c r="Y333" s="2"/>
      <c r="Z333" s="7">
        <f t="shared" si="140"/>
        <v>1.7783428500481659</v>
      </c>
    </row>
    <row r="334" spans="1:26" s="24" customFormat="1" hidden="1" outlineLevel="2" x14ac:dyDescent="0.25">
      <c r="A334" s="27"/>
      <c r="B334" s="11" t="str">
        <f>CONCATENATE("          ", "6243", " - ", "PAPER SUPPLIES")</f>
        <v xml:space="preserve">          6243 - PAPER SUPPLIES</v>
      </c>
      <c r="C334" s="11"/>
      <c r="D334" s="6">
        <v>1368.33</v>
      </c>
      <c r="E334" s="2"/>
      <c r="F334" s="7">
        <f t="shared" si="133"/>
        <v>2.3409359648209338E-3</v>
      </c>
      <c r="G334" s="2"/>
      <c r="H334" s="6">
        <v>9859</v>
      </c>
      <c r="I334" s="2"/>
      <c r="J334" s="7">
        <f t="shared" si="134"/>
        <v>7.0683657301638713E-3</v>
      </c>
      <c r="K334" s="2"/>
      <c r="L334" s="6">
        <f t="shared" si="135"/>
        <v>-8490.67</v>
      </c>
      <c r="M334" s="2"/>
      <c r="N334" s="7">
        <f t="shared" si="136"/>
        <v>-0.8612100618724009</v>
      </c>
      <c r="O334" s="11"/>
      <c r="P334" s="6">
        <v>113380.86</v>
      </c>
      <c r="Q334" s="2"/>
      <c r="R334" s="7">
        <f t="shared" si="137"/>
        <v>3.9597700182598698E-3</v>
      </c>
      <c r="S334" s="2"/>
      <c r="T334" s="6">
        <v>130538.52</v>
      </c>
      <c r="U334" s="2"/>
      <c r="V334" s="7">
        <f t="shared" si="138"/>
        <v>3.4800815736752938E-3</v>
      </c>
      <c r="W334" s="2"/>
      <c r="X334" s="6">
        <f t="shared" si="139"/>
        <v>-17157.660000000003</v>
      </c>
      <c r="Y334" s="2"/>
      <c r="Z334" s="7">
        <f t="shared" si="140"/>
        <v>-0.13143752510753151</v>
      </c>
    </row>
    <row r="335" spans="1:26" s="24" customFormat="1" hidden="1" outlineLevel="2" x14ac:dyDescent="0.25">
      <c r="A335" s="27"/>
      <c r="B335" s="11" t="str">
        <f>CONCATENATE("          ", "6244", " - ", "SAFETY SUPPLY EXPENSE")</f>
        <v xml:space="preserve">          6244 - SAFETY SUPPLY EXPENSE</v>
      </c>
      <c r="C335" s="11"/>
      <c r="D335" s="6"/>
      <c r="E335" s="2"/>
      <c r="F335" s="7">
        <f t="shared" si="133"/>
        <v>0</v>
      </c>
      <c r="G335" s="2"/>
      <c r="H335" s="6">
        <v>235</v>
      </c>
      <c r="I335" s="2"/>
      <c r="J335" s="7">
        <f t="shared" si="134"/>
        <v>1.6848219358844811E-4</v>
      </c>
      <c r="K335" s="2"/>
      <c r="L335" s="6">
        <f t="shared" si="135"/>
        <v>-235</v>
      </c>
      <c r="M335" s="2"/>
      <c r="N335" s="7">
        <f t="shared" si="136"/>
        <v>-1</v>
      </c>
      <c r="O335" s="11"/>
      <c r="P335" s="6"/>
      <c r="Q335" s="2"/>
      <c r="R335" s="7">
        <f t="shared" si="137"/>
        <v>0</v>
      </c>
      <c r="S335" s="2"/>
      <c r="T335" s="6">
        <v>2850</v>
      </c>
      <c r="U335" s="2"/>
      <c r="V335" s="7">
        <f t="shared" si="138"/>
        <v>7.5979354484596474E-5</v>
      </c>
      <c r="W335" s="2"/>
      <c r="X335" s="6">
        <f t="shared" si="139"/>
        <v>-2850</v>
      </c>
      <c r="Y335" s="2"/>
      <c r="Z335" s="7">
        <f t="shared" si="140"/>
        <v>-1</v>
      </c>
    </row>
    <row r="336" spans="1:26" s="24" customFormat="1" hidden="1" outlineLevel="2" x14ac:dyDescent="0.25">
      <c r="A336" s="27"/>
      <c r="B336" s="11" t="str">
        <f>CONCATENATE("          ", "6245", " - ", "PRINTING")</f>
        <v xml:space="preserve">          6245 - PRINTING</v>
      </c>
      <c r="C336" s="11"/>
      <c r="D336" s="6">
        <v>158.76</v>
      </c>
      <c r="E336" s="2"/>
      <c r="F336" s="7">
        <f t="shared" si="133"/>
        <v>2.7160626002131901E-4</v>
      </c>
      <c r="G336" s="2"/>
      <c r="H336" s="6">
        <v>300</v>
      </c>
      <c r="I336" s="2"/>
      <c r="J336" s="7">
        <f t="shared" si="134"/>
        <v>2.1508365138950822E-4</v>
      </c>
      <c r="K336" s="2"/>
      <c r="L336" s="6">
        <f t="shared" si="135"/>
        <v>-141.24</v>
      </c>
      <c r="M336" s="2"/>
      <c r="N336" s="7">
        <f t="shared" si="136"/>
        <v>-0.47080000000000005</v>
      </c>
      <c r="O336" s="11"/>
      <c r="P336" s="6">
        <v>12954.34</v>
      </c>
      <c r="Q336" s="2"/>
      <c r="R336" s="7">
        <f t="shared" si="137"/>
        <v>4.5242386711782359E-4</v>
      </c>
      <c r="S336" s="2"/>
      <c r="T336" s="6">
        <v>7436.82</v>
      </c>
      <c r="U336" s="2"/>
      <c r="V336" s="7">
        <f t="shared" si="138"/>
        <v>1.9826132737478481E-4</v>
      </c>
      <c r="W336" s="2"/>
      <c r="X336" s="6">
        <f t="shared" si="139"/>
        <v>5517.52</v>
      </c>
      <c r="Y336" s="2"/>
      <c r="Z336" s="7">
        <f t="shared" si="140"/>
        <v>0.74191926118959461</v>
      </c>
    </row>
    <row r="337" spans="1:26" s="24" customFormat="1" hidden="1" outlineLevel="2" x14ac:dyDescent="0.25">
      <c r="A337" s="27"/>
      <c r="B337" s="11" t="str">
        <f>CONCATENATE("          ", "6246", " - ", "REPLACEMENTS")</f>
        <v xml:space="preserve">          6246 - REPLACEMENTS</v>
      </c>
      <c r="C337" s="11"/>
      <c r="D337" s="6"/>
      <c r="E337" s="2"/>
      <c r="F337" s="7">
        <f t="shared" si="133"/>
        <v>0</v>
      </c>
      <c r="G337" s="2"/>
      <c r="H337" s="6"/>
      <c r="I337" s="2"/>
      <c r="J337" s="7">
        <f t="shared" si="134"/>
        <v>0</v>
      </c>
      <c r="K337" s="2"/>
      <c r="L337" s="6">
        <f t="shared" si="135"/>
        <v>0</v>
      </c>
      <c r="M337" s="2"/>
      <c r="N337" s="7">
        <f t="shared" si="136"/>
        <v>0</v>
      </c>
      <c r="O337" s="11"/>
      <c r="P337" s="6">
        <v>25.87</v>
      </c>
      <c r="Q337" s="2"/>
      <c r="R337" s="7">
        <f t="shared" si="137"/>
        <v>9.0349685451656329E-7</v>
      </c>
      <c r="S337" s="2"/>
      <c r="T337" s="6">
        <v>3400</v>
      </c>
      <c r="U337" s="2"/>
      <c r="V337" s="7">
        <f t="shared" si="138"/>
        <v>9.0642036928992285E-5</v>
      </c>
      <c r="W337" s="2"/>
      <c r="X337" s="6">
        <f t="shared" si="139"/>
        <v>-3374.13</v>
      </c>
      <c r="Y337" s="2"/>
      <c r="Z337" s="7">
        <f t="shared" si="140"/>
        <v>-0.99239117647058828</v>
      </c>
    </row>
    <row r="338" spans="1:26" s="24" customFormat="1" hidden="1" outlineLevel="2" x14ac:dyDescent="0.25">
      <c r="A338" s="27"/>
      <c r="B338" s="11" t="str">
        <f>CONCATENATE("          ", "6247", " - ", "STORE SUPPLIES")</f>
        <v xml:space="preserve">          6247 - STORE SUPPLIES</v>
      </c>
      <c r="C338" s="11"/>
      <c r="D338" s="6">
        <v>4996.33</v>
      </c>
      <c r="E338" s="2"/>
      <c r="F338" s="7">
        <f t="shared" si="133"/>
        <v>8.5477104127759957E-3</v>
      </c>
      <c r="G338" s="2"/>
      <c r="H338" s="6">
        <v>12707</v>
      </c>
      <c r="I338" s="2"/>
      <c r="J338" s="7">
        <f t="shared" si="134"/>
        <v>9.1102265273549365E-3</v>
      </c>
      <c r="K338" s="2"/>
      <c r="L338" s="6">
        <f t="shared" si="135"/>
        <v>-7710.67</v>
      </c>
      <c r="M338" s="2"/>
      <c r="N338" s="7">
        <f t="shared" si="136"/>
        <v>-0.60680491067915321</v>
      </c>
      <c r="O338" s="11"/>
      <c r="P338" s="6">
        <v>80350.680000000008</v>
      </c>
      <c r="Q338" s="2"/>
      <c r="R338" s="7">
        <f t="shared" si="137"/>
        <v>2.8062074463960935E-3</v>
      </c>
      <c r="S338" s="2"/>
      <c r="T338" s="6">
        <v>198657.55</v>
      </c>
      <c r="U338" s="2"/>
      <c r="V338" s="7">
        <f t="shared" si="138"/>
        <v>5.2960955833303326E-3</v>
      </c>
      <c r="W338" s="2"/>
      <c r="X338" s="6">
        <f t="shared" si="139"/>
        <v>-118306.86999999998</v>
      </c>
      <c r="Y338" s="2"/>
      <c r="Z338" s="7">
        <f t="shared" si="140"/>
        <v>-0.59553170770504316</v>
      </c>
    </row>
    <row r="339" spans="1:26" s="24" customFormat="1" hidden="1" outlineLevel="2" x14ac:dyDescent="0.25">
      <c r="A339" s="27"/>
      <c r="B339" s="11" t="str">
        <f>CONCATENATE("          ", "6248", " - ", "UNIFORMS")</f>
        <v xml:space="preserve">          6248 - UNIFORMS</v>
      </c>
      <c r="C339" s="11"/>
      <c r="D339" s="6"/>
      <c r="E339" s="2"/>
      <c r="F339" s="7">
        <f t="shared" si="133"/>
        <v>0</v>
      </c>
      <c r="G339" s="2"/>
      <c r="H339" s="6">
        <v>1375</v>
      </c>
      <c r="I339" s="2"/>
      <c r="J339" s="7">
        <f t="shared" si="134"/>
        <v>9.8580006886857924E-4</v>
      </c>
      <c r="K339" s="2"/>
      <c r="L339" s="6">
        <f t="shared" si="135"/>
        <v>-1375</v>
      </c>
      <c r="M339" s="2"/>
      <c r="N339" s="7">
        <f t="shared" si="136"/>
        <v>-1</v>
      </c>
      <c r="O339" s="11"/>
      <c r="P339" s="6">
        <v>4835.18</v>
      </c>
      <c r="Q339" s="2"/>
      <c r="R339" s="7">
        <f t="shared" si="137"/>
        <v>1.688662512957633E-4</v>
      </c>
      <c r="S339" s="2"/>
      <c r="T339" s="6">
        <v>39650</v>
      </c>
      <c r="U339" s="2"/>
      <c r="V339" s="7">
        <f t="shared" si="138"/>
        <v>1.0570461071278071E-3</v>
      </c>
      <c r="W339" s="2"/>
      <c r="X339" s="6">
        <f t="shared" si="139"/>
        <v>-34814.82</v>
      </c>
      <c r="Y339" s="2"/>
      <c r="Z339" s="7">
        <f t="shared" si="140"/>
        <v>-0.87805346784363181</v>
      </c>
    </row>
    <row r="340" spans="1:26" s="26" customFormat="1" outlineLevel="1" collapsed="1" x14ac:dyDescent="0.25">
      <c r="A340" s="25"/>
      <c r="B340" s="12" t="str">
        <f>CONCATENATE("     ","Telephone/Data Lines                              ")</f>
        <v xml:space="preserve">     Telephone/Data Lines                              </v>
      </c>
      <c r="C340" s="12"/>
      <c r="D340" s="1">
        <f>SUM(OSRRefD22_23x_0)</f>
        <v>1910.13</v>
      </c>
      <c r="E340" s="1"/>
      <c r="F340" s="5">
        <f t="shared" ref="F340:F342" si="141">IF(D$12=0,0,D340/D$12)</f>
        <v>3.2678462172746423E-3</v>
      </c>
      <c r="G340" s="1"/>
      <c r="H340" s="1">
        <f>SUM(OSRRefH22_23x_0)</f>
        <v>5964</v>
      </c>
      <c r="I340" s="1"/>
      <c r="J340" s="5">
        <f t="shared" ref="J340:J342" si="142">IF(H$12=0,0,H340/H$12)</f>
        <v>4.2758629896234232E-3</v>
      </c>
      <c r="K340" s="1"/>
      <c r="L340" s="1">
        <f t="shared" ref="L340:L342" si="143">+D340-H340</f>
        <v>-4053.87</v>
      </c>
      <c r="M340" s="1"/>
      <c r="N340" s="5">
        <f t="shared" ref="N340:N342" si="144">IF(H340=0,0,L340/H340)</f>
        <v>-0.67972334004024137</v>
      </c>
      <c r="O340" s="12"/>
      <c r="P340" s="1">
        <f>SUM(OSRRefP22_23x_0)</f>
        <v>66671.990000000005</v>
      </c>
      <c r="Q340" s="1"/>
      <c r="R340" s="5">
        <f t="shared" ref="R340:R342" si="145">IF(P$12=0,0,P340/P$12)</f>
        <v>2.328486016596821E-3</v>
      </c>
      <c r="S340" s="1"/>
      <c r="T340" s="1">
        <f>SUM(OSRRefT22_23x_0)</f>
        <v>78429</v>
      </c>
      <c r="U340" s="1"/>
      <c r="V340" s="5">
        <f t="shared" ref="V340:V342" si="146">IF(T$12=0,0,T340/T$12)</f>
        <v>2.0908718571482163E-3</v>
      </c>
      <c r="W340" s="1"/>
      <c r="X340" s="1">
        <f t="shared" ref="X340:X342" si="147">+P340-T340</f>
        <v>-11757.009999999995</v>
      </c>
      <c r="Y340" s="1"/>
      <c r="Z340" s="5">
        <f t="shared" ref="Z340:Z342" si="148">IF(T340=0,0,X340/T340)</f>
        <v>-0.14990641216896805</v>
      </c>
    </row>
    <row r="341" spans="1:26" s="24" customFormat="1" hidden="1" outlineLevel="2" x14ac:dyDescent="0.25">
      <c r="A341" s="27"/>
      <c r="B341" s="11" t="str">
        <f>CONCATENATE("          ", "6303", " - ", "DATA PHONE LINES")</f>
        <v xml:space="preserve">          6303 - DATA PHONE LINES</v>
      </c>
      <c r="C341" s="11"/>
      <c r="D341" s="6"/>
      <c r="E341" s="2"/>
      <c r="F341" s="7">
        <f t="shared" si="141"/>
        <v>0</v>
      </c>
      <c r="G341" s="2"/>
      <c r="H341" s="6">
        <v>1926</v>
      </c>
      <c r="I341" s="2"/>
      <c r="J341" s="7">
        <f t="shared" si="142"/>
        <v>1.3808370419206427E-3</v>
      </c>
      <c r="K341" s="2"/>
      <c r="L341" s="6">
        <f t="shared" si="143"/>
        <v>-1926</v>
      </c>
      <c r="M341" s="2"/>
      <c r="N341" s="7">
        <f t="shared" si="144"/>
        <v>-1</v>
      </c>
      <c r="O341" s="11"/>
      <c r="P341" s="6">
        <v>2950</v>
      </c>
      <c r="Q341" s="2"/>
      <c r="R341" s="7">
        <f t="shared" si="145"/>
        <v>1.0302727950614077E-4</v>
      </c>
      <c r="S341" s="2"/>
      <c r="T341" s="6">
        <v>23643</v>
      </c>
      <c r="U341" s="2"/>
      <c r="V341" s="7">
        <f t="shared" si="146"/>
        <v>6.3030872915063668E-4</v>
      </c>
      <c r="W341" s="2"/>
      <c r="X341" s="6">
        <f t="shared" si="147"/>
        <v>-20693</v>
      </c>
      <c r="Y341" s="2"/>
      <c r="Z341" s="7">
        <f t="shared" si="148"/>
        <v>-0.87522734001607239</v>
      </c>
    </row>
    <row r="342" spans="1:26" s="24" customFormat="1" hidden="1" outlineLevel="2" x14ac:dyDescent="0.25">
      <c r="A342" s="27"/>
      <c r="B342" s="11" t="str">
        <f>CONCATENATE("          ", "6309", " - ", "TELEPHONE")</f>
        <v xml:space="preserve">          6309 - TELEPHONE</v>
      </c>
      <c r="C342" s="11"/>
      <c r="D342" s="6">
        <v>1910.13</v>
      </c>
      <c r="E342" s="2"/>
      <c r="F342" s="7">
        <f t="shared" si="141"/>
        <v>3.2678462172746423E-3</v>
      </c>
      <c r="G342" s="2"/>
      <c r="H342" s="6">
        <v>4038</v>
      </c>
      <c r="I342" s="2"/>
      <c r="J342" s="7">
        <f t="shared" si="142"/>
        <v>2.8950259477027807E-3</v>
      </c>
      <c r="K342" s="2"/>
      <c r="L342" s="6">
        <f t="shared" si="143"/>
        <v>-2127.87</v>
      </c>
      <c r="M342" s="2"/>
      <c r="N342" s="7">
        <f t="shared" si="144"/>
        <v>-0.52696136701337293</v>
      </c>
      <c r="O342" s="11"/>
      <c r="P342" s="6">
        <v>63721.990000000005</v>
      </c>
      <c r="Q342" s="2"/>
      <c r="R342" s="7">
        <f t="shared" si="145"/>
        <v>2.2254587370906802E-3</v>
      </c>
      <c r="S342" s="2"/>
      <c r="T342" s="6">
        <v>54786</v>
      </c>
      <c r="U342" s="2"/>
      <c r="V342" s="7">
        <f t="shared" si="146"/>
        <v>1.4605631279975798E-3</v>
      </c>
      <c r="W342" s="2"/>
      <c r="X342" s="6">
        <f t="shared" si="147"/>
        <v>8935.9900000000052</v>
      </c>
      <c r="Y342" s="2"/>
      <c r="Z342" s="7">
        <f t="shared" si="148"/>
        <v>0.16310718066659374</v>
      </c>
    </row>
    <row r="343" spans="1:26" s="26" customFormat="1" outlineLevel="1" collapsed="1" x14ac:dyDescent="0.25">
      <c r="A343" s="25"/>
      <c r="B343" s="12" t="str">
        <f>CONCATENATE("     ","Training                                          ")</f>
        <v xml:space="preserve">     Training                                          </v>
      </c>
      <c r="C343" s="12"/>
      <c r="D343" s="1">
        <f>SUM(OSRRefD22_24x_0)</f>
        <v>494</v>
      </c>
      <c r="E343" s="1"/>
      <c r="F343" s="5">
        <f t="shared" ref="F343:F348" si="149">IF(D$12=0,0,D343/D$12)</f>
        <v>8.4513411722431098E-4</v>
      </c>
      <c r="G343" s="1"/>
      <c r="H343" s="1">
        <f>SUM(OSRRefH22_24x_0)</f>
        <v>6914</v>
      </c>
      <c r="I343" s="1"/>
      <c r="J343" s="5">
        <f t="shared" ref="J343:J348" si="150">IF(H$12=0,0,H343/H$12)</f>
        <v>4.956961219023533E-3</v>
      </c>
      <c r="K343" s="1"/>
      <c r="L343" s="1">
        <f t="shared" ref="L343:L348" si="151">+D343-H343</f>
        <v>-6420</v>
      </c>
      <c r="M343" s="1"/>
      <c r="N343" s="5">
        <f t="shared" ref="N343:N348" si="152">IF(H343=0,0,L343/H343)</f>
        <v>-0.92855076656060165</v>
      </c>
      <c r="O343" s="12"/>
      <c r="P343" s="1">
        <f>SUM(OSRRefP22_24x_0)</f>
        <v>38044.239999999998</v>
      </c>
      <c r="Q343" s="1"/>
      <c r="R343" s="5">
        <f t="shared" ref="R343:R348" si="153">IF(P$12=0,0,P343/P$12)</f>
        <v>1.3286761179927798E-3</v>
      </c>
      <c r="S343" s="1"/>
      <c r="T343" s="1">
        <f>SUM(OSRRefT22_24x_0)</f>
        <v>81295</v>
      </c>
      <c r="U343" s="1"/>
      <c r="V343" s="5">
        <f t="shared" ref="V343:V348" si="154">IF(T$12=0,0,T343/T$12)</f>
        <v>2.1672777623948317E-3</v>
      </c>
      <c r="W343" s="1"/>
      <c r="X343" s="1">
        <f t="shared" ref="X343:X348" si="155">+P343-T343</f>
        <v>-43250.76</v>
      </c>
      <c r="Y343" s="1"/>
      <c r="Z343" s="5">
        <f t="shared" ref="Z343:Z348" si="156">IF(T343=0,0,X343/T343)</f>
        <v>-0.53202238760071352</v>
      </c>
    </row>
    <row r="344" spans="1:26" s="24" customFormat="1" hidden="1" outlineLevel="2" x14ac:dyDescent="0.25">
      <c r="A344" s="27"/>
      <c r="B344" s="11" t="str">
        <f>CONCATENATE("          ", "6376", " - ", "TRAINING")</f>
        <v xml:space="preserve">          6376 - TRAINING</v>
      </c>
      <c r="C344" s="11"/>
      <c r="D344" s="6">
        <v>494</v>
      </c>
      <c r="E344" s="2"/>
      <c r="F344" s="7">
        <f t="shared" si="149"/>
        <v>8.4513411722431098E-4</v>
      </c>
      <c r="G344" s="2"/>
      <c r="H344" s="6">
        <v>6914</v>
      </c>
      <c r="I344" s="2"/>
      <c r="J344" s="7">
        <f t="shared" si="150"/>
        <v>4.956961219023533E-3</v>
      </c>
      <c r="K344" s="2"/>
      <c r="L344" s="6">
        <f t="shared" si="151"/>
        <v>-6420</v>
      </c>
      <c r="M344" s="2"/>
      <c r="N344" s="7">
        <f t="shared" si="152"/>
        <v>-0.92855076656060165</v>
      </c>
      <c r="O344" s="11"/>
      <c r="P344" s="6">
        <v>38044.239999999998</v>
      </c>
      <c r="Q344" s="2"/>
      <c r="R344" s="7">
        <f t="shared" si="153"/>
        <v>1.3286761179927798E-3</v>
      </c>
      <c r="S344" s="2"/>
      <c r="T344" s="6">
        <v>81295</v>
      </c>
      <c r="U344" s="2"/>
      <c r="V344" s="7">
        <f t="shared" si="154"/>
        <v>2.1672777623948317E-3</v>
      </c>
      <c r="W344" s="2"/>
      <c r="X344" s="6">
        <f t="shared" si="155"/>
        <v>-43250.76</v>
      </c>
      <c r="Y344" s="2"/>
      <c r="Z344" s="7">
        <f t="shared" si="156"/>
        <v>-0.53202238760071352</v>
      </c>
    </row>
    <row r="345" spans="1:26" s="26" customFormat="1" outlineLevel="1" collapsed="1" x14ac:dyDescent="0.25">
      <c r="A345" s="25"/>
      <c r="B345" s="12" t="str">
        <f>CONCATENATE("     ","Travel                                            ")</f>
        <v xml:space="preserve">     Travel                                            </v>
      </c>
      <c r="C345" s="12"/>
      <c r="D345" s="1">
        <f>SUM(OSRRefD22_25x_0)</f>
        <v>0</v>
      </c>
      <c r="E345" s="1"/>
      <c r="F345" s="5">
        <f t="shared" si="149"/>
        <v>0</v>
      </c>
      <c r="G345" s="1"/>
      <c r="H345" s="1">
        <f>SUM(OSRRefH22_25x_0)</f>
        <v>2035</v>
      </c>
      <c r="I345" s="1"/>
      <c r="J345" s="5">
        <f t="shared" si="150"/>
        <v>1.4589841019254973E-3</v>
      </c>
      <c r="K345" s="1"/>
      <c r="L345" s="1">
        <f t="shared" si="151"/>
        <v>-2035</v>
      </c>
      <c r="M345" s="1"/>
      <c r="N345" s="5">
        <f t="shared" si="152"/>
        <v>-1</v>
      </c>
      <c r="O345" s="12"/>
      <c r="P345" s="1">
        <f>SUM(OSRRefP22_25x_0)</f>
        <v>9441.3100000000013</v>
      </c>
      <c r="Q345" s="1"/>
      <c r="R345" s="5">
        <f t="shared" si="153"/>
        <v>3.2973304551665151E-4</v>
      </c>
      <c r="S345" s="1"/>
      <c r="T345" s="1">
        <f>SUM(OSRRefT22_25x_0)</f>
        <v>23700</v>
      </c>
      <c r="U345" s="1"/>
      <c r="V345" s="5">
        <f t="shared" si="154"/>
        <v>6.318283162403286E-4</v>
      </c>
      <c r="W345" s="1"/>
      <c r="X345" s="1">
        <f t="shared" si="155"/>
        <v>-14258.689999999999</v>
      </c>
      <c r="Y345" s="1"/>
      <c r="Z345" s="5">
        <f t="shared" si="156"/>
        <v>-0.60163248945147674</v>
      </c>
    </row>
    <row r="346" spans="1:26" s="24" customFormat="1" hidden="1" outlineLevel="2" x14ac:dyDescent="0.25">
      <c r="A346" s="27"/>
      <c r="B346" s="11" t="str">
        <f>CONCATENATE("          ", "6292", " - ", "TRAVEL/CONFERENCE")</f>
        <v xml:space="preserve">          6292 - TRAVEL/CONFERENCE</v>
      </c>
      <c r="C346" s="11"/>
      <c r="D346" s="6"/>
      <c r="E346" s="2"/>
      <c r="F346" s="7">
        <f t="shared" si="149"/>
        <v>0</v>
      </c>
      <c r="G346" s="2"/>
      <c r="H346" s="6">
        <v>1800</v>
      </c>
      <c r="I346" s="2"/>
      <c r="J346" s="7">
        <f t="shared" si="150"/>
        <v>1.2905019083370493E-3</v>
      </c>
      <c r="K346" s="2"/>
      <c r="L346" s="6">
        <f t="shared" si="151"/>
        <v>-1800</v>
      </c>
      <c r="M346" s="2"/>
      <c r="N346" s="7">
        <f t="shared" si="152"/>
        <v>-1</v>
      </c>
      <c r="O346" s="11"/>
      <c r="P346" s="6">
        <v>7216.54</v>
      </c>
      <c r="Q346" s="2"/>
      <c r="R346" s="7">
        <f t="shared" si="153"/>
        <v>2.5203406225330342E-4</v>
      </c>
      <c r="S346" s="2"/>
      <c r="T346" s="6">
        <v>20500</v>
      </c>
      <c r="U346" s="2"/>
      <c r="V346" s="7">
        <f t="shared" si="154"/>
        <v>5.4651816383657111E-4</v>
      </c>
      <c r="W346" s="2"/>
      <c r="X346" s="6">
        <f t="shared" si="155"/>
        <v>-13283.46</v>
      </c>
      <c r="Y346" s="2"/>
      <c r="Z346" s="7">
        <f t="shared" si="156"/>
        <v>-0.64797365853658528</v>
      </c>
    </row>
    <row r="347" spans="1:26" s="24" customFormat="1" hidden="1" outlineLevel="2" x14ac:dyDescent="0.25">
      <c r="A347" s="27"/>
      <c r="B347" s="11" t="str">
        <f>CONCATENATE("          ", "6294", " - ", "TRAVEL OPERATIONAL")</f>
        <v xml:space="preserve">          6294 - TRAVEL OPERATIONAL</v>
      </c>
      <c r="C347" s="11"/>
      <c r="D347" s="6"/>
      <c r="E347" s="2"/>
      <c r="F347" s="7">
        <f t="shared" si="149"/>
        <v>0</v>
      </c>
      <c r="G347" s="2"/>
      <c r="H347" s="6">
        <v>125</v>
      </c>
      <c r="I347" s="2"/>
      <c r="J347" s="7">
        <f t="shared" si="150"/>
        <v>8.9618188078961756E-5</v>
      </c>
      <c r="K347" s="2"/>
      <c r="L347" s="6">
        <f t="shared" si="151"/>
        <v>-125</v>
      </c>
      <c r="M347" s="2"/>
      <c r="N347" s="7">
        <f t="shared" si="152"/>
        <v>-1</v>
      </c>
      <c r="O347" s="11"/>
      <c r="P347" s="6">
        <v>418.6</v>
      </c>
      <c r="Q347" s="2"/>
      <c r="R347" s="7">
        <f t="shared" si="153"/>
        <v>1.4619396339413737E-5</v>
      </c>
      <c r="S347" s="2"/>
      <c r="T347" s="6">
        <v>1330</v>
      </c>
      <c r="U347" s="2"/>
      <c r="V347" s="7">
        <f t="shared" si="154"/>
        <v>3.5457032092811687E-5</v>
      </c>
      <c r="W347" s="2"/>
      <c r="X347" s="6">
        <f t="shared" si="155"/>
        <v>-911.4</v>
      </c>
      <c r="Y347" s="2"/>
      <c r="Z347" s="7">
        <f t="shared" si="156"/>
        <v>-0.6852631578947368</v>
      </c>
    </row>
    <row r="348" spans="1:26" s="24" customFormat="1" hidden="1" outlineLevel="2" x14ac:dyDescent="0.25">
      <c r="A348" s="27"/>
      <c r="B348" s="11" t="str">
        <f>CONCATENATE("          ", "6298", " - ", "VEHICLE MILEAGE")</f>
        <v xml:space="preserve">          6298 - VEHICLE MILEAGE</v>
      </c>
      <c r="C348" s="11"/>
      <c r="D348" s="6"/>
      <c r="E348" s="2"/>
      <c r="F348" s="7">
        <f t="shared" si="149"/>
        <v>0</v>
      </c>
      <c r="G348" s="2"/>
      <c r="H348" s="6">
        <v>110</v>
      </c>
      <c r="I348" s="2"/>
      <c r="J348" s="7">
        <f t="shared" si="150"/>
        <v>7.886400550948635E-5</v>
      </c>
      <c r="K348" s="2"/>
      <c r="L348" s="6">
        <f t="shared" si="151"/>
        <v>-110</v>
      </c>
      <c r="M348" s="2"/>
      <c r="N348" s="7">
        <f t="shared" si="152"/>
        <v>-1</v>
      </c>
      <c r="O348" s="11"/>
      <c r="P348" s="6">
        <v>1806.17</v>
      </c>
      <c r="Q348" s="2"/>
      <c r="R348" s="7">
        <f t="shared" si="153"/>
        <v>6.3079586923934323E-5</v>
      </c>
      <c r="S348" s="2"/>
      <c r="T348" s="6">
        <v>1870</v>
      </c>
      <c r="U348" s="2"/>
      <c r="V348" s="7">
        <f t="shared" si="154"/>
        <v>4.9853120310945754E-5</v>
      </c>
      <c r="W348" s="2"/>
      <c r="X348" s="6">
        <f t="shared" si="155"/>
        <v>-63.829999999999927</v>
      </c>
      <c r="Y348" s="2"/>
      <c r="Z348" s="7">
        <f t="shared" si="156"/>
        <v>-3.4133689839572157E-2</v>
      </c>
    </row>
    <row r="349" spans="1:26" s="26" customFormat="1" outlineLevel="1" collapsed="1" x14ac:dyDescent="0.25">
      <c r="A349" s="25"/>
      <c r="B349" s="12" t="str">
        <f>CONCATENATE("     ","Utilities                                         ")</f>
        <v xml:space="preserve">     Utilities                                         </v>
      </c>
      <c r="C349" s="12"/>
      <c r="D349" s="1">
        <f>SUM(OSRRefD22_26x_0)</f>
        <v>22834.799999999999</v>
      </c>
      <c r="E349" s="1"/>
      <c r="F349" s="5">
        <f t="shared" ref="F349:F350" si="157">IF(D$12=0,0,D349/D$12)</f>
        <v>3.9065725789460923E-2</v>
      </c>
      <c r="G349" s="1"/>
      <c r="H349" s="1">
        <f>SUM(OSRRefH22_26x_0)</f>
        <v>23658.502668611</v>
      </c>
      <c r="I349" s="1"/>
      <c r="J349" s="5">
        <f t="shared" ref="J349:J350" si="158">IF(H$12=0,0,H349/H$12)</f>
        <v>1.6961857134577592E-2</v>
      </c>
      <c r="K349" s="1"/>
      <c r="L349" s="1">
        <f t="shared" ref="L349:L350" si="159">+D349-H349</f>
        <v>-823.70266861100026</v>
      </c>
      <c r="M349" s="1"/>
      <c r="N349" s="5">
        <f t="shared" ref="N349:N350" si="160">IF(H349=0,0,L349/H349)</f>
        <v>-3.4816348276505711E-2</v>
      </c>
      <c r="O349" s="12"/>
      <c r="P349" s="1">
        <f>SUM(OSRRefP22_26x_0)</f>
        <v>274605.32</v>
      </c>
      <c r="Q349" s="1"/>
      <c r="R349" s="5">
        <f t="shared" ref="R349:R350" si="161">IF(P$12=0,0,P349/P$12)</f>
        <v>9.5904539178010943E-3</v>
      </c>
      <c r="S349" s="1"/>
      <c r="T349" s="1">
        <f>SUM(OSRRefT22_26x_0)</f>
        <v>307079.50266861101</v>
      </c>
      <c r="U349" s="1"/>
      <c r="V349" s="5">
        <f t="shared" ref="V349:V350" si="162">IF(T$12=0,0,T349/T$12)</f>
        <v>8.1865622414778894E-3</v>
      </c>
      <c r="W349" s="1"/>
      <c r="X349" s="1">
        <f t="shared" ref="X349:X350" si="163">+P349-T349</f>
        <v>-32474.182668611</v>
      </c>
      <c r="Y349" s="1"/>
      <c r="Z349" s="5">
        <f t="shared" ref="Z349:Z350" si="164">IF(T349=0,0,X349/T349)</f>
        <v>-0.10575171050623966</v>
      </c>
    </row>
    <row r="350" spans="1:26" s="24" customFormat="1" hidden="1" outlineLevel="2" x14ac:dyDescent="0.25">
      <c r="A350" s="27"/>
      <c r="B350" s="11" t="str">
        <f>CONCATENATE("          ", "6274", " - ", "UTILITIES")</f>
        <v xml:space="preserve">          6274 - UTILITIES</v>
      </c>
      <c r="C350" s="11"/>
      <c r="D350" s="6">
        <v>22834.799999999999</v>
      </c>
      <c r="E350" s="2"/>
      <c r="F350" s="7">
        <f t="shared" si="157"/>
        <v>3.9065725789460923E-2</v>
      </c>
      <c r="G350" s="2"/>
      <c r="H350" s="6">
        <v>23658.502668611</v>
      </c>
      <c r="I350" s="2"/>
      <c r="J350" s="7">
        <f t="shared" si="158"/>
        <v>1.6961857134577592E-2</v>
      </c>
      <c r="K350" s="2"/>
      <c r="L350" s="6">
        <f t="shared" si="159"/>
        <v>-823.70266861100026</v>
      </c>
      <c r="M350" s="2"/>
      <c r="N350" s="7">
        <f t="shared" si="160"/>
        <v>-3.4816348276505711E-2</v>
      </c>
      <c r="O350" s="11"/>
      <c r="P350" s="6">
        <v>274605.32</v>
      </c>
      <c r="Q350" s="2"/>
      <c r="R350" s="7">
        <f t="shared" si="161"/>
        <v>9.5904539178010943E-3</v>
      </c>
      <c r="S350" s="2"/>
      <c r="T350" s="6">
        <v>307079.50266861101</v>
      </c>
      <c r="U350" s="2"/>
      <c r="V350" s="7">
        <f t="shared" si="162"/>
        <v>8.1865622414778894E-3</v>
      </c>
      <c r="W350" s="2"/>
      <c r="X350" s="6">
        <f t="shared" si="163"/>
        <v>-32474.182668611</v>
      </c>
      <c r="Y350" s="2"/>
      <c r="Z350" s="7">
        <f t="shared" si="164"/>
        <v>-0.10575171050623966</v>
      </c>
    </row>
    <row r="351" spans="1:26" s="60" customFormat="1" x14ac:dyDescent="0.25">
      <c r="A351" s="36"/>
      <c r="B351" s="36"/>
      <c r="C351" s="36"/>
      <c r="D351" s="1"/>
      <c r="E351" s="1"/>
      <c r="F351" s="5"/>
      <c r="G351" s="1"/>
      <c r="H351" s="1"/>
      <c r="I351" s="1"/>
      <c r="J351" s="5"/>
      <c r="K351" s="1"/>
      <c r="L351" s="1"/>
      <c r="M351" s="1"/>
      <c r="N351" s="5"/>
      <c r="O351" s="36"/>
      <c r="P351" s="1"/>
      <c r="Q351" s="1"/>
      <c r="R351" s="5"/>
      <c r="S351" s="1"/>
      <c r="T351" s="1"/>
      <c r="U351" s="1"/>
      <c r="V351" s="5"/>
      <c r="W351" s="1"/>
      <c r="X351" s="1"/>
      <c r="Y351" s="1"/>
      <c r="Z351" s="5"/>
    </row>
    <row r="352" spans="1:26" s="23" customFormat="1" collapsed="1" x14ac:dyDescent="0.25">
      <c r="A352" s="10"/>
      <c r="B352" s="28" t="s">
        <v>0</v>
      </c>
      <c r="C352" s="10"/>
      <c r="D352" s="4">
        <f>SUM(OSRRefD25x_0)</f>
        <v>82049.190000000017</v>
      </c>
      <c r="E352" s="4"/>
      <c r="F352" s="13">
        <f t="shared" ref="F352:F365" si="165">IF(D$12=0,0,D352/D$12)</f>
        <v>0.14036957441218578</v>
      </c>
      <c r="G352" s="4"/>
      <c r="H352" s="4">
        <f>SUM(OSRRefH25x_0)</f>
        <v>105525</v>
      </c>
      <c r="I352" s="4"/>
      <c r="J352" s="13">
        <f t="shared" ref="J352:J365" si="166">IF(H$12=0,0,H352/H$12)</f>
        <v>7.5655674376259516E-2</v>
      </c>
      <c r="K352" s="4"/>
      <c r="L352" s="4">
        <f t="shared" ref="L352:L365" si="167">+D352-H352</f>
        <v>-23475.809999999983</v>
      </c>
      <c r="M352" s="4"/>
      <c r="N352" s="13">
        <f t="shared" ref="N352:N365" si="168">IF(H352=0,0,L352/H352)</f>
        <v>-0.22246680881307732</v>
      </c>
      <c r="O352" s="10"/>
      <c r="P352" s="4">
        <f>SUM(OSRRefP25x_0)</f>
        <v>1972386.5100000002</v>
      </c>
      <c r="Q352" s="4"/>
      <c r="R352" s="13">
        <f t="shared" ref="R352:R365" si="169">IF(P$12=0,0,P352/P$12)</f>
        <v>6.8884615681325936E-2</v>
      </c>
      <c r="S352" s="4"/>
      <c r="T352" s="4">
        <f>SUM(OSRRefT25x_0)</f>
        <v>1691001</v>
      </c>
      <c r="U352" s="4"/>
      <c r="V352" s="13">
        <f t="shared" ref="V352:V365" si="170">IF(T$12=0,0,T352/T$12)</f>
        <v>4.5081110320283203E-2</v>
      </c>
      <c r="W352" s="4"/>
      <c r="X352" s="4">
        <f t="shared" ref="X352:X365" si="171">+P352-T352</f>
        <v>281385.51000000024</v>
      </c>
      <c r="Y352" s="4"/>
      <c r="Z352" s="13">
        <f t="shared" ref="Z352:Z365" si="172">IF(T352=0,0,X352/T352)</f>
        <v>0.16640174074409195</v>
      </c>
    </row>
    <row r="353" spans="1:26" s="24" customFormat="1" hidden="1" outlineLevel="1" x14ac:dyDescent="0.25">
      <c r="A353" s="44"/>
      <c r="B353" s="11" t="str">
        <f>CONCATENATE("          ", "4098", " - ", "TAXABLE SALES-GRAD RENTALS")</f>
        <v xml:space="preserve">          4098 - TAXABLE SALES-GRAD RENTALS</v>
      </c>
      <c r="C353" s="11"/>
      <c r="D353" s="2">
        <f>0</f>
        <v>0</v>
      </c>
      <c r="E353" s="2"/>
      <c r="F353" s="19">
        <f t="shared" si="165"/>
        <v>0</v>
      </c>
      <c r="G353" s="2"/>
      <c r="H353" s="2"/>
      <c r="I353" s="2"/>
      <c r="J353" s="19">
        <f t="shared" si="166"/>
        <v>0</v>
      </c>
      <c r="K353" s="2"/>
      <c r="L353" s="2">
        <f t="shared" si="167"/>
        <v>0</v>
      </c>
      <c r="M353" s="2"/>
      <c r="N353" s="19">
        <f t="shared" si="168"/>
        <v>0</v>
      </c>
      <c r="O353" s="11"/>
      <c r="P353" s="2">
        <f>--1946.85</f>
        <v>1946.85</v>
      </c>
      <c r="Q353" s="2"/>
      <c r="R353" s="19">
        <f t="shared" si="169"/>
        <v>6.7992765798823777E-5</v>
      </c>
      <c r="S353" s="2"/>
      <c r="T353" s="2"/>
      <c r="U353" s="2"/>
      <c r="V353" s="19">
        <f t="shared" si="170"/>
        <v>0</v>
      </c>
      <c r="W353" s="2"/>
      <c r="X353" s="2">
        <f t="shared" si="171"/>
        <v>1946.85</v>
      </c>
      <c r="Y353" s="2"/>
      <c r="Z353" s="19">
        <f t="shared" si="172"/>
        <v>0</v>
      </c>
    </row>
    <row r="354" spans="1:26" s="24" customFormat="1" hidden="1" outlineLevel="1" x14ac:dyDescent="0.25">
      <c r="A354" s="44"/>
      <c r="B354" s="11" t="str">
        <f>CONCATENATE("          ", "4187", " - ", "NON-TAXABLE SALES-COMPUTER REP")</f>
        <v xml:space="preserve">          4187 - NON-TAXABLE SALES-COMPUTER REP</v>
      </c>
      <c r="C354" s="11"/>
      <c r="D354" s="2">
        <f>--166.52</f>
        <v>166.52</v>
      </c>
      <c r="E354" s="2"/>
      <c r="F354" s="19">
        <f t="shared" si="165"/>
        <v>2.8488205101253499E-4</v>
      </c>
      <c r="G354" s="2"/>
      <c r="H354" s="2"/>
      <c r="I354" s="2"/>
      <c r="J354" s="19">
        <f t="shared" si="166"/>
        <v>0</v>
      </c>
      <c r="K354" s="2"/>
      <c r="L354" s="2">
        <f t="shared" si="167"/>
        <v>166.52</v>
      </c>
      <c r="M354" s="2"/>
      <c r="N354" s="19">
        <f t="shared" si="168"/>
        <v>0</v>
      </c>
      <c r="O354" s="11"/>
      <c r="P354" s="2">
        <f>--16449.71</f>
        <v>16449.71</v>
      </c>
      <c r="Q354" s="2"/>
      <c r="R354" s="19">
        <f t="shared" si="169"/>
        <v>5.7449792202201992E-4</v>
      </c>
      <c r="S354" s="2"/>
      <c r="T354" s="2"/>
      <c r="U354" s="2"/>
      <c r="V354" s="19">
        <f t="shared" si="170"/>
        <v>0</v>
      </c>
      <c r="W354" s="2"/>
      <c r="X354" s="2">
        <f t="shared" si="171"/>
        <v>16449.71</v>
      </c>
      <c r="Y354" s="2"/>
      <c r="Z354" s="19">
        <f t="shared" si="172"/>
        <v>0</v>
      </c>
    </row>
    <row r="355" spans="1:26" s="24" customFormat="1" hidden="1" outlineLevel="1" x14ac:dyDescent="0.25">
      <c r="A355" s="44"/>
      <c r="B355" s="11" t="str">
        <f>CONCATENATE("          ", "4197", " - ", "NON-TAXABLE SALES-RETURNED CHE")</f>
        <v xml:space="preserve">          4197 - NON-TAXABLE SALES-RETURNED CHE</v>
      </c>
      <c r="C355" s="11"/>
      <c r="D355" s="2">
        <f t="shared" ref="D355:D358" si="173">0</f>
        <v>0</v>
      </c>
      <c r="E355" s="2"/>
      <c r="F355" s="19">
        <f t="shared" si="165"/>
        <v>0</v>
      </c>
      <c r="G355" s="2"/>
      <c r="H355" s="2"/>
      <c r="I355" s="2"/>
      <c r="J355" s="19">
        <f t="shared" si="166"/>
        <v>0</v>
      </c>
      <c r="K355" s="2"/>
      <c r="L355" s="2">
        <f t="shared" si="167"/>
        <v>0</v>
      </c>
      <c r="M355" s="2"/>
      <c r="N355" s="19">
        <f t="shared" si="168"/>
        <v>0</v>
      </c>
      <c r="O355" s="11"/>
      <c r="P355" s="2">
        <f>--30</f>
        <v>30</v>
      </c>
      <c r="Q355" s="2"/>
      <c r="R355" s="19">
        <f t="shared" si="169"/>
        <v>1.0477350458251603E-6</v>
      </c>
      <c r="S355" s="2"/>
      <c r="T355" s="2"/>
      <c r="U355" s="2"/>
      <c r="V355" s="19">
        <f t="shared" si="170"/>
        <v>0</v>
      </c>
      <c r="W355" s="2"/>
      <c r="X355" s="2">
        <f t="shared" si="171"/>
        <v>30</v>
      </c>
      <c r="Y355" s="2"/>
      <c r="Z355" s="19">
        <f t="shared" si="172"/>
        <v>0</v>
      </c>
    </row>
    <row r="356" spans="1:26" s="24" customFormat="1" hidden="1" outlineLevel="1" x14ac:dyDescent="0.25">
      <c r="A356" s="44"/>
      <c r="B356" s="11" t="str">
        <f>CONCATENATE("          ", "4198", " - ", "NON-TAXABLE SALES-GRAD RENTALS")</f>
        <v xml:space="preserve">          4198 - NON-TAXABLE SALES-GRAD RENTALS</v>
      </c>
      <c r="C356" s="11"/>
      <c r="D356" s="2">
        <f t="shared" si="173"/>
        <v>0</v>
      </c>
      <c r="E356" s="2"/>
      <c r="F356" s="19">
        <f t="shared" si="165"/>
        <v>0</v>
      </c>
      <c r="G356" s="2"/>
      <c r="H356" s="2"/>
      <c r="I356" s="2"/>
      <c r="J356" s="19">
        <f t="shared" si="166"/>
        <v>0</v>
      </c>
      <c r="K356" s="2"/>
      <c r="L356" s="2">
        <f t="shared" si="167"/>
        <v>0</v>
      </c>
      <c r="M356" s="2"/>
      <c r="N356" s="19">
        <f t="shared" si="168"/>
        <v>0</v>
      </c>
      <c r="O356" s="11"/>
      <c r="P356" s="2">
        <f>--163.76</f>
        <v>163.76</v>
      </c>
      <c r="Q356" s="2"/>
      <c r="R356" s="19">
        <f t="shared" si="169"/>
        <v>5.7192363701442749E-6</v>
      </c>
      <c r="S356" s="2"/>
      <c r="T356" s="2"/>
      <c r="U356" s="2"/>
      <c r="V356" s="19">
        <f t="shared" si="170"/>
        <v>0</v>
      </c>
      <c r="W356" s="2"/>
      <c r="X356" s="2">
        <f t="shared" si="171"/>
        <v>163.76</v>
      </c>
      <c r="Y356" s="2"/>
      <c r="Z356" s="19">
        <f t="shared" si="172"/>
        <v>0</v>
      </c>
    </row>
    <row r="357" spans="1:26" s="24" customFormat="1" hidden="1" outlineLevel="1" x14ac:dyDescent="0.25">
      <c r="A357" s="44"/>
      <c r="B357" s="11" t="str">
        <f>CONCATENATE("          ", "4387", " - ", "SALES RETURN NON TAXABLE-COMPU")</f>
        <v xml:space="preserve">          4387 - SALES RETURN NON TAXABLE-COMPU</v>
      </c>
      <c r="C357" s="11"/>
      <c r="D357" s="2">
        <f t="shared" si="173"/>
        <v>0</v>
      </c>
      <c r="E357" s="2"/>
      <c r="F357" s="19">
        <f t="shared" si="165"/>
        <v>0</v>
      </c>
      <c r="G357" s="2"/>
      <c r="H357" s="2"/>
      <c r="I357" s="2"/>
      <c r="J357" s="19">
        <f t="shared" si="166"/>
        <v>0</v>
      </c>
      <c r="K357" s="2"/>
      <c r="L357" s="2">
        <f t="shared" si="167"/>
        <v>0</v>
      </c>
      <c r="M357" s="2"/>
      <c r="N357" s="19">
        <f t="shared" si="168"/>
        <v>0</v>
      </c>
      <c r="O357" s="11"/>
      <c r="P357" s="2">
        <f>-7889</f>
        <v>-7889</v>
      </c>
      <c r="Q357" s="2"/>
      <c r="R357" s="19">
        <f t="shared" si="169"/>
        <v>-2.7551939255048968E-4</v>
      </c>
      <c r="S357" s="2"/>
      <c r="T357" s="2"/>
      <c r="U357" s="2"/>
      <c r="V357" s="19">
        <f t="shared" si="170"/>
        <v>0</v>
      </c>
      <c r="W357" s="2"/>
      <c r="X357" s="2">
        <f t="shared" si="171"/>
        <v>-7889</v>
      </c>
      <c r="Y357" s="2"/>
      <c r="Z357" s="19">
        <f t="shared" si="172"/>
        <v>0</v>
      </c>
    </row>
    <row r="358" spans="1:26" s="24" customFormat="1" hidden="1" outlineLevel="1" x14ac:dyDescent="0.25">
      <c r="A358" s="44"/>
      <c r="B358" s="11" t="str">
        <f>CONCATENATE("          ", "5087", " - ", "PURCHASES @ COST-COMPUTER REPA")</f>
        <v xml:space="preserve">          5087 - PURCHASES @ COST-COMPUTER REPA</v>
      </c>
      <c r="C358" s="11"/>
      <c r="D358" s="2">
        <f t="shared" si="173"/>
        <v>0</v>
      </c>
      <c r="E358" s="2"/>
      <c r="F358" s="19">
        <f t="shared" si="165"/>
        <v>0</v>
      </c>
      <c r="G358" s="2"/>
      <c r="H358" s="2"/>
      <c r="I358" s="2"/>
      <c r="J358" s="19">
        <f t="shared" si="166"/>
        <v>0</v>
      </c>
      <c r="K358" s="2"/>
      <c r="L358" s="2">
        <f t="shared" si="167"/>
        <v>0</v>
      </c>
      <c r="M358" s="2"/>
      <c r="N358" s="19">
        <f t="shared" si="168"/>
        <v>0</v>
      </c>
      <c r="O358" s="11"/>
      <c r="P358" s="2">
        <f>-72.06</f>
        <v>-72.06</v>
      </c>
      <c r="Q358" s="2"/>
      <c r="R358" s="19">
        <f t="shared" si="169"/>
        <v>-2.516659580072035E-6</v>
      </c>
      <c r="S358" s="2"/>
      <c r="T358" s="2"/>
      <c r="U358" s="2"/>
      <c r="V358" s="19">
        <f t="shared" si="170"/>
        <v>0</v>
      </c>
      <c r="W358" s="2"/>
      <c r="X358" s="2">
        <f t="shared" si="171"/>
        <v>-72.06</v>
      </c>
      <c r="Y358" s="2"/>
      <c r="Z358" s="19">
        <f t="shared" si="172"/>
        <v>0</v>
      </c>
    </row>
    <row r="359" spans="1:26" s="24" customFormat="1" hidden="1" outlineLevel="1" x14ac:dyDescent="0.25">
      <c r="A359" s="44"/>
      <c r="B359" s="11" t="str">
        <f>CONCATENATE("          ", "9150", " - ", "MISC. INCOME")</f>
        <v xml:space="preserve">          9150 - MISC. INCOME</v>
      </c>
      <c r="C359" s="11"/>
      <c r="D359" s="2">
        <f>--73508.24</f>
        <v>73508.240000000005</v>
      </c>
      <c r="E359" s="2"/>
      <c r="F359" s="19">
        <f t="shared" si="165"/>
        <v>0.12575773587269795</v>
      </c>
      <c r="G359" s="2"/>
      <c r="H359" s="2">
        <v>55216</v>
      </c>
      <c r="I359" s="2"/>
      <c r="J359" s="19">
        <f t="shared" si="166"/>
        <v>3.9586862983743615E-2</v>
      </c>
      <c r="K359" s="2"/>
      <c r="L359" s="2">
        <f t="shared" si="167"/>
        <v>18292.240000000005</v>
      </c>
      <c r="M359" s="2"/>
      <c r="N359" s="19">
        <f t="shared" si="168"/>
        <v>0.3312851347435527</v>
      </c>
      <c r="O359" s="11"/>
      <c r="P359" s="2">
        <f>--889242.05</f>
        <v>889242.05</v>
      </c>
      <c r="Q359" s="2"/>
      <c r="R359" s="19">
        <f t="shared" si="169"/>
        <v>3.1056335333546986E-2</v>
      </c>
      <c r="S359" s="2"/>
      <c r="T359" s="2">
        <v>827146</v>
      </c>
      <c r="U359" s="2"/>
      <c r="V359" s="19">
        <f t="shared" si="170"/>
        <v>2.2051234787549487E-2</v>
      </c>
      <c r="W359" s="2"/>
      <c r="X359" s="2">
        <f t="shared" si="171"/>
        <v>62096.050000000047</v>
      </c>
      <c r="Y359" s="2"/>
      <c r="Z359" s="19">
        <f t="shared" si="172"/>
        <v>7.5072659482122925E-2</v>
      </c>
    </row>
    <row r="360" spans="1:26" s="24" customFormat="1" hidden="1" outlineLevel="1" x14ac:dyDescent="0.25">
      <c r="A360" s="44"/>
      <c r="B360" s="11" t="str">
        <f>CONCATENATE("          ", "9151", " - ", "MISC. INCOME")</f>
        <v xml:space="preserve">          9151 - MISC. INCOME</v>
      </c>
      <c r="C360" s="11"/>
      <c r="D360" s="2">
        <f>-18698.07</f>
        <v>-18698.07</v>
      </c>
      <c r="E360" s="2"/>
      <c r="F360" s="19">
        <f t="shared" si="165"/>
        <v>-3.1988617172567554E-2</v>
      </c>
      <c r="G360" s="2"/>
      <c r="H360" s="2">
        <v>18509</v>
      </c>
      <c r="I360" s="2"/>
      <c r="J360" s="19">
        <f t="shared" si="166"/>
        <v>1.3269944345228026E-2</v>
      </c>
      <c r="K360" s="2"/>
      <c r="L360" s="2">
        <f t="shared" si="167"/>
        <v>-37207.07</v>
      </c>
      <c r="M360" s="2"/>
      <c r="N360" s="19">
        <f t="shared" si="168"/>
        <v>-2.0102150305256901</v>
      </c>
      <c r="O360" s="11"/>
      <c r="P360" s="2">
        <f>--150694.63</f>
        <v>150694.63</v>
      </c>
      <c r="Q360" s="2"/>
      <c r="R360" s="19">
        <f t="shared" si="169"/>
        <v>5.2629348356218525E-3</v>
      </c>
      <c r="S360" s="2"/>
      <c r="T360" s="2">
        <v>471505</v>
      </c>
      <c r="U360" s="2"/>
      <c r="V360" s="19">
        <f t="shared" si="170"/>
        <v>1.2570051065354268E-2</v>
      </c>
      <c r="W360" s="2"/>
      <c r="X360" s="2">
        <f t="shared" si="171"/>
        <v>-320810.37</v>
      </c>
      <c r="Y360" s="2"/>
      <c r="Z360" s="19">
        <f t="shared" si="172"/>
        <v>-0.68039653874296135</v>
      </c>
    </row>
    <row r="361" spans="1:26" s="24" customFormat="1" hidden="1" outlineLevel="1" x14ac:dyDescent="0.25">
      <c r="A361" s="44"/>
      <c r="B361" s="11" t="str">
        <f>CONCATENATE("          ", "9152", " - ", "MISC. INCOME")</f>
        <v xml:space="preserve">          9152 - MISC. INCOME</v>
      </c>
      <c r="C361" s="11"/>
      <c r="D361" s="2">
        <f>--762.71</f>
        <v>762.71</v>
      </c>
      <c r="E361" s="2"/>
      <c r="F361" s="19">
        <f t="shared" si="165"/>
        <v>1.3048425962513244E-3</v>
      </c>
      <c r="G361" s="2"/>
      <c r="H361" s="2"/>
      <c r="I361" s="2"/>
      <c r="J361" s="19">
        <f t="shared" si="166"/>
        <v>0</v>
      </c>
      <c r="K361" s="2"/>
      <c r="L361" s="2">
        <f t="shared" si="167"/>
        <v>762.71</v>
      </c>
      <c r="M361" s="2"/>
      <c r="N361" s="19">
        <f t="shared" si="168"/>
        <v>0</v>
      </c>
      <c r="O361" s="11"/>
      <c r="P361" s="2">
        <f>--10637.6</f>
        <v>10637.6</v>
      </c>
      <c r="Q361" s="2"/>
      <c r="R361" s="19">
        <f t="shared" si="169"/>
        <v>3.7151287744899086E-4</v>
      </c>
      <c r="S361" s="2"/>
      <c r="T361" s="2"/>
      <c r="U361" s="2"/>
      <c r="V361" s="19">
        <f t="shared" si="170"/>
        <v>0</v>
      </c>
      <c r="W361" s="2"/>
      <c r="X361" s="2">
        <f t="shared" si="171"/>
        <v>10637.6</v>
      </c>
      <c r="Y361" s="2"/>
      <c r="Z361" s="19">
        <f t="shared" si="172"/>
        <v>0</v>
      </c>
    </row>
    <row r="362" spans="1:26" s="24" customFormat="1" hidden="1" outlineLevel="1" x14ac:dyDescent="0.25">
      <c r="A362" s="44"/>
      <c r="B362" s="11" t="str">
        <f>CONCATENATE("          ", "9153", " - ", "MISC. INCOME")</f>
        <v xml:space="preserve">          9153 - MISC. INCOME</v>
      </c>
      <c r="C362" s="11"/>
      <c r="D362" s="2">
        <f>0</f>
        <v>0</v>
      </c>
      <c r="E362" s="2"/>
      <c r="F362" s="19">
        <f t="shared" si="165"/>
        <v>0</v>
      </c>
      <c r="G362" s="2"/>
      <c r="H362" s="2"/>
      <c r="I362" s="2"/>
      <c r="J362" s="19">
        <f t="shared" si="166"/>
        <v>0</v>
      </c>
      <c r="K362" s="2"/>
      <c r="L362" s="2">
        <f t="shared" si="167"/>
        <v>0</v>
      </c>
      <c r="M362" s="2"/>
      <c r="N362" s="19">
        <f t="shared" si="168"/>
        <v>0</v>
      </c>
      <c r="O362" s="11"/>
      <c r="P362" s="2">
        <f>--450</f>
        <v>450</v>
      </c>
      <c r="Q362" s="2"/>
      <c r="R362" s="19">
        <f t="shared" si="169"/>
        <v>1.5716025687377403E-5</v>
      </c>
      <c r="S362" s="2"/>
      <c r="T362" s="2"/>
      <c r="U362" s="2"/>
      <c r="V362" s="19">
        <f t="shared" si="170"/>
        <v>0</v>
      </c>
      <c r="W362" s="2"/>
      <c r="X362" s="2">
        <f t="shared" si="171"/>
        <v>450</v>
      </c>
      <c r="Y362" s="2"/>
      <c r="Z362" s="19">
        <f t="shared" si="172"/>
        <v>0</v>
      </c>
    </row>
    <row r="363" spans="1:26" s="24" customFormat="1" hidden="1" outlineLevel="1" x14ac:dyDescent="0.25">
      <c r="A363" s="44"/>
      <c r="B363" s="11" t="str">
        <f>CONCATENATE("          ", "9160", " - ", "MISC. INCOME")</f>
        <v xml:space="preserve">          9160 - MISC. INCOME</v>
      </c>
      <c r="C363" s="11"/>
      <c r="D363" s="2">
        <f>--25000.02</f>
        <v>25000.02</v>
      </c>
      <c r="E363" s="2"/>
      <c r="F363" s="19">
        <f t="shared" si="165"/>
        <v>4.2769979419615627E-2</v>
      </c>
      <c r="G363" s="2"/>
      <c r="H363" s="2">
        <v>31800</v>
      </c>
      <c r="I363" s="2"/>
      <c r="J363" s="19">
        <f t="shared" si="166"/>
        <v>2.2798867047287872E-2</v>
      </c>
      <c r="K363" s="2"/>
      <c r="L363" s="2">
        <f t="shared" si="167"/>
        <v>-6799.98</v>
      </c>
      <c r="M363" s="2"/>
      <c r="N363" s="19">
        <f t="shared" si="168"/>
        <v>-0.21383584905660377</v>
      </c>
      <c r="O363" s="11"/>
      <c r="P363" s="2">
        <f>--177564.34</f>
        <v>177564.34</v>
      </c>
      <c r="Q363" s="2"/>
      <c r="R363" s="19">
        <f t="shared" si="169"/>
        <v>6.201346063560478E-3</v>
      </c>
      <c r="S363" s="2"/>
      <c r="T363" s="2">
        <v>392350</v>
      </c>
      <c r="U363" s="2"/>
      <c r="V363" s="19">
        <f t="shared" si="170"/>
        <v>1.0459824467379447E-2</v>
      </c>
      <c r="W363" s="2"/>
      <c r="X363" s="2">
        <f t="shared" si="171"/>
        <v>-214785.66</v>
      </c>
      <c r="Y363" s="2"/>
      <c r="Z363" s="19">
        <f t="shared" si="172"/>
        <v>-0.54743382184274247</v>
      </c>
    </row>
    <row r="364" spans="1:26" s="24" customFormat="1" hidden="1" outlineLevel="1" x14ac:dyDescent="0.25">
      <c r="A364" s="44"/>
      <c r="B364" s="11" t="str">
        <f>CONCATENATE("          ", "9163", " - ", "MISC. INCOME")</f>
        <v xml:space="preserve">          9163 - MISC. INCOME</v>
      </c>
      <c r="C364" s="11"/>
      <c r="D364" s="2">
        <f>0</f>
        <v>0</v>
      </c>
      <c r="E364" s="2"/>
      <c r="F364" s="19">
        <f t="shared" si="165"/>
        <v>0</v>
      </c>
      <c r="G364" s="2"/>
      <c r="H364" s="2"/>
      <c r="I364" s="2"/>
      <c r="J364" s="19">
        <f t="shared" si="166"/>
        <v>0</v>
      </c>
      <c r="K364" s="2"/>
      <c r="L364" s="2">
        <f t="shared" si="167"/>
        <v>0</v>
      </c>
      <c r="M364" s="2"/>
      <c r="N364" s="19">
        <f t="shared" si="168"/>
        <v>0</v>
      </c>
      <c r="O364" s="11"/>
      <c r="P364" s="2">
        <f>--488733.84</f>
        <v>488733.84</v>
      </c>
      <c r="Q364" s="2"/>
      <c r="R364" s="19">
        <f t="shared" si="169"/>
        <v>1.7068785741623554E-2</v>
      </c>
      <c r="S364" s="2"/>
      <c r="T364" s="2"/>
      <c r="U364" s="2"/>
      <c r="V364" s="19">
        <f t="shared" si="170"/>
        <v>0</v>
      </c>
      <c r="W364" s="2"/>
      <c r="X364" s="2">
        <f t="shared" si="171"/>
        <v>488733.84</v>
      </c>
      <c r="Y364" s="2"/>
      <c r="Z364" s="19">
        <f t="shared" si="172"/>
        <v>0</v>
      </c>
    </row>
    <row r="365" spans="1:26" s="24" customFormat="1" hidden="1" outlineLevel="1" x14ac:dyDescent="0.25">
      <c r="A365" s="44"/>
      <c r="B365" s="11" t="str">
        <f>CONCATENATE("          ", "9165", " - ", "OTHER INCOME")</f>
        <v xml:space="preserve">          9165 - OTHER INCOME</v>
      </c>
      <c r="C365" s="11"/>
      <c r="D365" s="2">
        <f>--1309.77</f>
        <v>1309.77</v>
      </c>
      <c r="E365" s="2"/>
      <c r="F365" s="19">
        <f t="shared" si="165"/>
        <v>2.2407516451758819E-3</v>
      </c>
      <c r="G365" s="2"/>
      <c r="H365" s="2"/>
      <c r="I365" s="2"/>
      <c r="J365" s="19">
        <f t="shared" si="166"/>
        <v>0</v>
      </c>
      <c r="K365" s="2"/>
      <c r="L365" s="2">
        <f t="shared" si="167"/>
        <v>1309.77</v>
      </c>
      <c r="M365" s="2"/>
      <c r="N365" s="19">
        <f t="shared" si="168"/>
        <v>0</v>
      </c>
      <c r="O365" s="11"/>
      <c r="P365" s="2">
        <f>--244434.79</f>
        <v>244434.79</v>
      </c>
      <c r="Q365" s="2"/>
      <c r="R365" s="19">
        <f t="shared" si="169"/>
        <v>8.5367631967304472E-3</v>
      </c>
      <c r="S365" s="2"/>
      <c r="T365" s="2"/>
      <c r="U365" s="2"/>
      <c r="V365" s="19">
        <f t="shared" si="170"/>
        <v>0</v>
      </c>
      <c r="W365" s="2"/>
      <c r="X365" s="2">
        <f t="shared" si="171"/>
        <v>244434.79</v>
      </c>
      <c r="Y365" s="2"/>
      <c r="Z365" s="19">
        <f t="shared" si="172"/>
        <v>0</v>
      </c>
    </row>
    <row r="366" spans="1:26" x14ac:dyDescent="0.25">
      <c r="A366" s="9"/>
      <c r="B366" s="10"/>
      <c r="C366" s="10"/>
      <c r="D366" s="3"/>
      <c r="E366" s="3"/>
      <c r="F366" s="8"/>
      <c r="G366" s="3"/>
      <c r="H366" s="3"/>
      <c r="I366" s="3"/>
      <c r="J366" s="8"/>
      <c r="K366" s="3"/>
      <c r="L366" s="3"/>
      <c r="M366" s="3"/>
      <c r="N366" s="8"/>
      <c r="O366" s="10"/>
      <c r="P366" s="3"/>
      <c r="Q366" s="3"/>
      <c r="R366" s="8"/>
      <c r="S366" s="3"/>
      <c r="T366" s="3"/>
      <c r="U366" s="3"/>
      <c r="V366" s="8"/>
      <c r="W366" s="3"/>
      <c r="X366" s="3"/>
      <c r="Y366" s="3"/>
      <c r="Z366" s="8"/>
    </row>
    <row r="367" spans="1:26" s="23" customFormat="1" x14ac:dyDescent="0.25">
      <c r="A367" s="10"/>
      <c r="B367" s="29" t="s">
        <v>3</v>
      </c>
      <c r="C367" s="29"/>
      <c r="D367" s="22">
        <f>+D206-D208+D352</f>
        <v>-610686.5900000002</v>
      </c>
      <c r="E367" s="14"/>
      <c r="F367" s="20">
        <f>IF(D$12=0,0,D367/D$12)</f>
        <v>-1.0447612796363865</v>
      </c>
      <c r="G367" s="14"/>
      <c r="H367" s="22">
        <f>+H206-H208+H352</f>
        <v>-431750.63903615403</v>
      </c>
      <c r="I367" s="14"/>
      <c r="J367" s="20">
        <f>IF(H$12=0,0,H367/H$12)</f>
        <v>-0.30954167977883185</v>
      </c>
      <c r="K367" s="15"/>
      <c r="L367" s="22">
        <f>+D367-H367</f>
        <v>-178935.95096384618</v>
      </c>
      <c r="M367" s="15"/>
      <c r="N367" s="20">
        <f>IF(H367=0,0,L367/H367)</f>
        <v>0.41444281672241462</v>
      </c>
      <c r="O367" s="28"/>
      <c r="P367" s="22">
        <f>+P206-P208+P352</f>
        <v>1834009.3899999843</v>
      </c>
      <c r="Q367" s="14"/>
      <c r="R367" s="20">
        <f>IF(P$12=0,0,P367/P$12)</f>
        <v>6.4051863742513593E-2</v>
      </c>
      <c r="S367" s="14"/>
      <c r="T367" s="22">
        <f>+T206-T208+T352</f>
        <v>5161576.1859173551</v>
      </c>
      <c r="U367" s="14"/>
      <c r="V367" s="20">
        <f>IF(T$12=0,0,T367/T$12)</f>
        <v>0.13760464095756708</v>
      </c>
      <c r="W367" s="15"/>
      <c r="X367" s="22">
        <f>+P367-T367</f>
        <v>-3327566.7959173708</v>
      </c>
      <c r="Y367" s="15"/>
      <c r="Z367" s="20">
        <f>IF(T367=0,0,X367/T367)</f>
        <v>-0.64468036042869525</v>
      </c>
    </row>
    <row r="368" spans="1:26" x14ac:dyDescent="0.25">
      <c r="A368" s="9"/>
      <c r="B368" s="10"/>
      <c r="C368" s="9"/>
      <c r="D368" s="3"/>
      <c r="E368" s="3"/>
      <c r="F368" s="8"/>
      <c r="G368" s="3"/>
      <c r="H368" s="3"/>
      <c r="I368" s="3"/>
      <c r="J368" s="8"/>
      <c r="K368" s="3"/>
      <c r="L368" s="3"/>
      <c r="M368" s="3"/>
      <c r="N368" s="8"/>
      <c r="P368" s="3"/>
      <c r="Q368" s="3"/>
      <c r="R368" s="8"/>
      <c r="S368" s="3"/>
      <c r="T368" s="3"/>
      <c r="U368" s="3"/>
      <c r="V368" s="8"/>
      <c r="W368" s="3"/>
      <c r="X368" s="3"/>
      <c r="Y368" s="3"/>
      <c r="Z368" s="8"/>
    </row>
    <row r="369" spans="1:26" s="23" customFormat="1" x14ac:dyDescent="0.25">
      <c r="A369" s="52"/>
      <c r="B369" s="10" t="s">
        <v>14</v>
      </c>
      <c r="C369" s="10"/>
      <c r="D369" s="4">
        <v>1014635.2799999999</v>
      </c>
      <c r="E369" s="4"/>
      <c r="F369" s="13">
        <f>IF(D$12=0,0,D369/D$12)</f>
        <v>1.7358358130919869</v>
      </c>
      <c r="G369" s="4"/>
      <c r="H369" s="4">
        <v>669637</v>
      </c>
      <c r="I369" s="4"/>
      <c r="J369" s="13">
        <f>IF(H$12=0,0,H369/H$12)</f>
        <v>0.48009323688505368</v>
      </c>
      <c r="K369" s="4"/>
      <c r="L369" s="4">
        <f>+D369-H369</f>
        <v>344998.27999999991</v>
      </c>
      <c r="M369" s="4"/>
      <c r="N369" s="13">
        <f>IF(H369=0,0,L369/H369)</f>
        <v>0.5152019377662822</v>
      </c>
      <c r="O369" s="10"/>
      <c r="P369" s="4">
        <v>4336174.96</v>
      </c>
      <c r="Q369" s="4"/>
      <c r="R369" s="13">
        <f>IF(P$12=0,0,P369/P$12)</f>
        <v>0.15143874901405041</v>
      </c>
      <c r="S369" s="4"/>
      <c r="T369" s="4">
        <v>4852699</v>
      </c>
      <c r="U369" s="4"/>
      <c r="V369" s="13">
        <f>IF(T$12=0,0,T369/T$12)</f>
        <v>0.12937015351861292</v>
      </c>
      <c r="W369" s="4"/>
      <c r="X369" s="4">
        <f>+P369-T369</f>
        <v>-516524.04000000004</v>
      </c>
      <c r="Y369" s="4"/>
      <c r="Z369" s="13">
        <f>IF(T369=0,0,X369/T369)</f>
        <v>-0.10644056843418478</v>
      </c>
    </row>
    <row r="370" spans="1:26" x14ac:dyDescent="0.25">
      <c r="A370" s="9"/>
      <c r="B370" s="10"/>
      <c r="C370" s="10"/>
      <c r="D370" s="3"/>
      <c r="E370" s="3"/>
      <c r="F370" s="8"/>
      <c r="G370" s="3"/>
      <c r="H370" s="3"/>
      <c r="I370" s="3"/>
      <c r="J370" s="8"/>
      <c r="K370" s="3"/>
      <c r="L370" s="3"/>
      <c r="M370" s="3"/>
      <c r="N370" s="8"/>
      <c r="O370" s="10"/>
      <c r="P370" s="3"/>
      <c r="Q370" s="3"/>
      <c r="R370" s="8"/>
      <c r="S370" s="3"/>
      <c r="T370" s="3"/>
      <c r="U370" s="3"/>
      <c r="V370" s="8"/>
      <c r="W370" s="3"/>
      <c r="X370" s="3"/>
      <c r="Y370" s="3"/>
      <c r="Z370" s="8"/>
    </row>
    <row r="371" spans="1:26" s="23" customFormat="1" ht="15.75" thickBot="1" x14ac:dyDescent="0.3">
      <c r="A371" s="10"/>
      <c r="B371" s="29" t="s">
        <v>4</v>
      </c>
      <c r="C371" s="29"/>
      <c r="D371" s="31">
        <f>+D367-D369</f>
        <v>-1625321.87</v>
      </c>
      <c r="E371" s="14"/>
      <c r="F371" s="33">
        <f>IF(D$12=0,0,D371/D$12)</f>
        <v>-2.7805970927283732</v>
      </c>
      <c r="G371" s="14"/>
      <c r="H371" s="31">
        <f>+H367-H369</f>
        <v>-1101387.6390361539</v>
      </c>
      <c r="I371" s="14"/>
      <c r="J371" s="33">
        <f>IF(H$12=0,0,H371/H$12)</f>
        <v>-0.78963491666388541</v>
      </c>
      <c r="K371" s="15"/>
      <c r="L371" s="31">
        <f>D371-H371</f>
        <v>-523934.2309638462</v>
      </c>
      <c r="M371" s="15"/>
      <c r="N371" s="33">
        <f>IF(H371=0,0,L371/H371)</f>
        <v>0.47570375079054944</v>
      </c>
      <c r="O371" s="28"/>
      <c r="P371" s="31">
        <f>+P367-P369</f>
        <v>-2502165.5700000157</v>
      </c>
      <c r="Q371" s="14"/>
      <c r="R371" s="33">
        <f>IF(P$12=0,0,P371/P$12)</f>
        <v>-8.7386885271536818E-2</v>
      </c>
      <c r="S371" s="14"/>
      <c r="T371" s="31">
        <f>+T367-T369</f>
        <v>308877.18591735512</v>
      </c>
      <c r="U371" s="14"/>
      <c r="V371" s="33">
        <f>IF(T$12=0,0,T371/T$12)</f>
        <v>8.2344874389541529E-3</v>
      </c>
      <c r="W371" s="15"/>
      <c r="X371" s="31">
        <f>P371-T371</f>
        <v>-2811042.7559173708</v>
      </c>
      <c r="Y371" s="15"/>
      <c r="Z371" s="33">
        <f>IF(T371=0,0,X371/T371)</f>
        <v>-9.1008429371974042</v>
      </c>
    </row>
    <row r="372" spans="1:26" ht="15.75" thickTop="1" x14ac:dyDescent="0.25">
      <c r="A372" s="9"/>
      <c r="B372" s="9"/>
      <c r="C372" s="9"/>
      <c r="D372" s="3"/>
      <c r="E372" s="3"/>
      <c r="F372" s="8"/>
      <c r="G372" s="3"/>
      <c r="H372" s="3"/>
      <c r="I372" s="3"/>
      <c r="J372" s="8"/>
      <c r="K372" s="3"/>
      <c r="L372" s="3"/>
      <c r="M372" s="3"/>
      <c r="N372" s="8"/>
      <c r="P372" s="3"/>
      <c r="Q372" s="3"/>
      <c r="R372" s="8"/>
      <c r="S372" s="3"/>
      <c r="T372" s="3"/>
      <c r="U372" s="3"/>
      <c r="V372" s="8"/>
      <c r="W372" s="3"/>
      <c r="X372" s="3"/>
      <c r="Y372" s="3"/>
      <c r="Z372" s="8"/>
    </row>
    <row r="373" spans="1:26" s="23" customFormat="1" x14ac:dyDescent="0.25">
      <c r="A373" s="52"/>
      <c r="B373" s="10" t="s">
        <v>2</v>
      </c>
      <c r="C373" s="10"/>
      <c r="D373" s="4">
        <f>--322360.04</f>
        <v>322360.03999999998</v>
      </c>
      <c r="E373" s="4"/>
      <c r="F373" s="13">
        <f t="shared" ref="F373:F374" si="174">IF(D$12=0,0,D373/D$12)</f>
        <v>0.55149284986597891</v>
      </c>
      <c r="G373" s="4"/>
      <c r="H373" s="4">
        <f>--25000</f>
        <v>25000</v>
      </c>
      <c r="I373" s="4"/>
      <c r="J373" s="13">
        <f t="shared" ref="J373:J374" si="175">IF(H$12=0,0,H373/H$12)</f>
        <v>1.792363761579235E-2</v>
      </c>
      <c r="K373" s="4"/>
      <c r="L373" s="4">
        <f t="shared" ref="L373:L374" si="176">+D373-H373</f>
        <v>297360.03999999998</v>
      </c>
      <c r="M373" s="4"/>
      <c r="N373" s="13">
        <f t="shared" ref="N373:N374" si="177">IF(H373=0,0,L373/H373)</f>
        <v>11.894401599999998</v>
      </c>
      <c r="O373" s="10"/>
      <c r="P373" s="4">
        <f>-36911.48</f>
        <v>-36911.480000000003</v>
      </c>
      <c r="Q373" s="4"/>
      <c r="R373" s="13">
        <f t="shared" ref="R373:R374" si="178">IF(P$12=0,0,P373/P$12)</f>
        <v>-1.2891150396424831E-3</v>
      </c>
      <c r="S373" s="4"/>
      <c r="T373" s="4">
        <f>--300000</f>
        <v>300000</v>
      </c>
      <c r="U373" s="4"/>
      <c r="V373" s="13">
        <f t="shared" ref="V373:V374" si="179">IF(T$12=0,0,T373/T$12)</f>
        <v>7.9978267878522604E-3</v>
      </c>
      <c r="W373" s="4"/>
      <c r="X373" s="4">
        <f t="shared" ref="X373:X374" si="180">+P373-T373</f>
        <v>-336911.48</v>
      </c>
      <c r="Y373" s="4"/>
      <c r="Z373" s="13">
        <f t="shared" ref="Z373:Z374" si="181">IF(T373=0,0,X373/T373)</f>
        <v>-1.1230382666666665</v>
      </c>
    </row>
    <row r="374" spans="1:26" s="23" customFormat="1" x14ac:dyDescent="0.25">
      <c r="A374" s="52"/>
      <c r="B374" s="10" t="s">
        <v>1</v>
      </c>
      <c r="C374" s="10"/>
      <c r="D374" s="4">
        <f>--56882.15</f>
        <v>56882.15</v>
      </c>
      <c r="E374" s="4"/>
      <c r="F374" s="13">
        <f t="shared" si="174"/>
        <v>9.7313857542653523E-2</v>
      </c>
      <c r="G374" s="4"/>
      <c r="H374" s="4">
        <f>--20000</f>
        <v>20000</v>
      </c>
      <c r="I374" s="4"/>
      <c r="J374" s="13">
        <f t="shared" si="175"/>
        <v>1.4338910092633881E-2</v>
      </c>
      <c r="K374" s="4"/>
      <c r="L374" s="4">
        <f t="shared" si="176"/>
        <v>36882.15</v>
      </c>
      <c r="M374" s="4"/>
      <c r="N374" s="13">
        <f t="shared" si="177"/>
        <v>1.8441075</v>
      </c>
      <c r="O374" s="10"/>
      <c r="P374" s="4">
        <f>--324468.28</f>
        <v>324468.28000000003</v>
      </c>
      <c r="Q374" s="4"/>
      <c r="R374" s="13">
        <f t="shared" si="178"/>
        <v>1.1331892940487032E-2</v>
      </c>
      <c r="S374" s="4"/>
      <c r="T374" s="4">
        <f>--280000</f>
        <v>280000</v>
      </c>
      <c r="U374" s="4"/>
      <c r="V374" s="13">
        <f t="shared" si="179"/>
        <v>7.464638335328776E-3</v>
      </c>
      <c r="W374" s="4"/>
      <c r="X374" s="4">
        <f t="shared" si="180"/>
        <v>44468.280000000028</v>
      </c>
      <c r="Y374" s="4"/>
      <c r="Z374" s="13">
        <f t="shared" si="181"/>
        <v>0.15881528571428583</v>
      </c>
    </row>
    <row r="375" spans="1:26" x14ac:dyDescent="0.25">
      <c r="A375" s="9"/>
      <c r="B375" s="9"/>
      <c r="C375" s="9"/>
      <c r="D375" s="3"/>
      <c r="E375" s="3"/>
      <c r="F375" s="8"/>
      <c r="G375" s="3"/>
      <c r="H375" s="3"/>
      <c r="I375" s="3"/>
      <c r="J375" s="8"/>
      <c r="K375" s="3"/>
      <c r="L375" s="3"/>
      <c r="M375" s="3"/>
      <c r="N375" s="8"/>
      <c r="P375" s="3"/>
      <c r="Q375" s="3"/>
      <c r="R375" s="8"/>
      <c r="S375" s="3"/>
      <c r="T375" s="3"/>
      <c r="U375" s="3"/>
      <c r="V375" s="8"/>
      <c r="W375" s="3"/>
      <c r="X375" s="3"/>
      <c r="Y375" s="3"/>
      <c r="Z375" s="8"/>
    </row>
    <row r="376" spans="1:26" s="23" customFormat="1" ht="15.75" thickBot="1" x14ac:dyDescent="0.3">
      <c r="A376" s="10"/>
      <c r="B376" s="29" t="s">
        <v>5</v>
      </c>
      <c r="C376" s="29"/>
      <c r="D376" s="34">
        <f>SUM(D371:D375)</f>
        <v>-1246079.6800000002</v>
      </c>
      <c r="E376" s="14"/>
      <c r="F376" s="35">
        <f>IF(D$12=0,0,D376/D$12)</f>
        <v>-2.1317903853197411</v>
      </c>
      <c r="G376" s="14"/>
      <c r="H376" s="34">
        <f>SUM(H371:H375)</f>
        <v>-1056387.6390361539</v>
      </c>
      <c r="I376" s="14"/>
      <c r="J376" s="35">
        <f>IF(H$12=0,0,H376/H$12)</f>
        <v>-0.75737236895545923</v>
      </c>
      <c r="K376" s="15"/>
      <c r="L376" s="34">
        <f>+D376-H376</f>
        <v>-189692.04096384626</v>
      </c>
      <c r="M376" s="15"/>
      <c r="N376" s="35">
        <f>IF(H376=0,0,L376/H376)</f>
        <v>0.1795666987706529</v>
      </c>
      <c r="O376" s="28"/>
      <c r="P376" s="34">
        <f>SUM(P371:P375)</f>
        <v>-2214608.7700000154</v>
      </c>
      <c r="Q376" s="14"/>
      <c r="R376" s="35">
        <f>IF(P$12=0,0,P376/P$12)</f>
        <v>-7.7344107370692264E-2</v>
      </c>
      <c r="S376" s="14"/>
      <c r="T376" s="34">
        <f>SUM(T371:T375)</f>
        <v>888877.18591735512</v>
      </c>
      <c r="U376" s="14"/>
      <c r="V376" s="35">
        <f>IF(T$12=0,0,T376/T$12)</f>
        <v>2.3696952562135189E-2</v>
      </c>
      <c r="W376" s="15"/>
      <c r="X376" s="34">
        <f>+P376-T376</f>
        <v>-3103485.9559173705</v>
      </c>
      <c r="Y376" s="15"/>
      <c r="Z376" s="35">
        <f>IF(T376=0,0,X376/T376)</f>
        <v>-3.4914676685221195</v>
      </c>
    </row>
    <row r="377" spans="1:26" ht="15.75" thickTop="1" x14ac:dyDescent="0.25">
      <c r="A377" s="9"/>
      <c r="C377" s="9"/>
      <c r="D377" s="17"/>
      <c r="E377" s="17"/>
      <c r="G377" s="17"/>
      <c r="H377" s="17"/>
      <c r="I377" s="17"/>
      <c r="J377" s="43"/>
      <c r="K377" s="17"/>
      <c r="L377" s="17"/>
      <c r="M377" s="17"/>
      <c r="P377" s="17"/>
      <c r="Q377" s="17"/>
      <c r="R377" s="43"/>
      <c r="S377" s="17"/>
      <c r="T377" s="17"/>
      <c r="U377" s="17"/>
      <c r="V377" s="43"/>
      <c r="W377" s="17"/>
      <c r="X377" s="17"/>
    </row>
    <row r="378" spans="1:26" x14ac:dyDescent="0.25">
      <c r="A378" s="9"/>
      <c r="B378" s="55">
        <v>44043.472766122686</v>
      </c>
      <c r="D378" s="17"/>
      <c r="E378" s="17"/>
      <c r="G378" s="17"/>
      <c r="H378" s="17"/>
      <c r="I378" s="17"/>
      <c r="J378" s="43"/>
      <c r="K378" s="17"/>
      <c r="L378" s="17"/>
      <c r="M378" s="17"/>
      <c r="P378" s="17"/>
      <c r="Q378" s="17"/>
      <c r="R378" s="43"/>
      <c r="S378" s="17"/>
      <c r="T378" s="17"/>
      <c r="U378" s="17"/>
      <c r="V378" s="43"/>
      <c r="W378" s="17"/>
      <c r="X378" s="17"/>
    </row>
    <row r="379" spans="1:26" x14ac:dyDescent="0.25">
      <c r="A379" s="9"/>
      <c r="B379" s="62" t="s">
        <v>314</v>
      </c>
      <c r="D379" s="17"/>
      <c r="E379" s="17"/>
      <c r="G379" s="17"/>
      <c r="H379" s="17"/>
      <c r="I379" s="17"/>
      <c r="J379" s="43"/>
      <c r="K379" s="17"/>
      <c r="L379" s="17"/>
      <c r="M379" s="17"/>
      <c r="P379" s="17"/>
      <c r="Q379" s="17"/>
      <c r="R379" s="43"/>
      <c r="S379" s="17"/>
      <c r="T379" s="17"/>
      <c r="U379" s="17"/>
      <c r="V379" s="43"/>
      <c r="W379" s="17"/>
      <c r="X379" s="17"/>
    </row>
    <row r="380" spans="1:26" x14ac:dyDescent="0.25">
      <c r="A380" s="9"/>
      <c r="B380" s="63"/>
      <c r="D380" s="17"/>
      <c r="E380" s="17"/>
      <c r="G380" s="17"/>
      <c r="H380" s="17"/>
      <c r="I380" s="17"/>
      <c r="J380" s="43"/>
      <c r="K380" s="17"/>
      <c r="L380" s="17"/>
      <c r="M380" s="17"/>
      <c r="P380" s="17"/>
      <c r="Q380" s="17"/>
      <c r="R380" s="43"/>
      <c r="S380" s="17"/>
      <c r="T380" s="17"/>
      <c r="U380" s="17"/>
      <c r="V380" s="43"/>
      <c r="W380" s="17"/>
      <c r="X380" s="17"/>
    </row>
    <row r="381" spans="1:26" x14ac:dyDescent="0.25">
      <c r="D381" s="17"/>
      <c r="E381" s="17"/>
      <c r="G381" s="17"/>
      <c r="H381" s="17"/>
      <c r="I381" s="17"/>
      <c r="J381" s="43"/>
      <c r="K381" s="17"/>
      <c r="L381" s="17"/>
      <c r="M381" s="17"/>
      <c r="P381" s="17"/>
      <c r="Q381" s="17"/>
      <c r="R381" s="43"/>
      <c r="S381" s="17"/>
      <c r="T381" s="17"/>
      <c r="U381" s="17"/>
      <c r="V381" s="43"/>
      <c r="W381" s="17"/>
      <c r="X381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313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301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301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302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302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298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298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311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311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","100", " - ", "Corporate")</f>
        <v>Department 100 - Corporate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60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0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0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3">
        <f>IF(D$12=0,0,D26/D$12)</f>
        <v>0</v>
      </c>
      <c r="G26" s="14"/>
      <c r="H26" s="31">
        <f>+H22-H24</f>
        <v>0</v>
      </c>
      <c r="I26" s="14"/>
      <c r="J26" s="33">
        <f>IF(H$12=0,0,H26/H$12)</f>
        <v>0</v>
      </c>
      <c r="K26" s="15"/>
      <c r="L26" s="31">
        <f>D26-H26</f>
        <v>0</v>
      </c>
      <c r="M26" s="15"/>
      <c r="N26" s="33">
        <f>IF(H26=0,0,L26/H26)</f>
        <v>0</v>
      </c>
      <c r="O26" s="28"/>
      <c r="P26" s="31">
        <f>+P22-P24</f>
        <v>0</v>
      </c>
      <c r="Q26" s="14"/>
      <c r="R26" s="33">
        <f>IF(P$12=0,0,P26/P$12)</f>
        <v>0</v>
      </c>
      <c r="S26" s="14"/>
      <c r="T26" s="31">
        <f>+T22-T24</f>
        <v>0</v>
      </c>
      <c r="U26" s="14"/>
      <c r="V26" s="33">
        <f>IF(T$12=0,0,T26/T$12)</f>
        <v>0</v>
      </c>
      <c r="W26" s="15"/>
      <c r="X26" s="31">
        <f>P26-T26</f>
        <v>0</v>
      </c>
      <c r="Y26" s="15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--322360.04</f>
        <v>322360.03999999998</v>
      </c>
      <c r="E28" s="4"/>
      <c r="F28" s="13">
        <f t="shared" ref="F28:F29" si="0">IF(D$12=0,0,D28/D$12)</f>
        <v>0</v>
      </c>
      <c r="G28" s="4"/>
      <c r="H28" s="4">
        <f>--25000</f>
        <v>25000</v>
      </c>
      <c r="I28" s="4"/>
      <c r="J28" s="13">
        <f t="shared" ref="J28:J29" si="1">IF(H$12=0,0,H28/H$12)</f>
        <v>0</v>
      </c>
      <c r="K28" s="4"/>
      <c r="L28" s="4">
        <f t="shared" ref="L28:L29" si="2">+D28-H28</f>
        <v>297360.03999999998</v>
      </c>
      <c r="M28" s="4"/>
      <c r="N28" s="13">
        <f t="shared" ref="N28:N29" si="3">IF(H28=0,0,L28/H28)</f>
        <v>11.894401599999998</v>
      </c>
      <c r="O28" s="10"/>
      <c r="P28" s="4">
        <f>-36911.48</f>
        <v>-36911.480000000003</v>
      </c>
      <c r="Q28" s="4"/>
      <c r="R28" s="13">
        <f t="shared" ref="R28:R29" si="4">IF(P$12=0,0,P28/P$12)</f>
        <v>0</v>
      </c>
      <c r="S28" s="4"/>
      <c r="T28" s="4">
        <f>--300000</f>
        <v>300000</v>
      </c>
      <c r="U28" s="4"/>
      <c r="V28" s="13">
        <f t="shared" ref="V28:V29" si="5">IF(T$12=0,0,T28/T$12)</f>
        <v>0</v>
      </c>
      <c r="W28" s="4"/>
      <c r="X28" s="4">
        <f t="shared" ref="X28:X29" si="6">+P28-T28</f>
        <v>-336911.48</v>
      </c>
      <c r="Y28" s="4"/>
      <c r="Z28" s="13">
        <f t="shared" ref="Z28:Z29" si="7">IF(T28=0,0,X28/T28)</f>
        <v>-1.1230382666666665</v>
      </c>
    </row>
    <row r="29" spans="1:26" s="23" customFormat="1" x14ac:dyDescent="0.25">
      <c r="A29" s="52"/>
      <c r="B29" s="10" t="s">
        <v>1</v>
      </c>
      <c r="C29" s="10"/>
      <c r="D29" s="4">
        <f>--56882.15</f>
        <v>56882.15</v>
      </c>
      <c r="E29" s="4"/>
      <c r="F29" s="13">
        <f t="shared" si="0"/>
        <v>0</v>
      </c>
      <c r="G29" s="4"/>
      <c r="H29" s="4">
        <f>--20000</f>
        <v>20000</v>
      </c>
      <c r="I29" s="4"/>
      <c r="J29" s="13">
        <f t="shared" si="1"/>
        <v>0</v>
      </c>
      <c r="K29" s="4"/>
      <c r="L29" s="4">
        <f t="shared" si="2"/>
        <v>36882.15</v>
      </c>
      <c r="M29" s="4"/>
      <c r="N29" s="13">
        <f t="shared" si="3"/>
        <v>1.8441075</v>
      </c>
      <c r="O29" s="10"/>
      <c r="P29" s="4">
        <f>--324468.28</f>
        <v>324468.28000000003</v>
      </c>
      <c r="Q29" s="4"/>
      <c r="R29" s="13">
        <f t="shared" si="4"/>
        <v>0</v>
      </c>
      <c r="S29" s="4"/>
      <c r="T29" s="4">
        <f>--280000</f>
        <v>280000</v>
      </c>
      <c r="U29" s="4"/>
      <c r="V29" s="13">
        <f t="shared" si="5"/>
        <v>0</v>
      </c>
      <c r="W29" s="4"/>
      <c r="X29" s="4">
        <f t="shared" si="6"/>
        <v>44468.280000000028</v>
      </c>
      <c r="Y29" s="4"/>
      <c r="Z29" s="13">
        <f t="shared" si="7"/>
        <v>0.15881528571428583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4">
        <f>SUM(D26:D30)</f>
        <v>379242.19</v>
      </c>
      <c r="E31" s="14"/>
      <c r="F31" s="35">
        <f>IF(D$12=0,0,D31/D$12)</f>
        <v>0</v>
      </c>
      <c r="G31" s="14"/>
      <c r="H31" s="34">
        <f>SUM(H26:H30)</f>
        <v>45000</v>
      </c>
      <c r="I31" s="14"/>
      <c r="J31" s="35">
        <f>IF(H$12=0,0,H31/H$12)</f>
        <v>0</v>
      </c>
      <c r="K31" s="15"/>
      <c r="L31" s="34">
        <f>+D31-H31</f>
        <v>334242.19</v>
      </c>
      <c r="M31" s="15"/>
      <c r="N31" s="35">
        <f>IF(H31=0,0,L31/H31)</f>
        <v>7.4276042222222225</v>
      </c>
      <c r="O31" s="28"/>
      <c r="P31" s="34">
        <f>SUM(P26:P30)</f>
        <v>287556.80000000005</v>
      </c>
      <c r="Q31" s="14"/>
      <c r="R31" s="35">
        <f>IF(P$12=0,0,P31/P$12)</f>
        <v>0</v>
      </c>
      <c r="S31" s="14"/>
      <c r="T31" s="34">
        <f>SUM(T26:T30)</f>
        <v>580000</v>
      </c>
      <c r="U31" s="14"/>
      <c r="V31" s="35">
        <f>IF(T$12=0,0,T31/T$12)</f>
        <v>0</v>
      </c>
      <c r="W31" s="15"/>
      <c r="X31" s="34">
        <f>+P31-T31</f>
        <v>-292443.19999999995</v>
      </c>
      <c r="Y31" s="15"/>
      <c r="Z31" s="35">
        <f>IF(T31=0,0,X31/T31)</f>
        <v>-0.50421241379310333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5">
        <v>44043.473134803244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2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3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297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5"/>
  <sheetViews>
    <sheetView tabSelected="1" zoomScale="80" workbookViewId="0">
      <pane xSplit="3" ySplit="10" topLeftCell="D14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300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3" si="0">+D12-H12</f>
        <v>0</v>
      </c>
      <c r="M12" s="4"/>
      <c r="N12" s="13">
        <f t="shared" ref="N12:N13" si="1">IF(H12=0,0,L12/H12)</f>
        <v>0</v>
      </c>
      <c r="O12" s="10"/>
      <c r="P12" s="4">
        <f>SUM(OSRRefP13x_0)</f>
        <v>0</v>
      </c>
      <c r="Q12" s="4"/>
      <c r="R12" s="13"/>
      <c r="S12" s="4"/>
      <c r="T12" s="4">
        <f>SUM(OSRRefT13x_0)</f>
        <v>200</v>
      </c>
      <c r="U12" s="4"/>
      <c r="V12" s="13"/>
      <c r="W12" s="4"/>
      <c r="X12" s="4">
        <f t="shared" ref="X12:X13" si="2">+P12-T12</f>
        <v>-200</v>
      </c>
      <c r="Y12" s="4"/>
      <c r="Z12" s="13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0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0</v>
      </c>
      <c r="E17" s="14"/>
      <c r="F17" s="20">
        <f>IF(D$12=0,0,D17/D$12)</f>
        <v>0</v>
      </c>
      <c r="G17" s="14"/>
      <c r="H17" s="22">
        <f>H12-H15</f>
        <v>0</v>
      </c>
      <c r="I17" s="14"/>
      <c r="J17" s="20">
        <f>IF(H$12=0,0,H17/H$12)</f>
        <v>0</v>
      </c>
      <c r="K17" s="15"/>
      <c r="L17" s="22">
        <f>+D17-H17</f>
        <v>0</v>
      </c>
      <c r="M17" s="15"/>
      <c r="N17" s="20">
        <f>IF(H17=0,0,L17/H17)</f>
        <v>0</v>
      </c>
      <c r="O17" s="28"/>
      <c r="P17" s="22">
        <f>P12-P15</f>
        <v>0</v>
      </c>
      <c r="Q17" s="14"/>
      <c r="R17" s="20">
        <f>IF(P$12=0,0,P17/P$12)</f>
        <v>0</v>
      </c>
      <c r="S17" s="14"/>
      <c r="T17" s="22">
        <f>T12-T15</f>
        <v>200</v>
      </c>
      <c r="U17" s="14"/>
      <c r="V17" s="20">
        <f>IF(T$12=0,0,T17/T$12)</f>
        <v>1</v>
      </c>
      <c r="W17" s="15"/>
      <c r="X17" s="22">
        <f>+P17-T17</f>
        <v>-200</v>
      </c>
      <c r="Y17" s="15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1014635.2799999997</v>
      </c>
      <c r="E19" s="21"/>
      <c r="F19" s="32">
        <f t="shared" ref="F19:F31" si="4">IF(D$12=0,0,D19/D$12)</f>
        <v>0</v>
      </c>
      <c r="G19" s="21"/>
      <c r="H19" s="21">
        <f>SUM(OSRRefH22x_0)</f>
        <v>669635.06080233119</v>
      </c>
      <c r="I19" s="21"/>
      <c r="J19" s="32">
        <f t="shared" ref="J19:J31" si="5">IF(H$12=0,0,H19/H$12)</f>
        <v>0</v>
      </c>
      <c r="K19" s="4"/>
      <c r="L19" s="21">
        <f t="shared" ref="L19:L31" si="6">+D19-H19</f>
        <v>345000.21919766848</v>
      </c>
      <c r="M19" s="4"/>
      <c r="N19" s="32">
        <f t="shared" ref="N19:N31" si="7">IF(H19=0,0,L19/H19)</f>
        <v>0.51520632564295898</v>
      </c>
      <c r="O19" s="10"/>
      <c r="P19" s="21">
        <f>SUM(OSRRefP22x_0)</f>
        <v>4336174.9600000018</v>
      </c>
      <c r="Q19" s="21"/>
      <c r="R19" s="32">
        <f t="shared" ref="R19:R31" si="8">IF(P$12=0,0,P19/P$12)</f>
        <v>0</v>
      </c>
      <c r="S19" s="21"/>
      <c r="T19" s="21">
        <f>SUM(OSRRefT22x_0)</f>
        <v>4852698.450629646</v>
      </c>
      <c r="U19" s="21"/>
      <c r="V19" s="32">
        <f t="shared" ref="V19:V31" si="9">IF(T$12=0,0,T19/T$12)</f>
        <v>24263.49225314823</v>
      </c>
      <c r="W19" s="4"/>
      <c r="X19" s="21">
        <f t="shared" ref="X19:X31" si="10">+P19-T19</f>
        <v>-516523.49062964413</v>
      </c>
      <c r="Y19" s="4"/>
      <c r="Z19" s="32">
        <f t="shared" ref="Z19:Z31" si="11">IF(T19=0,0,X19/T19)</f>
        <v>-0.10644046727499096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699219.7799999998</v>
      </c>
      <c r="E20" s="1"/>
      <c r="F20" s="5">
        <f t="shared" si="4"/>
        <v>0</v>
      </c>
      <c r="G20" s="1"/>
      <c r="H20" s="1">
        <f>SUM(OSRRefH22_0x_0)</f>
        <v>99507.234445408307</v>
      </c>
      <c r="I20" s="1"/>
      <c r="J20" s="5">
        <f t="shared" si="5"/>
        <v>0</v>
      </c>
      <c r="K20" s="1"/>
      <c r="L20" s="1">
        <f t="shared" si="6"/>
        <v>599712.54555459146</v>
      </c>
      <c r="M20" s="1"/>
      <c r="N20" s="5">
        <f t="shared" si="7"/>
        <v>6.0268235661157474</v>
      </c>
      <c r="O20" s="12"/>
      <c r="P20" s="1">
        <f>SUM(OSRRefP22_0x_0)</f>
        <v>1648724.61</v>
      </c>
      <c r="Q20" s="1"/>
      <c r="R20" s="5">
        <f t="shared" si="8"/>
        <v>0</v>
      </c>
      <c r="S20" s="1"/>
      <c r="T20" s="1">
        <f>SUM(OSRRefT22_0x_0)</f>
        <v>1220261.6731896473</v>
      </c>
      <c r="U20" s="1"/>
      <c r="V20" s="5">
        <f t="shared" si="9"/>
        <v>6101.3083659482363</v>
      </c>
      <c r="W20" s="1"/>
      <c r="X20" s="1">
        <f t="shared" si="10"/>
        <v>428462.93681035284</v>
      </c>
      <c r="Y20" s="1"/>
      <c r="Z20" s="5">
        <f t="shared" si="11"/>
        <v>0.35112381731238984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7105.59</v>
      </c>
      <c r="E21" s="2"/>
      <c r="F21" s="7">
        <f t="shared" si="4"/>
        <v>0</v>
      </c>
      <c r="G21" s="2"/>
      <c r="H21" s="6">
        <v>7787.4121327006069</v>
      </c>
      <c r="I21" s="2"/>
      <c r="J21" s="7">
        <f t="shared" si="5"/>
        <v>0</v>
      </c>
      <c r="K21" s="2"/>
      <c r="L21" s="6">
        <f t="shared" si="6"/>
        <v>-681.82213270060674</v>
      </c>
      <c r="M21" s="2"/>
      <c r="N21" s="7">
        <f t="shared" si="7"/>
        <v>-8.7554391764823256E-2</v>
      </c>
      <c r="O21" s="11"/>
      <c r="P21" s="6">
        <v>112892.49</v>
      </c>
      <c r="Q21" s="2"/>
      <c r="R21" s="7">
        <f t="shared" si="8"/>
        <v>0</v>
      </c>
      <c r="S21" s="2"/>
      <c r="T21" s="6">
        <v>124640.93479429338</v>
      </c>
      <c r="U21" s="2"/>
      <c r="V21" s="7">
        <f t="shared" si="9"/>
        <v>623.20467397146695</v>
      </c>
      <c r="W21" s="2"/>
      <c r="X21" s="6">
        <f t="shared" si="10"/>
        <v>-11748.444794293377</v>
      </c>
      <c r="Y21" s="2"/>
      <c r="Z21" s="7">
        <f t="shared" si="11"/>
        <v>-9.4258317411394066E-2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599.51</v>
      </c>
      <c r="E22" s="2"/>
      <c r="F22" s="7">
        <f t="shared" si="4"/>
        <v>0</v>
      </c>
      <c r="G22" s="2"/>
      <c r="H22" s="6">
        <v>1999.9253987876909</v>
      </c>
      <c r="I22" s="2"/>
      <c r="J22" s="7">
        <f t="shared" si="5"/>
        <v>0</v>
      </c>
      <c r="K22" s="2"/>
      <c r="L22" s="6">
        <f t="shared" si="6"/>
        <v>-1400.4153987876909</v>
      </c>
      <c r="M22" s="2"/>
      <c r="N22" s="7">
        <f t="shared" si="7"/>
        <v>-0.70023381853972688</v>
      </c>
      <c r="O22" s="11"/>
      <c r="P22" s="6">
        <v>8259.33</v>
      </c>
      <c r="Q22" s="2"/>
      <c r="R22" s="7">
        <f t="shared" si="8"/>
        <v>0</v>
      </c>
      <c r="S22" s="2"/>
      <c r="T22" s="6">
        <v>10995.210538840005</v>
      </c>
      <c r="U22" s="2"/>
      <c r="V22" s="7">
        <f t="shared" si="9"/>
        <v>54.976052694200028</v>
      </c>
      <c r="W22" s="2"/>
      <c r="X22" s="6">
        <f t="shared" si="10"/>
        <v>-2735.8805388400051</v>
      </c>
      <c r="Y22" s="2"/>
      <c r="Z22" s="7">
        <f t="shared" si="11"/>
        <v>-0.24882475230243664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22589.05</v>
      </c>
      <c r="E23" s="2"/>
      <c r="F23" s="7">
        <f t="shared" si="4"/>
        <v>0</v>
      </c>
      <c r="G23" s="2"/>
      <c r="H23" s="6">
        <v>27602.5</v>
      </c>
      <c r="I23" s="2"/>
      <c r="J23" s="7">
        <f t="shared" si="5"/>
        <v>0</v>
      </c>
      <c r="K23" s="2"/>
      <c r="L23" s="6">
        <f t="shared" si="6"/>
        <v>-5013.4500000000007</v>
      </c>
      <c r="M23" s="2"/>
      <c r="N23" s="7">
        <f t="shared" si="7"/>
        <v>-0.1816302871116747</v>
      </c>
      <c r="O23" s="11"/>
      <c r="P23" s="6">
        <v>275749.85000000003</v>
      </c>
      <c r="Q23" s="2"/>
      <c r="R23" s="7">
        <f t="shared" si="8"/>
        <v>0</v>
      </c>
      <c r="S23" s="2"/>
      <c r="T23" s="6">
        <v>329554.15384615381</v>
      </c>
      <c r="U23" s="2"/>
      <c r="V23" s="7">
        <f t="shared" si="9"/>
        <v>1647.770769230769</v>
      </c>
      <c r="W23" s="2"/>
      <c r="X23" s="6">
        <f t="shared" si="10"/>
        <v>-53804.30384615378</v>
      </c>
      <c r="Y23" s="2"/>
      <c r="Z23" s="7">
        <f t="shared" si="11"/>
        <v>-0.16326392253963612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-4238.08</v>
      </c>
      <c r="E24" s="2"/>
      <c r="F24" s="7">
        <f t="shared" si="4"/>
        <v>0</v>
      </c>
      <c r="G24" s="2"/>
      <c r="H24" s="6">
        <v>1322.85269472</v>
      </c>
      <c r="I24" s="2"/>
      <c r="J24" s="7">
        <f t="shared" si="5"/>
        <v>0</v>
      </c>
      <c r="K24" s="2"/>
      <c r="L24" s="6">
        <f t="shared" si="6"/>
        <v>-5560.9326947199997</v>
      </c>
      <c r="M24" s="2"/>
      <c r="N24" s="7">
        <f t="shared" si="7"/>
        <v>-4.2037429540838236</v>
      </c>
      <c r="O24" s="11"/>
      <c r="P24" s="6">
        <v>0</v>
      </c>
      <c r="Q24" s="2"/>
      <c r="R24" s="7">
        <f t="shared" si="8"/>
        <v>0</v>
      </c>
      <c r="S24" s="2"/>
      <c r="T24" s="6">
        <v>5723.5758907600002</v>
      </c>
      <c r="U24" s="2"/>
      <c r="V24" s="7">
        <f t="shared" si="9"/>
        <v>28.617879453800001</v>
      </c>
      <c r="W24" s="2"/>
      <c r="X24" s="6">
        <f t="shared" si="10"/>
        <v>-5723.5758907600002</v>
      </c>
      <c r="Y24" s="2"/>
      <c r="Z24" s="7">
        <f t="shared" si="11"/>
        <v>-1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830630.16999999993</v>
      </c>
      <c r="E25" s="2"/>
      <c r="F25" s="7">
        <f t="shared" si="4"/>
        <v>0</v>
      </c>
      <c r="G25" s="2"/>
      <c r="H25" s="6">
        <v>8097.1122453538474</v>
      </c>
      <c r="I25" s="2"/>
      <c r="J25" s="7">
        <f t="shared" si="5"/>
        <v>0</v>
      </c>
      <c r="K25" s="2"/>
      <c r="L25" s="6">
        <f t="shared" si="6"/>
        <v>822533.05775464606</v>
      </c>
      <c r="M25" s="2"/>
      <c r="N25" s="7">
        <f t="shared" si="7"/>
        <v>101.58350691342071</v>
      </c>
      <c r="O25" s="11"/>
      <c r="P25" s="6">
        <v>925085.05</v>
      </c>
      <c r="Q25" s="2"/>
      <c r="R25" s="7">
        <f t="shared" si="8"/>
        <v>0</v>
      </c>
      <c r="S25" s="2"/>
      <c r="T25" s="6">
        <v>105262.45918960003</v>
      </c>
      <c r="U25" s="2"/>
      <c r="V25" s="7">
        <f t="shared" si="9"/>
        <v>526.31229594800016</v>
      </c>
      <c r="W25" s="2"/>
      <c r="X25" s="6">
        <f t="shared" si="10"/>
        <v>819822.59081039997</v>
      </c>
      <c r="Y25" s="2"/>
      <c r="Z25" s="7">
        <f t="shared" si="11"/>
        <v>7.7883663095285041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>
        <v>744</v>
      </c>
      <c r="E26" s="2"/>
      <c r="F26" s="7">
        <f t="shared" si="4"/>
        <v>0</v>
      </c>
      <c r="G26" s="2"/>
      <c r="H26" s="6">
        <v>500</v>
      </c>
      <c r="I26" s="2"/>
      <c r="J26" s="7">
        <f t="shared" si="5"/>
        <v>0</v>
      </c>
      <c r="K26" s="2"/>
      <c r="L26" s="6">
        <f t="shared" si="6"/>
        <v>244</v>
      </c>
      <c r="M26" s="2"/>
      <c r="N26" s="7">
        <f t="shared" si="7"/>
        <v>0.48799999999999999</v>
      </c>
      <c r="O26" s="11"/>
      <c r="P26" s="6">
        <v>5814.88</v>
      </c>
      <c r="Q26" s="2"/>
      <c r="R26" s="7">
        <f t="shared" si="8"/>
        <v>0</v>
      </c>
      <c r="S26" s="2"/>
      <c r="T26" s="6">
        <v>6000</v>
      </c>
      <c r="U26" s="2"/>
      <c r="V26" s="7">
        <f t="shared" si="9"/>
        <v>30</v>
      </c>
      <c r="W26" s="2"/>
      <c r="X26" s="6">
        <f t="shared" si="10"/>
        <v>-185.11999999999989</v>
      </c>
      <c r="Y26" s="2"/>
      <c r="Z26" s="7">
        <f t="shared" si="11"/>
        <v>-3.0853333333333316E-2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634.21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634.21</v>
      </c>
      <c r="M27" s="2"/>
      <c r="N27" s="7">
        <f t="shared" si="7"/>
        <v>0</v>
      </c>
      <c r="O27" s="11"/>
      <c r="P27" s="6">
        <v>10118.870000000001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10118.870000000001</v>
      </c>
      <c r="Y27" s="2"/>
      <c r="Z27" s="7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6">
        <v>5486.99</v>
      </c>
      <c r="E28" s="2"/>
      <c r="F28" s="7">
        <f t="shared" si="4"/>
        <v>0</v>
      </c>
      <c r="G28" s="2"/>
      <c r="H28" s="6">
        <v>6941.3003984615407</v>
      </c>
      <c r="I28" s="2"/>
      <c r="J28" s="7">
        <f t="shared" si="5"/>
        <v>0</v>
      </c>
      <c r="K28" s="2"/>
      <c r="L28" s="6">
        <f t="shared" si="6"/>
        <v>-1454.3103984615409</v>
      </c>
      <c r="M28" s="2"/>
      <c r="N28" s="7">
        <f t="shared" si="7"/>
        <v>-0.2095155539996327</v>
      </c>
      <c r="O28" s="11"/>
      <c r="P28" s="6">
        <v>98550.01</v>
      </c>
      <c r="Q28" s="2"/>
      <c r="R28" s="7">
        <f t="shared" si="8"/>
        <v>0</v>
      </c>
      <c r="S28" s="2"/>
      <c r="T28" s="6">
        <v>89148.462380000026</v>
      </c>
      <c r="U28" s="2"/>
      <c r="V28" s="7">
        <f t="shared" si="9"/>
        <v>445.74231190000012</v>
      </c>
      <c r="W28" s="2"/>
      <c r="X28" s="6">
        <f t="shared" si="10"/>
        <v>9401.5476199999684</v>
      </c>
      <c r="Y28" s="2"/>
      <c r="Z28" s="7">
        <f t="shared" si="11"/>
        <v>0.10545944785817365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6">
        <v>4151.12</v>
      </c>
      <c r="E29" s="2"/>
      <c r="F29" s="7">
        <f t="shared" si="4"/>
        <v>0</v>
      </c>
      <c r="G29" s="2"/>
      <c r="H29" s="6">
        <v>4906.1315753846166</v>
      </c>
      <c r="I29" s="2"/>
      <c r="J29" s="7">
        <f t="shared" si="5"/>
        <v>0</v>
      </c>
      <c r="K29" s="2"/>
      <c r="L29" s="6">
        <f t="shared" si="6"/>
        <v>-755.01157538461666</v>
      </c>
      <c r="M29" s="2"/>
      <c r="N29" s="7">
        <f t="shared" si="7"/>
        <v>-0.1538914241869731</v>
      </c>
      <c r="O29" s="11"/>
      <c r="P29" s="6">
        <v>40659.72</v>
      </c>
      <c r="Q29" s="2"/>
      <c r="R29" s="7">
        <f t="shared" si="8"/>
        <v>0</v>
      </c>
      <c r="S29" s="2"/>
      <c r="T29" s="6">
        <v>63436.876550000045</v>
      </c>
      <c r="U29" s="2"/>
      <c r="V29" s="7">
        <f t="shared" si="9"/>
        <v>317.18438275000022</v>
      </c>
      <c r="W29" s="2"/>
      <c r="X29" s="6">
        <f t="shared" si="10"/>
        <v>-22777.156550000043</v>
      </c>
      <c r="Y29" s="2"/>
      <c r="Z29" s="7">
        <f t="shared" si="11"/>
        <v>-0.35905230189016973</v>
      </c>
    </row>
    <row r="30" spans="1:26" s="24" customFormat="1" hidden="1" outlineLevel="2" x14ac:dyDescent="0.25">
      <c r="A30" s="27"/>
      <c r="B30" s="11" t="str">
        <f>CONCATENATE("          ", "6120", " - ", "RETIREES HEALTH INSURANCE")</f>
        <v xml:space="preserve">          6120 - RETIREES HEALTH INSURANCE</v>
      </c>
      <c r="C30" s="11"/>
      <c r="D30" s="6">
        <v>-169010.78</v>
      </c>
      <c r="E30" s="2"/>
      <c r="F30" s="7">
        <f t="shared" si="4"/>
        <v>0</v>
      </c>
      <c r="G30" s="2"/>
      <c r="H30" s="6">
        <v>39000</v>
      </c>
      <c r="I30" s="2"/>
      <c r="J30" s="7">
        <f t="shared" si="5"/>
        <v>0</v>
      </c>
      <c r="K30" s="2"/>
      <c r="L30" s="6">
        <f t="shared" si="6"/>
        <v>-208010.78</v>
      </c>
      <c r="M30" s="2"/>
      <c r="N30" s="7">
        <f t="shared" si="7"/>
        <v>-5.3336097435897436</v>
      </c>
      <c r="O30" s="11"/>
      <c r="P30" s="6">
        <v>148985.03</v>
      </c>
      <c r="Q30" s="2"/>
      <c r="R30" s="7">
        <f t="shared" si="8"/>
        <v>0</v>
      </c>
      <c r="S30" s="2"/>
      <c r="T30" s="6">
        <v>469300</v>
      </c>
      <c r="U30" s="2"/>
      <c r="V30" s="7">
        <f t="shared" si="9"/>
        <v>2346.5</v>
      </c>
      <c r="W30" s="2"/>
      <c r="X30" s="6">
        <f t="shared" si="10"/>
        <v>-320314.96999999997</v>
      </c>
      <c r="Y30" s="2"/>
      <c r="Z30" s="7">
        <f t="shared" si="11"/>
        <v>-0.68253775836352004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528</v>
      </c>
      <c r="E31" s="2"/>
      <c r="F31" s="7">
        <f t="shared" si="4"/>
        <v>0</v>
      </c>
      <c r="G31" s="2"/>
      <c r="H31" s="6">
        <v>1350</v>
      </c>
      <c r="I31" s="2"/>
      <c r="J31" s="7">
        <f t="shared" si="5"/>
        <v>0</v>
      </c>
      <c r="K31" s="2"/>
      <c r="L31" s="6">
        <f t="shared" si="6"/>
        <v>-822</v>
      </c>
      <c r="M31" s="2"/>
      <c r="N31" s="7">
        <f t="shared" si="7"/>
        <v>-0.60888888888888892</v>
      </c>
      <c r="O31" s="11"/>
      <c r="P31" s="6">
        <v>22609.38</v>
      </c>
      <c r="Q31" s="2"/>
      <c r="R31" s="7">
        <f t="shared" si="8"/>
        <v>0</v>
      </c>
      <c r="S31" s="2"/>
      <c r="T31" s="6">
        <v>16200</v>
      </c>
      <c r="U31" s="2"/>
      <c r="V31" s="7">
        <f t="shared" si="9"/>
        <v>81</v>
      </c>
      <c r="W31" s="2"/>
      <c r="X31" s="6">
        <f t="shared" si="10"/>
        <v>6409.380000000001</v>
      </c>
      <c r="Y31" s="2"/>
      <c r="Z31" s="7">
        <f t="shared" si="11"/>
        <v>0.39564074074074079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287985.74000000005</v>
      </c>
      <c r="E32" s="1"/>
      <c r="F32" s="5">
        <f t="shared" ref="F32:F42" si="12">IF(D$12=0,0,D32/D$12)</f>
        <v>0</v>
      </c>
      <c r="G32" s="1"/>
      <c r="H32" s="1">
        <f>SUM(OSRRefH22_1x_0)</f>
        <v>498624.82635692292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-210639.08635692287</v>
      </c>
      <c r="M32" s="1"/>
      <c r="N32" s="5">
        <f t="shared" ref="N32:N42" si="15">IF(H32=0,0,L32/H32)</f>
        <v>-0.42244002950255094</v>
      </c>
      <c r="O32" s="12"/>
      <c r="P32" s="1">
        <f>SUM(OSRRefP22_1x_0)</f>
        <v>1515617.82</v>
      </c>
      <c r="Q32" s="1"/>
      <c r="R32" s="5">
        <f t="shared" ref="R32:R42" si="16">IF(P$12=0,0,P32/P$12)</f>
        <v>0</v>
      </c>
      <c r="S32" s="1"/>
      <c r="T32" s="1">
        <f>SUM(OSRRefT22_1x_0)</f>
        <v>2070159.7774399992</v>
      </c>
      <c r="U32" s="1"/>
      <c r="V32" s="5">
        <f t="shared" ref="V32:V42" si="17">IF(T$12=0,0,T32/T$12)</f>
        <v>10350.798887199995</v>
      </c>
      <c r="W32" s="1"/>
      <c r="X32" s="1">
        <f t="shared" ref="X32:X42" si="18">+P32-T32</f>
        <v>-554541.9574399991</v>
      </c>
      <c r="Y32" s="1"/>
      <c r="Z32" s="5">
        <f t="shared" ref="Z32:Z42" si="19">IF(T32=0,0,X32/T32)</f>
        <v>-0.26787398899507009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6">
        <v>24034.959999999999</v>
      </c>
      <c r="E33" s="2"/>
      <c r="F33" s="7">
        <f t="shared" si="12"/>
        <v>0</v>
      </c>
      <c r="G33" s="2"/>
      <c r="H33" s="6">
        <v>42696.154864615339</v>
      </c>
      <c r="I33" s="2"/>
      <c r="J33" s="7">
        <f t="shared" si="13"/>
        <v>0</v>
      </c>
      <c r="K33" s="2"/>
      <c r="L33" s="6">
        <f t="shared" si="14"/>
        <v>-18661.19486461534</v>
      </c>
      <c r="M33" s="2"/>
      <c r="N33" s="7">
        <f t="shared" si="15"/>
        <v>-0.43706968282712744</v>
      </c>
      <c r="O33" s="11"/>
      <c r="P33" s="6">
        <v>299345.38</v>
      </c>
      <c r="Q33" s="2"/>
      <c r="R33" s="7">
        <f t="shared" si="16"/>
        <v>0</v>
      </c>
      <c r="S33" s="2"/>
      <c r="T33" s="6">
        <v>555050.01323999953</v>
      </c>
      <c r="U33" s="2"/>
      <c r="V33" s="7">
        <f t="shared" si="17"/>
        <v>2775.2500661999975</v>
      </c>
      <c r="W33" s="2"/>
      <c r="X33" s="6">
        <f t="shared" si="18"/>
        <v>-255704.63323999953</v>
      </c>
      <c r="Y33" s="2"/>
      <c r="Z33" s="7">
        <f t="shared" si="19"/>
        <v>-0.46068755452751375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6">
        <v>37674.400000000001</v>
      </c>
      <c r="E34" s="2"/>
      <c r="F34" s="7">
        <f t="shared" si="12"/>
        <v>0</v>
      </c>
      <c r="G34" s="2"/>
      <c r="H34" s="6">
        <v>44196.157492307611</v>
      </c>
      <c r="I34" s="2"/>
      <c r="J34" s="7">
        <f t="shared" si="13"/>
        <v>0</v>
      </c>
      <c r="K34" s="2"/>
      <c r="L34" s="6">
        <f t="shared" si="14"/>
        <v>-6521.7574923076099</v>
      </c>
      <c r="M34" s="2"/>
      <c r="N34" s="7">
        <f t="shared" si="15"/>
        <v>-0.14756390289003582</v>
      </c>
      <c r="O34" s="11"/>
      <c r="P34" s="6">
        <v>561045.28</v>
      </c>
      <c r="Q34" s="2"/>
      <c r="R34" s="7">
        <f t="shared" si="16"/>
        <v>0</v>
      </c>
      <c r="S34" s="2"/>
      <c r="T34" s="6">
        <v>574550.04739999922</v>
      </c>
      <c r="U34" s="2"/>
      <c r="V34" s="7">
        <f t="shared" si="17"/>
        <v>2872.7502369999961</v>
      </c>
      <c r="W34" s="2"/>
      <c r="X34" s="6">
        <f t="shared" si="18"/>
        <v>-13504.767399999197</v>
      </c>
      <c r="Y34" s="2"/>
      <c r="Z34" s="7">
        <f t="shared" si="19"/>
        <v>-2.3504945236906816E-2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6">
        <v>18448.52</v>
      </c>
      <c r="E36" s="2"/>
      <c r="F36" s="7">
        <f t="shared" si="12"/>
        <v>0</v>
      </c>
      <c r="G36" s="2"/>
      <c r="H36" s="6">
        <v>24524.763999999999</v>
      </c>
      <c r="I36" s="2"/>
      <c r="J36" s="7">
        <f t="shared" si="13"/>
        <v>0</v>
      </c>
      <c r="K36" s="2"/>
      <c r="L36" s="6">
        <f t="shared" si="14"/>
        <v>-6076.2439999999988</v>
      </c>
      <c r="M36" s="2"/>
      <c r="N36" s="7">
        <f t="shared" si="15"/>
        <v>-0.24775952991841221</v>
      </c>
      <c r="O36" s="11"/>
      <c r="P36" s="6">
        <v>255605.09999999998</v>
      </c>
      <c r="Q36" s="2"/>
      <c r="R36" s="7">
        <f t="shared" si="16"/>
        <v>0</v>
      </c>
      <c r="S36" s="2"/>
      <c r="T36" s="6">
        <v>298258.11480000004</v>
      </c>
      <c r="U36" s="2"/>
      <c r="V36" s="7">
        <f t="shared" si="17"/>
        <v>1491.2905740000001</v>
      </c>
      <c r="W36" s="2"/>
      <c r="X36" s="6">
        <f t="shared" si="18"/>
        <v>-42653.014800000063</v>
      </c>
      <c r="Y36" s="2"/>
      <c r="Z36" s="7">
        <f t="shared" si="19"/>
        <v>-0.14300705557869386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6">
        <v>6487.71</v>
      </c>
      <c r="E37" s="2"/>
      <c r="F37" s="7">
        <f t="shared" si="12"/>
        <v>0</v>
      </c>
      <c r="G37" s="2"/>
      <c r="H37" s="6">
        <v>8990</v>
      </c>
      <c r="I37" s="2"/>
      <c r="J37" s="7">
        <f t="shared" si="13"/>
        <v>0</v>
      </c>
      <c r="K37" s="2"/>
      <c r="L37" s="6">
        <f t="shared" si="14"/>
        <v>-2502.29</v>
      </c>
      <c r="M37" s="2"/>
      <c r="N37" s="7">
        <f t="shared" si="15"/>
        <v>-0.27834149054505003</v>
      </c>
      <c r="O37" s="11"/>
      <c r="P37" s="6">
        <v>114072.61</v>
      </c>
      <c r="Q37" s="2"/>
      <c r="R37" s="7">
        <f t="shared" si="16"/>
        <v>0</v>
      </c>
      <c r="S37" s="2"/>
      <c r="T37" s="6">
        <v>97092</v>
      </c>
      <c r="U37" s="2"/>
      <c r="V37" s="7">
        <f t="shared" si="17"/>
        <v>485.46</v>
      </c>
      <c r="W37" s="2"/>
      <c r="X37" s="6">
        <f t="shared" si="18"/>
        <v>16980.61</v>
      </c>
      <c r="Y37" s="2"/>
      <c r="Z37" s="7">
        <f t="shared" si="19"/>
        <v>0.1748919581427924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2361.4299999999998</v>
      </c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2361.4299999999998</v>
      </c>
      <c r="Y38" s="2"/>
      <c r="Z38" s="7">
        <f t="shared" si="19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6">
        <v>200000</v>
      </c>
      <c r="E39" s="2"/>
      <c r="F39" s="7">
        <f t="shared" si="12"/>
        <v>0</v>
      </c>
      <c r="G39" s="2"/>
      <c r="H39" s="6">
        <v>371479.19999999995</v>
      </c>
      <c r="I39" s="2"/>
      <c r="J39" s="7">
        <f t="shared" si="13"/>
        <v>0</v>
      </c>
      <c r="K39" s="2"/>
      <c r="L39" s="6">
        <f t="shared" si="14"/>
        <v>-171479.19999999995</v>
      </c>
      <c r="M39" s="2"/>
      <c r="N39" s="7">
        <f t="shared" si="15"/>
        <v>-0.46161184798502841</v>
      </c>
      <c r="O39" s="11"/>
      <c r="P39" s="6">
        <v>262823.01</v>
      </c>
      <c r="Q39" s="2"/>
      <c r="R39" s="7">
        <f t="shared" si="16"/>
        <v>0</v>
      </c>
      <c r="S39" s="2"/>
      <c r="T39" s="6">
        <v>460423.72500000003</v>
      </c>
      <c r="U39" s="2"/>
      <c r="V39" s="7">
        <f t="shared" si="17"/>
        <v>2302.1186250000001</v>
      </c>
      <c r="W39" s="2"/>
      <c r="X39" s="6">
        <f t="shared" si="18"/>
        <v>-197600.71500000003</v>
      </c>
      <c r="Y39" s="2"/>
      <c r="Z39" s="7">
        <f t="shared" si="19"/>
        <v>-0.42917144419523562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6">
        <v>1340.15</v>
      </c>
      <c r="E40" s="2"/>
      <c r="F40" s="7">
        <f t="shared" si="12"/>
        <v>0</v>
      </c>
      <c r="G40" s="2"/>
      <c r="H40" s="6">
        <v>6738.55</v>
      </c>
      <c r="I40" s="2"/>
      <c r="J40" s="7">
        <f t="shared" si="13"/>
        <v>0</v>
      </c>
      <c r="K40" s="2"/>
      <c r="L40" s="6">
        <f t="shared" si="14"/>
        <v>-5398.4</v>
      </c>
      <c r="M40" s="2"/>
      <c r="N40" s="7">
        <f t="shared" si="15"/>
        <v>-0.80112190308003939</v>
      </c>
      <c r="O40" s="11"/>
      <c r="P40" s="6">
        <v>20365.009999999998</v>
      </c>
      <c r="Q40" s="2"/>
      <c r="R40" s="7">
        <f t="shared" si="16"/>
        <v>0</v>
      </c>
      <c r="S40" s="2"/>
      <c r="T40" s="6">
        <v>84785.877000000008</v>
      </c>
      <c r="U40" s="2"/>
      <c r="V40" s="7">
        <f t="shared" si="17"/>
        <v>423.92938500000002</v>
      </c>
      <c r="W40" s="2"/>
      <c r="X40" s="6">
        <f t="shared" si="18"/>
        <v>-64420.867000000013</v>
      </c>
      <c r="Y40" s="2"/>
      <c r="Z40" s="7">
        <f t="shared" si="19"/>
        <v>-0.75980657722040201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6" customFormat="1" outlineLevel="1" collapsed="1" x14ac:dyDescent="0.25">
      <c r="A43" s="25"/>
      <c r="B43" s="12" t="str">
        <f>CONCATENATE("     ","Advertising/Promo                                 ")</f>
        <v xml:space="preserve">     Advertising/Promo                                 </v>
      </c>
      <c r="C43" s="12"/>
      <c r="D43" s="1">
        <f>SUM(OSRRefD22_2x_0)</f>
        <v>346.42</v>
      </c>
      <c r="E43" s="1"/>
      <c r="F43" s="5">
        <f t="shared" ref="F43:F51" si="20">IF(D$12=0,0,D43/D$12)</f>
        <v>0</v>
      </c>
      <c r="G43" s="1"/>
      <c r="H43" s="1">
        <f>SUM(OSRRefH22_2x_0)</f>
        <v>260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86.420000000000016</v>
      </c>
      <c r="M43" s="1"/>
      <c r="N43" s="5">
        <f t="shared" ref="N43:N51" si="23">IF(H43=0,0,L43/H43)</f>
        <v>0.33238461538461544</v>
      </c>
      <c r="O43" s="12"/>
      <c r="P43" s="1">
        <f>SUM(OSRRefP22_2x_0)</f>
        <v>-31034.710000000003</v>
      </c>
      <c r="Q43" s="1"/>
      <c r="R43" s="5">
        <f t="shared" ref="R43:R51" si="24">IF(P$12=0,0,P43/P$12)</f>
        <v>0</v>
      </c>
      <c r="S43" s="1"/>
      <c r="T43" s="1">
        <f>SUM(OSRRefT22_2x_0)</f>
        <v>3145</v>
      </c>
      <c r="U43" s="1"/>
      <c r="V43" s="5">
        <f t="shared" ref="V43:V51" si="25">IF(T$12=0,0,T43/T$12)</f>
        <v>15.725</v>
      </c>
      <c r="W43" s="1"/>
      <c r="X43" s="1">
        <f t="shared" ref="X43:X51" si="26">+P43-T43</f>
        <v>-34179.710000000006</v>
      </c>
      <c r="Y43" s="1"/>
      <c r="Z43" s="5">
        <f t="shared" ref="Z43:Z51" si="27">IF(T43=0,0,X43/T43)</f>
        <v>-10.867952305246424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6">
        <v>346.42</v>
      </c>
      <c r="E44" s="2"/>
      <c r="F44" s="7">
        <f t="shared" si="20"/>
        <v>0</v>
      </c>
      <c r="G44" s="2"/>
      <c r="H44" s="6">
        <v>260</v>
      </c>
      <c r="I44" s="2"/>
      <c r="J44" s="7">
        <f t="shared" si="21"/>
        <v>0</v>
      </c>
      <c r="K44" s="2"/>
      <c r="L44" s="6">
        <f t="shared" si="22"/>
        <v>86.420000000000016</v>
      </c>
      <c r="M44" s="2"/>
      <c r="N44" s="7">
        <f t="shared" si="23"/>
        <v>0.33238461538461544</v>
      </c>
      <c r="O44" s="11"/>
      <c r="P44" s="6">
        <v>-31034.710000000003</v>
      </c>
      <c r="Q44" s="2"/>
      <c r="R44" s="7">
        <f t="shared" si="24"/>
        <v>0</v>
      </c>
      <c r="S44" s="2"/>
      <c r="T44" s="6">
        <v>3145</v>
      </c>
      <c r="U44" s="2"/>
      <c r="V44" s="7">
        <f t="shared" si="25"/>
        <v>15.725</v>
      </c>
      <c r="W44" s="2"/>
      <c r="X44" s="6">
        <f t="shared" si="26"/>
        <v>-34179.710000000006</v>
      </c>
      <c r="Y44" s="2"/>
      <c r="Z44" s="7">
        <f t="shared" si="27"/>
        <v>-10.867952305246424</v>
      </c>
    </row>
    <row r="45" spans="1:26" s="26" customFormat="1" outlineLevel="1" collapsed="1" x14ac:dyDescent="0.25">
      <c r="A45" s="25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SUM(OSRRefD22_3x_0)</f>
        <v>11.34</v>
      </c>
      <c r="E45" s="1"/>
      <c r="F45" s="5">
        <f t="shared" si="20"/>
        <v>0</v>
      </c>
      <c r="G45" s="1"/>
      <c r="H45" s="1">
        <f>SUM(OSRRefH22_3x_0)</f>
        <v>2000</v>
      </c>
      <c r="I45" s="1"/>
      <c r="J45" s="5">
        <f t="shared" si="21"/>
        <v>0</v>
      </c>
      <c r="K45" s="1"/>
      <c r="L45" s="1">
        <f t="shared" si="22"/>
        <v>-1988.66</v>
      </c>
      <c r="M45" s="1"/>
      <c r="N45" s="5">
        <f t="shared" si="23"/>
        <v>-0.99433000000000005</v>
      </c>
      <c r="O45" s="12"/>
      <c r="P45" s="1">
        <f>SUM(OSRRefP22_3x_0)</f>
        <v>53963.340000000004</v>
      </c>
      <c r="Q45" s="1"/>
      <c r="R45" s="5">
        <f t="shared" si="24"/>
        <v>0</v>
      </c>
      <c r="S45" s="1"/>
      <c r="T45" s="1">
        <f>SUM(OSRRefT22_3x_0)</f>
        <v>72000</v>
      </c>
      <c r="U45" s="1"/>
      <c r="V45" s="5">
        <f t="shared" si="25"/>
        <v>360</v>
      </c>
      <c r="W45" s="1"/>
      <c r="X45" s="1">
        <f t="shared" si="26"/>
        <v>-18036.659999999996</v>
      </c>
      <c r="Y45" s="1"/>
      <c r="Z45" s="5">
        <f t="shared" si="27"/>
        <v>-0.25050916666666662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11.34</v>
      </c>
      <c r="E46" s="2"/>
      <c r="F46" s="7">
        <f t="shared" si="20"/>
        <v>0</v>
      </c>
      <c r="G46" s="2"/>
      <c r="H46" s="6">
        <v>2000</v>
      </c>
      <c r="I46" s="2"/>
      <c r="J46" s="7">
        <f t="shared" si="21"/>
        <v>0</v>
      </c>
      <c r="K46" s="2"/>
      <c r="L46" s="6">
        <f t="shared" si="22"/>
        <v>-1988.66</v>
      </c>
      <c r="M46" s="2"/>
      <c r="N46" s="7">
        <f t="shared" si="23"/>
        <v>-0.99433000000000005</v>
      </c>
      <c r="O46" s="11"/>
      <c r="P46" s="6">
        <v>53963.340000000004</v>
      </c>
      <c r="Q46" s="2"/>
      <c r="R46" s="7">
        <f t="shared" si="24"/>
        <v>0</v>
      </c>
      <c r="S46" s="2"/>
      <c r="T46" s="6">
        <v>72000</v>
      </c>
      <c r="U46" s="2"/>
      <c r="V46" s="7">
        <f t="shared" si="25"/>
        <v>360</v>
      </c>
      <c r="W46" s="2"/>
      <c r="X46" s="6">
        <f t="shared" si="26"/>
        <v>-18036.659999999996</v>
      </c>
      <c r="Y46" s="2"/>
      <c r="Z46" s="7">
        <f t="shared" si="27"/>
        <v>-0.25050916666666662</v>
      </c>
    </row>
    <row r="47" spans="1:26" s="26" customFormat="1" outlineLevel="1" collapsed="1" x14ac:dyDescent="0.25">
      <c r="A47" s="25"/>
      <c r="B47" s="12" t="str">
        <f>CONCATENATE("     ","Board                                             ")</f>
        <v xml:space="preserve">     Board                                             </v>
      </c>
      <c r="C47" s="12"/>
      <c r="D47" s="1">
        <f>SUM(OSRRefD22_4x_0)</f>
        <v>1452.6</v>
      </c>
      <c r="E47" s="1"/>
      <c r="F47" s="5">
        <f t="shared" si="20"/>
        <v>0</v>
      </c>
      <c r="G47" s="1"/>
      <c r="H47" s="1">
        <f>SUM(OSRRefH22_4x_0)</f>
        <v>2000</v>
      </c>
      <c r="I47" s="1"/>
      <c r="J47" s="5">
        <f t="shared" si="21"/>
        <v>0</v>
      </c>
      <c r="K47" s="1"/>
      <c r="L47" s="1">
        <f t="shared" si="22"/>
        <v>-547.40000000000009</v>
      </c>
      <c r="M47" s="1"/>
      <c r="N47" s="5">
        <f t="shared" si="23"/>
        <v>-0.27370000000000005</v>
      </c>
      <c r="O47" s="12"/>
      <c r="P47" s="1">
        <f>SUM(OSRRefP22_4x_0)</f>
        <v>42435.310000000005</v>
      </c>
      <c r="Q47" s="1"/>
      <c r="R47" s="5">
        <f t="shared" si="24"/>
        <v>0</v>
      </c>
      <c r="S47" s="1"/>
      <c r="T47" s="1">
        <f>SUM(OSRRefT22_4x_0)</f>
        <v>56200</v>
      </c>
      <c r="U47" s="1"/>
      <c r="V47" s="5">
        <f t="shared" si="25"/>
        <v>281</v>
      </c>
      <c r="W47" s="1"/>
      <c r="X47" s="1">
        <f t="shared" si="26"/>
        <v>-13764.689999999995</v>
      </c>
      <c r="Y47" s="1"/>
      <c r="Z47" s="5">
        <f t="shared" si="27"/>
        <v>-0.24492330960854083</v>
      </c>
    </row>
    <row r="48" spans="1:26" s="24" customFormat="1" hidden="1" outlineLevel="2" x14ac:dyDescent="0.25">
      <c r="A48" s="27"/>
      <c r="B48" s="11" t="str">
        <f>CONCATENATE("          ", "6397", " - ", "BOARD EXPENSES")</f>
        <v xml:space="preserve">          6397 - BOARD EXPENSES</v>
      </c>
      <c r="C48" s="11"/>
      <c r="D48" s="6">
        <v>1452.6</v>
      </c>
      <c r="E48" s="2"/>
      <c r="F48" s="7">
        <f t="shared" si="20"/>
        <v>0</v>
      </c>
      <c r="G48" s="2"/>
      <c r="H48" s="6">
        <v>2000</v>
      </c>
      <c r="I48" s="2"/>
      <c r="J48" s="7">
        <f t="shared" si="21"/>
        <v>0</v>
      </c>
      <c r="K48" s="2"/>
      <c r="L48" s="6">
        <f t="shared" si="22"/>
        <v>-547.40000000000009</v>
      </c>
      <c r="M48" s="2"/>
      <c r="N48" s="7">
        <f t="shared" si="23"/>
        <v>-0.27370000000000005</v>
      </c>
      <c r="O48" s="11"/>
      <c r="P48" s="6">
        <v>42435.310000000005</v>
      </c>
      <c r="Q48" s="2"/>
      <c r="R48" s="7">
        <f t="shared" si="24"/>
        <v>0</v>
      </c>
      <c r="S48" s="2"/>
      <c r="T48" s="6">
        <v>56200</v>
      </c>
      <c r="U48" s="2"/>
      <c r="V48" s="7">
        <f t="shared" si="25"/>
        <v>281</v>
      </c>
      <c r="W48" s="2"/>
      <c r="X48" s="6">
        <f t="shared" si="26"/>
        <v>-13764.689999999995</v>
      </c>
      <c r="Y48" s="2"/>
      <c r="Z48" s="7">
        <f t="shared" si="27"/>
        <v>-0.24492330960854083</v>
      </c>
    </row>
    <row r="49" spans="1:26" s="26" customFormat="1" outlineLevel="1" collapsed="1" x14ac:dyDescent="0.25">
      <c r="A49" s="25"/>
      <c r="B49" s="12" t="str">
        <f>CONCATENATE("     ","Depreciation                                      ")</f>
        <v xml:space="preserve">     Depreciation                                      </v>
      </c>
      <c r="C49" s="12"/>
      <c r="D49" s="1">
        <f>SUM(OSRRefD22_5x_0)</f>
        <v>7606.97</v>
      </c>
      <c r="E49" s="1"/>
      <c r="F49" s="5">
        <f t="shared" si="20"/>
        <v>0</v>
      </c>
      <c r="G49" s="1"/>
      <c r="H49" s="1">
        <f>SUM(OSRRefH22_5x_0)</f>
        <v>8893</v>
      </c>
      <c r="I49" s="1"/>
      <c r="J49" s="5">
        <f t="shared" si="21"/>
        <v>0</v>
      </c>
      <c r="K49" s="1"/>
      <c r="L49" s="1">
        <f t="shared" si="22"/>
        <v>-1286.0299999999997</v>
      </c>
      <c r="M49" s="1"/>
      <c r="N49" s="5">
        <f t="shared" si="23"/>
        <v>-0.14461149218486447</v>
      </c>
      <c r="O49" s="12"/>
      <c r="P49" s="1">
        <f>SUM(OSRRefP22_5x_0)</f>
        <v>100576.16</v>
      </c>
      <c r="Q49" s="1"/>
      <c r="R49" s="5">
        <f t="shared" si="24"/>
        <v>0</v>
      </c>
      <c r="S49" s="1"/>
      <c r="T49" s="1">
        <f>SUM(OSRRefT22_5x_0)</f>
        <v>105099</v>
      </c>
      <c r="U49" s="1"/>
      <c r="V49" s="5">
        <f t="shared" si="25"/>
        <v>525.495</v>
      </c>
      <c r="W49" s="1"/>
      <c r="X49" s="1">
        <f t="shared" si="26"/>
        <v>-4522.8399999999965</v>
      </c>
      <c r="Y49" s="1"/>
      <c r="Z49" s="5">
        <f t="shared" si="27"/>
        <v>-4.3034091665953018E-2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7606.97</v>
      </c>
      <c r="E50" s="2"/>
      <c r="F50" s="7">
        <f t="shared" si="20"/>
        <v>0</v>
      </c>
      <c r="G50" s="2"/>
      <c r="H50" s="6">
        <v>8593</v>
      </c>
      <c r="I50" s="2"/>
      <c r="J50" s="7">
        <f t="shared" si="21"/>
        <v>0</v>
      </c>
      <c r="K50" s="2"/>
      <c r="L50" s="6">
        <f t="shared" si="22"/>
        <v>-986.02999999999975</v>
      </c>
      <c r="M50" s="2"/>
      <c r="N50" s="7">
        <f t="shared" si="23"/>
        <v>-0.11474805073897355</v>
      </c>
      <c r="O50" s="11"/>
      <c r="P50" s="6">
        <v>100576.16</v>
      </c>
      <c r="Q50" s="2"/>
      <c r="R50" s="7">
        <f t="shared" si="24"/>
        <v>0</v>
      </c>
      <c r="S50" s="2"/>
      <c r="T50" s="6">
        <v>103116</v>
      </c>
      <c r="U50" s="2"/>
      <c r="V50" s="7">
        <f t="shared" si="25"/>
        <v>515.58000000000004</v>
      </c>
      <c r="W50" s="2"/>
      <c r="X50" s="6">
        <f t="shared" si="26"/>
        <v>-2539.8399999999965</v>
      </c>
      <c r="Y50" s="2"/>
      <c r="Z50" s="7">
        <f t="shared" si="27"/>
        <v>-2.4630901121067503E-2</v>
      </c>
    </row>
    <row r="51" spans="1:26" s="24" customFormat="1" hidden="1" outlineLevel="2" x14ac:dyDescent="0.25">
      <c r="A51" s="27"/>
      <c r="B51" s="11" t="str">
        <f>CONCATENATE("          ", "6324", " - ", "FURNITURE + FIXT DEPRECIATION")</f>
        <v xml:space="preserve">          6324 - FURNITURE + FIXT DEPRECIATION</v>
      </c>
      <c r="C51" s="11"/>
      <c r="D51" s="6"/>
      <c r="E51" s="2"/>
      <c r="F51" s="7">
        <f t="shared" si="20"/>
        <v>0</v>
      </c>
      <c r="G51" s="2"/>
      <c r="H51" s="6">
        <v>300</v>
      </c>
      <c r="I51" s="2"/>
      <c r="J51" s="7">
        <f t="shared" si="21"/>
        <v>0</v>
      </c>
      <c r="K51" s="2"/>
      <c r="L51" s="6">
        <f t="shared" si="22"/>
        <v>-300</v>
      </c>
      <c r="M51" s="2"/>
      <c r="N51" s="7">
        <f t="shared" si="23"/>
        <v>-1</v>
      </c>
      <c r="O51" s="11"/>
      <c r="P51" s="6"/>
      <c r="Q51" s="2"/>
      <c r="R51" s="7">
        <f t="shared" si="24"/>
        <v>0</v>
      </c>
      <c r="S51" s="2"/>
      <c r="T51" s="6">
        <v>1983</v>
      </c>
      <c r="U51" s="2"/>
      <c r="V51" s="7">
        <f t="shared" si="25"/>
        <v>9.9149999999999991</v>
      </c>
      <c r="W51" s="2"/>
      <c r="X51" s="6">
        <f t="shared" si="26"/>
        <v>-1983</v>
      </c>
      <c r="Y51" s="2"/>
      <c r="Z51" s="7">
        <f t="shared" si="27"/>
        <v>-1</v>
      </c>
    </row>
    <row r="52" spans="1:26" s="26" customFormat="1" outlineLevel="1" collapsed="1" x14ac:dyDescent="0.25">
      <c r="A52" s="25"/>
      <c r="B52" s="12" t="str">
        <f>CONCATENATE("     ","Donations                                         ")</f>
        <v xml:space="preserve">     Donations                                         </v>
      </c>
      <c r="C52" s="12"/>
      <c r="D52" s="1">
        <f>SUM(OSRRefD22_6x_0)</f>
        <v>-787</v>
      </c>
      <c r="E52" s="1"/>
      <c r="F52" s="5">
        <f t="shared" ref="F52:F54" si="28">IF(D$12=0,0,D52/D$12)</f>
        <v>0</v>
      </c>
      <c r="G52" s="1"/>
      <c r="H52" s="1">
        <f>SUM(OSRRefH22_6x_0)</f>
        <v>8500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-9287</v>
      </c>
      <c r="M52" s="1"/>
      <c r="N52" s="5">
        <f t="shared" ref="N52:N54" si="31">IF(H52=0,0,L52/H52)</f>
        <v>-1.0925882352941176</v>
      </c>
      <c r="O52" s="12"/>
      <c r="P52" s="1">
        <f>SUM(OSRRefP22_6x_0)</f>
        <v>247986.19000000003</v>
      </c>
      <c r="Q52" s="1"/>
      <c r="R52" s="5">
        <f t="shared" ref="R52:R54" si="32">IF(P$12=0,0,P52/P$12)</f>
        <v>0</v>
      </c>
      <c r="S52" s="1"/>
      <c r="T52" s="1">
        <f>SUM(OSRRefT22_6x_0)</f>
        <v>513190.00000000006</v>
      </c>
      <c r="U52" s="1"/>
      <c r="V52" s="5">
        <f t="shared" ref="V52:V54" si="33">IF(T$12=0,0,T52/T$12)</f>
        <v>2565.9500000000003</v>
      </c>
      <c r="W52" s="1"/>
      <c r="X52" s="1">
        <f t="shared" ref="X52:X54" si="34">+P52-T52</f>
        <v>-265203.81000000006</v>
      </c>
      <c r="Y52" s="1"/>
      <c r="Z52" s="5">
        <f t="shared" ref="Z52:Z54" si="35">IF(T52=0,0,X52/T52)</f>
        <v>-0.51677509304546076</v>
      </c>
    </row>
    <row r="53" spans="1:26" s="24" customFormat="1" hidden="1" outlineLevel="2" x14ac:dyDescent="0.25">
      <c r="A53" s="27"/>
      <c r="B53" s="11" t="str">
        <f>CONCATENATE("          ", "6395", " - ", "DONATION-OFF CAMPUS")</f>
        <v xml:space="preserve">          6395 - DONATION-OFF CAMPUS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/>
      <c r="Q53" s="2"/>
      <c r="R53" s="7">
        <f t="shared" si="32"/>
        <v>0</v>
      </c>
      <c r="S53" s="2"/>
      <c r="T53" s="6">
        <v>2300</v>
      </c>
      <c r="U53" s="2"/>
      <c r="V53" s="7">
        <f t="shared" si="33"/>
        <v>11.5</v>
      </c>
      <c r="W53" s="2"/>
      <c r="X53" s="6">
        <f t="shared" si="34"/>
        <v>-2300</v>
      </c>
      <c r="Y53" s="2"/>
      <c r="Z53" s="7">
        <f t="shared" si="35"/>
        <v>-1</v>
      </c>
    </row>
    <row r="54" spans="1:26" s="24" customFormat="1" hidden="1" outlineLevel="2" x14ac:dyDescent="0.25">
      <c r="A54" s="27"/>
      <c r="B54" s="11" t="str">
        <f>CONCATENATE("          ", "6399", " - ", "DONATION-ON CAMPUS")</f>
        <v xml:space="preserve">          6399 - DONATION-ON CAMPUS</v>
      </c>
      <c r="C54" s="11"/>
      <c r="D54" s="6">
        <v>-787</v>
      </c>
      <c r="E54" s="2"/>
      <c r="F54" s="7">
        <f t="shared" si="28"/>
        <v>0</v>
      </c>
      <c r="G54" s="2"/>
      <c r="H54" s="6">
        <v>8500</v>
      </c>
      <c r="I54" s="2"/>
      <c r="J54" s="7">
        <f t="shared" si="29"/>
        <v>0</v>
      </c>
      <c r="K54" s="2"/>
      <c r="L54" s="6">
        <f t="shared" si="30"/>
        <v>-9287</v>
      </c>
      <c r="M54" s="2"/>
      <c r="N54" s="7">
        <f t="shared" si="31"/>
        <v>-1.0925882352941176</v>
      </c>
      <c r="O54" s="11"/>
      <c r="P54" s="6">
        <v>247986.19000000003</v>
      </c>
      <c r="Q54" s="2"/>
      <c r="R54" s="7">
        <f t="shared" si="32"/>
        <v>0</v>
      </c>
      <c r="S54" s="2"/>
      <c r="T54" s="6">
        <v>510890.00000000006</v>
      </c>
      <c r="U54" s="2"/>
      <c r="V54" s="7">
        <f t="shared" si="33"/>
        <v>2554.4500000000003</v>
      </c>
      <c r="W54" s="2"/>
      <c r="X54" s="6">
        <f t="shared" si="34"/>
        <v>-262903.81000000006</v>
      </c>
      <c r="Y54" s="2"/>
      <c r="Z54" s="7">
        <f t="shared" si="35"/>
        <v>-0.51459963984419355</v>
      </c>
    </row>
    <row r="55" spans="1:26" s="26" customFormat="1" outlineLevel="1" collapsed="1" x14ac:dyDescent="0.25">
      <c r="A55" s="25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SUM(OSRRefD22_7x_0)</f>
        <v>0</v>
      </c>
      <c r="E55" s="1"/>
      <c r="F55" s="5">
        <f t="shared" ref="F55:F68" si="36">IF(D$12=0,0,D55/D$12)</f>
        <v>0</v>
      </c>
      <c r="G55" s="1"/>
      <c r="H55" s="1">
        <f>SUM(OSRRefH22_7x_0)</f>
        <v>1408</v>
      </c>
      <c r="I55" s="1"/>
      <c r="J55" s="5">
        <f t="shared" ref="J55:J68" si="37">IF(H$12=0,0,H55/H$12)</f>
        <v>0</v>
      </c>
      <c r="K55" s="1"/>
      <c r="L55" s="1">
        <f t="shared" ref="L55:L68" si="38">+D55-H55</f>
        <v>-1408</v>
      </c>
      <c r="M55" s="1"/>
      <c r="N55" s="5">
        <f t="shared" ref="N55:N68" si="39">IF(H55=0,0,L55/H55)</f>
        <v>-1</v>
      </c>
      <c r="O55" s="12"/>
      <c r="P55" s="1">
        <f>SUM(OSRRefP22_7x_0)</f>
        <v>29556.05</v>
      </c>
      <c r="Q55" s="1"/>
      <c r="R55" s="5">
        <f t="shared" ref="R55:R68" si="40">IF(P$12=0,0,P55/P$12)</f>
        <v>0</v>
      </c>
      <c r="S55" s="1"/>
      <c r="T55" s="1">
        <f>SUM(OSRRefT22_7x_0)</f>
        <v>53896</v>
      </c>
      <c r="U55" s="1"/>
      <c r="V55" s="5">
        <f t="shared" ref="V55:V68" si="41">IF(T$12=0,0,T55/T$12)</f>
        <v>269.48</v>
      </c>
      <c r="W55" s="1"/>
      <c r="X55" s="1">
        <f t="shared" ref="X55:X68" si="42">+P55-T55</f>
        <v>-24339.95</v>
      </c>
      <c r="Y55" s="1"/>
      <c r="Z55" s="5">
        <f t="shared" ref="Z55:Z68" si="43">IF(T55=0,0,X55/T55)</f>
        <v>-0.45160958141606056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1408</v>
      </c>
      <c r="I56" s="2"/>
      <c r="J56" s="7">
        <f t="shared" si="37"/>
        <v>0</v>
      </c>
      <c r="K56" s="2"/>
      <c r="L56" s="6">
        <f t="shared" si="38"/>
        <v>-1408</v>
      </c>
      <c r="M56" s="2"/>
      <c r="N56" s="7">
        <f t="shared" si="39"/>
        <v>-1</v>
      </c>
      <c r="O56" s="11"/>
      <c r="P56" s="6">
        <v>29556.05</v>
      </c>
      <c r="Q56" s="2"/>
      <c r="R56" s="7">
        <f t="shared" si="40"/>
        <v>0</v>
      </c>
      <c r="S56" s="2"/>
      <c r="T56" s="6">
        <v>53896</v>
      </c>
      <c r="U56" s="2"/>
      <c r="V56" s="7">
        <f t="shared" si="41"/>
        <v>269.48</v>
      </c>
      <c r="W56" s="2"/>
      <c r="X56" s="6">
        <f t="shared" si="42"/>
        <v>-24339.95</v>
      </c>
      <c r="Y56" s="2"/>
      <c r="Z56" s="7">
        <f t="shared" si="43"/>
        <v>-0.45160958141606056</v>
      </c>
    </row>
    <row r="57" spans="1:26" s="26" customFormat="1" outlineLevel="1" collapsed="1" x14ac:dyDescent="0.25">
      <c r="A57" s="25"/>
      <c r="B57" s="12" t="str">
        <f>CONCATENATE("     ","Equipment Rental                                  ")</f>
        <v xml:space="preserve">     Equipment Rental                                  </v>
      </c>
      <c r="C57" s="12"/>
      <c r="D57" s="1">
        <f>SUM(OSRRefD22_8x_0)</f>
        <v>208.98</v>
      </c>
      <c r="E57" s="1"/>
      <c r="F57" s="5">
        <f t="shared" si="36"/>
        <v>0</v>
      </c>
      <c r="G57" s="1"/>
      <c r="H57" s="1">
        <f>SUM(OSRRefH22_8x_0)</f>
        <v>299</v>
      </c>
      <c r="I57" s="1"/>
      <c r="J57" s="5">
        <f t="shared" si="37"/>
        <v>0</v>
      </c>
      <c r="K57" s="1"/>
      <c r="L57" s="1">
        <f t="shared" si="38"/>
        <v>-90.02000000000001</v>
      </c>
      <c r="M57" s="1"/>
      <c r="N57" s="5">
        <f t="shared" si="39"/>
        <v>-0.30107023411371242</v>
      </c>
      <c r="O57" s="12"/>
      <c r="P57" s="1">
        <f>SUM(OSRRefP22_8x_0)</f>
        <v>2781.54</v>
      </c>
      <c r="Q57" s="1"/>
      <c r="R57" s="5">
        <f t="shared" si="40"/>
        <v>0</v>
      </c>
      <c r="S57" s="1"/>
      <c r="T57" s="1">
        <f>SUM(OSRRefT22_8x_0)</f>
        <v>3498</v>
      </c>
      <c r="U57" s="1"/>
      <c r="V57" s="5">
        <f t="shared" si="41"/>
        <v>17.489999999999998</v>
      </c>
      <c r="W57" s="1"/>
      <c r="X57" s="1">
        <f t="shared" si="42"/>
        <v>-716.46</v>
      </c>
      <c r="Y57" s="1"/>
      <c r="Z57" s="5">
        <f t="shared" si="43"/>
        <v>-0.20481989708404805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6">
        <v>208.98</v>
      </c>
      <c r="E58" s="2"/>
      <c r="F58" s="7">
        <f t="shared" si="36"/>
        <v>0</v>
      </c>
      <c r="G58" s="2"/>
      <c r="H58" s="6">
        <v>299</v>
      </c>
      <c r="I58" s="2"/>
      <c r="J58" s="7">
        <f t="shared" si="37"/>
        <v>0</v>
      </c>
      <c r="K58" s="2"/>
      <c r="L58" s="6">
        <f t="shared" si="38"/>
        <v>-90.02000000000001</v>
      </c>
      <c r="M58" s="2"/>
      <c r="N58" s="7">
        <f t="shared" si="39"/>
        <v>-0.30107023411371242</v>
      </c>
      <c r="O58" s="11"/>
      <c r="P58" s="6">
        <v>2781.54</v>
      </c>
      <c r="Q58" s="2"/>
      <c r="R58" s="7">
        <f t="shared" si="40"/>
        <v>0</v>
      </c>
      <c r="S58" s="2"/>
      <c r="T58" s="6">
        <v>3498</v>
      </c>
      <c r="U58" s="2"/>
      <c r="V58" s="7">
        <f t="shared" si="41"/>
        <v>17.489999999999998</v>
      </c>
      <c r="W58" s="2"/>
      <c r="X58" s="6">
        <f t="shared" si="42"/>
        <v>-716.46</v>
      </c>
      <c r="Y58" s="2"/>
      <c r="Z58" s="7">
        <f t="shared" si="43"/>
        <v>-0.20481989708404805</v>
      </c>
    </row>
    <row r="59" spans="1:26" s="26" customFormat="1" outlineLevel="1" collapsed="1" x14ac:dyDescent="0.25">
      <c r="A59" s="25"/>
      <c r="B59" s="12" t="str">
        <f>CONCATENATE("     ","Freight out/Postage                               ")</f>
        <v xml:space="preserve">     Freight out/Postage                               </v>
      </c>
      <c r="C59" s="12"/>
      <c r="D59" s="1">
        <f>SUM(OSRRefD22_9x_0)</f>
        <v>46.3</v>
      </c>
      <c r="E59" s="1"/>
      <c r="F59" s="5">
        <f t="shared" si="36"/>
        <v>0</v>
      </c>
      <c r="G59" s="1"/>
      <c r="H59" s="1">
        <f>SUM(OSRRefH22_9x_0)</f>
        <v>245</v>
      </c>
      <c r="I59" s="1"/>
      <c r="J59" s="5">
        <f t="shared" si="37"/>
        <v>0</v>
      </c>
      <c r="K59" s="1"/>
      <c r="L59" s="1">
        <f t="shared" si="38"/>
        <v>-198.7</v>
      </c>
      <c r="M59" s="1"/>
      <c r="N59" s="5">
        <f t="shared" si="39"/>
        <v>-0.81102040816326526</v>
      </c>
      <c r="O59" s="12"/>
      <c r="P59" s="1">
        <f>SUM(OSRRefP22_9x_0)</f>
        <v>2658.96</v>
      </c>
      <c r="Q59" s="1"/>
      <c r="R59" s="5">
        <f t="shared" si="40"/>
        <v>0</v>
      </c>
      <c r="S59" s="1"/>
      <c r="T59" s="1">
        <f>SUM(OSRRefT22_9x_0)</f>
        <v>2845</v>
      </c>
      <c r="U59" s="1"/>
      <c r="V59" s="5">
        <f t="shared" si="41"/>
        <v>14.225</v>
      </c>
      <c r="W59" s="1"/>
      <c r="X59" s="1">
        <f t="shared" si="42"/>
        <v>-186.03999999999996</v>
      </c>
      <c r="Y59" s="1"/>
      <c r="Z59" s="5">
        <f t="shared" si="43"/>
        <v>-6.5391915641476256E-2</v>
      </c>
    </row>
    <row r="60" spans="1:26" s="24" customFormat="1" hidden="1" outlineLevel="2" x14ac:dyDescent="0.25">
      <c r="A60" s="27"/>
      <c r="B60" s="11" t="str">
        <f>CONCATENATE("          ", "6307", " - ", "POSTAGE")</f>
        <v xml:space="preserve">          6307 - POSTAGE</v>
      </c>
      <c r="C60" s="11"/>
      <c r="D60" s="6">
        <v>46.3</v>
      </c>
      <c r="E60" s="2"/>
      <c r="F60" s="7">
        <f t="shared" si="36"/>
        <v>0</v>
      </c>
      <c r="G60" s="2"/>
      <c r="H60" s="6">
        <v>245</v>
      </c>
      <c r="I60" s="2"/>
      <c r="J60" s="7">
        <f t="shared" si="37"/>
        <v>0</v>
      </c>
      <c r="K60" s="2"/>
      <c r="L60" s="6">
        <f t="shared" si="38"/>
        <v>-198.7</v>
      </c>
      <c r="M60" s="2"/>
      <c r="N60" s="7">
        <f t="shared" si="39"/>
        <v>-0.81102040816326526</v>
      </c>
      <c r="O60" s="11"/>
      <c r="P60" s="6">
        <v>2658.96</v>
      </c>
      <c r="Q60" s="2"/>
      <c r="R60" s="7">
        <f t="shared" si="40"/>
        <v>0</v>
      </c>
      <c r="S60" s="2"/>
      <c r="T60" s="6">
        <v>2845</v>
      </c>
      <c r="U60" s="2"/>
      <c r="V60" s="7">
        <f t="shared" si="41"/>
        <v>14.225</v>
      </c>
      <c r="W60" s="2"/>
      <c r="X60" s="6">
        <f t="shared" si="42"/>
        <v>-186.03999999999996</v>
      </c>
      <c r="Y60" s="2"/>
      <c r="Z60" s="7">
        <f t="shared" si="43"/>
        <v>-6.5391915641476256E-2</v>
      </c>
    </row>
    <row r="61" spans="1:26" s="26" customFormat="1" outlineLevel="1" collapsed="1" x14ac:dyDescent="0.25">
      <c r="A61" s="25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SUM(OSRRefD22_10x_0)</f>
        <v>-276.68</v>
      </c>
      <c r="E61" s="1"/>
      <c r="F61" s="5">
        <f t="shared" si="36"/>
        <v>0</v>
      </c>
      <c r="G61" s="1"/>
      <c r="H61" s="1">
        <f>SUM(OSRRefH22_10x_0)</f>
        <v>2415</v>
      </c>
      <c r="I61" s="1"/>
      <c r="J61" s="5">
        <f t="shared" si="37"/>
        <v>0</v>
      </c>
      <c r="K61" s="1"/>
      <c r="L61" s="1">
        <f t="shared" si="38"/>
        <v>-2691.68</v>
      </c>
      <c r="M61" s="1"/>
      <c r="N61" s="5">
        <f t="shared" si="39"/>
        <v>-1.1145672877846791</v>
      </c>
      <c r="O61" s="12"/>
      <c r="P61" s="1">
        <f>SUM(OSRRefP22_10x_0)</f>
        <v>14318.01</v>
      </c>
      <c r="Q61" s="1"/>
      <c r="R61" s="5">
        <f t="shared" si="40"/>
        <v>0</v>
      </c>
      <c r="S61" s="1"/>
      <c r="T61" s="1">
        <f>SUM(OSRRefT22_10x_0)</f>
        <v>8590</v>
      </c>
      <c r="U61" s="1"/>
      <c r="V61" s="5">
        <f t="shared" si="41"/>
        <v>42.95</v>
      </c>
      <c r="W61" s="1"/>
      <c r="X61" s="1">
        <f t="shared" si="42"/>
        <v>5728.01</v>
      </c>
      <c r="Y61" s="1"/>
      <c r="Z61" s="5">
        <f t="shared" si="43"/>
        <v>0.66682305005820719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6">
        <v>-276.68</v>
      </c>
      <c r="E62" s="2"/>
      <c r="F62" s="7">
        <f t="shared" si="36"/>
        <v>0</v>
      </c>
      <c r="G62" s="2"/>
      <c r="H62" s="6">
        <v>2415</v>
      </c>
      <c r="I62" s="2"/>
      <c r="J62" s="7">
        <f t="shared" si="37"/>
        <v>0</v>
      </c>
      <c r="K62" s="2"/>
      <c r="L62" s="6">
        <f t="shared" si="38"/>
        <v>-2691.68</v>
      </c>
      <c r="M62" s="2"/>
      <c r="N62" s="7">
        <f t="shared" si="39"/>
        <v>-1.1145672877846791</v>
      </c>
      <c r="O62" s="11"/>
      <c r="P62" s="6">
        <v>14318.01</v>
      </c>
      <c r="Q62" s="2"/>
      <c r="R62" s="7">
        <f t="shared" si="40"/>
        <v>0</v>
      </c>
      <c r="S62" s="2"/>
      <c r="T62" s="6">
        <v>8590</v>
      </c>
      <c r="U62" s="2"/>
      <c r="V62" s="7">
        <f t="shared" si="41"/>
        <v>42.95</v>
      </c>
      <c r="W62" s="2"/>
      <c r="X62" s="6">
        <f t="shared" si="42"/>
        <v>5728.01</v>
      </c>
      <c r="Y62" s="2"/>
      <c r="Z62" s="7">
        <f t="shared" si="43"/>
        <v>0.66682305005820719</v>
      </c>
    </row>
    <row r="63" spans="1:26" s="26" customFormat="1" outlineLevel="1" collapsed="1" x14ac:dyDescent="0.25">
      <c r="A63" s="25"/>
      <c r="B63" s="12" t="str">
        <f>CONCATENATE("     ","Insurance                                         ")</f>
        <v xml:space="preserve">     Insurance                                         </v>
      </c>
      <c r="C63" s="12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380</v>
      </c>
      <c r="I63" s="1"/>
      <c r="J63" s="5">
        <f t="shared" si="37"/>
        <v>0</v>
      </c>
      <c r="K63" s="1"/>
      <c r="L63" s="1">
        <f t="shared" si="38"/>
        <v>13.670000000000016</v>
      </c>
      <c r="M63" s="1"/>
      <c r="N63" s="5">
        <f t="shared" si="39"/>
        <v>3.5973684210526359E-2</v>
      </c>
      <c r="O63" s="12"/>
      <c r="P63" s="1">
        <f>SUM(OSRRefP22_11x_0)</f>
        <v>5078.04</v>
      </c>
      <c r="Q63" s="1"/>
      <c r="R63" s="5">
        <f t="shared" si="40"/>
        <v>0</v>
      </c>
      <c r="S63" s="1"/>
      <c r="T63" s="1">
        <f>SUM(OSRRefT22_11x_0)</f>
        <v>4560</v>
      </c>
      <c r="U63" s="1"/>
      <c r="V63" s="5">
        <f t="shared" si="41"/>
        <v>22.8</v>
      </c>
      <c r="W63" s="1"/>
      <c r="X63" s="1">
        <f t="shared" si="42"/>
        <v>518.04</v>
      </c>
      <c r="Y63" s="1"/>
      <c r="Z63" s="5">
        <f t="shared" si="43"/>
        <v>0.11360526315789472</v>
      </c>
    </row>
    <row r="64" spans="1:26" s="24" customFormat="1" hidden="1" outlineLevel="2" x14ac:dyDescent="0.25">
      <c r="A64" s="27"/>
      <c r="B64" s="11" t="str">
        <f>CONCATENATE("          ", "6314", " - ", "LIABILITY INSURANCE")</f>
        <v xml:space="preserve">          6314 - LIABILITY INSURANCE</v>
      </c>
      <c r="C64" s="11"/>
      <c r="D64" s="6">
        <v>393.67</v>
      </c>
      <c r="E64" s="2"/>
      <c r="F64" s="7">
        <f t="shared" si="36"/>
        <v>0</v>
      </c>
      <c r="G64" s="2"/>
      <c r="H64" s="6">
        <v>380</v>
      </c>
      <c r="I64" s="2"/>
      <c r="J64" s="7">
        <f t="shared" si="37"/>
        <v>0</v>
      </c>
      <c r="K64" s="2"/>
      <c r="L64" s="6">
        <f t="shared" si="38"/>
        <v>13.670000000000016</v>
      </c>
      <c r="M64" s="2"/>
      <c r="N64" s="7">
        <f t="shared" si="39"/>
        <v>3.5973684210526359E-2</v>
      </c>
      <c r="O64" s="11"/>
      <c r="P64" s="6">
        <v>5078.04</v>
      </c>
      <c r="Q64" s="2"/>
      <c r="R64" s="7">
        <f t="shared" si="40"/>
        <v>0</v>
      </c>
      <c r="S64" s="2"/>
      <c r="T64" s="6">
        <v>4560</v>
      </c>
      <c r="U64" s="2"/>
      <c r="V64" s="7">
        <f t="shared" si="41"/>
        <v>22.8</v>
      </c>
      <c r="W64" s="2"/>
      <c r="X64" s="6">
        <f t="shared" si="42"/>
        <v>518.04</v>
      </c>
      <c r="Y64" s="2"/>
      <c r="Z64" s="7">
        <f t="shared" si="43"/>
        <v>0.11360526315789472</v>
      </c>
    </row>
    <row r="65" spans="1:26" s="26" customFormat="1" outlineLevel="1" collapsed="1" x14ac:dyDescent="0.25">
      <c r="A65" s="25"/>
      <c r="B65" s="12" t="str">
        <f>CONCATENATE("     ","Interest                                          ")</f>
        <v xml:space="preserve">     Interest                                          </v>
      </c>
      <c r="C65" s="12"/>
      <c r="D65" s="1">
        <f>SUM(OSRRefD22_12x_0)</f>
        <v>0</v>
      </c>
      <c r="E65" s="1"/>
      <c r="F65" s="5">
        <f t="shared" si="36"/>
        <v>0</v>
      </c>
      <c r="G65" s="1"/>
      <c r="H65" s="1">
        <f>SUM(OSRRefH22_12x_0)</f>
        <v>0</v>
      </c>
      <c r="I65" s="1"/>
      <c r="J65" s="5">
        <f t="shared" si="37"/>
        <v>0</v>
      </c>
      <c r="K65" s="1"/>
      <c r="L65" s="1">
        <f t="shared" si="38"/>
        <v>0</v>
      </c>
      <c r="M65" s="1"/>
      <c r="N65" s="5">
        <f t="shared" si="39"/>
        <v>0</v>
      </c>
      <c r="O65" s="12"/>
      <c r="P65" s="1">
        <f>SUM(OSRRefP22_12x_0)</f>
        <v>0</v>
      </c>
      <c r="Q65" s="1"/>
      <c r="R65" s="5">
        <f t="shared" si="40"/>
        <v>0</v>
      </c>
      <c r="S65" s="1"/>
      <c r="T65" s="1">
        <f>SUM(OSRRefT22_12x_0)</f>
        <v>0</v>
      </c>
      <c r="U65" s="1"/>
      <c r="V65" s="5">
        <f t="shared" si="41"/>
        <v>0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25">
      <c r="A66" s="27"/>
      <c r="B66" s="11" t="str">
        <f>CONCATENATE("          ", "6401", " - ", "INTEREST EXPENSE")</f>
        <v xml:space="preserve">          6401 - INTEREST EXPENSE</v>
      </c>
      <c r="C66" s="11"/>
      <c r="D66" s="6"/>
      <c r="E66" s="2"/>
      <c r="F66" s="7">
        <f t="shared" si="36"/>
        <v>0</v>
      </c>
      <c r="G66" s="2"/>
      <c r="H66" s="6">
        <v>0</v>
      </c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/>
      <c r="Q66" s="2"/>
      <c r="R66" s="7">
        <f t="shared" si="40"/>
        <v>0</v>
      </c>
      <c r="S66" s="2"/>
      <c r="T66" s="6">
        <v>0</v>
      </c>
      <c r="U66" s="2"/>
      <c r="V66" s="7">
        <f t="shared" si="41"/>
        <v>0</v>
      </c>
      <c r="W66" s="2"/>
      <c r="X66" s="6">
        <f t="shared" si="42"/>
        <v>0</v>
      </c>
      <c r="Y66" s="2"/>
      <c r="Z66" s="7">
        <f t="shared" si="43"/>
        <v>0</v>
      </c>
    </row>
    <row r="67" spans="1:26" s="24" customFormat="1" hidden="1" outlineLevel="2" x14ac:dyDescent="0.25">
      <c r="A67" s="27"/>
      <c r="B67" s="11" t="str">
        <f>CONCATENATE("          ", "6402", " - ", "INTEREST EXPENSE BOND ISSUANCE")</f>
        <v xml:space="preserve">          6402 - INTEREST EXPENSE BOND ISSUANCE</v>
      </c>
      <c r="C67" s="11"/>
      <c r="D67" s="6"/>
      <c r="E67" s="2"/>
      <c r="F67" s="7">
        <f t="shared" si="36"/>
        <v>0</v>
      </c>
      <c r="G67" s="2"/>
      <c r="H67" s="6">
        <v>0</v>
      </c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/>
      <c r="Q67" s="2"/>
      <c r="R67" s="7">
        <f t="shared" si="40"/>
        <v>0</v>
      </c>
      <c r="S67" s="2"/>
      <c r="T67" s="6">
        <v>0</v>
      </c>
      <c r="U67" s="2"/>
      <c r="V67" s="7">
        <f t="shared" si="41"/>
        <v>0</v>
      </c>
      <c r="W67" s="2"/>
      <c r="X67" s="6">
        <f t="shared" si="42"/>
        <v>0</v>
      </c>
      <c r="Y67" s="2"/>
      <c r="Z67" s="7">
        <f t="shared" si="43"/>
        <v>0</v>
      </c>
    </row>
    <row r="68" spans="1:26" s="24" customFormat="1" hidden="1" outlineLevel="2" x14ac:dyDescent="0.25">
      <c r="A68" s="27"/>
      <c r="B68" s="11" t="str">
        <f>CONCATENATE("          ", "6403", " - ", "INTEREST EXPENSE LEASE EQUIP")</f>
        <v xml:space="preserve">          6403 - INTEREST EXPENSE LEASE EQUIP</v>
      </c>
      <c r="C68" s="11"/>
      <c r="D68" s="6"/>
      <c r="E68" s="2"/>
      <c r="F68" s="7">
        <f t="shared" si="36"/>
        <v>0</v>
      </c>
      <c r="G68" s="2"/>
      <c r="H68" s="6">
        <v>0</v>
      </c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/>
      <c r="Q68" s="2"/>
      <c r="R68" s="7">
        <f t="shared" si="40"/>
        <v>0</v>
      </c>
      <c r="S68" s="2"/>
      <c r="T68" s="6">
        <v>0</v>
      </c>
      <c r="U68" s="2"/>
      <c r="V68" s="7">
        <f t="shared" si="41"/>
        <v>0</v>
      </c>
      <c r="W68" s="2"/>
      <c r="X68" s="6">
        <f t="shared" si="42"/>
        <v>0</v>
      </c>
      <c r="Y68" s="2"/>
      <c r="Z68" s="7">
        <f t="shared" si="43"/>
        <v>0</v>
      </c>
    </row>
    <row r="69" spans="1:26" s="26" customFormat="1" outlineLevel="1" collapsed="1" x14ac:dyDescent="0.25">
      <c r="A69" s="25"/>
      <c r="B69" s="12" t="str">
        <f>CONCATENATE("     ","Professional Services                             ")</f>
        <v xml:space="preserve">     Professional Services                             </v>
      </c>
      <c r="C69" s="12"/>
      <c r="D69" s="1">
        <f>SUM(OSRRefD22_13x_0)</f>
        <v>595</v>
      </c>
      <c r="E69" s="1"/>
      <c r="F69" s="5">
        <f t="shared" ref="F69:F73" si="44">IF(D$12=0,0,D69/D$12)</f>
        <v>0</v>
      </c>
      <c r="G69" s="1"/>
      <c r="H69" s="1">
        <f>SUM(OSRRefH22_13x_0)</f>
        <v>1437</v>
      </c>
      <c r="I69" s="1"/>
      <c r="J69" s="5">
        <f t="shared" ref="J69:J73" si="45">IF(H$12=0,0,H69/H$12)</f>
        <v>0</v>
      </c>
      <c r="K69" s="1"/>
      <c r="L69" s="1">
        <f t="shared" ref="L69:L73" si="46">+D69-H69</f>
        <v>-842</v>
      </c>
      <c r="M69" s="1"/>
      <c r="N69" s="5">
        <f t="shared" ref="N69:N73" si="47">IF(H69=0,0,L69/H69)</f>
        <v>-0.58594293667362563</v>
      </c>
      <c r="O69" s="12"/>
      <c r="P69" s="1">
        <f>SUM(OSRRefP22_13x_0)</f>
        <v>202586.25999999998</v>
      </c>
      <c r="Q69" s="1"/>
      <c r="R69" s="5">
        <f t="shared" ref="R69:R73" si="48">IF(P$12=0,0,P69/P$12)</f>
        <v>0</v>
      </c>
      <c r="S69" s="1"/>
      <c r="T69" s="1">
        <f>SUM(OSRRefT22_13x_0)</f>
        <v>199900</v>
      </c>
      <c r="U69" s="1"/>
      <c r="V69" s="5">
        <f t="shared" ref="V69:V73" si="49">IF(T$12=0,0,T69/T$12)</f>
        <v>999.5</v>
      </c>
      <c r="W69" s="1"/>
      <c r="X69" s="1">
        <f t="shared" ref="X69:X73" si="50">+P69-T69</f>
        <v>2686.2599999999802</v>
      </c>
      <c r="Y69" s="1"/>
      <c r="Z69" s="5">
        <f t="shared" ref="Z69:Z73" si="51">IF(T69=0,0,X69/T69)</f>
        <v>1.3438019009504653E-2</v>
      </c>
    </row>
    <row r="70" spans="1:26" s="24" customFormat="1" hidden="1" outlineLevel="2" x14ac:dyDescent="0.25">
      <c r="A70" s="27"/>
      <c r="B70" s="11" t="str">
        <f>CONCATENATE("          ", "6331", " - ", "INDIRECT COSTS-AUXILIARY ORGAN")</f>
        <v xml:space="preserve">          6331 - INDIRECT COSTS-AUXILIARY ORGAN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91723</v>
      </c>
      <c r="Q70" s="2"/>
      <c r="R70" s="7">
        <f t="shared" si="48"/>
        <v>0</v>
      </c>
      <c r="S70" s="2"/>
      <c r="T70" s="6">
        <v>98000</v>
      </c>
      <c r="U70" s="2"/>
      <c r="V70" s="7">
        <f t="shared" si="49"/>
        <v>490</v>
      </c>
      <c r="W70" s="2"/>
      <c r="X70" s="6">
        <f t="shared" si="50"/>
        <v>-6277</v>
      </c>
      <c r="Y70" s="2"/>
      <c r="Z70" s="7">
        <f t="shared" si="51"/>
        <v>-6.4051020408163267E-2</v>
      </c>
    </row>
    <row r="71" spans="1:26" s="24" customFormat="1" hidden="1" outlineLevel="2" x14ac:dyDescent="0.25">
      <c r="A71" s="27"/>
      <c r="B71" s="11" t="str">
        <f>CONCATENATE("          ", "6332", " - ", "CONSULTANT FEES")</f>
        <v xml:space="preserve">          6332 - CONSULTANT FEES</v>
      </c>
      <c r="C71" s="11"/>
      <c r="D71" s="6"/>
      <c r="E71" s="2"/>
      <c r="F71" s="7">
        <f t="shared" si="44"/>
        <v>0</v>
      </c>
      <c r="G71" s="2"/>
      <c r="H71" s="6">
        <v>600</v>
      </c>
      <c r="I71" s="2"/>
      <c r="J71" s="7">
        <f t="shared" si="45"/>
        <v>0</v>
      </c>
      <c r="K71" s="2"/>
      <c r="L71" s="6">
        <f t="shared" si="46"/>
        <v>-600</v>
      </c>
      <c r="M71" s="2"/>
      <c r="N71" s="7">
        <f t="shared" si="47"/>
        <v>-1</v>
      </c>
      <c r="O71" s="11"/>
      <c r="P71" s="6">
        <v>36894.74</v>
      </c>
      <c r="Q71" s="2"/>
      <c r="R71" s="7">
        <f t="shared" si="48"/>
        <v>0</v>
      </c>
      <c r="S71" s="2"/>
      <c r="T71" s="6">
        <v>35200</v>
      </c>
      <c r="U71" s="2"/>
      <c r="V71" s="7">
        <f t="shared" si="49"/>
        <v>176</v>
      </c>
      <c r="W71" s="2"/>
      <c r="X71" s="6">
        <f t="shared" si="50"/>
        <v>1694.739999999998</v>
      </c>
      <c r="Y71" s="2"/>
      <c r="Z71" s="7">
        <f t="shared" si="51"/>
        <v>4.8146022727272669E-2</v>
      </c>
    </row>
    <row r="72" spans="1:26" s="24" customFormat="1" hidden="1" outlineLevel="2" x14ac:dyDescent="0.25">
      <c r="A72" s="27"/>
      <c r="B72" s="11" t="str">
        <f>CONCATENATE("          ", "6334", " - ", "LEGAL COUNCIL EXPENSE")</f>
        <v xml:space="preserve">          6334 - LEGAL COUNCIL EXPENSE</v>
      </c>
      <c r="C72" s="11"/>
      <c r="D72" s="6">
        <v>595</v>
      </c>
      <c r="E72" s="2"/>
      <c r="F72" s="7">
        <f t="shared" si="44"/>
        <v>0</v>
      </c>
      <c r="G72" s="2"/>
      <c r="H72" s="6">
        <v>837</v>
      </c>
      <c r="I72" s="2"/>
      <c r="J72" s="7">
        <f t="shared" si="45"/>
        <v>0</v>
      </c>
      <c r="K72" s="2"/>
      <c r="L72" s="6">
        <f t="shared" si="46"/>
        <v>-242</v>
      </c>
      <c r="M72" s="2"/>
      <c r="N72" s="7">
        <f t="shared" si="47"/>
        <v>-0.28912783751493432</v>
      </c>
      <c r="O72" s="11"/>
      <c r="P72" s="6">
        <v>39770</v>
      </c>
      <c r="Q72" s="2"/>
      <c r="R72" s="7">
        <f t="shared" si="48"/>
        <v>0</v>
      </c>
      <c r="S72" s="2"/>
      <c r="T72" s="6">
        <v>13200</v>
      </c>
      <c r="U72" s="2"/>
      <c r="V72" s="7">
        <f t="shared" si="49"/>
        <v>66</v>
      </c>
      <c r="W72" s="2"/>
      <c r="X72" s="6">
        <f t="shared" si="50"/>
        <v>26570</v>
      </c>
      <c r="Y72" s="2"/>
      <c r="Z72" s="7">
        <f t="shared" si="51"/>
        <v>2.0128787878787877</v>
      </c>
    </row>
    <row r="73" spans="1:26" s="24" customFormat="1" hidden="1" outlineLevel="2" x14ac:dyDescent="0.25">
      <c r="A73" s="27"/>
      <c r="B73" s="11" t="str">
        <f>CONCATENATE("          ", "6336", " - ", "PROFESSIONAL SERVICES")</f>
        <v xml:space="preserve">          6336 - PROFESSIONAL SERVICES</v>
      </c>
      <c r="C73" s="11"/>
      <c r="D73" s="6"/>
      <c r="E73" s="2"/>
      <c r="F73" s="7">
        <f t="shared" si="44"/>
        <v>0</v>
      </c>
      <c r="G73" s="2"/>
      <c r="H73" s="6">
        <v>0</v>
      </c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34198.519999999997</v>
      </c>
      <c r="Q73" s="2"/>
      <c r="R73" s="7">
        <f t="shared" si="48"/>
        <v>0</v>
      </c>
      <c r="S73" s="2"/>
      <c r="T73" s="6">
        <v>53500</v>
      </c>
      <c r="U73" s="2"/>
      <c r="V73" s="7">
        <f t="shared" si="49"/>
        <v>267.5</v>
      </c>
      <c r="W73" s="2"/>
      <c r="X73" s="6">
        <f t="shared" si="50"/>
        <v>-19301.480000000003</v>
      </c>
      <c r="Y73" s="2"/>
      <c r="Z73" s="7">
        <f t="shared" si="51"/>
        <v>-0.3607753271028038</v>
      </c>
    </row>
    <row r="74" spans="1:26" s="26" customFormat="1" outlineLevel="1" collapsed="1" x14ac:dyDescent="0.25">
      <c r="A74" s="25"/>
      <c r="B74" s="12" t="str">
        <f>CONCATENATE("     ","Repair and Maintenance                            ")</f>
        <v xml:space="preserve">     Repair and Maintenance                            </v>
      </c>
      <c r="C74" s="12"/>
      <c r="D74" s="1">
        <f>SUM(OSRRefD22_14x_0)</f>
        <v>15511.72</v>
      </c>
      <c r="E74" s="1"/>
      <c r="F74" s="5">
        <f t="shared" ref="F74:F78" si="52">IF(D$12=0,0,D74/D$12)</f>
        <v>0</v>
      </c>
      <c r="G74" s="1"/>
      <c r="H74" s="1">
        <f>SUM(OSRRefH22_14x_0)</f>
        <v>31715</v>
      </c>
      <c r="I74" s="1"/>
      <c r="J74" s="5">
        <f t="shared" ref="J74:J78" si="53">IF(H$12=0,0,H74/H$12)</f>
        <v>0</v>
      </c>
      <c r="K74" s="1"/>
      <c r="L74" s="1">
        <f t="shared" ref="L74:L78" si="54">+D74-H74</f>
        <v>-16203.28</v>
      </c>
      <c r="M74" s="1"/>
      <c r="N74" s="5">
        <f t="shared" ref="N74:N78" si="55">IF(H74=0,0,L74/H74)</f>
        <v>-0.51090272741604925</v>
      </c>
      <c r="O74" s="12"/>
      <c r="P74" s="1">
        <f>SUM(OSRRefP22_14x_0)</f>
        <v>354241.67000000004</v>
      </c>
      <c r="Q74" s="1"/>
      <c r="R74" s="5">
        <f t="shared" ref="R74:R78" si="56">IF(P$12=0,0,P74/P$12)</f>
        <v>0</v>
      </c>
      <c r="S74" s="1"/>
      <c r="T74" s="1">
        <f>SUM(OSRRefT22_14x_0)</f>
        <v>377240</v>
      </c>
      <c r="U74" s="1"/>
      <c r="V74" s="5">
        <f t="shared" ref="V74:V78" si="57">IF(T$12=0,0,T74/T$12)</f>
        <v>1886.2</v>
      </c>
      <c r="W74" s="1"/>
      <c r="X74" s="1">
        <f t="shared" ref="X74:X78" si="58">+P74-T74</f>
        <v>-22998.329999999958</v>
      </c>
      <c r="Y74" s="1"/>
      <c r="Z74" s="5">
        <f t="shared" ref="Z74:Z78" si="59">IF(T74=0,0,X74/T74)</f>
        <v>-6.0964717421270166E-2</v>
      </c>
    </row>
    <row r="75" spans="1:26" s="24" customFormat="1" hidden="1" outlineLevel="2" x14ac:dyDescent="0.25">
      <c r="A75" s="27"/>
      <c r="B75" s="11" t="str">
        <f>CONCATENATE("          ", "6371", " - ", "COMPUTER SOFTWARE MAINTENANCE")</f>
        <v xml:space="preserve">          6371 - COMPUTER SOFTWARE MAINTENANCE</v>
      </c>
      <c r="C75" s="11"/>
      <c r="D75" s="6">
        <v>5190.34</v>
      </c>
      <c r="E75" s="2"/>
      <c r="F75" s="7">
        <f t="shared" si="52"/>
        <v>0</v>
      </c>
      <c r="G75" s="2"/>
      <c r="H75" s="6">
        <v>14320</v>
      </c>
      <c r="I75" s="2"/>
      <c r="J75" s="7">
        <f t="shared" si="53"/>
        <v>0</v>
      </c>
      <c r="K75" s="2"/>
      <c r="L75" s="6">
        <f t="shared" si="54"/>
        <v>-9129.66</v>
      </c>
      <c r="M75" s="2"/>
      <c r="N75" s="7">
        <f t="shared" si="55"/>
        <v>-0.63754608938547486</v>
      </c>
      <c r="O75" s="11"/>
      <c r="P75" s="6">
        <v>183745.69</v>
      </c>
      <c r="Q75" s="2"/>
      <c r="R75" s="7">
        <f t="shared" si="56"/>
        <v>0</v>
      </c>
      <c r="S75" s="2"/>
      <c r="T75" s="6">
        <v>180920</v>
      </c>
      <c r="U75" s="2"/>
      <c r="V75" s="7">
        <f t="shared" si="57"/>
        <v>904.6</v>
      </c>
      <c r="W75" s="2"/>
      <c r="X75" s="6">
        <f t="shared" si="58"/>
        <v>2825.6900000000023</v>
      </c>
      <c r="Y75" s="2"/>
      <c r="Z75" s="7">
        <f t="shared" si="59"/>
        <v>1.5618450143709941E-2</v>
      </c>
    </row>
    <row r="76" spans="1:26" s="24" customFormat="1" hidden="1" outlineLevel="2" x14ac:dyDescent="0.25">
      <c r="A76" s="27"/>
      <c r="B76" s="11" t="str">
        <f>CONCATENATE("          ", "6372", " - ", "COMPUTER HARDWARE MAINTENANCE")</f>
        <v xml:space="preserve">          6372 - COMPUTER HARDWARE MAINTENANCE</v>
      </c>
      <c r="C76" s="11"/>
      <c r="D76" s="6"/>
      <c r="E76" s="2"/>
      <c r="F76" s="7">
        <f t="shared" si="52"/>
        <v>0</v>
      </c>
      <c r="G76" s="2"/>
      <c r="H76" s="6">
        <v>1000</v>
      </c>
      <c r="I76" s="2"/>
      <c r="J76" s="7">
        <f t="shared" si="53"/>
        <v>0</v>
      </c>
      <c r="K76" s="2"/>
      <c r="L76" s="6">
        <f t="shared" si="54"/>
        <v>-1000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10000</v>
      </c>
      <c r="U76" s="2"/>
      <c r="V76" s="7">
        <f t="shared" si="57"/>
        <v>50</v>
      </c>
      <c r="W76" s="2"/>
      <c r="X76" s="6">
        <f t="shared" si="58"/>
        <v>-10000</v>
      </c>
      <c r="Y76" s="2"/>
      <c r="Z76" s="7">
        <f t="shared" si="59"/>
        <v>-1</v>
      </c>
    </row>
    <row r="77" spans="1:26" s="24" customFormat="1" hidden="1" outlineLevel="2" x14ac:dyDescent="0.25">
      <c r="A77" s="27"/>
      <c r="B77" s="11" t="str">
        <f>CONCATENATE("          ", "6373", " - ", "MAINTENANCE CONTRACTS")</f>
        <v xml:space="preserve">          6373 - MAINTENANCE CONTRACTS</v>
      </c>
      <c r="C77" s="11"/>
      <c r="D77" s="6">
        <v>10299.549999999999</v>
      </c>
      <c r="E77" s="2"/>
      <c r="F77" s="7">
        <f t="shared" si="52"/>
        <v>0</v>
      </c>
      <c r="G77" s="2"/>
      <c r="H77" s="6">
        <v>16395</v>
      </c>
      <c r="I77" s="2"/>
      <c r="J77" s="7">
        <f t="shared" si="53"/>
        <v>0</v>
      </c>
      <c r="K77" s="2"/>
      <c r="L77" s="6">
        <f t="shared" si="54"/>
        <v>-6095.4500000000007</v>
      </c>
      <c r="M77" s="2"/>
      <c r="N77" s="7">
        <f t="shared" si="55"/>
        <v>-0.37178713022262888</v>
      </c>
      <c r="O77" s="11"/>
      <c r="P77" s="6">
        <v>166846.89000000001</v>
      </c>
      <c r="Q77" s="2"/>
      <c r="R77" s="7">
        <f t="shared" si="56"/>
        <v>0</v>
      </c>
      <c r="S77" s="2"/>
      <c r="T77" s="6">
        <v>186320</v>
      </c>
      <c r="U77" s="2"/>
      <c r="V77" s="7">
        <f t="shared" si="57"/>
        <v>931.6</v>
      </c>
      <c r="W77" s="2"/>
      <c r="X77" s="6">
        <f t="shared" si="58"/>
        <v>-19473.109999999986</v>
      </c>
      <c r="Y77" s="2"/>
      <c r="Z77" s="7">
        <f t="shared" si="59"/>
        <v>-0.10451433018462852</v>
      </c>
    </row>
    <row r="78" spans="1:26" s="24" customFormat="1" hidden="1" outlineLevel="2" x14ac:dyDescent="0.25">
      <c r="A78" s="27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21.83</v>
      </c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21.83</v>
      </c>
      <c r="M78" s="2"/>
      <c r="N78" s="7">
        <f t="shared" si="55"/>
        <v>0</v>
      </c>
      <c r="O78" s="11"/>
      <c r="P78" s="6">
        <v>3649.09</v>
      </c>
      <c r="Q78" s="2"/>
      <c r="R78" s="7">
        <f t="shared" si="56"/>
        <v>0</v>
      </c>
      <c r="S78" s="2"/>
      <c r="T78" s="6"/>
      <c r="U78" s="2"/>
      <c r="V78" s="7">
        <f t="shared" si="57"/>
        <v>0</v>
      </c>
      <c r="W78" s="2"/>
      <c r="X78" s="6">
        <f t="shared" si="58"/>
        <v>3649.09</v>
      </c>
      <c r="Y78" s="2"/>
      <c r="Z78" s="7">
        <f t="shared" si="59"/>
        <v>0</v>
      </c>
    </row>
    <row r="79" spans="1:26" s="26" customFormat="1" outlineLevel="1" collapsed="1" x14ac:dyDescent="0.25">
      <c r="A79" s="25"/>
      <c r="B79" s="12" t="str">
        <f>CONCATENATE("     ","Services                                          ")</f>
        <v xml:space="preserve">     Services                                          </v>
      </c>
      <c r="C79" s="12"/>
      <c r="D79" s="1">
        <f>SUM(OSRRefD22_15x_0)</f>
        <v>0</v>
      </c>
      <c r="E79" s="1"/>
      <c r="F79" s="5">
        <f t="shared" ref="F79:F81" si="60">IF(D$12=0,0,D79/D$12)</f>
        <v>0</v>
      </c>
      <c r="G79" s="1"/>
      <c r="H79" s="1">
        <f>SUM(OSRRefH22_15x_0)</f>
        <v>610</v>
      </c>
      <c r="I79" s="1"/>
      <c r="J79" s="5">
        <f t="shared" ref="J79:J81" si="61">IF(H$12=0,0,H79/H$12)</f>
        <v>0</v>
      </c>
      <c r="K79" s="1"/>
      <c r="L79" s="1">
        <f t="shared" ref="L79:L81" si="62">+D79-H79</f>
        <v>-610</v>
      </c>
      <c r="M79" s="1"/>
      <c r="N79" s="5">
        <f t="shared" ref="N79:N81" si="63">IF(H79=0,0,L79/H79)</f>
        <v>-1</v>
      </c>
      <c r="O79" s="12"/>
      <c r="P79" s="1">
        <f>SUM(OSRRefP22_15x_0)</f>
        <v>11051.39</v>
      </c>
      <c r="Q79" s="1"/>
      <c r="R79" s="5">
        <f t="shared" ref="R79:R81" si="64">IF(P$12=0,0,P79/P$12)</f>
        <v>0</v>
      </c>
      <c r="S79" s="1"/>
      <c r="T79" s="1">
        <f>SUM(OSRRefT22_15x_0)</f>
        <v>7320</v>
      </c>
      <c r="U79" s="1"/>
      <c r="V79" s="5">
        <f t="shared" ref="V79:V81" si="65">IF(T$12=0,0,T79/T$12)</f>
        <v>36.6</v>
      </c>
      <c r="W79" s="1"/>
      <c r="X79" s="1">
        <f t="shared" ref="X79:X81" si="66">+P79-T79</f>
        <v>3731.3899999999994</v>
      </c>
      <c r="Y79" s="1"/>
      <c r="Z79" s="5">
        <f t="shared" ref="Z79:Z81" si="67">IF(T79=0,0,X79/T79)</f>
        <v>0.50975273224043705</v>
      </c>
    </row>
    <row r="80" spans="1:26" s="24" customFormat="1" hidden="1" outlineLevel="2" x14ac:dyDescent="0.25">
      <c r="A80" s="27"/>
      <c r="B80" s="11" t="str">
        <f>CONCATENATE("          ", "6281", " - ", "STORAGE FEE")</f>
        <v xml:space="preserve">          6281 - STORAGE FEE</v>
      </c>
      <c r="C80" s="11"/>
      <c r="D80" s="6"/>
      <c r="E80" s="2"/>
      <c r="F80" s="7">
        <f t="shared" si="60"/>
        <v>0</v>
      </c>
      <c r="G80" s="2"/>
      <c r="H80" s="6">
        <v>600</v>
      </c>
      <c r="I80" s="2"/>
      <c r="J80" s="7">
        <f t="shared" si="61"/>
        <v>0</v>
      </c>
      <c r="K80" s="2"/>
      <c r="L80" s="6">
        <f t="shared" si="62"/>
        <v>-600</v>
      </c>
      <c r="M80" s="2"/>
      <c r="N80" s="7">
        <f t="shared" si="63"/>
        <v>-1</v>
      </c>
      <c r="O80" s="11"/>
      <c r="P80" s="6">
        <v>10967.41</v>
      </c>
      <c r="Q80" s="2"/>
      <c r="R80" s="7">
        <f t="shared" si="64"/>
        <v>0</v>
      </c>
      <c r="S80" s="2"/>
      <c r="T80" s="6">
        <v>7200</v>
      </c>
      <c r="U80" s="2"/>
      <c r="V80" s="7">
        <f t="shared" si="65"/>
        <v>36</v>
      </c>
      <c r="W80" s="2"/>
      <c r="X80" s="6">
        <f t="shared" si="66"/>
        <v>3767.41</v>
      </c>
      <c r="Y80" s="2"/>
      <c r="Z80" s="7">
        <f t="shared" si="67"/>
        <v>0.52325138888888889</v>
      </c>
    </row>
    <row r="81" spans="1:26" s="24" customFormat="1" hidden="1" outlineLevel="2" x14ac:dyDescent="0.25">
      <c r="A81" s="27"/>
      <c r="B81" s="11" t="str">
        <f>CONCATENATE("          ", "6286", " - ", "LAUNDRY EXPENSE")</f>
        <v xml:space="preserve">          6286 - LAUNDRY EXPENSE</v>
      </c>
      <c r="C81" s="11"/>
      <c r="D81" s="6"/>
      <c r="E81" s="2"/>
      <c r="F81" s="7">
        <f t="shared" si="60"/>
        <v>0</v>
      </c>
      <c r="G81" s="2"/>
      <c r="H81" s="6">
        <v>10</v>
      </c>
      <c r="I81" s="2"/>
      <c r="J81" s="7">
        <f t="shared" si="61"/>
        <v>0</v>
      </c>
      <c r="K81" s="2"/>
      <c r="L81" s="6">
        <f t="shared" si="62"/>
        <v>-10</v>
      </c>
      <c r="M81" s="2"/>
      <c r="N81" s="7">
        <f t="shared" si="63"/>
        <v>-1</v>
      </c>
      <c r="O81" s="11"/>
      <c r="P81" s="6">
        <v>83.98</v>
      </c>
      <c r="Q81" s="2"/>
      <c r="R81" s="7">
        <f t="shared" si="64"/>
        <v>0</v>
      </c>
      <c r="S81" s="2"/>
      <c r="T81" s="6">
        <v>120</v>
      </c>
      <c r="U81" s="2"/>
      <c r="V81" s="7">
        <f t="shared" si="65"/>
        <v>0.6</v>
      </c>
      <c r="W81" s="2"/>
      <c r="X81" s="6">
        <f t="shared" si="66"/>
        <v>-36.019999999999996</v>
      </c>
      <c r="Y81" s="2"/>
      <c r="Z81" s="7">
        <f t="shared" si="67"/>
        <v>-0.30016666666666664</v>
      </c>
    </row>
    <row r="82" spans="1:26" s="26" customFormat="1" outlineLevel="1" collapsed="1" x14ac:dyDescent="0.25">
      <c r="A82" s="25"/>
      <c r="B82" s="12" t="str">
        <f>CONCATENATE("     ","Subscriptions &amp; Dues                              ")</f>
        <v xml:space="preserve">     Subscriptions &amp; Dues                              </v>
      </c>
      <c r="C82" s="12"/>
      <c r="D82" s="1">
        <f>SUM(OSRRefD22_16x_0)</f>
        <v>-775</v>
      </c>
      <c r="E82" s="1"/>
      <c r="F82" s="5">
        <f t="shared" ref="F82:F84" si="68">IF(D$12=0,0,D82/D$12)</f>
        <v>0</v>
      </c>
      <c r="G82" s="1"/>
      <c r="H82" s="1">
        <f>SUM(OSRRefH22_16x_0)</f>
        <v>200</v>
      </c>
      <c r="I82" s="1"/>
      <c r="J82" s="5">
        <f t="shared" ref="J82:J84" si="69">IF(H$12=0,0,H82/H$12)</f>
        <v>0</v>
      </c>
      <c r="K82" s="1"/>
      <c r="L82" s="1">
        <f t="shared" ref="L82:L84" si="70">+D82-H82</f>
        <v>-975</v>
      </c>
      <c r="M82" s="1"/>
      <c r="N82" s="5">
        <f t="shared" ref="N82:N84" si="71">IF(H82=0,0,L82/H82)</f>
        <v>-4.875</v>
      </c>
      <c r="O82" s="12"/>
      <c r="P82" s="1">
        <f>SUM(OSRRefP22_16x_0)</f>
        <v>7864</v>
      </c>
      <c r="Q82" s="1"/>
      <c r="R82" s="5">
        <f t="shared" ref="R82:R84" si="72">IF(P$12=0,0,P82/P$12)</f>
        <v>0</v>
      </c>
      <c r="S82" s="1"/>
      <c r="T82" s="1">
        <f>SUM(OSRRefT22_16x_0)</f>
        <v>9759</v>
      </c>
      <c r="U82" s="1"/>
      <c r="V82" s="5">
        <f t="shared" ref="V82:V84" si="73">IF(T$12=0,0,T82/T$12)</f>
        <v>48.795000000000002</v>
      </c>
      <c r="W82" s="1"/>
      <c r="X82" s="1">
        <f t="shared" ref="X82:X84" si="74">+P82-T82</f>
        <v>-1895</v>
      </c>
      <c r="Y82" s="1"/>
      <c r="Z82" s="5">
        <f t="shared" ref="Z82:Z84" si="75">IF(T82=0,0,X82/T82)</f>
        <v>-0.19417973152986986</v>
      </c>
    </row>
    <row r="83" spans="1:26" s="24" customFormat="1" hidden="1" outlineLevel="2" x14ac:dyDescent="0.25">
      <c r="A83" s="27"/>
      <c r="B83" s="11" t="str">
        <f>CONCATENATE("          ", "6258", " - ", "MEMBERSHIP DUES")</f>
        <v xml:space="preserve">          6258 - MEMBERSHIP DUES</v>
      </c>
      <c r="C83" s="11"/>
      <c r="D83" s="6">
        <v>-775</v>
      </c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-775</v>
      </c>
      <c r="M83" s="2"/>
      <c r="N83" s="7">
        <f t="shared" si="71"/>
        <v>0</v>
      </c>
      <c r="O83" s="11"/>
      <c r="P83" s="6">
        <v>7864</v>
      </c>
      <c r="Q83" s="2"/>
      <c r="R83" s="7">
        <f t="shared" si="72"/>
        <v>0</v>
      </c>
      <c r="S83" s="2"/>
      <c r="T83" s="6">
        <v>8359</v>
      </c>
      <c r="U83" s="2"/>
      <c r="V83" s="7">
        <f t="shared" si="73"/>
        <v>41.795000000000002</v>
      </c>
      <c r="W83" s="2"/>
      <c r="X83" s="6">
        <f t="shared" si="74"/>
        <v>-495</v>
      </c>
      <c r="Y83" s="2"/>
      <c r="Z83" s="7">
        <f t="shared" si="75"/>
        <v>-5.9217609761933243E-2</v>
      </c>
    </row>
    <row r="84" spans="1:26" s="24" customFormat="1" hidden="1" outlineLevel="2" x14ac:dyDescent="0.25">
      <c r="A84" s="27"/>
      <c r="B84" s="11" t="str">
        <f>CONCATENATE("          ", "6275", " - ", "SUBSCRIPTIONS")</f>
        <v xml:space="preserve">          6275 - SUBSCRIPTIONS</v>
      </c>
      <c r="C84" s="11"/>
      <c r="D84" s="6"/>
      <c r="E84" s="2"/>
      <c r="F84" s="7">
        <f t="shared" si="68"/>
        <v>0</v>
      </c>
      <c r="G84" s="2"/>
      <c r="H84" s="6">
        <v>200</v>
      </c>
      <c r="I84" s="2"/>
      <c r="J84" s="7">
        <f t="shared" si="69"/>
        <v>0</v>
      </c>
      <c r="K84" s="2"/>
      <c r="L84" s="6">
        <f t="shared" si="70"/>
        <v>-200</v>
      </c>
      <c r="M84" s="2"/>
      <c r="N84" s="7">
        <f t="shared" si="71"/>
        <v>-1</v>
      </c>
      <c r="O84" s="11"/>
      <c r="P84" s="6"/>
      <c r="Q84" s="2"/>
      <c r="R84" s="7">
        <f t="shared" si="72"/>
        <v>0</v>
      </c>
      <c r="S84" s="2"/>
      <c r="T84" s="6">
        <v>1400</v>
      </c>
      <c r="U84" s="2"/>
      <c r="V84" s="7">
        <f t="shared" si="73"/>
        <v>7</v>
      </c>
      <c r="W84" s="2"/>
      <c r="X84" s="6">
        <f t="shared" si="74"/>
        <v>-1400</v>
      </c>
      <c r="Y84" s="2"/>
      <c r="Z84" s="7">
        <f t="shared" si="75"/>
        <v>-1</v>
      </c>
    </row>
    <row r="85" spans="1:26" s="26" customFormat="1" outlineLevel="1" collapsed="1" x14ac:dyDescent="0.25">
      <c r="A85" s="25"/>
      <c r="B85" s="12" t="str">
        <f>CONCATENATE("     ","Supplies                                          ")</f>
        <v xml:space="preserve">     Supplies                                          </v>
      </c>
      <c r="C85" s="12"/>
      <c r="D85" s="1">
        <f>SUM(OSRRefD22_17x_0)</f>
        <v>2591.77</v>
      </c>
      <c r="E85" s="1"/>
      <c r="F85" s="5">
        <f t="shared" ref="F85:F91" si="76">IF(D$12=0,0,D85/D$12)</f>
        <v>0</v>
      </c>
      <c r="G85" s="1"/>
      <c r="H85" s="1">
        <f>SUM(OSRRefH22_17x_0)</f>
        <v>4024</v>
      </c>
      <c r="I85" s="1"/>
      <c r="J85" s="5">
        <f t="shared" ref="J85:J91" si="77">IF(H$12=0,0,H85/H$12)</f>
        <v>0</v>
      </c>
      <c r="K85" s="1"/>
      <c r="L85" s="1">
        <f t="shared" ref="L85:L91" si="78">+D85-H85</f>
        <v>-1432.23</v>
      </c>
      <c r="M85" s="1"/>
      <c r="N85" s="5">
        <f t="shared" ref="N85:N91" si="79">IF(H85=0,0,L85/H85)</f>
        <v>-0.35592196819085486</v>
      </c>
      <c r="O85" s="12"/>
      <c r="P85" s="1">
        <f>SUM(OSRRefP22_17x_0)</f>
        <v>65426.86</v>
      </c>
      <c r="Q85" s="1"/>
      <c r="R85" s="5">
        <f t="shared" ref="R85:R91" si="80">IF(P$12=0,0,P85/P$12)</f>
        <v>0</v>
      </c>
      <c r="S85" s="1"/>
      <c r="T85" s="1">
        <f>SUM(OSRRefT22_17x_0)</f>
        <v>48246</v>
      </c>
      <c r="U85" s="1"/>
      <c r="V85" s="5">
        <f t="shared" ref="V85:V91" si="81">IF(T$12=0,0,T85/T$12)</f>
        <v>241.23</v>
      </c>
      <c r="W85" s="1"/>
      <c r="X85" s="1">
        <f t="shared" ref="X85:X91" si="82">+P85-T85</f>
        <v>17180.86</v>
      </c>
      <c r="Y85" s="1"/>
      <c r="Z85" s="5">
        <f t="shared" ref="Z85:Z91" si="83">IF(T85=0,0,X85/T85)</f>
        <v>0.35610952203291468</v>
      </c>
    </row>
    <row r="86" spans="1:26" s="24" customFormat="1" hidden="1" outlineLevel="2" x14ac:dyDescent="0.25">
      <c r="A86" s="27"/>
      <c r="B86" s="11" t="str">
        <f>CONCATENATE("          ", "6234", " - ", "EXPENDABLE SUPPLIES &amp; EQUIPMEN")</f>
        <v xml:space="preserve">          6234 - EXPENDABLE SUPPLIES &amp; EQUIPMEN</v>
      </c>
      <c r="C86" s="11"/>
      <c r="D86" s="6"/>
      <c r="E86" s="2"/>
      <c r="F86" s="7">
        <f t="shared" si="76"/>
        <v>0</v>
      </c>
      <c r="G86" s="2"/>
      <c r="H86" s="6">
        <v>500</v>
      </c>
      <c r="I86" s="2"/>
      <c r="J86" s="7">
        <f t="shared" si="77"/>
        <v>0</v>
      </c>
      <c r="K86" s="2"/>
      <c r="L86" s="6">
        <f t="shared" si="78"/>
        <v>-500</v>
      </c>
      <c r="M86" s="2"/>
      <c r="N86" s="7">
        <f t="shared" si="79"/>
        <v>-1</v>
      </c>
      <c r="O86" s="11"/>
      <c r="P86" s="6">
        <v>1223.6099999999999</v>
      </c>
      <c r="Q86" s="2"/>
      <c r="R86" s="7">
        <f t="shared" si="80"/>
        <v>0</v>
      </c>
      <c r="S86" s="2"/>
      <c r="T86" s="6">
        <v>7800</v>
      </c>
      <c r="U86" s="2"/>
      <c r="V86" s="7">
        <f t="shared" si="81"/>
        <v>39</v>
      </c>
      <c r="W86" s="2"/>
      <c r="X86" s="6">
        <f t="shared" si="82"/>
        <v>-6576.39</v>
      </c>
      <c r="Y86" s="2"/>
      <c r="Z86" s="7">
        <f t="shared" si="83"/>
        <v>-0.84312692307692316</v>
      </c>
    </row>
    <row r="87" spans="1:26" s="24" customFormat="1" hidden="1" outlineLevel="2" x14ac:dyDescent="0.25">
      <c r="A87" s="27"/>
      <c r="B87" s="11" t="str">
        <f>CONCATENATE("          ", "6235", " - ", "COVID-19 EXPENSES")</f>
        <v xml:space="preserve">          6235 - COVID-19 EXPENSES</v>
      </c>
      <c r="C87" s="11"/>
      <c r="D87" s="6">
        <v>1330.84</v>
      </c>
      <c r="E87" s="2"/>
      <c r="F87" s="7">
        <f t="shared" si="76"/>
        <v>0</v>
      </c>
      <c r="G87" s="2"/>
      <c r="H87" s="6"/>
      <c r="I87" s="2"/>
      <c r="J87" s="7">
        <f t="shared" si="77"/>
        <v>0</v>
      </c>
      <c r="K87" s="2"/>
      <c r="L87" s="6">
        <f t="shared" si="78"/>
        <v>1330.84</v>
      </c>
      <c r="M87" s="2"/>
      <c r="N87" s="7">
        <f t="shared" si="79"/>
        <v>0</v>
      </c>
      <c r="O87" s="11"/>
      <c r="P87" s="6">
        <v>6770.84</v>
      </c>
      <c r="Q87" s="2"/>
      <c r="R87" s="7">
        <f t="shared" si="80"/>
        <v>0</v>
      </c>
      <c r="S87" s="2"/>
      <c r="T87" s="6"/>
      <c r="U87" s="2"/>
      <c r="V87" s="7">
        <f t="shared" si="81"/>
        <v>0</v>
      </c>
      <c r="W87" s="2"/>
      <c r="X87" s="6">
        <f t="shared" si="82"/>
        <v>6770.84</v>
      </c>
      <c r="Y87" s="2"/>
      <c r="Z87" s="7">
        <f t="shared" si="83"/>
        <v>0</v>
      </c>
    </row>
    <row r="88" spans="1:26" s="24" customFormat="1" hidden="1" outlineLevel="2" x14ac:dyDescent="0.25">
      <c r="A88" s="27"/>
      <c r="B88" s="11" t="str">
        <f>CONCATENATE("          ", "6241", " - ", "OFFICE EXPENSE")</f>
        <v xml:space="preserve">          6241 - OFFICE EXPENSE</v>
      </c>
      <c r="C88" s="11"/>
      <c r="D88" s="6">
        <v>1260.93</v>
      </c>
      <c r="E88" s="2"/>
      <c r="F88" s="7">
        <f t="shared" si="76"/>
        <v>0</v>
      </c>
      <c r="G88" s="2"/>
      <c r="H88" s="6">
        <v>3107</v>
      </c>
      <c r="I88" s="2"/>
      <c r="J88" s="7">
        <f t="shared" si="77"/>
        <v>0</v>
      </c>
      <c r="K88" s="2"/>
      <c r="L88" s="6">
        <f t="shared" si="78"/>
        <v>-1846.07</v>
      </c>
      <c r="M88" s="2"/>
      <c r="N88" s="7">
        <f t="shared" si="79"/>
        <v>-0.5941647891857097</v>
      </c>
      <c r="O88" s="11"/>
      <c r="P88" s="6">
        <v>52152.87</v>
      </c>
      <c r="Q88" s="2"/>
      <c r="R88" s="7">
        <f t="shared" si="80"/>
        <v>0</v>
      </c>
      <c r="S88" s="2"/>
      <c r="T88" s="6">
        <v>34742</v>
      </c>
      <c r="U88" s="2"/>
      <c r="V88" s="7">
        <f t="shared" si="81"/>
        <v>173.71</v>
      </c>
      <c r="W88" s="2"/>
      <c r="X88" s="6">
        <f t="shared" si="82"/>
        <v>17410.870000000003</v>
      </c>
      <c r="Y88" s="2"/>
      <c r="Z88" s="7">
        <f t="shared" si="83"/>
        <v>0.50114760232571531</v>
      </c>
    </row>
    <row r="89" spans="1:26" s="24" customFormat="1" hidden="1" outlineLevel="2" x14ac:dyDescent="0.25">
      <c r="A89" s="27"/>
      <c r="B89" s="11" t="str">
        <f>CONCATENATE("          ", "6244", " - ", "SAFETY SUPPLY EXPENSE")</f>
        <v xml:space="preserve">          6244 - SAFETY SUPPLY EXPENSE</v>
      </c>
      <c r="C89" s="11"/>
      <c r="D89" s="6"/>
      <c r="E89" s="2"/>
      <c r="F89" s="7">
        <f t="shared" si="76"/>
        <v>0</v>
      </c>
      <c r="G89" s="2"/>
      <c r="H89" s="6">
        <v>417</v>
      </c>
      <c r="I89" s="2"/>
      <c r="J89" s="7">
        <f t="shared" si="77"/>
        <v>0</v>
      </c>
      <c r="K89" s="2"/>
      <c r="L89" s="6">
        <f t="shared" si="78"/>
        <v>-417</v>
      </c>
      <c r="M89" s="2"/>
      <c r="N89" s="7">
        <f t="shared" si="79"/>
        <v>-1</v>
      </c>
      <c r="O89" s="11"/>
      <c r="P89" s="6">
        <v>2034.69</v>
      </c>
      <c r="Q89" s="2"/>
      <c r="R89" s="7">
        <f t="shared" si="80"/>
        <v>0</v>
      </c>
      <c r="S89" s="2"/>
      <c r="T89" s="6">
        <v>5004</v>
      </c>
      <c r="U89" s="2"/>
      <c r="V89" s="7">
        <f t="shared" si="81"/>
        <v>25.02</v>
      </c>
      <c r="W89" s="2"/>
      <c r="X89" s="6">
        <f t="shared" si="82"/>
        <v>-2969.31</v>
      </c>
      <c r="Y89" s="2"/>
      <c r="Z89" s="7">
        <f t="shared" si="83"/>
        <v>-0.59338729016786573</v>
      </c>
    </row>
    <row r="90" spans="1:26" s="24" customFormat="1" hidden="1" outlineLevel="2" x14ac:dyDescent="0.25">
      <c r="A90" s="27"/>
      <c r="B90" s="11" t="str">
        <f>CONCATENATE("          ", "6245", " - ", "PRINTING")</f>
        <v xml:space="preserve">          6245 - PRINTING</v>
      </c>
      <c r="C90" s="11"/>
      <c r="D90" s="6"/>
      <c r="E90" s="2"/>
      <c r="F90" s="7">
        <f t="shared" si="76"/>
        <v>0</v>
      </c>
      <c r="G90" s="2"/>
      <c r="H90" s="6"/>
      <c r="I90" s="2"/>
      <c r="J90" s="7">
        <f t="shared" si="77"/>
        <v>0</v>
      </c>
      <c r="K90" s="2"/>
      <c r="L90" s="6">
        <f t="shared" si="78"/>
        <v>0</v>
      </c>
      <c r="M90" s="2"/>
      <c r="N90" s="7">
        <f t="shared" si="79"/>
        <v>0</v>
      </c>
      <c r="O90" s="11"/>
      <c r="P90" s="6">
        <v>3244.85</v>
      </c>
      <c r="Q90" s="2"/>
      <c r="R90" s="7">
        <f t="shared" si="80"/>
        <v>0</v>
      </c>
      <c r="S90" s="2"/>
      <c r="T90" s="6"/>
      <c r="U90" s="2"/>
      <c r="V90" s="7">
        <f t="shared" si="81"/>
        <v>0</v>
      </c>
      <c r="W90" s="2"/>
      <c r="X90" s="6">
        <f t="shared" si="82"/>
        <v>3244.85</v>
      </c>
      <c r="Y90" s="2"/>
      <c r="Z90" s="7">
        <f t="shared" si="83"/>
        <v>0</v>
      </c>
    </row>
    <row r="91" spans="1:26" s="24" customFormat="1" hidden="1" outlineLevel="2" x14ac:dyDescent="0.25">
      <c r="A91" s="27"/>
      <c r="B91" s="11" t="str">
        <f>CONCATENATE("          ", "6248", " - ", "UNIFORMS")</f>
        <v xml:space="preserve">          6248 - UNIFORMS</v>
      </c>
      <c r="C91" s="11"/>
      <c r="D91" s="6"/>
      <c r="E91" s="2"/>
      <c r="F91" s="7">
        <f t="shared" si="76"/>
        <v>0</v>
      </c>
      <c r="G91" s="2"/>
      <c r="H91" s="6"/>
      <c r="I91" s="2"/>
      <c r="J91" s="7">
        <f t="shared" si="77"/>
        <v>0</v>
      </c>
      <c r="K91" s="2"/>
      <c r="L91" s="6">
        <f t="shared" si="78"/>
        <v>0</v>
      </c>
      <c r="M91" s="2"/>
      <c r="N91" s="7">
        <f t="shared" si="79"/>
        <v>0</v>
      </c>
      <c r="O91" s="11"/>
      <c r="P91" s="6"/>
      <c r="Q91" s="2"/>
      <c r="R91" s="7">
        <f t="shared" si="80"/>
        <v>0</v>
      </c>
      <c r="S91" s="2"/>
      <c r="T91" s="6">
        <v>700</v>
      </c>
      <c r="U91" s="2"/>
      <c r="V91" s="7">
        <f t="shared" si="81"/>
        <v>3.5</v>
      </c>
      <c r="W91" s="2"/>
      <c r="X91" s="6">
        <f t="shared" si="82"/>
        <v>-700</v>
      </c>
      <c r="Y91" s="2"/>
      <c r="Z91" s="7">
        <f t="shared" si="83"/>
        <v>-1</v>
      </c>
    </row>
    <row r="92" spans="1:26" s="26" customFormat="1" outlineLevel="1" collapsed="1" x14ac:dyDescent="0.25">
      <c r="A92" s="25"/>
      <c r="B92" s="12" t="str">
        <f>CONCATENATE("     ","Telephone/Data Lines                              ")</f>
        <v xml:space="preserve">     Telephone/Data Lines                              </v>
      </c>
      <c r="C92" s="12"/>
      <c r="D92" s="1">
        <f>SUM(OSRRefD22_18x_0)</f>
        <v>1856.84</v>
      </c>
      <c r="E92" s="1"/>
      <c r="F92" s="5">
        <f t="shared" ref="F92:F94" si="84">IF(D$12=0,0,D92/D$12)</f>
        <v>0</v>
      </c>
      <c r="G92" s="1"/>
      <c r="H92" s="1">
        <f>SUM(OSRRefH22_18x_0)</f>
        <v>1730</v>
      </c>
      <c r="I92" s="1"/>
      <c r="J92" s="5">
        <f t="shared" ref="J92:J94" si="85">IF(H$12=0,0,H92/H$12)</f>
        <v>0</v>
      </c>
      <c r="K92" s="1"/>
      <c r="L92" s="1">
        <f t="shared" ref="L92:L94" si="86">+D92-H92</f>
        <v>126.83999999999992</v>
      </c>
      <c r="M92" s="1"/>
      <c r="N92" s="5">
        <f t="shared" ref="N92:N94" si="87">IF(H92=0,0,L92/H92)</f>
        <v>7.3317919075144455E-2</v>
      </c>
      <c r="O92" s="12"/>
      <c r="P92" s="1">
        <f>SUM(OSRRefP22_18x_0)</f>
        <v>28842.639999999999</v>
      </c>
      <c r="Q92" s="1"/>
      <c r="R92" s="5">
        <f t="shared" ref="R92:R94" si="88">IF(P$12=0,0,P92/P$12)</f>
        <v>0</v>
      </c>
      <c r="S92" s="1"/>
      <c r="T92" s="1">
        <f>SUM(OSRRefT22_18x_0)</f>
        <v>20460</v>
      </c>
      <c r="U92" s="1"/>
      <c r="V92" s="5">
        <f t="shared" ref="V92:V94" si="89">IF(T$12=0,0,T92/T$12)</f>
        <v>102.3</v>
      </c>
      <c r="W92" s="1"/>
      <c r="X92" s="1">
        <f t="shared" ref="X92:X94" si="90">+P92-T92</f>
        <v>8382.64</v>
      </c>
      <c r="Y92" s="1"/>
      <c r="Z92" s="5">
        <f t="shared" ref="Z92:Z94" si="91">IF(T92=0,0,X92/T92)</f>
        <v>0.40970869990224829</v>
      </c>
    </row>
    <row r="93" spans="1:26" s="24" customFormat="1" hidden="1" outlineLevel="2" x14ac:dyDescent="0.25">
      <c r="A93" s="27"/>
      <c r="B93" s="11" t="str">
        <f>CONCATENATE("          ", "6303", " - ", "DATA PHONE LINES")</f>
        <v xml:space="preserve">          6303 - DATA PHONE LINES</v>
      </c>
      <c r="C93" s="11"/>
      <c r="D93" s="6">
        <v>208.97</v>
      </c>
      <c r="E93" s="2"/>
      <c r="F93" s="7">
        <f t="shared" si="84"/>
        <v>0</v>
      </c>
      <c r="G93" s="2"/>
      <c r="H93" s="6">
        <v>300</v>
      </c>
      <c r="I93" s="2"/>
      <c r="J93" s="7">
        <f t="shared" si="85"/>
        <v>0</v>
      </c>
      <c r="K93" s="2"/>
      <c r="L93" s="6">
        <f t="shared" si="86"/>
        <v>-91.03</v>
      </c>
      <c r="M93" s="2"/>
      <c r="N93" s="7">
        <f t="shared" si="87"/>
        <v>-0.30343333333333333</v>
      </c>
      <c r="O93" s="11"/>
      <c r="P93" s="6">
        <v>1889.95</v>
      </c>
      <c r="Q93" s="2"/>
      <c r="R93" s="7">
        <f t="shared" si="88"/>
        <v>0</v>
      </c>
      <c r="S93" s="2"/>
      <c r="T93" s="6">
        <v>2700</v>
      </c>
      <c r="U93" s="2"/>
      <c r="V93" s="7">
        <f t="shared" si="89"/>
        <v>13.5</v>
      </c>
      <c r="W93" s="2"/>
      <c r="X93" s="6">
        <f t="shared" si="90"/>
        <v>-810.05</v>
      </c>
      <c r="Y93" s="2"/>
      <c r="Z93" s="7">
        <f t="shared" si="91"/>
        <v>-0.30001851851851852</v>
      </c>
    </row>
    <row r="94" spans="1:26" s="24" customFormat="1" hidden="1" outlineLevel="2" x14ac:dyDescent="0.25">
      <c r="A94" s="27"/>
      <c r="B94" s="11" t="str">
        <f>CONCATENATE("          ", "6309", " - ", "TELEPHONE")</f>
        <v xml:space="preserve">          6309 - TELEPHONE</v>
      </c>
      <c r="C94" s="11"/>
      <c r="D94" s="6">
        <v>1647.87</v>
      </c>
      <c r="E94" s="2"/>
      <c r="F94" s="7">
        <f t="shared" si="84"/>
        <v>0</v>
      </c>
      <c r="G94" s="2"/>
      <c r="H94" s="6">
        <v>1430</v>
      </c>
      <c r="I94" s="2"/>
      <c r="J94" s="7">
        <f t="shared" si="85"/>
        <v>0</v>
      </c>
      <c r="K94" s="2"/>
      <c r="L94" s="6">
        <f t="shared" si="86"/>
        <v>217.86999999999989</v>
      </c>
      <c r="M94" s="2"/>
      <c r="N94" s="7">
        <f t="shared" si="87"/>
        <v>0.15235664335664328</v>
      </c>
      <c r="O94" s="11"/>
      <c r="P94" s="6">
        <v>26952.69</v>
      </c>
      <c r="Q94" s="2"/>
      <c r="R94" s="7">
        <f t="shared" si="88"/>
        <v>0</v>
      </c>
      <c r="S94" s="2"/>
      <c r="T94" s="6">
        <v>17760</v>
      </c>
      <c r="U94" s="2"/>
      <c r="V94" s="7">
        <f t="shared" si="89"/>
        <v>88.8</v>
      </c>
      <c r="W94" s="2"/>
      <c r="X94" s="6">
        <f t="shared" si="90"/>
        <v>9192.6899999999987</v>
      </c>
      <c r="Y94" s="2"/>
      <c r="Z94" s="7">
        <f t="shared" si="91"/>
        <v>0.5176064189189189</v>
      </c>
    </row>
    <row r="95" spans="1:26" s="26" customFormat="1" outlineLevel="1" collapsed="1" x14ac:dyDescent="0.25">
      <c r="A95" s="25"/>
      <c r="B95" s="12" t="str">
        <f>CONCATENATE("     ","Training                                          ")</f>
        <v xml:space="preserve">     Training                                          </v>
      </c>
      <c r="C95" s="12"/>
      <c r="D95" s="1">
        <f>SUM(OSRRefD22_19x_0)</f>
        <v>-1353.17</v>
      </c>
      <c r="E95" s="1"/>
      <c r="F95" s="5">
        <f t="shared" ref="F95:F99" si="92">IF(D$12=0,0,D95/D$12)</f>
        <v>0</v>
      </c>
      <c r="G95" s="1"/>
      <c r="H95" s="1">
        <f>SUM(OSRRefH22_19x_0)</f>
        <v>2387</v>
      </c>
      <c r="I95" s="1"/>
      <c r="J95" s="5">
        <f t="shared" ref="J95:J99" si="93">IF(H$12=0,0,H95/H$12)</f>
        <v>0</v>
      </c>
      <c r="K95" s="1"/>
      <c r="L95" s="1">
        <f t="shared" ref="L95:L99" si="94">+D95-H95</f>
        <v>-3740.17</v>
      </c>
      <c r="M95" s="1"/>
      <c r="N95" s="5">
        <f t="shared" ref="N95:N99" si="95">IF(H95=0,0,L95/H95)</f>
        <v>-1.566891495601173</v>
      </c>
      <c r="O95" s="12"/>
      <c r="P95" s="1">
        <f>SUM(OSRRefP22_19x_0)</f>
        <v>20640.37</v>
      </c>
      <c r="Q95" s="1"/>
      <c r="R95" s="5">
        <f t="shared" ref="R95:R99" si="96">IF(P$12=0,0,P95/P$12)</f>
        <v>0</v>
      </c>
      <c r="S95" s="1"/>
      <c r="T95" s="1">
        <f>SUM(OSRRefT22_19x_0)</f>
        <v>35700</v>
      </c>
      <c r="U95" s="1"/>
      <c r="V95" s="5">
        <f t="shared" ref="V95:V99" si="97">IF(T$12=0,0,T95/T$12)</f>
        <v>178.5</v>
      </c>
      <c r="W95" s="1"/>
      <c r="X95" s="1">
        <f t="shared" ref="X95:X99" si="98">+P95-T95</f>
        <v>-15059.630000000001</v>
      </c>
      <c r="Y95" s="1"/>
      <c r="Z95" s="5">
        <f t="shared" ref="Z95:Z99" si="99">IF(T95=0,0,X95/T95)</f>
        <v>-0.42183837535014007</v>
      </c>
    </row>
    <row r="96" spans="1:26" s="24" customFormat="1" hidden="1" outlineLevel="2" x14ac:dyDescent="0.25">
      <c r="A96" s="27"/>
      <c r="B96" s="11" t="str">
        <f>CONCATENATE("          ", "6376", " - ", "TRAINING")</f>
        <v xml:space="preserve">          6376 - TRAINING</v>
      </c>
      <c r="C96" s="11"/>
      <c r="D96" s="6">
        <v>-1353.17</v>
      </c>
      <c r="E96" s="2"/>
      <c r="F96" s="7">
        <f t="shared" si="92"/>
        <v>0</v>
      </c>
      <c r="G96" s="2"/>
      <c r="H96" s="6">
        <v>2387</v>
      </c>
      <c r="I96" s="2"/>
      <c r="J96" s="7">
        <f t="shared" si="93"/>
        <v>0</v>
      </c>
      <c r="K96" s="2"/>
      <c r="L96" s="6">
        <f t="shared" si="94"/>
        <v>-3740.17</v>
      </c>
      <c r="M96" s="2"/>
      <c r="N96" s="7">
        <f t="shared" si="95"/>
        <v>-1.566891495601173</v>
      </c>
      <c r="O96" s="11"/>
      <c r="P96" s="6">
        <v>20640.37</v>
      </c>
      <c r="Q96" s="2"/>
      <c r="R96" s="7">
        <f t="shared" si="96"/>
        <v>0</v>
      </c>
      <c r="S96" s="2"/>
      <c r="T96" s="6">
        <v>35700</v>
      </c>
      <c r="U96" s="2"/>
      <c r="V96" s="7">
        <f t="shared" si="97"/>
        <v>178.5</v>
      </c>
      <c r="W96" s="2"/>
      <c r="X96" s="6">
        <f t="shared" si="98"/>
        <v>-15059.630000000001</v>
      </c>
      <c r="Y96" s="2"/>
      <c r="Z96" s="7">
        <f t="shared" si="99"/>
        <v>-0.42183837535014007</v>
      </c>
    </row>
    <row r="97" spans="1:26" s="26" customFormat="1" outlineLevel="1" collapsed="1" x14ac:dyDescent="0.25">
      <c r="A97" s="25"/>
      <c r="B97" s="12" t="str">
        <f>CONCATENATE("     ","Travel                                            ")</f>
        <v xml:space="preserve">     Travel                                            </v>
      </c>
      <c r="C97" s="12"/>
      <c r="D97" s="1">
        <f>SUM(OSRRefD22_20x_0)</f>
        <v>0</v>
      </c>
      <c r="E97" s="1"/>
      <c r="F97" s="5">
        <f t="shared" si="92"/>
        <v>0</v>
      </c>
      <c r="G97" s="1"/>
      <c r="H97" s="1">
        <f>SUM(OSRRefH22_20x_0)</f>
        <v>3000</v>
      </c>
      <c r="I97" s="1"/>
      <c r="J97" s="5">
        <f t="shared" si="93"/>
        <v>0</v>
      </c>
      <c r="K97" s="1"/>
      <c r="L97" s="1">
        <f t="shared" si="94"/>
        <v>-3000</v>
      </c>
      <c r="M97" s="1"/>
      <c r="N97" s="5">
        <f t="shared" si="95"/>
        <v>-1</v>
      </c>
      <c r="O97" s="12"/>
      <c r="P97" s="1">
        <f>SUM(OSRRefP22_20x_0)</f>
        <v>12860.449999999999</v>
      </c>
      <c r="Q97" s="1"/>
      <c r="R97" s="5">
        <f t="shared" si="96"/>
        <v>0</v>
      </c>
      <c r="S97" s="1"/>
      <c r="T97" s="1">
        <f>SUM(OSRRefT22_20x_0)</f>
        <v>40629</v>
      </c>
      <c r="U97" s="1"/>
      <c r="V97" s="5">
        <f t="shared" si="97"/>
        <v>203.14500000000001</v>
      </c>
      <c r="W97" s="1"/>
      <c r="X97" s="1">
        <f t="shared" si="98"/>
        <v>-27768.550000000003</v>
      </c>
      <c r="Y97" s="1"/>
      <c r="Z97" s="5">
        <f t="shared" si="99"/>
        <v>-0.6834662433237344</v>
      </c>
    </row>
    <row r="98" spans="1:26" s="24" customFormat="1" hidden="1" outlineLevel="2" x14ac:dyDescent="0.25">
      <c r="A98" s="27"/>
      <c r="B98" s="11" t="str">
        <f>CONCATENATE("          ", "6292", " - ", "TRAVEL/CONFERENCE")</f>
        <v xml:space="preserve">          6292 - TRAVEL/CONFERENCE</v>
      </c>
      <c r="C98" s="11"/>
      <c r="D98" s="6"/>
      <c r="E98" s="2"/>
      <c r="F98" s="7">
        <f t="shared" si="92"/>
        <v>0</v>
      </c>
      <c r="G98" s="2"/>
      <c r="H98" s="6">
        <v>3000</v>
      </c>
      <c r="I98" s="2"/>
      <c r="J98" s="7">
        <f t="shared" si="93"/>
        <v>0</v>
      </c>
      <c r="K98" s="2"/>
      <c r="L98" s="6">
        <f t="shared" si="94"/>
        <v>-3000</v>
      </c>
      <c r="M98" s="2"/>
      <c r="N98" s="7">
        <f t="shared" si="95"/>
        <v>-1</v>
      </c>
      <c r="O98" s="11"/>
      <c r="P98" s="6">
        <v>12836.55</v>
      </c>
      <c r="Q98" s="2"/>
      <c r="R98" s="7">
        <f t="shared" si="96"/>
        <v>0</v>
      </c>
      <c r="S98" s="2"/>
      <c r="T98" s="6">
        <v>39379</v>
      </c>
      <c r="U98" s="2"/>
      <c r="V98" s="7">
        <f t="shared" si="97"/>
        <v>196.89500000000001</v>
      </c>
      <c r="W98" s="2"/>
      <c r="X98" s="6">
        <f t="shared" si="98"/>
        <v>-26542.45</v>
      </c>
      <c r="Y98" s="2"/>
      <c r="Z98" s="7">
        <f t="shared" si="99"/>
        <v>-0.67402549582264659</v>
      </c>
    </row>
    <row r="99" spans="1:26" s="24" customFormat="1" hidden="1" outlineLevel="2" x14ac:dyDescent="0.25">
      <c r="A99" s="27"/>
      <c r="B99" s="11" t="str">
        <f>CONCATENATE("          ", "6294", " - ", "TRAVEL OPERATIONAL")</f>
        <v xml:space="preserve">          6294 - TRAVEL OPERATIONAL</v>
      </c>
      <c r="C99" s="11"/>
      <c r="D99" s="6"/>
      <c r="E99" s="2"/>
      <c r="F99" s="7">
        <f t="shared" si="92"/>
        <v>0</v>
      </c>
      <c r="G99" s="2"/>
      <c r="H99" s="6"/>
      <c r="I99" s="2"/>
      <c r="J99" s="7">
        <f t="shared" si="93"/>
        <v>0</v>
      </c>
      <c r="K99" s="2"/>
      <c r="L99" s="6">
        <f t="shared" si="94"/>
        <v>0</v>
      </c>
      <c r="M99" s="2"/>
      <c r="N99" s="7">
        <f t="shared" si="95"/>
        <v>0</v>
      </c>
      <c r="O99" s="11"/>
      <c r="P99" s="6">
        <v>23.9</v>
      </c>
      <c r="Q99" s="2"/>
      <c r="R99" s="7">
        <f t="shared" si="96"/>
        <v>0</v>
      </c>
      <c r="S99" s="2"/>
      <c r="T99" s="6">
        <v>1250</v>
      </c>
      <c r="U99" s="2"/>
      <c r="V99" s="7">
        <f t="shared" si="97"/>
        <v>6.25</v>
      </c>
      <c r="W99" s="2"/>
      <c r="X99" s="6">
        <f t="shared" si="98"/>
        <v>-1226.0999999999999</v>
      </c>
      <c r="Y99" s="2"/>
      <c r="Z99" s="7">
        <f t="shared" si="99"/>
        <v>-0.98087999999999997</v>
      </c>
    </row>
    <row r="100" spans="1:26" s="60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x14ac:dyDescent="0.25">
      <c r="A101" s="10"/>
      <c r="B101" s="28" t="s">
        <v>0</v>
      </c>
      <c r="C101" s="10"/>
      <c r="D101" s="4">
        <f>SUM(0)</f>
        <v>0</v>
      </c>
      <c r="E101" s="4"/>
      <c r="F101" s="13">
        <f>IF(D$12=0,0,D101/D$12)</f>
        <v>0</v>
      </c>
      <c r="G101" s="4"/>
      <c r="H101" s="4">
        <f>SUM(0)</f>
        <v>0</v>
      </c>
      <c r="I101" s="4"/>
      <c r="J101" s="13">
        <f>IF(H$12=0,0,H101/H$12)</f>
        <v>0</v>
      </c>
      <c r="K101" s="4"/>
      <c r="L101" s="4">
        <f>+D101-H101</f>
        <v>0</v>
      </c>
      <c r="M101" s="4"/>
      <c r="N101" s="13">
        <f>IF(H101=0,0,L101/H101)</f>
        <v>0</v>
      </c>
      <c r="O101" s="10"/>
      <c r="P101" s="4">
        <f>SUM(0)</f>
        <v>0</v>
      </c>
      <c r="Q101" s="4"/>
      <c r="R101" s="13">
        <f>IF(P$12=0,0,P101/P$12)</f>
        <v>0</v>
      </c>
      <c r="S101" s="4"/>
      <c r="T101" s="4">
        <f>SUM(0)</f>
        <v>0</v>
      </c>
      <c r="U101" s="4"/>
      <c r="V101" s="13">
        <f>IF(T$12=0,0,T101/T$12)</f>
        <v>0</v>
      </c>
      <c r="W101" s="4"/>
      <c r="X101" s="4">
        <f>+P101-T101</f>
        <v>0</v>
      </c>
      <c r="Y101" s="4"/>
      <c r="Z101" s="13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2">
        <f>+D17-D19+D101</f>
        <v>-1014635.2799999997</v>
      </c>
      <c r="E103" s="14"/>
      <c r="F103" s="20">
        <f>IF(D$12=0,0,D103/D$12)</f>
        <v>0</v>
      </c>
      <c r="G103" s="14"/>
      <c r="H103" s="22">
        <f>+H17-H19+H101</f>
        <v>-669635.06080233119</v>
      </c>
      <c r="I103" s="14"/>
      <c r="J103" s="20">
        <f>IF(H$12=0,0,H103/H$12)</f>
        <v>0</v>
      </c>
      <c r="K103" s="15"/>
      <c r="L103" s="22">
        <f>+D103-H103</f>
        <v>-345000.21919766848</v>
      </c>
      <c r="M103" s="15"/>
      <c r="N103" s="20">
        <f>IF(H103=0,0,L103/H103)</f>
        <v>0.51520632564295898</v>
      </c>
      <c r="O103" s="28"/>
      <c r="P103" s="22">
        <f>+P17-P19+P101</f>
        <v>-4336174.9600000018</v>
      </c>
      <c r="Q103" s="14"/>
      <c r="R103" s="20">
        <f>IF(P$12=0,0,P103/P$12)</f>
        <v>0</v>
      </c>
      <c r="S103" s="14"/>
      <c r="T103" s="22">
        <f>+T17-T19+T101</f>
        <v>-4852498.450629646</v>
      </c>
      <c r="U103" s="14"/>
      <c r="V103" s="20">
        <f>IF(T$12=0,0,T103/T$12)</f>
        <v>-24262.49225314823</v>
      </c>
      <c r="W103" s="15"/>
      <c r="X103" s="22">
        <f>+P103-T103</f>
        <v>516323.49062964413</v>
      </c>
      <c r="Y103" s="15"/>
      <c r="Z103" s="20">
        <f>IF(T103=0,0,X103/T103)</f>
        <v>-0.10640363843138322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/>
      <c r="E105" s="4"/>
      <c r="F105" s="13">
        <f>IF(D$12=0,0,D105/D$12)</f>
        <v>0</v>
      </c>
      <c r="G105" s="4"/>
      <c r="H105" s="4"/>
      <c r="I105" s="4"/>
      <c r="J105" s="13">
        <f>IF(H$12=0,0,H105/H$12)</f>
        <v>0</v>
      </c>
      <c r="K105" s="4"/>
      <c r="L105" s="4">
        <f>+D105-H105</f>
        <v>0</v>
      </c>
      <c r="M105" s="4"/>
      <c r="N105" s="13">
        <f>IF(H105=0,0,L105/H105)</f>
        <v>0</v>
      </c>
      <c r="O105" s="10"/>
      <c r="P105" s="4"/>
      <c r="Q105" s="4"/>
      <c r="R105" s="13">
        <f>IF(P$12=0,0,P105/P$12)</f>
        <v>0</v>
      </c>
      <c r="S105" s="4"/>
      <c r="T105" s="4"/>
      <c r="U105" s="4"/>
      <c r="V105" s="13">
        <f>IF(T$12=0,0,T105/T$12)</f>
        <v>0</v>
      </c>
      <c r="W105" s="4"/>
      <c r="X105" s="4">
        <f>+P105-T105</f>
        <v>0</v>
      </c>
      <c r="Y105" s="4"/>
      <c r="Z105" s="13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1">
        <f>+D103-D105</f>
        <v>-1014635.2799999997</v>
      </c>
      <c r="E107" s="14"/>
      <c r="F107" s="33">
        <f>IF(D$12=0,0,D107/D$12)</f>
        <v>0</v>
      </c>
      <c r="G107" s="14"/>
      <c r="H107" s="31">
        <f>+H103-H105</f>
        <v>-669635.06080233119</v>
      </c>
      <c r="I107" s="14"/>
      <c r="J107" s="33">
        <f>IF(H$12=0,0,H107/H$12)</f>
        <v>0</v>
      </c>
      <c r="K107" s="15"/>
      <c r="L107" s="31">
        <f>D107-H107</f>
        <v>-345000.21919766848</v>
      </c>
      <c r="M107" s="15"/>
      <c r="N107" s="33">
        <f>IF(H107=0,0,L107/H107)</f>
        <v>0.51520632564295898</v>
      </c>
      <c r="O107" s="28"/>
      <c r="P107" s="31">
        <f>+P103-P105</f>
        <v>-4336174.9600000018</v>
      </c>
      <c r="Q107" s="14"/>
      <c r="R107" s="33">
        <f>IF(P$12=0,0,P107/P$12)</f>
        <v>0</v>
      </c>
      <c r="S107" s="14"/>
      <c r="T107" s="31">
        <f>+T103-T105</f>
        <v>-4852498.450629646</v>
      </c>
      <c r="U107" s="14"/>
      <c r="V107" s="33">
        <f>IF(T$12=0,0,T107/T$12)</f>
        <v>-24262.49225314823</v>
      </c>
      <c r="W107" s="15"/>
      <c r="X107" s="31">
        <f>P107-T107</f>
        <v>516323.49062964413</v>
      </c>
      <c r="Y107" s="15"/>
      <c r="Z107" s="33">
        <f>IF(T107=0,0,X107/T107)</f>
        <v>-0.10640363843138322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4">
        <f>SUM(D107:D109)</f>
        <v>-1014635.2799999997</v>
      </c>
      <c r="E110" s="14"/>
      <c r="F110" s="35">
        <f>IF(D$12=0,0,D110/D$12)</f>
        <v>0</v>
      </c>
      <c r="G110" s="14"/>
      <c r="H110" s="34">
        <f>SUM(H107:H109)</f>
        <v>-669635.06080233119</v>
      </c>
      <c r="I110" s="14"/>
      <c r="J110" s="35">
        <f>IF(H$12=0,0,H110/H$12)</f>
        <v>0</v>
      </c>
      <c r="K110" s="15"/>
      <c r="L110" s="34">
        <f>+D110-H110</f>
        <v>-345000.21919766848</v>
      </c>
      <c r="M110" s="15"/>
      <c r="N110" s="35">
        <f>IF(H110=0,0,L110/H110)</f>
        <v>0.51520632564295898</v>
      </c>
      <c r="O110" s="28"/>
      <c r="P110" s="34">
        <f>SUM(P107:P109)</f>
        <v>-4336174.9600000018</v>
      </c>
      <c r="Q110" s="14"/>
      <c r="R110" s="35">
        <f>IF(P$12=0,0,P110/P$12)</f>
        <v>0</v>
      </c>
      <c r="S110" s="14"/>
      <c r="T110" s="34">
        <f>SUM(T107:T109)</f>
        <v>-4852498.450629646</v>
      </c>
      <c r="U110" s="14"/>
      <c r="V110" s="35">
        <f>IF(T$12=0,0,T110/T$12)</f>
        <v>-24262.49225314823</v>
      </c>
      <c r="W110" s="15"/>
      <c r="X110" s="34">
        <f>+P110-T110</f>
        <v>516323.49062964413</v>
      </c>
      <c r="Y110" s="15"/>
      <c r="Z110" s="35">
        <f>IF(T110=0,0,X110/T110)</f>
        <v>-0.10640363843138322</v>
      </c>
    </row>
    <row r="111" spans="1:26" ht="15.75" thickTop="1" x14ac:dyDescent="0.25">
      <c r="A111" s="9"/>
      <c r="C111" s="9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55">
        <v>44043.472816469905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62" t="s">
        <v>314</v>
      </c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A114" s="9"/>
      <c r="B114" s="63"/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25"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6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","200", " - ", "Corporate Expense")</f>
        <v>Department 200 - Corporate Expense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656214.15999999992</v>
      </c>
      <c r="E18" s="21"/>
      <c r="F18" s="32">
        <f t="shared" ref="F18:F21" si="0">IF(D$12=0,0,D18/D$12)</f>
        <v>0</v>
      </c>
      <c r="G18" s="21"/>
      <c r="H18" s="21">
        <f>SUM(OSRRefH22x_0)</f>
        <v>43000</v>
      </c>
      <c r="I18" s="21"/>
      <c r="J18" s="32">
        <f t="shared" ref="J18:J21" si="1">IF(H$12=0,0,H18/H$12)</f>
        <v>0</v>
      </c>
      <c r="K18" s="4"/>
      <c r="L18" s="21">
        <f t="shared" ref="L18:L21" si="2">+D18-H18</f>
        <v>613214.15999999992</v>
      </c>
      <c r="M18" s="4"/>
      <c r="N18" s="32">
        <f t="shared" ref="N18:N21" si="3">IF(H18=0,0,L18/H18)</f>
        <v>14.260794418604648</v>
      </c>
      <c r="O18" s="10"/>
      <c r="P18" s="21">
        <f>SUM(OSRRefP22x_0)</f>
        <v>1233508.1099999999</v>
      </c>
      <c r="Q18" s="21"/>
      <c r="R18" s="32">
        <f t="shared" ref="R18:R21" si="4">IF(P$12=0,0,P18/P$12)</f>
        <v>0</v>
      </c>
      <c r="S18" s="21"/>
      <c r="T18" s="21">
        <f>SUM(OSRRefT22x_0)</f>
        <v>773000</v>
      </c>
      <c r="U18" s="21"/>
      <c r="V18" s="32">
        <f t="shared" ref="V18:V21" si="5">IF(T$12=0,0,T18/T$12)</f>
        <v>0</v>
      </c>
      <c r="W18" s="4"/>
      <c r="X18" s="21">
        <f t="shared" ref="X18:X21" si="6">+P18-T18</f>
        <v>460508.10999999987</v>
      </c>
      <c r="Y18" s="4"/>
      <c r="Z18" s="32">
        <f t="shared" ref="Z18:Z21" si="7">IF(T18=0,0,X18/T18)</f>
        <v>0.59574141009055614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654750.22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615750.22</v>
      </c>
      <c r="M19" s="1"/>
      <c r="N19" s="5">
        <f t="shared" si="3"/>
        <v>15.78846717948718</v>
      </c>
      <c r="O19" s="12"/>
      <c r="P19" s="1">
        <f>SUM(OSRRefP22_0x_0)</f>
        <v>972746.03</v>
      </c>
      <c r="Q19" s="1"/>
      <c r="R19" s="5">
        <f t="shared" si="4"/>
        <v>0</v>
      </c>
      <c r="S19" s="1"/>
      <c r="T19" s="1">
        <f>SUM(OSRRefT22_0x_0)</f>
        <v>469300</v>
      </c>
      <c r="U19" s="1"/>
      <c r="V19" s="5">
        <f t="shared" si="5"/>
        <v>0</v>
      </c>
      <c r="W19" s="1"/>
      <c r="X19" s="1">
        <f t="shared" si="6"/>
        <v>503446.03</v>
      </c>
      <c r="Y19" s="1"/>
      <c r="Z19" s="5">
        <f t="shared" si="7"/>
        <v>1.072759492861709</v>
      </c>
    </row>
    <row r="20" spans="1:26" s="24" customFormat="1" hidden="1" outlineLevel="2" x14ac:dyDescent="0.25">
      <c r="A20" s="27"/>
      <c r="B20" s="11" t="str">
        <f>CONCATENATE("          ", "6115", " - ", "P.E.R.S.")</f>
        <v xml:space="preserve">          6115 - P.E.R.S.</v>
      </c>
      <c r="C20" s="11"/>
      <c r="D20" s="6">
        <v>823761</v>
      </c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823761</v>
      </c>
      <c r="M20" s="2"/>
      <c r="N20" s="7">
        <f t="shared" si="3"/>
        <v>0</v>
      </c>
      <c r="O20" s="11"/>
      <c r="P20" s="6">
        <v>823761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823761</v>
      </c>
      <c r="Y20" s="2"/>
      <c r="Z20" s="7">
        <f t="shared" si="7"/>
        <v>0</v>
      </c>
    </row>
    <row r="21" spans="1:26" s="24" customFormat="1" hidden="1" outlineLevel="2" x14ac:dyDescent="0.25">
      <c r="A21" s="27"/>
      <c r="B21" s="11" t="str">
        <f>CONCATENATE("          ", "6120", " - ", "RETIREES HEALTH INSURANCE")</f>
        <v xml:space="preserve">          6120 - RETIREES HEALTH INSURANCE</v>
      </c>
      <c r="C21" s="11"/>
      <c r="D21" s="6">
        <v>-169010.78</v>
      </c>
      <c r="E21" s="2"/>
      <c r="F21" s="7">
        <f t="shared" si="0"/>
        <v>0</v>
      </c>
      <c r="G21" s="2"/>
      <c r="H21" s="6">
        <v>39000</v>
      </c>
      <c r="I21" s="2"/>
      <c r="J21" s="7">
        <f t="shared" si="1"/>
        <v>0</v>
      </c>
      <c r="K21" s="2"/>
      <c r="L21" s="6">
        <f t="shared" si="2"/>
        <v>-208010.78</v>
      </c>
      <c r="M21" s="2"/>
      <c r="N21" s="7">
        <f t="shared" si="3"/>
        <v>-5.3336097435897436</v>
      </c>
      <c r="O21" s="11"/>
      <c r="P21" s="6">
        <v>148985.03</v>
      </c>
      <c r="Q21" s="2"/>
      <c r="R21" s="7">
        <f t="shared" si="4"/>
        <v>0</v>
      </c>
      <c r="S21" s="2"/>
      <c r="T21" s="6">
        <v>469300</v>
      </c>
      <c r="U21" s="2"/>
      <c r="V21" s="7">
        <f t="shared" si="5"/>
        <v>0</v>
      </c>
      <c r="W21" s="2"/>
      <c r="X21" s="6">
        <f t="shared" si="6"/>
        <v>-320314.96999999997</v>
      </c>
      <c r="Y21" s="2"/>
      <c r="Z21" s="7">
        <f t="shared" si="7"/>
        <v>-0.68253775836352004</v>
      </c>
    </row>
    <row r="22" spans="1:26" s="26" customFormat="1" outlineLevel="1" collapsed="1" x14ac:dyDescent="0.25">
      <c r="A22" s="25"/>
      <c r="B22" s="12" t="str">
        <f>CONCATENATE("     ","Bank/card Fees                                    ")</f>
        <v xml:space="preserve">     Bank/card Fees                                    </v>
      </c>
      <c r="C22" s="12"/>
      <c r="D22" s="1">
        <f>SUM(OSRRefD22_1x_0)</f>
        <v>11.34</v>
      </c>
      <c r="E22" s="1"/>
      <c r="F22" s="5">
        <f t="shared" ref="F22:F30" si="8">IF(D$12=0,0,D22/D$12)</f>
        <v>0</v>
      </c>
      <c r="G22" s="1"/>
      <c r="H22" s="1">
        <f>SUM(OSRRefH22_1x_0)</f>
        <v>2000</v>
      </c>
      <c r="I22" s="1"/>
      <c r="J22" s="5">
        <f t="shared" ref="J22:J30" si="9">IF(H$12=0,0,H22/H$12)</f>
        <v>0</v>
      </c>
      <c r="K22" s="1"/>
      <c r="L22" s="1">
        <f t="shared" ref="L22:L30" si="10">+D22-H22</f>
        <v>-1988.66</v>
      </c>
      <c r="M22" s="1"/>
      <c r="N22" s="5">
        <f t="shared" ref="N22:N30" si="11">IF(H22=0,0,L22/H22)</f>
        <v>-0.99433000000000005</v>
      </c>
      <c r="O22" s="12"/>
      <c r="P22" s="1">
        <f>SUM(OSRRefP22_1x_0)</f>
        <v>53963.340000000004</v>
      </c>
      <c r="Q22" s="1"/>
      <c r="R22" s="5">
        <f t="shared" ref="R22:R30" si="12">IF(P$12=0,0,P22/P$12)</f>
        <v>0</v>
      </c>
      <c r="S22" s="1"/>
      <c r="T22" s="1">
        <f>SUM(OSRRefT22_1x_0)</f>
        <v>72000</v>
      </c>
      <c r="U22" s="1"/>
      <c r="V22" s="5">
        <f t="shared" ref="V22:V30" si="13">IF(T$12=0,0,T22/T$12)</f>
        <v>0</v>
      </c>
      <c r="W22" s="1"/>
      <c r="X22" s="1">
        <f t="shared" ref="X22:X30" si="14">+P22-T22</f>
        <v>-18036.659999999996</v>
      </c>
      <c r="Y22" s="1"/>
      <c r="Z22" s="5">
        <f t="shared" ref="Z22:Z30" si="15">IF(T22=0,0,X22/T22)</f>
        <v>-0.25050916666666662</v>
      </c>
    </row>
    <row r="23" spans="1:26" s="24" customFormat="1" hidden="1" outlineLevel="2" x14ac:dyDescent="0.25">
      <c r="A23" s="27"/>
      <c r="B23" s="11" t="str">
        <f>CONCATENATE("          ", "6381", " - ", "BANK/CREDIT CARD FEES")</f>
        <v xml:space="preserve">          6381 - BANK/CREDIT CARD FEES</v>
      </c>
      <c r="C23" s="11"/>
      <c r="D23" s="6">
        <v>11.34</v>
      </c>
      <c r="E23" s="2"/>
      <c r="F23" s="7">
        <f t="shared" si="8"/>
        <v>0</v>
      </c>
      <c r="G23" s="2"/>
      <c r="H23" s="6">
        <v>2000</v>
      </c>
      <c r="I23" s="2"/>
      <c r="J23" s="7">
        <f t="shared" si="9"/>
        <v>0</v>
      </c>
      <c r="K23" s="2"/>
      <c r="L23" s="6">
        <f t="shared" si="10"/>
        <v>-1988.66</v>
      </c>
      <c r="M23" s="2"/>
      <c r="N23" s="7">
        <f t="shared" si="11"/>
        <v>-0.99433000000000005</v>
      </c>
      <c r="O23" s="11"/>
      <c r="P23" s="6">
        <v>53963.340000000004</v>
      </c>
      <c r="Q23" s="2"/>
      <c r="R23" s="7">
        <f t="shared" si="12"/>
        <v>0</v>
      </c>
      <c r="S23" s="2"/>
      <c r="T23" s="6">
        <v>72000</v>
      </c>
      <c r="U23" s="2"/>
      <c r="V23" s="7">
        <f t="shared" si="13"/>
        <v>0</v>
      </c>
      <c r="W23" s="2"/>
      <c r="X23" s="6">
        <f t="shared" si="14"/>
        <v>-18036.659999999996</v>
      </c>
      <c r="Y23" s="2"/>
      <c r="Z23" s="7">
        <f t="shared" si="15"/>
        <v>-0.25050916666666662</v>
      </c>
    </row>
    <row r="24" spans="1:26" s="26" customFormat="1" outlineLevel="1" collapsed="1" x14ac:dyDescent="0.25">
      <c r="A24" s="25"/>
      <c r="B24" s="12" t="str">
        <f>CONCATENATE("     ","Board                                             ")</f>
        <v xml:space="preserve">     Board                                             </v>
      </c>
      <c r="C24" s="12"/>
      <c r="D24" s="1">
        <f>SUM(OSRRefD22_2x_0)</f>
        <v>1452.6</v>
      </c>
      <c r="E24" s="1"/>
      <c r="F24" s="5">
        <f t="shared" si="8"/>
        <v>0</v>
      </c>
      <c r="G24" s="1"/>
      <c r="H24" s="1">
        <f>SUM(OSRRefH22_2x_0)</f>
        <v>2000</v>
      </c>
      <c r="I24" s="1"/>
      <c r="J24" s="5">
        <f t="shared" si="9"/>
        <v>0</v>
      </c>
      <c r="K24" s="1"/>
      <c r="L24" s="1">
        <f t="shared" si="10"/>
        <v>-547.40000000000009</v>
      </c>
      <c r="M24" s="1"/>
      <c r="N24" s="5">
        <f t="shared" si="11"/>
        <v>-0.27370000000000005</v>
      </c>
      <c r="O24" s="12"/>
      <c r="P24" s="1">
        <f>SUM(OSRRefP22_2x_0)</f>
        <v>42435.310000000005</v>
      </c>
      <c r="Q24" s="1"/>
      <c r="R24" s="5">
        <f t="shared" si="12"/>
        <v>0</v>
      </c>
      <c r="S24" s="1"/>
      <c r="T24" s="1">
        <f>SUM(OSRRefT22_2x_0)</f>
        <v>56200</v>
      </c>
      <c r="U24" s="1"/>
      <c r="V24" s="5">
        <f t="shared" si="13"/>
        <v>0</v>
      </c>
      <c r="W24" s="1"/>
      <c r="X24" s="1">
        <f t="shared" si="14"/>
        <v>-13764.689999999995</v>
      </c>
      <c r="Y24" s="1"/>
      <c r="Z24" s="5">
        <f t="shared" si="15"/>
        <v>-0.24492330960854083</v>
      </c>
    </row>
    <row r="25" spans="1:26" s="24" customFormat="1" hidden="1" outlineLevel="2" x14ac:dyDescent="0.25">
      <c r="A25" s="27"/>
      <c r="B25" s="11" t="str">
        <f>CONCATENATE("          ", "6397", " - ", "BOARD EXPENSES")</f>
        <v xml:space="preserve">          6397 - BOARD EXPENSES</v>
      </c>
      <c r="C25" s="11"/>
      <c r="D25" s="6">
        <v>1452.6</v>
      </c>
      <c r="E25" s="2"/>
      <c r="F25" s="7">
        <f t="shared" si="8"/>
        <v>0</v>
      </c>
      <c r="G25" s="2"/>
      <c r="H25" s="6">
        <v>2000</v>
      </c>
      <c r="I25" s="2"/>
      <c r="J25" s="7">
        <f t="shared" si="9"/>
        <v>0</v>
      </c>
      <c r="K25" s="2"/>
      <c r="L25" s="6">
        <f t="shared" si="10"/>
        <v>-547.40000000000009</v>
      </c>
      <c r="M25" s="2"/>
      <c r="N25" s="7">
        <f t="shared" si="11"/>
        <v>-0.27370000000000005</v>
      </c>
      <c r="O25" s="11"/>
      <c r="P25" s="6">
        <v>42435.310000000005</v>
      </c>
      <c r="Q25" s="2"/>
      <c r="R25" s="7">
        <f t="shared" si="12"/>
        <v>0</v>
      </c>
      <c r="S25" s="2"/>
      <c r="T25" s="6">
        <v>56200</v>
      </c>
      <c r="U25" s="2"/>
      <c r="V25" s="7">
        <f t="shared" si="13"/>
        <v>0</v>
      </c>
      <c r="W25" s="2"/>
      <c r="X25" s="6">
        <f t="shared" si="14"/>
        <v>-13764.689999999995</v>
      </c>
      <c r="Y25" s="2"/>
      <c r="Z25" s="7">
        <f t="shared" si="15"/>
        <v>-0.24492330960854083</v>
      </c>
    </row>
    <row r="26" spans="1:26" s="26" customFormat="1" outlineLevel="1" collapsed="1" x14ac:dyDescent="0.25">
      <c r="A26" s="25"/>
      <c r="B26" s="12" t="str">
        <f>CONCATENATE("     ","Donations                                         ")</f>
        <v xml:space="preserve">     Donations                                         </v>
      </c>
      <c r="C26" s="12"/>
      <c r="D26" s="1">
        <f>SUM(OSRRefD22_3x_0)</f>
        <v>0</v>
      </c>
      <c r="E26" s="1"/>
      <c r="F26" s="5">
        <f t="shared" si="8"/>
        <v>0</v>
      </c>
      <c r="G26" s="1"/>
      <c r="H26" s="1">
        <f>SUM(OSRRefH22_3x_0)</f>
        <v>0</v>
      </c>
      <c r="I26" s="1"/>
      <c r="J26" s="5">
        <f t="shared" si="9"/>
        <v>0</v>
      </c>
      <c r="K26" s="1"/>
      <c r="L26" s="1">
        <f t="shared" si="10"/>
        <v>0</v>
      </c>
      <c r="M26" s="1"/>
      <c r="N26" s="5">
        <f t="shared" si="11"/>
        <v>0</v>
      </c>
      <c r="O26" s="12"/>
      <c r="P26" s="1">
        <f>SUM(OSRRefP22_3x_0)</f>
        <v>103128.19</v>
      </c>
      <c r="Q26" s="1"/>
      <c r="R26" s="5">
        <f t="shared" si="12"/>
        <v>0</v>
      </c>
      <c r="S26" s="1"/>
      <c r="T26" s="1">
        <f>SUM(OSRRefT22_3x_0)</f>
        <v>97500</v>
      </c>
      <c r="U26" s="1"/>
      <c r="V26" s="5">
        <f t="shared" si="13"/>
        <v>0</v>
      </c>
      <c r="W26" s="1"/>
      <c r="X26" s="1">
        <f t="shared" si="14"/>
        <v>5628.1900000000023</v>
      </c>
      <c r="Y26" s="1"/>
      <c r="Z26" s="5">
        <f t="shared" si="15"/>
        <v>5.7725025641025662E-2</v>
      </c>
    </row>
    <row r="27" spans="1:26" s="24" customFormat="1" hidden="1" outlineLevel="2" x14ac:dyDescent="0.25">
      <c r="A27" s="27"/>
      <c r="B27" s="11" t="str">
        <f>CONCATENATE("          ", "6399", " - ", "DONATION-ON CAMPUS")</f>
        <v xml:space="preserve">          6399 - DONATION-ON CAMPUS</v>
      </c>
      <c r="C27" s="11"/>
      <c r="D27" s="6"/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0</v>
      </c>
      <c r="M27" s="2"/>
      <c r="N27" s="7">
        <f t="shared" si="11"/>
        <v>0</v>
      </c>
      <c r="O27" s="11"/>
      <c r="P27" s="6">
        <v>103128.19</v>
      </c>
      <c r="Q27" s="2"/>
      <c r="R27" s="7">
        <f t="shared" si="12"/>
        <v>0</v>
      </c>
      <c r="S27" s="2"/>
      <c r="T27" s="6">
        <v>97500</v>
      </c>
      <c r="U27" s="2"/>
      <c r="V27" s="7">
        <f t="shared" si="13"/>
        <v>0</v>
      </c>
      <c r="W27" s="2"/>
      <c r="X27" s="6">
        <f t="shared" si="14"/>
        <v>5628.1900000000023</v>
      </c>
      <c r="Y27" s="2"/>
      <c r="Z27" s="7">
        <f t="shared" si="15"/>
        <v>5.7725025641025662E-2</v>
      </c>
    </row>
    <row r="28" spans="1:26" s="26" customFormat="1" outlineLevel="1" collapsed="1" x14ac:dyDescent="0.25">
      <c r="A28" s="25"/>
      <c r="B28" s="12" t="str">
        <f>CONCATENATE("     ","Professional Services                             ")</f>
        <v xml:space="preserve">     Professional Services                             </v>
      </c>
      <c r="C28" s="12"/>
      <c r="D28" s="1">
        <f>SUM(OSRRefD22_4x_0)</f>
        <v>0</v>
      </c>
      <c r="E28" s="1"/>
      <c r="F28" s="5">
        <f t="shared" si="8"/>
        <v>0</v>
      </c>
      <c r="G28" s="1"/>
      <c r="H28" s="1">
        <f>SUM(OSRRefH22_4x_0)</f>
        <v>0</v>
      </c>
      <c r="I28" s="1"/>
      <c r="J28" s="5">
        <f t="shared" si="9"/>
        <v>0</v>
      </c>
      <c r="K28" s="1"/>
      <c r="L28" s="1">
        <f t="shared" si="10"/>
        <v>0</v>
      </c>
      <c r="M28" s="1"/>
      <c r="N28" s="5">
        <f t="shared" si="11"/>
        <v>0</v>
      </c>
      <c r="O28" s="12"/>
      <c r="P28" s="1">
        <f>SUM(OSRRefP22_4x_0)</f>
        <v>61235.24</v>
      </c>
      <c r="Q28" s="1"/>
      <c r="R28" s="5">
        <f t="shared" si="12"/>
        <v>0</v>
      </c>
      <c r="S28" s="1"/>
      <c r="T28" s="1">
        <f>SUM(OSRRefT22_4x_0)</f>
        <v>78000</v>
      </c>
      <c r="U28" s="1"/>
      <c r="V28" s="5">
        <f t="shared" si="13"/>
        <v>0</v>
      </c>
      <c r="W28" s="1"/>
      <c r="X28" s="1">
        <f t="shared" si="14"/>
        <v>-16764.760000000002</v>
      </c>
      <c r="Y28" s="1"/>
      <c r="Z28" s="5">
        <f t="shared" si="15"/>
        <v>-0.21493282051282053</v>
      </c>
    </row>
    <row r="29" spans="1:26" s="24" customFormat="1" hidden="1" outlineLevel="2" x14ac:dyDescent="0.25">
      <c r="A29" s="27"/>
      <c r="B29" s="11" t="str">
        <f>CONCATENATE("          ", "6331", " - ", "INDIRECT COSTS-AUXILIARY ORGAN")</f>
        <v xml:space="preserve">          6331 - INDIRECT COSTS-AUXILIARY ORGAN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46173</v>
      </c>
      <c r="Q29" s="2"/>
      <c r="R29" s="7">
        <f t="shared" si="12"/>
        <v>0</v>
      </c>
      <c r="S29" s="2"/>
      <c r="T29" s="6">
        <v>50000</v>
      </c>
      <c r="U29" s="2"/>
      <c r="V29" s="7">
        <f t="shared" si="13"/>
        <v>0</v>
      </c>
      <c r="W29" s="2"/>
      <c r="X29" s="6">
        <f t="shared" si="14"/>
        <v>-3827</v>
      </c>
      <c r="Y29" s="2"/>
      <c r="Z29" s="7">
        <f t="shared" si="15"/>
        <v>-7.6539999999999997E-2</v>
      </c>
    </row>
    <row r="30" spans="1:26" s="24" customFormat="1" hidden="1" outlineLevel="2" x14ac:dyDescent="0.25">
      <c r="A30" s="27"/>
      <c r="B30" s="11" t="str">
        <f>CONCATENATE("          ", "6332", " - ", "CONSULTANT FEES")</f>
        <v xml:space="preserve">          6332 - CONSULTANT FEES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15062.24</v>
      </c>
      <c r="Q30" s="2"/>
      <c r="R30" s="7">
        <f t="shared" si="12"/>
        <v>0</v>
      </c>
      <c r="S30" s="2"/>
      <c r="T30" s="6">
        <v>28000</v>
      </c>
      <c r="U30" s="2"/>
      <c r="V30" s="7">
        <f t="shared" si="13"/>
        <v>0</v>
      </c>
      <c r="W30" s="2"/>
      <c r="X30" s="6">
        <f t="shared" si="14"/>
        <v>-12937.76</v>
      </c>
      <c r="Y30" s="2"/>
      <c r="Z30" s="7">
        <f t="shared" si="15"/>
        <v>-0.46206285714285716</v>
      </c>
    </row>
    <row r="31" spans="1:26" s="60" customFormat="1" x14ac:dyDescent="0.25">
      <c r="A31" s="36"/>
      <c r="B31" s="36"/>
      <c r="C31" s="36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0</v>
      </c>
      <c r="C32" s="10"/>
      <c r="D32" s="4">
        <f>SUM(0)</f>
        <v>0</v>
      </c>
      <c r="E32" s="4"/>
      <c r="F32" s="13">
        <f>IF(D$12=0,0,D32/D$12)</f>
        <v>0</v>
      </c>
      <c r="G32" s="4"/>
      <c r="H32" s="4">
        <f>SUM(0)</f>
        <v>0</v>
      </c>
      <c r="I32" s="4"/>
      <c r="J32" s="13">
        <f>IF(H$12=0,0,H32/H$12)</f>
        <v>0</v>
      </c>
      <c r="K32" s="4"/>
      <c r="L32" s="4">
        <f>+D32-H32</f>
        <v>0</v>
      </c>
      <c r="M32" s="4"/>
      <c r="N32" s="13">
        <f>IF(H32=0,0,L32/H32)</f>
        <v>0</v>
      </c>
      <c r="O32" s="10"/>
      <c r="P32" s="4">
        <f>SUM(0)</f>
        <v>0</v>
      </c>
      <c r="Q32" s="4"/>
      <c r="R32" s="13">
        <f>IF(P$12=0,0,P32/P$12)</f>
        <v>0</v>
      </c>
      <c r="S32" s="4"/>
      <c r="T32" s="4">
        <f>SUM(0)</f>
        <v>0</v>
      </c>
      <c r="U32" s="4"/>
      <c r="V32" s="13">
        <f>IF(T$12=0,0,T32/T$12)</f>
        <v>0</v>
      </c>
      <c r="W32" s="4"/>
      <c r="X32" s="4">
        <f>+P32-T32</f>
        <v>0</v>
      </c>
      <c r="Y32" s="4"/>
      <c r="Z32" s="13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10"/>
      <c r="B34" s="29" t="s">
        <v>3</v>
      </c>
      <c r="C34" s="29"/>
      <c r="D34" s="22">
        <f>+D16-D18+D32</f>
        <v>-656214.15999999992</v>
      </c>
      <c r="E34" s="14"/>
      <c r="F34" s="20">
        <f>IF(D$12=0,0,D34/D$12)</f>
        <v>0</v>
      </c>
      <c r="G34" s="14"/>
      <c r="H34" s="22">
        <f>+H16-H18+H32</f>
        <v>-43000</v>
      </c>
      <c r="I34" s="14"/>
      <c r="J34" s="20">
        <f>IF(H$12=0,0,H34/H$12)</f>
        <v>0</v>
      </c>
      <c r="K34" s="15"/>
      <c r="L34" s="22">
        <f>+D34-H34</f>
        <v>-613214.15999999992</v>
      </c>
      <c r="M34" s="15"/>
      <c r="N34" s="20">
        <f>IF(H34=0,0,L34/H34)</f>
        <v>14.260794418604648</v>
      </c>
      <c r="O34" s="28"/>
      <c r="P34" s="22">
        <f>+P16-P18+P32</f>
        <v>-1233508.1099999999</v>
      </c>
      <c r="Q34" s="14"/>
      <c r="R34" s="20">
        <f>IF(P$12=0,0,P34/P$12)</f>
        <v>0</v>
      </c>
      <c r="S34" s="14"/>
      <c r="T34" s="22">
        <f>+T16-T18+T32</f>
        <v>-773000</v>
      </c>
      <c r="U34" s="14"/>
      <c r="V34" s="20">
        <f>IF(T$12=0,0,T34/T$12)</f>
        <v>0</v>
      </c>
      <c r="W34" s="15"/>
      <c r="X34" s="22">
        <f>+P34-T34</f>
        <v>-460508.10999999987</v>
      </c>
      <c r="Y34" s="15"/>
      <c r="Z34" s="20">
        <f>IF(T34=0,0,X34/T34)</f>
        <v>0.59574141009055614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52"/>
      <c r="B36" s="10" t="s">
        <v>14</v>
      </c>
      <c r="C36" s="10"/>
      <c r="D36" s="4"/>
      <c r="E36" s="4"/>
      <c r="F36" s="13">
        <f>IF(D$12=0,0,D36/D$12)</f>
        <v>0</v>
      </c>
      <c r="G36" s="4"/>
      <c r="H36" s="4"/>
      <c r="I36" s="4"/>
      <c r="J36" s="13">
        <f>IF(H$12=0,0,H36/H$12)</f>
        <v>0</v>
      </c>
      <c r="K36" s="4"/>
      <c r="L36" s="4">
        <f>+D36-H36</f>
        <v>0</v>
      </c>
      <c r="M36" s="4"/>
      <c r="N36" s="13">
        <f>IF(H36=0,0,L36/H36)</f>
        <v>0</v>
      </c>
      <c r="O36" s="10"/>
      <c r="P36" s="4"/>
      <c r="Q36" s="4"/>
      <c r="R36" s="13">
        <f>IF(P$12=0,0,P36/P$12)</f>
        <v>0</v>
      </c>
      <c r="S36" s="4"/>
      <c r="T36" s="4"/>
      <c r="U36" s="4"/>
      <c r="V36" s="13">
        <f>IF(T$12=0,0,T36/T$12)</f>
        <v>0</v>
      </c>
      <c r="W36" s="4"/>
      <c r="X36" s="4">
        <f>+P36-T36</f>
        <v>0</v>
      </c>
      <c r="Y36" s="4"/>
      <c r="Z36" s="13">
        <f>IF(T36=0,0,X36/T36)</f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9" t="s">
        <v>4</v>
      </c>
      <c r="C38" s="29"/>
      <c r="D38" s="31">
        <f>+D34-D36</f>
        <v>-656214.15999999992</v>
      </c>
      <c r="E38" s="14"/>
      <c r="F38" s="33">
        <f>IF(D$12=0,0,D38/D$12)</f>
        <v>0</v>
      </c>
      <c r="G38" s="14"/>
      <c r="H38" s="31">
        <f>+H34-H36</f>
        <v>-43000</v>
      </c>
      <c r="I38" s="14"/>
      <c r="J38" s="33">
        <f>IF(H$12=0,0,H38/H$12)</f>
        <v>0</v>
      </c>
      <c r="K38" s="15"/>
      <c r="L38" s="31">
        <f>D38-H38</f>
        <v>-613214.15999999992</v>
      </c>
      <c r="M38" s="15"/>
      <c r="N38" s="33">
        <f>IF(H38=0,0,L38/H38)</f>
        <v>14.260794418604648</v>
      </c>
      <c r="O38" s="28"/>
      <c r="P38" s="31">
        <f>+P34-P36</f>
        <v>-1233508.1099999999</v>
      </c>
      <c r="Q38" s="14"/>
      <c r="R38" s="33">
        <f>IF(P$12=0,0,P38/P$12)</f>
        <v>0</v>
      </c>
      <c r="S38" s="14"/>
      <c r="T38" s="31">
        <f>+T34-T36</f>
        <v>-773000</v>
      </c>
      <c r="U38" s="14"/>
      <c r="V38" s="33">
        <f>IF(T$12=0,0,T38/T$12)</f>
        <v>0</v>
      </c>
      <c r="W38" s="15"/>
      <c r="X38" s="31">
        <f>P38-T38</f>
        <v>-460508.10999999987</v>
      </c>
      <c r="Y38" s="15"/>
      <c r="Z38" s="33">
        <f>IF(T38=0,0,X38/T38)</f>
        <v>0.59574141009055614</v>
      </c>
    </row>
    <row r="39" spans="1:26" ht="15.75" thickTop="1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9" t="s">
        <v>5</v>
      </c>
      <c r="C41" s="29"/>
      <c r="D41" s="34">
        <f>SUM(D38:D40)</f>
        <v>-656214.15999999992</v>
      </c>
      <c r="E41" s="14"/>
      <c r="F41" s="35">
        <f>IF(D$12=0,0,D41/D$12)</f>
        <v>0</v>
      </c>
      <c r="G41" s="14"/>
      <c r="H41" s="34">
        <f>SUM(H38:H40)</f>
        <v>-43000</v>
      </c>
      <c r="I41" s="14"/>
      <c r="J41" s="35">
        <f>IF(H$12=0,0,H41/H$12)</f>
        <v>0</v>
      </c>
      <c r="K41" s="15"/>
      <c r="L41" s="34">
        <f>+D41-H41</f>
        <v>-613214.15999999992</v>
      </c>
      <c r="M41" s="15"/>
      <c r="N41" s="35">
        <f>IF(H41=0,0,L41/H41)</f>
        <v>14.260794418604648</v>
      </c>
      <c r="O41" s="28"/>
      <c r="P41" s="34">
        <f>SUM(P38:P40)</f>
        <v>-1233508.1099999999</v>
      </c>
      <c r="Q41" s="14"/>
      <c r="R41" s="35">
        <f>IF(P$12=0,0,P41/P$12)</f>
        <v>0</v>
      </c>
      <c r="S41" s="14"/>
      <c r="T41" s="34">
        <f>SUM(T38:T40)</f>
        <v>-773000</v>
      </c>
      <c r="U41" s="14"/>
      <c r="V41" s="35">
        <f>IF(T$12=0,0,T41/T$12)</f>
        <v>0</v>
      </c>
      <c r="W41" s="15"/>
      <c r="X41" s="34">
        <f>+P41-T41</f>
        <v>-460508.10999999987</v>
      </c>
      <c r="Y41" s="15"/>
      <c r="Z41" s="35">
        <f>IF(T41=0,0,X41/T41)</f>
        <v>0.59574141009055614</v>
      </c>
    </row>
    <row r="42" spans="1:26" ht="15.75" thickTop="1" x14ac:dyDescent="0.25">
      <c r="A42" s="9"/>
      <c r="C42" s="9"/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55">
        <v>44043.473149224534</v>
      </c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62" t="s">
        <v>314</v>
      </c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A45" s="9"/>
      <c r="B45" s="63"/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25"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","201", " - ", "General Manager")</f>
        <v>Department 201 - General Manager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224540.49000000002</v>
      </c>
      <c r="E18" s="21"/>
      <c r="F18" s="32">
        <f t="shared" ref="F18:F28" si="0">IF(D$12=0,0,D18/D$12)</f>
        <v>0</v>
      </c>
      <c r="G18" s="21"/>
      <c r="H18" s="21">
        <f>SUM(OSRRefH22x_0)</f>
        <v>433373.3022015384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-208832.81220153839</v>
      </c>
      <c r="M18" s="4"/>
      <c r="N18" s="32">
        <f t="shared" ref="N18:N28" si="3">IF(H18=0,0,L18/H18)</f>
        <v>-0.48187742793722343</v>
      </c>
      <c r="O18" s="10"/>
      <c r="P18" s="21">
        <f>SUM(OSRRefP22x_0)</f>
        <v>854503.02</v>
      </c>
      <c r="Q18" s="21"/>
      <c r="R18" s="32">
        <f t="shared" ref="R18:R28" si="4">IF(P$12=0,0,P18/P$12)</f>
        <v>0</v>
      </c>
      <c r="S18" s="21"/>
      <c r="T18" s="21">
        <f>SUM(OSRRefT22x_0)</f>
        <v>1578965.035204615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-724462.01520461496</v>
      </c>
      <c r="Y18" s="4"/>
      <c r="Z18" s="32">
        <f t="shared" ref="Z18:Z28" si="7">IF(T18=0,0,X18/T18)</f>
        <v>-0.45882080923390006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8791.73</v>
      </c>
      <c r="E19" s="1"/>
      <c r="F19" s="5">
        <f t="shared" si="0"/>
        <v>0</v>
      </c>
      <c r="G19" s="1"/>
      <c r="H19" s="1">
        <f>SUM(OSRRefH22_0x_0)</f>
        <v>13294.332970769234</v>
      </c>
      <c r="I19" s="1"/>
      <c r="J19" s="5">
        <f t="shared" si="1"/>
        <v>0</v>
      </c>
      <c r="K19" s="1"/>
      <c r="L19" s="1">
        <f t="shared" si="2"/>
        <v>-4502.6029707692342</v>
      </c>
      <c r="M19" s="1"/>
      <c r="N19" s="5">
        <f t="shared" si="3"/>
        <v>-0.33868588824044665</v>
      </c>
      <c r="O19" s="12"/>
      <c r="P19" s="1">
        <f>SUM(OSRRefP22_0x_0)</f>
        <v>160261.31</v>
      </c>
      <c r="Q19" s="1"/>
      <c r="R19" s="5">
        <f t="shared" si="4"/>
        <v>0</v>
      </c>
      <c r="S19" s="1"/>
      <c r="T19" s="1">
        <f>SUM(OSRRefT22_0x_0)</f>
        <v>165964.43520461547</v>
      </c>
      <c r="U19" s="1"/>
      <c r="V19" s="5">
        <f t="shared" si="5"/>
        <v>0</v>
      </c>
      <c r="W19" s="1"/>
      <c r="X19" s="1">
        <f t="shared" si="6"/>
        <v>-5703.1252046154696</v>
      </c>
      <c r="Y19" s="1"/>
      <c r="Z19" s="5">
        <f t="shared" si="7"/>
        <v>-3.4363538173610257E-2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1447.18</v>
      </c>
      <c r="E20" s="2"/>
      <c r="F20" s="7">
        <f t="shared" si="0"/>
        <v>0</v>
      </c>
      <c r="G20" s="2"/>
      <c r="H20" s="6">
        <v>374.72620153846202</v>
      </c>
      <c r="I20" s="2"/>
      <c r="J20" s="7">
        <f t="shared" si="1"/>
        <v>0</v>
      </c>
      <c r="K20" s="2"/>
      <c r="L20" s="6">
        <f t="shared" si="2"/>
        <v>1072.4537984615381</v>
      </c>
      <c r="M20" s="2"/>
      <c r="N20" s="7">
        <f t="shared" si="3"/>
        <v>2.8619664012244446</v>
      </c>
      <c r="O20" s="11"/>
      <c r="P20" s="6">
        <v>22345.24</v>
      </c>
      <c r="Q20" s="2"/>
      <c r="R20" s="7">
        <f t="shared" si="4"/>
        <v>0</v>
      </c>
      <c r="S20" s="2"/>
      <c r="T20" s="6">
        <v>29028.547204615421</v>
      </c>
      <c r="U20" s="2"/>
      <c r="V20" s="7">
        <f t="shared" si="5"/>
        <v>0</v>
      </c>
      <c r="W20" s="2"/>
      <c r="X20" s="6">
        <f t="shared" si="6"/>
        <v>-6683.3072046154193</v>
      </c>
      <c r="Y20" s="2"/>
      <c r="Z20" s="7">
        <f t="shared" si="7"/>
        <v>-0.23023223165480361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64.319999999999993</v>
      </c>
      <c r="E21" s="2"/>
      <c r="F21" s="7">
        <f t="shared" si="0"/>
        <v>0</v>
      </c>
      <c r="G21" s="2"/>
      <c r="H21" s="6">
        <v>1347.0836615384601</v>
      </c>
      <c r="I21" s="2"/>
      <c r="J21" s="7">
        <f t="shared" si="1"/>
        <v>0</v>
      </c>
      <c r="K21" s="2"/>
      <c r="L21" s="6">
        <f t="shared" si="2"/>
        <v>-1282.7636615384602</v>
      </c>
      <c r="M21" s="2"/>
      <c r="N21" s="7">
        <f t="shared" si="3"/>
        <v>-0.95225240878763073</v>
      </c>
      <c r="O21" s="11"/>
      <c r="P21" s="6">
        <v>1283.3499999999999</v>
      </c>
      <c r="Q21" s="2"/>
      <c r="R21" s="7">
        <f t="shared" si="4"/>
        <v>0</v>
      </c>
      <c r="S21" s="2"/>
      <c r="T21" s="6">
        <v>2620.0876000000021</v>
      </c>
      <c r="U21" s="2"/>
      <c r="V21" s="7">
        <f t="shared" si="5"/>
        <v>0</v>
      </c>
      <c r="W21" s="2"/>
      <c r="X21" s="6">
        <f t="shared" si="6"/>
        <v>-1336.7376000000022</v>
      </c>
      <c r="Y21" s="2"/>
      <c r="Z21" s="7">
        <f t="shared" si="7"/>
        <v>-0.51018813264106178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3965.44</v>
      </c>
      <c r="E22" s="2"/>
      <c r="F22" s="7">
        <f t="shared" si="0"/>
        <v>0</v>
      </c>
      <c r="G22" s="2"/>
      <c r="H22" s="6">
        <v>4739</v>
      </c>
      <c r="I22" s="2"/>
      <c r="J22" s="7">
        <f t="shared" si="1"/>
        <v>0</v>
      </c>
      <c r="K22" s="2"/>
      <c r="L22" s="6">
        <f t="shared" si="2"/>
        <v>-773.56</v>
      </c>
      <c r="M22" s="2"/>
      <c r="N22" s="7">
        <f t="shared" si="3"/>
        <v>-0.16323274952521627</v>
      </c>
      <c r="O22" s="11"/>
      <c r="P22" s="6">
        <v>48932.5</v>
      </c>
      <c r="Q22" s="2"/>
      <c r="R22" s="7">
        <f t="shared" si="4"/>
        <v>0</v>
      </c>
      <c r="S22" s="2"/>
      <c r="T22" s="6">
        <v>56868</v>
      </c>
      <c r="U22" s="2"/>
      <c r="V22" s="7">
        <f t="shared" si="5"/>
        <v>0</v>
      </c>
      <c r="W22" s="2"/>
      <c r="X22" s="6">
        <f t="shared" si="6"/>
        <v>-7935.5</v>
      </c>
      <c r="Y22" s="2"/>
      <c r="Z22" s="7">
        <f t="shared" si="7"/>
        <v>-0.1395424491805585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-1088.8900000000001</v>
      </c>
      <c r="E23" s="2"/>
      <c r="F23" s="7">
        <f t="shared" si="0"/>
        <v>0</v>
      </c>
      <c r="G23" s="2"/>
      <c r="H23" s="6">
        <v>1030.1228000000001</v>
      </c>
      <c r="I23" s="2"/>
      <c r="J23" s="7">
        <f t="shared" si="1"/>
        <v>0</v>
      </c>
      <c r="K23" s="2"/>
      <c r="L23" s="6">
        <f t="shared" si="2"/>
        <v>-2119.0128000000004</v>
      </c>
      <c r="M23" s="2"/>
      <c r="N23" s="7">
        <f t="shared" si="3"/>
        <v>-2.057048732442385</v>
      </c>
      <c r="O23" s="11"/>
      <c r="P23" s="6">
        <v>0</v>
      </c>
      <c r="Q23" s="2"/>
      <c r="R23" s="7">
        <f t="shared" si="4"/>
        <v>0</v>
      </c>
      <c r="S23" s="2"/>
      <c r="T23" s="6">
        <v>2003.5963999999999</v>
      </c>
      <c r="U23" s="2"/>
      <c r="V23" s="7">
        <f t="shared" si="5"/>
        <v>0</v>
      </c>
      <c r="W23" s="2"/>
      <c r="X23" s="6">
        <f t="shared" si="6"/>
        <v>-2003.5963999999999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1898.57</v>
      </c>
      <c r="E24" s="2"/>
      <c r="F24" s="7">
        <f t="shared" si="0"/>
        <v>0</v>
      </c>
      <c r="G24" s="2"/>
      <c r="H24" s="6">
        <v>2683.2926153846201</v>
      </c>
      <c r="I24" s="2"/>
      <c r="J24" s="7">
        <f t="shared" si="1"/>
        <v>0</v>
      </c>
      <c r="K24" s="2"/>
      <c r="L24" s="6">
        <f t="shared" si="2"/>
        <v>-784.72261538462021</v>
      </c>
      <c r="M24" s="2"/>
      <c r="N24" s="7">
        <f t="shared" si="3"/>
        <v>-0.29244764841725579</v>
      </c>
      <c r="O24" s="11"/>
      <c r="P24" s="6">
        <v>32049.279999999999</v>
      </c>
      <c r="Q24" s="2"/>
      <c r="R24" s="7">
        <f t="shared" si="4"/>
        <v>0</v>
      </c>
      <c r="S24" s="2"/>
      <c r="T24" s="6">
        <v>34882.80400000004</v>
      </c>
      <c r="U24" s="2"/>
      <c r="V24" s="7">
        <f t="shared" si="5"/>
        <v>0</v>
      </c>
      <c r="W24" s="2"/>
      <c r="X24" s="6">
        <f t="shared" si="6"/>
        <v>-2833.5240000000413</v>
      </c>
      <c r="Y24" s="2"/>
      <c r="Z24" s="7">
        <f t="shared" si="7"/>
        <v>-8.1229823152979275E-2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1640.31</v>
      </c>
      <c r="E26" s="2"/>
      <c r="F26" s="7">
        <f t="shared" si="0"/>
        <v>0</v>
      </c>
      <c r="G26" s="2"/>
      <c r="H26" s="6">
        <v>2447.1215384615398</v>
      </c>
      <c r="I26" s="2"/>
      <c r="J26" s="7">
        <f t="shared" si="1"/>
        <v>0</v>
      </c>
      <c r="K26" s="2"/>
      <c r="L26" s="6">
        <f t="shared" si="2"/>
        <v>-806.81153846153984</v>
      </c>
      <c r="M26" s="2"/>
      <c r="N26" s="7">
        <f t="shared" si="3"/>
        <v>-0.32969818857822952</v>
      </c>
      <c r="O26" s="11"/>
      <c r="P26" s="6">
        <v>27068.510000000002</v>
      </c>
      <c r="Q26" s="2"/>
      <c r="R26" s="7">
        <f t="shared" si="4"/>
        <v>0</v>
      </c>
      <c r="S26" s="2"/>
      <c r="T26" s="6">
        <v>31812.579999999998</v>
      </c>
      <c r="U26" s="2"/>
      <c r="V26" s="7">
        <f t="shared" si="5"/>
        <v>0</v>
      </c>
      <c r="W26" s="2"/>
      <c r="X26" s="6">
        <f t="shared" si="6"/>
        <v>-4744.0699999999961</v>
      </c>
      <c r="Y26" s="2"/>
      <c r="Z26" s="7">
        <f t="shared" si="7"/>
        <v>-0.14912559748376261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856.8</v>
      </c>
      <c r="E27" s="2"/>
      <c r="F27" s="7">
        <f t="shared" si="0"/>
        <v>0</v>
      </c>
      <c r="G27" s="2"/>
      <c r="H27" s="6">
        <v>672.98615384615402</v>
      </c>
      <c r="I27" s="2"/>
      <c r="J27" s="7">
        <f t="shared" si="1"/>
        <v>0</v>
      </c>
      <c r="K27" s="2"/>
      <c r="L27" s="6">
        <f t="shared" si="2"/>
        <v>183.81384615384593</v>
      </c>
      <c r="M27" s="2"/>
      <c r="N27" s="7">
        <f t="shared" si="3"/>
        <v>0.27313169090231554</v>
      </c>
      <c r="O27" s="11"/>
      <c r="P27" s="6">
        <v>25968.799999999999</v>
      </c>
      <c r="Q27" s="2"/>
      <c r="R27" s="7">
        <f t="shared" si="4"/>
        <v>0</v>
      </c>
      <c r="S27" s="2"/>
      <c r="T27" s="6">
        <v>8748.82</v>
      </c>
      <c r="U27" s="2"/>
      <c r="V27" s="7">
        <f t="shared" si="5"/>
        <v>0</v>
      </c>
      <c r="W27" s="2"/>
      <c r="X27" s="6">
        <f t="shared" si="6"/>
        <v>17219.98</v>
      </c>
      <c r="Y27" s="2"/>
      <c r="Z27" s="7">
        <f t="shared" si="7"/>
        <v>1.9682631486303297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8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8</v>
      </c>
      <c r="M28" s="2"/>
      <c r="N28" s="7">
        <f t="shared" si="3"/>
        <v>0</v>
      </c>
      <c r="O28" s="11"/>
      <c r="P28" s="6">
        <v>2613.63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2613.63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216588.52</v>
      </c>
      <c r="E29" s="1"/>
      <c r="F29" s="5">
        <f t="shared" ref="F29:F39" si="8">IF(D$12=0,0,D29/D$12)</f>
        <v>0</v>
      </c>
      <c r="G29" s="1"/>
      <c r="H29" s="1">
        <f>SUM(OSRRefH22_1x_0)</f>
        <v>393080.9692307692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-176492.44923076921</v>
      </c>
      <c r="M29" s="1"/>
      <c r="N29" s="5">
        <f t="shared" ref="N29:N39" si="11">IF(H29=0,0,L29/H29)</f>
        <v>-0.44899769524877298</v>
      </c>
      <c r="O29" s="12"/>
      <c r="P29" s="1">
        <f>SUM(OSRRefP22_1x_0)</f>
        <v>398955.14</v>
      </c>
      <c r="Q29" s="1"/>
      <c r="R29" s="5">
        <f t="shared" ref="R29:R39" si="12">IF(P$12=0,0,P29/P$12)</f>
        <v>0</v>
      </c>
      <c r="S29" s="1"/>
      <c r="T29" s="1">
        <f>SUM(OSRRefT22_1x_0)</f>
        <v>730052.59999999963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-331097.45999999961</v>
      </c>
      <c r="Y29" s="1"/>
      <c r="Z29" s="5">
        <f t="shared" ref="Z29:Z39" si="15">IF(T29=0,0,X29/T29)</f>
        <v>-0.45352548569787954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14140.28</v>
      </c>
      <c r="E30" s="2"/>
      <c r="F30" s="7">
        <f t="shared" si="8"/>
        <v>0</v>
      </c>
      <c r="G30" s="2"/>
      <c r="H30" s="6">
        <v>23674.1538461538</v>
      </c>
      <c r="I30" s="2"/>
      <c r="J30" s="7">
        <f t="shared" si="9"/>
        <v>0</v>
      </c>
      <c r="K30" s="2"/>
      <c r="L30" s="6">
        <f t="shared" si="10"/>
        <v>-9533.8738461537996</v>
      </c>
      <c r="M30" s="2"/>
      <c r="N30" s="7">
        <f t="shared" si="11"/>
        <v>-0.40271233802523893</v>
      </c>
      <c r="O30" s="11"/>
      <c r="P30" s="6">
        <v>186501.08000000002</v>
      </c>
      <c r="Q30" s="2"/>
      <c r="R30" s="7">
        <f t="shared" si="12"/>
        <v>0</v>
      </c>
      <c r="S30" s="2"/>
      <c r="T30" s="6">
        <v>307763.99999999959</v>
      </c>
      <c r="U30" s="2"/>
      <c r="V30" s="7">
        <f t="shared" si="13"/>
        <v>0</v>
      </c>
      <c r="W30" s="2"/>
      <c r="X30" s="6">
        <f t="shared" si="14"/>
        <v>-121262.91999999958</v>
      </c>
      <c r="Y30" s="2"/>
      <c r="Z30" s="7">
        <f t="shared" si="15"/>
        <v>-0.3940126850443838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2448.2399999999998</v>
      </c>
      <c r="E31" s="2"/>
      <c r="F31" s="7">
        <f t="shared" si="8"/>
        <v>0</v>
      </c>
      <c r="G31" s="2"/>
      <c r="H31" s="6">
        <v>4406.81538461539</v>
      </c>
      <c r="I31" s="2"/>
      <c r="J31" s="7">
        <f t="shared" si="9"/>
        <v>0</v>
      </c>
      <c r="K31" s="2"/>
      <c r="L31" s="6">
        <f t="shared" si="10"/>
        <v>-1958.5753846153902</v>
      </c>
      <c r="M31" s="2"/>
      <c r="N31" s="7">
        <f t="shared" si="11"/>
        <v>-0.44444234978686931</v>
      </c>
      <c r="O31" s="11"/>
      <c r="P31" s="6">
        <v>50433.78</v>
      </c>
      <c r="Q31" s="2"/>
      <c r="R31" s="7">
        <f t="shared" si="12"/>
        <v>0</v>
      </c>
      <c r="S31" s="2"/>
      <c r="T31" s="6">
        <v>57288.600000000042</v>
      </c>
      <c r="U31" s="2"/>
      <c r="V31" s="7">
        <f t="shared" si="13"/>
        <v>0</v>
      </c>
      <c r="W31" s="2"/>
      <c r="X31" s="6">
        <f t="shared" si="14"/>
        <v>-6854.8200000000434</v>
      </c>
      <c r="Y31" s="2"/>
      <c r="Z31" s="7">
        <f t="shared" si="15"/>
        <v>-0.11965417203422737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200000</v>
      </c>
      <c r="E36" s="2"/>
      <c r="F36" s="7">
        <f t="shared" si="8"/>
        <v>0</v>
      </c>
      <c r="G36" s="2"/>
      <c r="H36" s="6">
        <v>365000</v>
      </c>
      <c r="I36" s="2"/>
      <c r="J36" s="7">
        <f t="shared" si="9"/>
        <v>0</v>
      </c>
      <c r="K36" s="2"/>
      <c r="L36" s="6">
        <f t="shared" si="10"/>
        <v>-165000</v>
      </c>
      <c r="M36" s="2"/>
      <c r="N36" s="7">
        <f t="shared" si="11"/>
        <v>-0.45205479452054792</v>
      </c>
      <c r="O36" s="11"/>
      <c r="P36" s="6">
        <v>162020.28</v>
      </c>
      <c r="Q36" s="2"/>
      <c r="R36" s="7">
        <f t="shared" si="12"/>
        <v>0</v>
      </c>
      <c r="S36" s="2"/>
      <c r="T36" s="6">
        <v>365000</v>
      </c>
      <c r="U36" s="2"/>
      <c r="V36" s="7">
        <f t="shared" si="13"/>
        <v>0</v>
      </c>
      <c r="W36" s="2"/>
      <c r="X36" s="6">
        <f t="shared" si="14"/>
        <v>-202979.72</v>
      </c>
      <c r="Y36" s="2"/>
      <c r="Z36" s="7">
        <f t="shared" si="15"/>
        <v>-0.55610882191780819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9000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-9000</v>
      </c>
      <c r="M40" s="1"/>
      <c r="N40" s="5">
        <f t="shared" ref="N40:N46" si="19">IF(H40=0,0,L40/H40)</f>
        <v>-1</v>
      </c>
      <c r="O40" s="12"/>
      <c r="P40" s="1">
        <f>SUM(OSRRefP22_2x_0)</f>
        <v>12880.83</v>
      </c>
      <c r="Q40" s="1"/>
      <c r="R40" s="5">
        <f t="shared" ref="R40:R46" si="20">IF(P$12=0,0,P40/P$12)</f>
        <v>0</v>
      </c>
      <c r="S40" s="1"/>
      <c r="T40" s="1">
        <f>SUM(OSRRefT22_2x_0)</f>
        <v>108000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-95119.17</v>
      </c>
      <c r="Y40" s="1"/>
      <c r="Z40" s="5">
        <f t="shared" ref="Z40:Z46" si="23">IF(T40=0,0,X40/T40)</f>
        <v>-0.88073305555555559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9000</v>
      </c>
      <c r="I41" s="2"/>
      <c r="J41" s="7">
        <f t="shared" si="17"/>
        <v>0</v>
      </c>
      <c r="K41" s="2"/>
      <c r="L41" s="6">
        <f t="shared" si="18"/>
        <v>-9000</v>
      </c>
      <c r="M41" s="2"/>
      <c r="N41" s="7">
        <f t="shared" si="19"/>
        <v>-1</v>
      </c>
      <c r="O41" s="11"/>
      <c r="P41" s="6">
        <v>12880.83</v>
      </c>
      <c r="Q41" s="2"/>
      <c r="R41" s="7">
        <f t="shared" si="20"/>
        <v>0</v>
      </c>
      <c r="S41" s="2"/>
      <c r="T41" s="6">
        <v>108000</v>
      </c>
      <c r="U41" s="2"/>
      <c r="V41" s="7">
        <f t="shared" si="21"/>
        <v>0</v>
      </c>
      <c r="W41" s="2"/>
      <c r="X41" s="6">
        <f t="shared" si="22"/>
        <v>-95119.17</v>
      </c>
      <c r="Y41" s="2"/>
      <c r="Z41" s="7">
        <f t="shared" si="23"/>
        <v>-0.88073305555555559</v>
      </c>
    </row>
    <row r="42" spans="1:26" s="26" customFormat="1" outlineLevel="1" collapsed="1" x14ac:dyDescent="0.25">
      <c r="A42" s="25"/>
      <c r="B42" s="12" t="str">
        <f>CONCATENATE("     ","Depreciation                                      ")</f>
        <v xml:space="preserve">     Depreciation                                      </v>
      </c>
      <c r="C42" s="12"/>
      <c r="D42" s="1">
        <f>SUM(OSRRefD22_3x_0)</f>
        <v>314.81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-30.189999999999998</v>
      </c>
      <c r="M42" s="1"/>
      <c r="N42" s="5">
        <f t="shared" si="19"/>
        <v>-8.7507246376811593E-2</v>
      </c>
      <c r="O42" s="12"/>
      <c r="P42" s="1">
        <f>SUM(OSRRefP22_3x_0)</f>
        <v>4051.65</v>
      </c>
      <c r="Q42" s="1"/>
      <c r="R42" s="5">
        <f t="shared" si="20"/>
        <v>0</v>
      </c>
      <c r="S42" s="1"/>
      <c r="T42" s="1">
        <f>SUM(OSRRefT22_3x_0)</f>
        <v>4140</v>
      </c>
      <c r="U42" s="1"/>
      <c r="V42" s="5">
        <f t="shared" si="21"/>
        <v>0</v>
      </c>
      <c r="W42" s="1"/>
      <c r="X42" s="1">
        <f t="shared" si="22"/>
        <v>-88.349999999999909</v>
      </c>
      <c r="Y42" s="1"/>
      <c r="Z42" s="5">
        <f t="shared" si="23"/>
        <v>-2.1340579710144907E-2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314.81</v>
      </c>
      <c r="E43" s="2"/>
      <c r="F43" s="7">
        <f t="shared" si="16"/>
        <v>0</v>
      </c>
      <c r="G43" s="2"/>
      <c r="H43" s="6">
        <v>345</v>
      </c>
      <c r="I43" s="2"/>
      <c r="J43" s="7">
        <f t="shared" si="17"/>
        <v>0</v>
      </c>
      <c r="K43" s="2"/>
      <c r="L43" s="6">
        <f t="shared" si="18"/>
        <v>-30.189999999999998</v>
      </c>
      <c r="M43" s="2"/>
      <c r="N43" s="7">
        <f t="shared" si="19"/>
        <v>-8.7507246376811593E-2</v>
      </c>
      <c r="O43" s="11"/>
      <c r="P43" s="6">
        <v>4051.65</v>
      </c>
      <c r="Q43" s="2"/>
      <c r="R43" s="7">
        <f t="shared" si="20"/>
        <v>0</v>
      </c>
      <c r="S43" s="2"/>
      <c r="T43" s="6">
        <v>4140</v>
      </c>
      <c r="U43" s="2"/>
      <c r="V43" s="7">
        <f t="shared" si="21"/>
        <v>0</v>
      </c>
      <c r="W43" s="2"/>
      <c r="X43" s="6">
        <f t="shared" si="22"/>
        <v>-88.349999999999909</v>
      </c>
      <c r="Y43" s="2"/>
      <c r="Z43" s="7">
        <f t="shared" si="23"/>
        <v>-2.1340579710144907E-2</v>
      </c>
    </row>
    <row r="44" spans="1:26" s="26" customFormat="1" outlineLevel="1" collapsed="1" x14ac:dyDescent="0.25">
      <c r="A44" s="25"/>
      <c r="B44" s="12" t="str">
        <f>CONCATENATE("     ","Donations                                         ")</f>
        <v xml:space="preserve">     Donations                                         </v>
      </c>
      <c r="C44" s="12"/>
      <c r="D44" s="1">
        <f>SUM(OSRRefD22_4x_0)</f>
        <v>-787</v>
      </c>
      <c r="E44" s="1"/>
      <c r="F44" s="5">
        <f t="shared" si="16"/>
        <v>0</v>
      </c>
      <c r="G44" s="1"/>
      <c r="H44" s="1">
        <f>SUM(OSRRefH22_4x_0)</f>
        <v>8500</v>
      </c>
      <c r="I44" s="1"/>
      <c r="J44" s="5">
        <f t="shared" si="17"/>
        <v>0</v>
      </c>
      <c r="K44" s="1"/>
      <c r="L44" s="1">
        <f t="shared" si="18"/>
        <v>-9287</v>
      </c>
      <c r="M44" s="1"/>
      <c r="N44" s="5">
        <f t="shared" si="19"/>
        <v>-1.0925882352941176</v>
      </c>
      <c r="O44" s="12"/>
      <c r="P44" s="1">
        <f>SUM(OSRRefP22_4x_0)</f>
        <v>144858</v>
      </c>
      <c r="Q44" s="1"/>
      <c r="R44" s="5">
        <f t="shared" si="20"/>
        <v>0</v>
      </c>
      <c r="S44" s="1"/>
      <c r="T44" s="1">
        <f>SUM(OSRRefT22_4x_0)</f>
        <v>415690</v>
      </c>
      <c r="U44" s="1"/>
      <c r="V44" s="5">
        <f t="shared" si="21"/>
        <v>0</v>
      </c>
      <c r="W44" s="1"/>
      <c r="X44" s="1">
        <f t="shared" si="22"/>
        <v>-270832</v>
      </c>
      <c r="Y44" s="1"/>
      <c r="Z44" s="5">
        <f t="shared" si="23"/>
        <v>-0.65152397219081526</v>
      </c>
    </row>
    <row r="45" spans="1:26" s="24" customFormat="1" hidden="1" outlineLevel="2" x14ac:dyDescent="0.25">
      <c r="A45" s="27"/>
      <c r="B45" s="11" t="str">
        <f>CONCATENATE("          ", "6395", " - ", "DONATION-OFF CAMPUS")</f>
        <v xml:space="preserve">          6395 - DONATION-OFF CAMPUS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2300</v>
      </c>
      <c r="U45" s="2"/>
      <c r="V45" s="7">
        <f t="shared" si="21"/>
        <v>0</v>
      </c>
      <c r="W45" s="2"/>
      <c r="X45" s="6">
        <f t="shared" si="22"/>
        <v>-2300</v>
      </c>
      <c r="Y45" s="2"/>
      <c r="Z45" s="7">
        <f t="shared" si="23"/>
        <v>-1</v>
      </c>
    </row>
    <row r="46" spans="1:26" s="24" customFormat="1" hidden="1" outlineLevel="2" x14ac:dyDescent="0.25">
      <c r="A46" s="27"/>
      <c r="B46" s="11" t="str">
        <f>CONCATENATE("          ", "6399", " - ", "DONATION-ON CAMPUS")</f>
        <v xml:space="preserve">          6399 - DONATION-ON CAMPUS</v>
      </c>
      <c r="C46" s="11"/>
      <c r="D46" s="6">
        <v>-787</v>
      </c>
      <c r="E46" s="2"/>
      <c r="F46" s="7">
        <f t="shared" si="16"/>
        <v>0</v>
      </c>
      <c r="G46" s="2"/>
      <c r="H46" s="6">
        <v>8500</v>
      </c>
      <c r="I46" s="2"/>
      <c r="J46" s="7">
        <f t="shared" si="17"/>
        <v>0</v>
      </c>
      <c r="K46" s="2"/>
      <c r="L46" s="6">
        <f t="shared" si="18"/>
        <v>-9287</v>
      </c>
      <c r="M46" s="2"/>
      <c r="N46" s="7">
        <f t="shared" si="19"/>
        <v>-1.0925882352941176</v>
      </c>
      <c r="O46" s="11"/>
      <c r="P46" s="6">
        <v>144858</v>
      </c>
      <c r="Q46" s="2"/>
      <c r="R46" s="7">
        <f t="shared" si="20"/>
        <v>0</v>
      </c>
      <c r="S46" s="2"/>
      <c r="T46" s="6">
        <v>413390</v>
      </c>
      <c r="U46" s="2"/>
      <c r="V46" s="7">
        <f t="shared" si="21"/>
        <v>0</v>
      </c>
      <c r="W46" s="2"/>
      <c r="X46" s="6">
        <f t="shared" si="22"/>
        <v>-268532</v>
      </c>
      <c r="Y46" s="2"/>
      <c r="Z46" s="7">
        <f t="shared" si="23"/>
        <v>-0.64958513752146885</v>
      </c>
    </row>
    <row r="47" spans="1:26" s="26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SUM(OSRRefD22_5x_0)</f>
        <v>0</v>
      </c>
      <c r="E47" s="1"/>
      <c r="F47" s="5">
        <f t="shared" ref="F47:F60" si="24">IF(D$12=0,0,D47/D$12)</f>
        <v>0</v>
      </c>
      <c r="G47" s="1"/>
      <c r="H47" s="1">
        <f>SUM(OSRRefH22_5x_0)</f>
        <v>500</v>
      </c>
      <c r="I47" s="1"/>
      <c r="J47" s="5">
        <f t="shared" ref="J47:J60" si="25">IF(H$12=0,0,H47/H$12)</f>
        <v>0</v>
      </c>
      <c r="K47" s="1"/>
      <c r="L47" s="1">
        <f t="shared" ref="L47:L60" si="26">+D47-H47</f>
        <v>-500</v>
      </c>
      <c r="M47" s="1"/>
      <c r="N47" s="5">
        <f t="shared" ref="N47:N60" si="27">IF(H47=0,0,L47/H47)</f>
        <v>-1</v>
      </c>
      <c r="O47" s="12"/>
      <c r="P47" s="1">
        <f>SUM(OSRRefP22_5x_0)</f>
        <v>0</v>
      </c>
      <c r="Q47" s="1"/>
      <c r="R47" s="5">
        <f t="shared" ref="R47:R60" si="28">IF(P$12=0,0,P47/P$12)</f>
        <v>0</v>
      </c>
      <c r="S47" s="1"/>
      <c r="T47" s="1">
        <f>SUM(OSRRefT22_5x_0)</f>
        <v>5500</v>
      </c>
      <c r="U47" s="1"/>
      <c r="V47" s="5">
        <f t="shared" ref="V47:V60" si="29">IF(T$12=0,0,T47/T$12)</f>
        <v>0</v>
      </c>
      <c r="W47" s="1"/>
      <c r="X47" s="1">
        <f t="shared" ref="X47:X60" si="30">+P47-T47</f>
        <v>-5500</v>
      </c>
      <c r="Y47" s="1"/>
      <c r="Z47" s="5">
        <f t="shared" ref="Z47:Z60" si="31">IF(T47=0,0,X47/T47)</f>
        <v>-1</v>
      </c>
    </row>
    <row r="48" spans="1:26" s="24" customFormat="1" hidden="1" outlineLevel="2" x14ac:dyDescent="0.25">
      <c r="A48" s="27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4"/>
        <v>0</v>
      </c>
      <c r="G48" s="2"/>
      <c r="H48" s="6">
        <v>500</v>
      </c>
      <c r="I48" s="2"/>
      <c r="J48" s="7">
        <f t="shared" si="25"/>
        <v>0</v>
      </c>
      <c r="K48" s="2"/>
      <c r="L48" s="6">
        <f t="shared" si="26"/>
        <v>-500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5500</v>
      </c>
      <c r="U48" s="2"/>
      <c r="V48" s="7">
        <f t="shared" si="29"/>
        <v>0</v>
      </c>
      <c r="W48" s="2"/>
      <c r="X48" s="6">
        <f t="shared" si="30"/>
        <v>-5500</v>
      </c>
      <c r="Y48" s="2"/>
      <c r="Z48" s="7">
        <f t="shared" si="31"/>
        <v>-1</v>
      </c>
    </row>
    <row r="49" spans="1:26" s="26" customFormat="1" outlineLevel="1" collapsed="1" x14ac:dyDescent="0.25">
      <c r="A49" s="25"/>
      <c r="B49" s="12" t="str">
        <f>CONCATENATE("     ","Equipment Rental                                  ")</f>
        <v xml:space="preserve">     Equipment Rental                                  </v>
      </c>
      <c r="C49" s="12"/>
      <c r="D49" s="1">
        <f>SUM(OSRRefD22_6x_0)</f>
        <v>117.72</v>
      </c>
      <c r="E49" s="1"/>
      <c r="F49" s="5">
        <f t="shared" si="24"/>
        <v>0</v>
      </c>
      <c r="G49" s="1"/>
      <c r="H49" s="1">
        <f>SUM(OSRRefH22_6x_0)</f>
        <v>118</v>
      </c>
      <c r="I49" s="1"/>
      <c r="J49" s="5">
        <f t="shared" si="25"/>
        <v>0</v>
      </c>
      <c r="K49" s="1"/>
      <c r="L49" s="1">
        <f t="shared" si="26"/>
        <v>-0.28000000000000114</v>
      </c>
      <c r="M49" s="1"/>
      <c r="N49" s="5">
        <f t="shared" si="27"/>
        <v>-2.3728813559322128E-3</v>
      </c>
      <c r="O49" s="12"/>
      <c r="P49" s="1">
        <f>SUM(OSRRefP22_6x_0)</f>
        <v>1412.64</v>
      </c>
      <c r="Q49" s="1"/>
      <c r="R49" s="5">
        <f t="shared" si="28"/>
        <v>0</v>
      </c>
      <c r="S49" s="1"/>
      <c r="T49" s="1">
        <f>SUM(OSRRefT22_6x_0)</f>
        <v>1416</v>
      </c>
      <c r="U49" s="1"/>
      <c r="V49" s="5">
        <f t="shared" si="29"/>
        <v>0</v>
      </c>
      <c r="W49" s="1"/>
      <c r="X49" s="1">
        <f t="shared" si="30"/>
        <v>-3.3599999999999</v>
      </c>
      <c r="Y49" s="1"/>
      <c r="Z49" s="5">
        <f t="shared" si="31"/>
        <v>-2.3728813559321326E-3</v>
      </c>
    </row>
    <row r="50" spans="1:26" s="24" customFormat="1" hidden="1" outlineLevel="2" x14ac:dyDescent="0.25">
      <c r="A50" s="27"/>
      <c r="B50" s="11" t="str">
        <f>CONCATENATE("          ", "6351", " - ", "EQUIPMENT RENTAL")</f>
        <v xml:space="preserve">          6351 - EQUIPMENT RENTAL</v>
      </c>
      <c r="C50" s="11"/>
      <c r="D50" s="6">
        <v>117.72</v>
      </c>
      <c r="E50" s="2"/>
      <c r="F50" s="7">
        <f t="shared" si="24"/>
        <v>0</v>
      </c>
      <c r="G50" s="2"/>
      <c r="H50" s="6">
        <v>118</v>
      </c>
      <c r="I50" s="2"/>
      <c r="J50" s="7">
        <f t="shared" si="25"/>
        <v>0</v>
      </c>
      <c r="K50" s="2"/>
      <c r="L50" s="6">
        <f t="shared" si="26"/>
        <v>-0.28000000000000114</v>
      </c>
      <c r="M50" s="2"/>
      <c r="N50" s="7">
        <f t="shared" si="27"/>
        <v>-2.3728813559322128E-3</v>
      </c>
      <c r="O50" s="11"/>
      <c r="P50" s="6">
        <v>1412.64</v>
      </c>
      <c r="Q50" s="2"/>
      <c r="R50" s="7">
        <f t="shared" si="28"/>
        <v>0</v>
      </c>
      <c r="S50" s="2"/>
      <c r="T50" s="6">
        <v>1416</v>
      </c>
      <c r="U50" s="2"/>
      <c r="V50" s="7">
        <f t="shared" si="29"/>
        <v>0</v>
      </c>
      <c r="W50" s="2"/>
      <c r="X50" s="6">
        <f t="shared" si="30"/>
        <v>-3.3599999999999</v>
      </c>
      <c r="Y50" s="2"/>
      <c r="Z50" s="7">
        <f t="shared" si="31"/>
        <v>-2.3728813559321326E-3</v>
      </c>
    </row>
    <row r="51" spans="1:26" s="26" customFormat="1" outlineLevel="1" collapsed="1" x14ac:dyDescent="0.25">
      <c r="A51" s="25"/>
      <c r="B51" s="12" t="str">
        <f>CONCATENATE("     ","Freight out/Postage                               ")</f>
        <v xml:space="preserve">     Freight out/Postage                               </v>
      </c>
      <c r="C51" s="12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2"/>
      <c r="P51" s="1">
        <f>SUM(OSRRefP22_7x_0)</f>
        <v>171.76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171.76</v>
      </c>
      <c r="Y51" s="1"/>
      <c r="Z51" s="5">
        <f t="shared" si="31"/>
        <v>0</v>
      </c>
    </row>
    <row r="52" spans="1:26" s="24" customFormat="1" hidden="1" outlineLevel="2" x14ac:dyDescent="0.25">
      <c r="A52" s="27"/>
      <c r="B52" s="11" t="str">
        <f>CONCATENATE("          ", "6307", " - ", "POSTAGE")</f>
        <v xml:space="preserve">          6307 - POSTAGE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>
        <v>171.76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171.76</v>
      </c>
      <c r="Y52" s="2"/>
      <c r="Z52" s="7">
        <f t="shared" si="31"/>
        <v>0</v>
      </c>
    </row>
    <row r="53" spans="1:26" s="26" customFormat="1" outlineLevel="1" collapsed="1" x14ac:dyDescent="0.25">
      <c r="A53" s="25"/>
      <c r="B53" s="12" t="str">
        <f>CONCATENATE("     ","General                                           ")</f>
        <v xml:space="preserve">     General                                           </v>
      </c>
      <c r="C53" s="12"/>
      <c r="D53" s="1">
        <f>SUM(OSRRefD22_8x_0)</f>
        <v>0</v>
      </c>
      <c r="E53" s="1"/>
      <c r="F53" s="5">
        <f t="shared" si="24"/>
        <v>0</v>
      </c>
      <c r="G53" s="1"/>
      <c r="H53" s="1">
        <f>SUM(OSRRefH22_8x_0)</f>
        <v>2500</v>
      </c>
      <c r="I53" s="1"/>
      <c r="J53" s="5">
        <f t="shared" si="25"/>
        <v>0</v>
      </c>
      <c r="K53" s="1"/>
      <c r="L53" s="1">
        <f t="shared" si="26"/>
        <v>-2500</v>
      </c>
      <c r="M53" s="1"/>
      <c r="N53" s="5">
        <f t="shared" si="27"/>
        <v>-1</v>
      </c>
      <c r="O53" s="12"/>
      <c r="P53" s="1">
        <f>SUM(OSRRefP22_8x_0)</f>
        <v>13430.41</v>
      </c>
      <c r="Q53" s="1"/>
      <c r="R53" s="5">
        <f t="shared" si="28"/>
        <v>0</v>
      </c>
      <c r="S53" s="1"/>
      <c r="T53" s="1">
        <f>SUM(OSRRefT22_8x_0)</f>
        <v>10000</v>
      </c>
      <c r="U53" s="1"/>
      <c r="V53" s="5">
        <f t="shared" si="29"/>
        <v>0</v>
      </c>
      <c r="W53" s="1"/>
      <c r="X53" s="1">
        <f t="shared" si="30"/>
        <v>3430.41</v>
      </c>
      <c r="Y53" s="1"/>
      <c r="Z53" s="5">
        <f t="shared" si="31"/>
        <v>0.34304099999999998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4"/>
        <v>0</v>
      </c>
      <c r="G54" s="2"/>
      <c r="H54" s="6">
        <v>2500</v>
      </c>
      <c r="I54" s="2"/>
      <c r="J54" s="7">
        <f t="shared" si="25"/>
        <v>0</v>
      </c>
      <c r="K54" s="2"/>
      <c r="L54" s="6">
        <f t="shared" si="26"/>
        <v>-2500</v>
      </c>
      <c r="M54" s="2"/>
      <c r="N54" s="7">
        <f t="shared" si="27"/>
        <v>-1</v>
      </c>
      <c r="O54" s="11"/>
      <c r="P54" s="6">
        <v>13430.41</v>
      </c>
      <c r="Q54" s="2"/>
      <c r="R54" s="7">
        <f t="shared" si="28"/>
        <v>0</v>
      </c>
      <c r="S54" s="2"/>
      <c r="T54" s="6">
        <v>10000</v>
      </c>
      <c r="U54" s="2"/>
      <c r="V54" s="7">
        <f t="shared" si="29"/>
        <v>0</v>
      </c>
      <c r="W54" s="2"/>
      <c r="X54" s="6">
        <f t="shared" si="30"/>
        <v>3430.41</v>
      </c>
      <c r="Y54" s="2"/>
      <c r="Z54" s="7">
        <f t="shared" si="31"/>
        <v>0.34304099999999998</v>
      </c>
    </row>
    <row r="55" spans="1:26" s="26" customFormat="1" outlineLevel="1" collapsed="1" x14ac:dyDescent="0.25">
      <c r="A55" s="25"/>
      <c r="B55" s="12" t="str">
        <f>CONCATENATE("     ","Insurance                                         ")</f>
        <v xml:space="preserve">     Insurance                                         </v>
      </c>
      <c r="C55" s="12"/>
      <c r="D55" s="1">
        <f>SUM(OSRRefD22_9x_0)</f>
        <v>115.13</v>
      </c>
      <c r="E55" s="1"/>
      <c r="F55" s="5">
        <f t="shared" si="24"/>
        <v>0</v>
      </c>
      <c r="G55" s="1"/>
      <c r="H55" s="1">
        <f>SUM(OSRRefH22_9x_0)</f>
        <v>110</v>
      </c>
      <c r="I55" s="1"/>
      <c r="J55" s="5">
        <f t="shared" si="25"/>
        <v>0</v>
      </c>
      <c r="K55" s="1"/>
      <c r="L55" s="1">
        <f t="shared" si="26"/>
        <v>5.1299999999999955</v>
      </c>
      <c r="M55" s="1"/>
      <c r="N55" s="5">
        <f t="shared" si="27"/>
        <v>4.6636363636363594E-2</v>
      </c>
      <c r="O55" s="12"/>
      <c r="P55" s="1">
        <f>SUM(OSRRefP22_9x_0)</f>
        <v>1735.56</v>
      </c>
      <c r="Q55" s="1"/>
      <c r="R55" s="5">
        <f t="shared" si="28"/>
        <v>0</v>
      </c>
      <c r="S55" s="1"/>
      <c r="T55" s="1">
        <f>SUM(OSRRefT22_9x_0)</f>
        <v>1320</v>
      </c>
      <c r="U55" s="1"/>
      <c r="V55" s="5">
        <f t="shared" si="29"/>
        <v>0</v>
      </c>
      <c r="W55" s="1"/>
      <c r="X55" s="1">
        <f t="shared" si="30"/>
        <v>415.55999999999995</v>
      </c>
      <c r="Y55" s="1"/>
      <c r="Z55" s="5">
        <f t="shared" si="31"/>
        <v>0.31481818181818177</v>
      </c>
    </row>
    <row r="56" spans="1:26" s="24" customFormat="1" hidden="1" outlineLevel="2" x14ac:dyDescent="0.25">
      <c r="A56" s="27"/>
      <c r="B56" s="11" t="str">
        <f>CONCATENATE("          ", "6314", " - ", "LIABILITY INSURANCE")</f>
        <v xml:space="preserve">          6314 - LIABILITY INSURANCE</v>
      </c>
      <c r="C56" s="11"/>
      <c r="D56" s="6">
        <v>115.13</v>
      </c>
      <c r="E56" s="2"/>
      <c r="F56" s="7">
        <f t="shared" si="24"/>
        <v>0</v>
      </c>
      <c r="G56" s="2"/>
      <c r="H56" s="6">
        <v>110</v>
      </c>
      <c r="I56" s="2"/>
      <c r="J56" s="7">
        <f t="shared" si="25"/>
        <v>0</v>
      </c>
      <c r="K56" s="2"/>
      <c r="L56" s="6">
        <f t="shared" si="26"/>
        <v>5.1299999999999955</v>
      </c>
      <c r="M56" s="2"/>
      <c r="N56" s="7">
        <f t="shared" si="27"/>
        <v>4.6636363636363594E-2</v>
      </c>
      <c r="O56" s="11"/>
      <c r="P56" s="6">
        <v>1735.56</v>
      </c>
      <c r="Q56" s="2"/>
      <c r="R56" s="7">
        <f t="shared" si="28"/>
        <v>0</v>
      </c>
      <c r="S56" s="2"/>
      <c r="T56" s="6">
        <v>1320</v>
      </c>
      <c r="U56" s="2"/>
      <c r="V56" s="7">
        <f t="shared" si="29"/>
        <v>0</v>
      </c>
      <c r="W56" s="2"/>
      <c r="X56" s="6">
        <f t="shared" si="30"/>
        <v>415.55999999999995</v>
      </c>
      <c r="Y56" s="2"/>
      <c r="Z56" s="7">
        <f t="shared" si="31"/>
        <v>0.31481818181818177</v>
      </c>
    </row>
    <row r="57" spans="1:26" s="26" customFormat="1" outlineLevel="1" collapsed="1" x14ac:dyDescent="0.25">
      <c r="A57" s="25"/>
      <c r="B57" s="12" t="str">
        <f>CONCATENATE("     ","Professional Services                             ")</f>
        <v xml:space="preserve">     Professional Services                             </v>
      </c>
      <c r="C57" s="12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0</v>
      </c>
      <c r="I57" s="1"/>
      <c r="J57" s="5">
        <f t="shared" si="25"/>
        <v>0</v>
      </c>
      <c r="K57" s="1"/>
      <c r="L57" s="1">
        <f t="shared" si="26"/>
        <v>0</v>
      </c>
      <c r="M57" s="1"/>
      <c r="N57" s="5">
        <f t="shared" si="27"/>
        <v>0</v>
      </c>
      <c r="O57" s="12"/>
      <c r="P57" s="1">
        <f>SUM(OSRRefP22_10x_0)</f>
        <v>51735</v>
      </c>
      <c r="Q57" s="1"/>
      <c r="R57" s="5">
        <f t="shared" si="28"/>
        <v>0</v>
      </c>
      <c r="S57" s="1"/>
      <c r="T57" s="1">
        <f>SUM(OSRRefT22_10x_0)</f>
        <v>56200</v>
      </c>
      <c r="U57" s="1"/>
      <c r="V57" s="5">
        <f t="shared" si="29"/>
        <v>0</v>
      </c>
      <c r="W57" s="1"/>
      <c r="X57" s="1">
        <f t="shared" si="30"/>
        <v>-4465</v>
      </c>
      <c r="Y57" s="1"/>
      <c r="Z57" s="5">
        <f t="shared" si="31"/>
        <v>-7.9448398576512452E-2</v>
      </c>
    </row>
    <row r="58" spans="1:26" s="24" customFormat="1" hidden="1" outlineLevel="2" x14ac:dyDescent="0.25">
      <c r="A58" s="27"/>
      <c r="B58" s="11" t="str">
        <f>CONCATENATE("          ", "6331", " - ", "INDIRECT COSTS-AUXILIARY ORGAN")</f>
        <v xml:space="preserve">          6331 - INDIRECT COSTS-AUXILIARY ORGAN</v>
      </c>
      <c r="C58" s="11"/>
      <c r="D58" s="6"/>
      <c r="E58" s="2"/>
      <c r="F58" s="7">
        <f t="shared" si="24"/>
        <v>0</v>
      </c>
      <c r="G58" s="2"/>
      <c r="H58" s="6"/>
      <c r="I58" s="2"/>
      <c r="J58" s="7">
        <f t="shared" si="25"/>
        <v>0</v>
      </c>
      <c r="K58" s="2"/>
      <c r="L58" s="6">
        <f t="shared" si="26"/>
        <v>0</v>
      </c>
      <c r="M58" s="2"/>
      <c r="N58" s="7">
        <f t="shared" si="27"/>
        <v>0</v>
      </c>
      <c r="O58" s="11"/>
      <c r="P58" s="6">
        <v>45550</v>
      </c>
      <c r="Q58" s="2"/>
      <c r="R58" s="7">
        <f t="shared" si="28"/>
        <v>0</v>
      </c>
      <c r="S58" s="2"/>
      <c r="T58" s="6">
        <v>48000</v>
      </c>
      <c r="U58" s="2"/>
      <c r="V58" s="7">
        <f t="shared" si="29"/>
        <v>0</v>
      </c>
      <c r="W58" s="2"/>
      <c r="X58" s="6">
        <f t="shared" si="30"/>
        <v>-2450</v>
      </c>
      <c r="Y58" s="2"/>
      <c r="Z58" s="7">
        <f t="shared" si="31"/>
        <v>-5.1041666666666666E-2</v>
      </c>
    </row>
    <row r="59" spans="1:26" s="24" customFormat="1" hidden="1" outlineLevel="2" x14ac:dyDescent="0.25">
      <c r="A59" s="27"/>
      <c r="B59" s="11" t="str">
        <f>CONCATENATE("          ", "6334", " - ", "LEGAL COUNCIL EXPENSE")</f>
        <v xml:space="preserve">          6334 - LEGAL COUNCIL EXPENSE</v>
      </c>
      <c r="C59" s="11"/>
      <c r="D59" s="6"/>
      <c r="E59" s="2"/>
      <c r="F59" s="7">
        <f t="shared" si="24"/>
        <v>0</v>
      </c>
      <c r="G59" s="2"/>
      <c r="H59" s="6">
        <v>0</v>
      </c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1165</v>
      </c>
      <c r="Q59" s="2"/>
      <c r="R59" s="7">
        <f t="shared" si="28"/>
        <v>0</v>
      </c>
      <c r="S59" s="2"/>
      <c r="T59" s="6">
        <v>3200</v>
      </c>
      <c r="U59" s="2"/>
      <c r="V59" s="7">
        <f t="shared" si="29"/>
        <v>0</v>
      </c>
      <c r="W59" s="2"/>
      <c r="X59" s="6">
        <f t="shared" si="30"/>
        <v>-2035</v>
      </c>
      <c r="Y59" s="2"/>
      <c r="Z59" s="7">
        <f t="shared" si="31"/>
        <v>-0.63593750000000004</v>
      </c>
    </row>
    <row r="60" spans="1:26" s="24" customFormat="1" hidden="1" outlineLevel="2" x14ac:dyDescent="0.25">
      <c r="A60" s="27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24"/>
        <v>0</v>
      </c>
      <c r="G60" s="2"/>
      <c r="H60" s="6">
        <v>0</v>
      </c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5020</v>
      </c>
      <c r="Q60" s="2"/>
      <c r="R60" s="7">
        <f t="shared" si="28"/>
        <v>0</v>
      </c>
      <c r="S60" s="2"/>
      <c r="T60" s="6">
        <v>5000</v>
      </c>
      <c r="U60" s="2"/>
      <c r="V60" s="7">
        <f t="shared" si="29"/>
        <v>0</v>
      </c>
      <c r="W60" s="2"/>
      <c r="X60" s="6">
        <f t="shared" si="30"/>
        <v>20</v>
      </c>
      <c r="Y60" s="2"/>
      <c r="Z60" s="7">
        <f t="shared" si="31"/>
        <v>4.0000000000000001E-3</v>
      </c>
    </row>
    <row r="61" spans="1:26" s="26" customFormat="1" outlineLevel="1" collapsed="1" x14ac:dyDescent="0.25">
      <c r="A61" s="25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SUM(OSRRefD22_11x_0)</f>
        <v>17.89</v>
      </c>
      <c r="E61" s="1"/>
      <c r="F61" s="5">
        <f t="shared" ref="F61:F64" si="32">IF(D$12=0,0,D61/D$12)</f>
        <v>0</v>
      </c>
      <c r="G61" s="1"/>
      <c r="H61" s="1">
        <f>SUM(OSRRefH22_11x_0)</f>
        <v>2975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-2957.11</v>
      </c>
      <c r="M61" s="1"/>
      <c r="N61" s="5">
        <f t="shared" ref="N61:N64" si="35">IF(H61=0,0,L61/H61)</f>
        <v>-0.99398655462184882</v>
      </c>
      <c r="O61" s="12"/>
      <c r="P61" s="1">
        <f>SUM(OSRRefP22_11x_0)</f>
        <v>33455.469999999994</v>
      </c>
      <c r="Q61" s="1"/>
      <c r="R61" s="5">
        <f t="shared" ref="R61:R64" si="36">IF(P$12=0,0,P61/P$12)</f>
        <v>0</v>
      </c>
      <c r="S61" s="1"/>
      <c r="T61" s="1">
        <f>SUM(OSRRefT22_11x_0)</f>
        <v>35700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-2244.5300000000061</v>
      </c>
      <c r="Y61" s="1"/>
      <c r="Z61" s="5">
        <f t="shared" ref="Z61:Z64" si="39">IF(T61=0,0,X61/T61)</f>
        <v>-6.2871988795518377E-2</v>
      </c>
    </row>
    <row r="62" spans="1:26" s="24" customFormat="1" hidden="1" outlineLevel="2" x14ac:dyDescent="0.25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31.58</v>
      </c>
      <c r="Q62" s="2"/>
      <c r="R62" s="7">
        <f t="shared" si="36"/>
        <v>0</v>
      </c>
      <c r="S62" s="2"/>
      <c r="T62" s="6"/>
      <c r="U62" s="2"/>
      <c r="V62" s="7">
        <f t="shared" si="37"/>
        <v>0</v>
      </c>
      <c r="W62" s="2"/>
      <c r="X62" s="6">
        <f t="shared" si="38"/>
        <v>31.58</v>
      </c>
      <c r="Y62" s="2"/>
      <c r="Z62" s="7">
        <f t="shared" si="39"/>
        <v>0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6">
        <v>17.89</v>
      </c>
      <c r="E63" s="2"/>
      <c r="F63" s="7">
        <f t="shared" si="32"/>
        <v>0</v>
      </c>
      <c r="G63" s="2"/>
      <c r="H63" s="6">
        <v>2975</v>
      </c>
      <c r="I63" s="2"/>
      <c r="J63" s="7">
        <f t="shared" si="33"/>
        <v>0</v>
      </c>
      <c r="K63" s="2"/>
      <c r="L63" s="6">
        <f t="shared" si="34"/>
        <v>-2957.11</v>
      </c>
      <c r="M63" s="2"/>
      <c r="N63" s="7">
        <f t="shared" si="35"/>
        <v>-0.99398655462184882</v>
      </c>
      <c r="O63" s="11"/>
      <c r="P63" s="6">
        <v>32898.899999999994</v>
      </c>
      <c r="Q63" s="2"/>
      <c r="R63" s="7">
        <f t="shared" si="36"/>
        <v>0</v>
      </c>
      <c r="S63" s="2"/>
      <c r="T63" s="6">
        <v>35700</v>
      </c>
      <c r="U63" s="2"/>
      <c r="V63" s="7">
        <f t="shared" si="37"/>
        <v>0</v>
      </c>
      <c r="W63" s="2"/>
      <c r="X63" s="6">
        <f t="shared" si="38"/>
        <v>-2801.1000000000058</v>
      </c>
      <c r="Y63" s="2"/>
      <c r="Z63" s="7">
        <f t="shared" si="39"/>
        <v>-7.8462184873949736E-2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0</v>
      </c>
      <c r="M64" s="2"/>
      <c r="N64" s="7">
        <f t="shared" si="35"/>
        <v>0</v>
      </c>
      <c r="O64" s="11"/>
      <c r="P64" s="6">
        <v>524.99</v>
      </c>
      <c r="Q64" s="2"/>
      <c r="R64" s="7">
        <f t="shared" si="36"/>
        <v>0</v>
      </c>
      <c r="S64" s="2"/>
      <c r="T64" s="6"/>
      <c r="U64" s="2"/>
      <c r="V64" s="7">
        <f t="shared" si="37"/>
        <v>0</v>
      </c>
      <c r="W64" s="2"/>
      <c r="X64" s="6">
        <f t="shared" si="38"/>
        <v>524.99</v>
      </c>
      <c r="Y64" s="2"/>
      <c r="Z64" s="7">
        <f t="shared" si="39"/>
        <v>0</v>
      </c>
    </row>
    <row r="65" spans="1:26" s="26" customFormat="1" outlineLevel="1" collapsed="1" x14ac:dyDescent="0.25">
      <c r="A65" s="25"/>
      <c r="B65" s="12" t="str">
        <f>CONCATENATE("     ","Subscriptions &amp; Dues                              ")</f>
        <v xml:space="preserve">     Subscriptions &amp; Dues                              </v>
      </c>
      <c r="C65" s="12"/>
      <c r="D65" s="1">
        <f>SUM(OSRRefD22_12x_0)</f>
        <v>-775</v>
      </c>
      <c r="E65" s="1"/>
      <c r="F65" s="5">
        <f t="shared" ref="F65:F71" si="40">IF(D$12=0,0,D65/D$12)</f>
        <v>0</v>
      </c>
      <c r="G65" s="1"/>
      <c r="H65" s="1">
        <f>SUM(OSRRefH22_12x_0)</f>
        <v>0</v>
      </c>
      <c r="I65" s="1"/>
      <c r="J65" s="5">
        <f t="shared" ref="J65:J71" si="41">IF(H$12=0,0,H65/H$12)</f>
        <v>0</v>
      </c>
      <c r="K65" s="1"/>
      <c r="L65" s="1">
        <f t="shared" ref="L65:L71" si="42">+D65-H65</f>
        <v>-775</v>
      </c>
      <c r="M65" s="1"/>
      <c r="N65" s="5">
        <f t="shared" ref="N65:N71" si="43">IF(H65=0,0,L65/H65)</f>
        <v>0</v>
      </c>
      <c r="O65" s="12"/>
      <c r="P65" s="1">
        <f>SUM(OSRRefP22_12x_0)</f>
        <v>7238</v>
      </c>
      <c r="Q65" s="1"/>
      <c r="R65" s="5">
        <f t="shared" ref="R65:R71" si="44">IF(P$12=0,0,P65/P$12)</f>
        <v>0</v>
      </c>
      <c r="S65" s="1"/>
      <c r="T65" s="1">
        <f>SUM(OSRRefT22_12x_0)</f>
        <v>7732</v>
      </c>
      <c r="U65" s="1"/>
      <c r="V65" s="5">
        <f t="shared" ref="V65:V71" si="45">IF(T$12=0,0,T65/T$12)</f>
        <v>0</v>
      </c>
      <c r="W65" s="1"/>
      <c r="X65" s="1">
        <f t="shared" ref="X65:X71" si="46">+P65-T65</f>
        <v>-494</v>
      </c>
      <c r="Y65" s="1"/>
      <c r="Z65" s="5">
        <f t="shared" ref="Z65:Z71" si="47">IF(T65=0,0,X65/T65)</f>
        <v>-6.389032591826177E-2</v>
      </c>
    </row>
    <row r="66" spans="1:26" s="24" customFormat="1" hidden="1" outlineLevel="2" x14ac:dyDescent="0.25">
      <c r="A66" s="27"/>
      <c r="B66" s="11" t="str">
        <f>CONCATENATE("          ", "6258", " - ", "MEMBERSHIP DUES")</f>
        <v xml:space="preserve">          6258 - MEMBERSHIP DUES</v>
      </c>
      <c r="C66" s="11"/>
      <c r="D66" s="6">
        <v>-775</v>
      </c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-775</v>
      </c>
      <c r="M66" s="2"/>
      <c r="N66" s="7">
        <f t="shared" si="43"/>
        <v>0</v>
      </c>
      <c r="O66" s="11"/>
      <c r="P66" s="6">
        <v>7238</v>
      </c>
      <c r="Q66" s="2"/>
      <c r="R66" s="7">
        <f t="shared" si="44"/>
        <v>0</v>
      </c>
      <c r="S66" s="2"/>
      <c r="T66" s="6">
        <v>7732</v>
      </c>
      <c r="U66" s="2"/>
      <c r="V66" s="7">
        <f t="shared" si="45"/>
        <v>0</v>
      </c>
      <c r="W66" s="2"/>
      <c r="X66" s="6">
        <f t="shared" si="46"/>
        <v>-494</v>
      </c>
      <c r="Y66" s="2"/>
      <c r="Z66" s="7">
        <f t="shared" si="47"/>
        <v>-6.389032591826177E-2</v>
      </c>
    </row>
    <row r="67" spans="1:26" s="26" customFormat="1" outlineLevel="1" collapsed="1" x14ac:dyDescent="0.25">
      <c r="A67" s="25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SUM(OSRRefD22_13x_0)</f>
        <v>8.25</v>
      </c>
      <c r="E67" s="1"/>
      <c r="F67" s="5">
        <f t="shared" si="40"/>
        <v>0</v>
      </c>
      <c r="G67" s="1"/>
      <c r="H67" s="1">
        <f>SUM(OSRRefH22_13x_0)</f>
        <v>500</v>
      </c>
      <c r="I67" s="1"/>
      <c r="J67" s="5">
        <f t="shared" si="41"/>
        <v>0</v>
      </c>
      <c r="K67" s="1"/>
      <c r="L67" s="1">
        <f t="shared" si="42"/>
        <v>-491.75</v>
      </c>
      <c r="M67" s="1"/>
      <c r="N67" s="5">
        <f t="shared" si="43"/>
        <v>-0.98350000000000004</v>
      </c>
      <c r="O67" s="12"/>
      <c r="P67" s="1">
        <f>SUM(OSRRefP22_13x_0)</f>
        <v>9650.0800000000017</v>
      </c>
      <c r="Q67" s="1"/>
      <c r="R67" s="5">
        <f t="shared" si="44"/>
        <v>0</v>
      </c>
      <c r="S67" s="1"/>
      <c r="T67" s="1">
        <f>SUM(OSRRefT22_13x_0)</f>
        <v>7000</v>
      </c>
      <c r="U67" s="1"/>
      <c r="V67" s="5">
        <f t="shared" si="45"/>
        <v>0</v>
      </c>
      <c r="W67" s="1"/>
      <c r="X67" s="1">
        <f t="shared" si="46"/>
        <v>2650.0800000000017</v>
      </c>
      <c r="Y67" s="1"/>
      <c r="Z67" s="5">
        <f t="shared" si="47"/>
        <v>0.37858285714285739</v>
      </c>
    </row>
    <row r="68" spans="1:26" s="24" customFormat="1" hidden="1" outlineLevel="2" x14ac:dyDescent="0.25">
      <c r="A68" s="27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0"/>
        <v>0</v>
      </c>
      <c r="G68" s="2"/>
      <c r="H68" s="6">
        <v>500</v>
      </c>
      <c r="I68" s="2"/>
      <c r="J68" s="7">
        <f t="shared" si="41"/>
        <v>0</v>
      </c>
      <c r="K68" s="2"/>
      <c r="L68" s="6">
        <f t="shared" si="42"/>
        <v>-500</v>
      </c>
      <c r="M68" s="2"/>
      <c r="N68" s="7">
        <f t="shared" si="43"/>
        <v>-1</v>
      </c>
      <c r="O68" s="11"/>
      <c r="P68" s="6">
        <v>217.02</v>
      </c>
      <c r="Q68" s="2"/>
      <c r="R68" s="7">
        <f t="shared" si="44"/>
        <v>0</v>
      </c>
      <c r="S68" s="2"/>
      <c r="T68" s="6">
        <v>7000</v>
      </c>
      <c r="U68" s="2"/>
      <c r="V68" s="7">
        <f t="shared" si="45"/>
        <v>0</v>
      </c>
      <c r="W68" s="2"/>
      <c r="X68" s="6">
        <f t="shared" si="46"/>
        <v>-6782.98</v>
      </c>
      <c r="Y68" s="2"/>
      <c r="Z68" s="7">
        <f t="shared" si="47"/>
        <v>-0.96899714285714278</v>
      </c>
    </row>
    <row r="69" spans="1:26" s="24" customFormat="1" hidden="1" outlineLevel="2" x14ac:dyDescent="0.25">
      <c r="A69" s="27"/>
      <c r="B69" s="11" t="str">
        <f>CONCATENATE("          ", "6235", " - ", "COVID-19 EXPENSES")</f>
        <v xml:space="preserve">          6235 - COVID-19 EXPENSES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5440</v>
      </c>
      <c r="Q69" s="2"/>
      <c r="R69" s="7">
        <f t="shared" si="44"/>
        <v>0</v>
      </c>
      <c r="S69" s="2"/>
      <c r="T69" s="6"/>
      <c r="U69" s="2"/>
      <c r="V69" s="7">
        <f t="shared" si="45"/>
        <v>0</v>
      </c>
      <c r="W69" s="2"/>
      <c r="X69" s="6">
        <f t="shared" si="46"/>
        <v>5440</v>
      </c>
      <c r="Y69" s="2"/>
      <c r="Z69" s="7">
        <f t="shared" si="47"/>
        <v>0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6">
        <v>8.25</v>
      </c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8.25</v>
      </c>
      <c r="M70" s="2"/>
      <c r="N70" s="7">
        <f t="shared" si="43"/>
        <v>0</v>
      </c>
      <c r="O70" s="11"/>
      <c r="P70" s="6">
        <v>3961.2</v>
      </c>
      <c r="Q70" s="2"/>
      <c r="R70" s="7">
        <f t="shared" si="44"/>
        <v>0</v>
      </c>
      <c r="S70" s="2"/>
      <c r="T70" s="6"/>
      <c r="U70" s="2"/>
      <c r="V70" s="7">
        <f t="shared" si="45"/>
        <v>0</v>
      </c>
      <c r="W70" s="2"/>
      <c r="X70" s="6">
        <f t="shared" si="46"/>
        <v>3961.2</v>
      </c>
      <c r="Y70" s="2"/>
      <c r="Z70" s="7">
        <f t="shared" si="47"/>
        <v>0</v>
      </c>
    </row>
    <row r="71" spans="1:26" s="24" customFormat="1" hidden="1" outlineLevel="2" x14ac:dyDescent="0.25">
      <c r="A71" s="27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31.86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31.86</v>
      </c>
      <c r="Y71" s="2"/>
      <c r="Z71" s="7">
        <f t="shared" si="47"/>
        <v>0</v>
      </c>
    </row>
    <row r="72" spans="1:26" s="26" customFormat="1" outlineLevel="1" collapsed="1" x14ac:dyDescent="0.25">
      <c r="A72" s="25"/>
      <c r="B72" s="12" t="str">
        <f>CONCATENATE("     ","Telephone/Data Lines                              ")</f>
        <v xml:space="preserve">     Telephone/Data Lines                              </v>
      </c>
      <c r="C72" s="12"/>
      <c r="D72" s="1">
        <f>SUM(OSRRefD22_14x_0)</f>
        <v>148.44</v>
      </c>
      <c r="E72" s="1"/>
      <c r="F72" s="5">
        <f t="shared" ref="F72:F78" si="48">IF(D$12=0,0,D72/D$12)</f>
        <v>0</v>
      </c>
      <c r="G72" s="1"/>
      <c r="H72" s="1">
        <f>SUM(OSRRefH22_14x_0)</f>
        <v>350</v>
      </c>
      <c r="I72" s="1"/>
      <c r="J72" s="5">
        <f t="shared" ref="J72:J78" si="49">IF(H$12=0,0,H72/H$12)</f>
        <v>0</v>
      </c>
      <c r="K72" s="1"/>
      <c r="L72" s="1">
        <f t="shared" ref="L72:L78" si="50">+D72-H72</f>
        <v>-201.56</v>
      </c>
      <c r="M72" s="1"/>
      <c r="N72" s="5">
        <f t="shared" ref="N72:N78" si="51">IF(H72=0,0,L72/H72)</f>
        <v>-0.57588571428571433</v>
      </c>
      <c r="O72" s="12"/>
      <c r="P72" s="1">
        <f>SUM(OSRRefP22_14x_0)</f>
        <v>4232.47</v>
      </c>
      <c r="Q72" s="1"/>
      <c r="R72" s="5">
        <f t="shared" ref="R72:R78" si="52">IF(P$12=0,0,P72/P$12)</f>
        <v>0</v>
      </c>
      <c r="S72" s="1"/>
      <c r="T72" s="1">
        <f>SUM(OSRRefT22_14x_0)</f>
        <v>4200</v>
      </c>
      <c r="U72" s="1"/>
      <c r="V72" s="5">
        <f t="shared" ref="V72:V78" si="53">IF(T$12=0,0,T72/T$12)</f>
        <v>0</v>
      </c>
      <c r="W72" s="1"/>
      <c r="X72" s="1">
        <f t="shared" ref="X72:X78" si="54">+P72-T72</f>
        <v>32.470000000000255</v>
      </c>
      <c r="Y72" s="1"/>
      <c r="Z72" s="5">
        <f t="shared" ref="Z72:Z78" si="55">IF(T72=0,0,X72/T72)</f>
        <v>7.7309523809524416E-3</v>
      </c>
    </row>
    <row r="73" spans="1:26" s="24" customFormat="1" hidden="1" outlineLevel="2" x14ac:dyDescent="0.25">
      <c r="A73" s="27"/>
      <c r="B73" s="11" t="str">
        <f>CONCATENATE("          ", "6309", " - ", "TELEPHONE")</f>
        <v xml:space="preserve">          6309 - TELEPHONE</v>
      </c>
      <c r="C73" s="11"/>
      <c r="D73" s="6">
        <v>148.44</v>
      </c>
      <c r="E73" s="2"/>
      <c r="F73" s="7">
        <f t="shared" si="48"/>
        <v>0</v>
      </c>
      <c r="G73" s="2"/>
      <c r="H73" s="6">
        <v>350</v>
      </c>
      <c r="I73" s="2"/>
      <c r="J73" s="7">
        <f t="shared" si="49"/>
        <v>0</v>
      </c>
      <c r="K73" s="2"/>
      <c r="L73" s="6">
        <f t="shared" si="50"/>
        <v>-201.56</v>
      </c>
      <c r="M73" s="2"/>
      <c r="N73" s="7">
        <f t="shared" si="51"/>
        <v>-0.57588571428571433</v>
      </c>
      <c r="O73" s="11"/>
      <c r="P73" s="6">
        <v>4232.47</v>
      </c>
      <c r="Q73" s="2"/>
      <c r="R73" s="7">
        <f t="shared" si="52"/>
        <v>0</v>
      </c>
      <c r="S73" s="2"/>
      <c r="T73" s="6">
        <v>4200</v>
      </c>
      <c r="U73" s="2"/>
      <c r="V73" s="7">
        <f t="shared" si="53"/>
        <v>0</v>
      </c>
      <c r="W73" s="2"/>
      <c r="X73" s="6">
        <f t="shared" si="54"/>
        <v>32.470000000000255</v>
      </c>
      <c r="Y73" s="2"/>
      <c r="Z73" s="7">
        <f t="shared" si="55"/>
        <v>7.7309523809524416E-3</v>
      </c>
    </row>
    <row r="74" spans="1:26" s="26" customFormat="1" outlineLevel="1" collapsed="1" x14ac:dyDescent="0.25">
      <c r="A74" s="25"/>
      <c r="B74" s="12" t="str">
        <f>CONCATENATE("     ","Training                                          ")</f>
        <v xml:space="preserve">     Training                                          </v>
      </c>
      <c r="C74" s="12"/>
      <c r="D74" s="1">
        <f>SUM(OSRRefD22_15x_0)</f>
        <v>0</v>
      </c>
      <c r="E74" s="1"/>
      <c r="F74" s="5">
        <f t="shared" si="48"/>
        <v>0</v>
      </c>
      <c r="G74" s="1"/>
      <c r="H74" s="1">
        <f>SUM(OSRRefH22_15x_0)</f>
        <v>600</v>
      </c>
      <c r="I74" s="1"/>
      <c r="J74" s="5">
        <f t="shared" si="49"/>
        <v>0</v>
      </c>
      <c r="K74" s="1"/>
      <c r="L74" s="1">
        <f t="shared" si="50"/>
        <v>-600</v>
      </c>
      <c r="M74" s="1"/>
      <c r="N74" s="5">
        <f t="shared" si="51"/>
        <v>-1</v>
      </c>
      <c r="O74" s="12"/>
      <c r="P74" s="1">
        <f>SUM(OSRRefP22_15x_0)</f>
        <v>6622.71</v>
      </c>
      <c r="Q74" s="1"/>
      <c r="R74" s="5">
        <f t="shared" si="52"/>
        <v>0</v>
      </c>
      <c r="S74" s="1"/>
      <c r="T74" s="1">
        <f>SUM(OSRRefT22_15x_0)</f>
        <v>6300</v>
      </c>
      <c r="U74" s="1"/>
      <c r="V74" s="5">
        <f t="shared" si="53"/>
        <v>0</v>
      </c>
      <c r="W74" s="1"/>
      <c r="X74" s="1">
        <f t="shared" si="54"/>
        <v>322.71000000000004</v>
      </c>
      <c r="Y74" s="1"/>
      <c r="Z74" s="5">
        <f t="shared" si="55"/>
        <v>5.1223809523809533E-2</v>
      </c>
    </row>
    <row r="75" spans="1:26" s="24" customFormat="1" hidden="1" outlineLevel="2" x14ac:dyDescent="0.25">
      <c r="A75" s="27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48"/>
        <v>0</v>
      </c>
      <c r="G75" s="2"/>
      <c r="H75" s="6">
        <v>600</v>
      </c>
      <c r="I75" s="2"/>
      <c r="J75" s="7">
        <f t="shared" si="49"/>
        <v>0</v>
      </c>
      <c r="K75" s="2"/>
      <c r="L75" s="6">
        <f t="shared" si="50"/>
        <v>-600</v>
      </c>
      <c r="M75" s="2"/>
      <c r="N75" s="7">
        <f t="shared" si="51"/>
        <v>-1</v>
      </c>
      <c r="O75" s="11"/>
      <c r="P75" s="6">
        <v>6622.71</v>
      </c>
      <c r="Q75" s="2"/>
      <c r="R75" s="7">
        <f t="shared" si="52"/>
        <v>0</v>
      </c>
      <c r="S75" s="2"/>
      <c r="T75" s="6">
        <v>6300</v>
      </c>
      <c r="U75" s="2"/>
      <c r="V75" s="7">
        <f t="shared" si="53"/>
        <v>0</v>
      </c>
      <c r="W75" s="2"/>
      <c r="X75" s="6">
        <f t="shared" si="54"/>
        <v>322.71000000000004</v>
      </c>
      <c r="Y75" s="2"/>
      <c r="Z75" s="7">
        <f t="shared" si="55"/>
        <v>5.1223809523809533E-2</v>
      </c>
    </row>
    <row r="76" spans="1:26" s="26" customFormat="1" outlineLevel="1" collapsed="1" x14ac:dyDescent="0.25">
      <c r="A76" s="25"/>
      <c r="B76" s="12" t="str">
        <f>CONCATENATE("     ","Travel                                            ")</f>
        <v xml:space="preserve">     Travel                                            </v>
      </c>
      <c r="C76" s="12"/>
      <c r="D76" s="1">
        <f>SUM(OSRRefD22_16x_0)</f>
        <v>0</v>
      </c>
      <c r="E76" s="1"/>
      <c r="F76" s="5">
        <f t="shared" si="48"/>
        <v>0</v>
      </c>
      <c r="G76" s="1"/>
      <c r="H76" s="1">
        <f>SUM(OSRRefH22_16x_0)</f>
        <v>1500</v>
      </c>
      <c r="I76" s="1"/>
      <c r="J76" s="5">
        <f t="shared" si="49"/>
        <v>0</v>
      </c>
      <c r="K76" s="1"/>
      <c r="L76" s="1">
        <f t="shared" si="50"/>
        <v>-1500</v>
      </c>
      <c r="M76" s="1"/>
      <c r="N76" s="5">
        <f t="shared" si="51"/>
        <v>-1</v>
      </c>
      <c r="O76" s="12"/>
      <c r="P76" s="1">
        <f>SUM(OSRRefP22_16x_0)</f>
        <v>3811.99</v>
      </c>
      <c r="Q76" s="1"/>
      <c r="R76" s="5">
        <f t="shared" si="52"/>
        <v>0</v>
      </c>
      <c r="S76" s="1"/>
      <c r="T76" s="1">
        <f>SUM(OSRRefT22_16x_0)</f>
        <v>19750</v>
      </c>
      <c r="U76" s="1"/>
      <c r="V76" s="5">
        <f t="shared" si="53"/>
        <v>0</v>
      </c>
      <c r="W76" s="1"/>
      <c r="X76" s="1">
        <f t="shared" si="54"/>
        <v>-15938.01</v>
      </c>
      <c r="Y76" s="1"/>
      <c r="Z76" s="5">
        <f t="shared" si="55"/>
        <v>-0.80698784810126578</v>
      </c>
    </row>
    <row r="77" spans="1:26" s="24" customFormat="1" hidden="1" outlineLevel="2" x14ac:dyDescent="0.25">
      <c r="A77" s="27"/>
      <c r="B77" s="11" t="str">
        <f>CONCATENATE("          ", "6292", " - ", "TRAVEL/CONFERENCE")</f>
        <v xml:space="preserve">          6292 - TRAVEL/CONFERENCE</v>
      </c>
      <c r="C77" s="11"/>
      <c r="D77" s="6"/>
      <c r="E77" s="2"/>
      <c r="F77" s="7">
        <f t="shared" si="48"/>
        <v>0</v>
      </c>
      <c r="G77" s="2"/>
      <c r="H77" s="6">
        <v>1500</v>
      </c>
      <c r="I77" s="2"/>
      <c r="J77" s="7">
        <f t="shared" si="49"/>
        <v>0</v>
      </c>
      <c r="K77" s="2"/>
      <c r="L77" s="6">
        <f t="shared" si="50"/>
        <v>-1500</v>
      </c>
      <c r="M77" s="2"/>
      <c r="N77" s="7">
        <f t="shared" si="51"/>
        <v>-1</v>
      </c>
      <c r="O77" s="11"/>
      <c r="P77" s="6">
        <v>3811.99</v>
      </c>
      <c r="Q77" s="2"/>
      <c r="R77" s="7">
        <f t="shared" si="52"/>
        <v>0</v>
      </c>
      <c r="S77" s="2"/>
      <c r="T77" s="6">
        <v>18500</v>
      </c>
      <c r="U77" s="2"/>
      <c r="V77" s="7">
        <f t="shared" si="53"/>
        <v>0</v>
      </c>
      <c r="W77" s="2"/>
      <c r="X77" s="6">
        <f t="shared" si="54"/>
        <v>-14688.01</v>
      </c>
      <c r="Y77" s="2"/>
      <c r="Z77" s="7">
        <f t="shared" si="55"/>
        <v>-0.79394648648648647</v>
      </c>
    </row>
    <row r="78" spans="1:26" s="24" customFormat="1" hidden="1" outlineLevel="2" x14ac:dyDescent="0.25">
      <c r="A78" s="27"/>
      <c r="B78" s="11" t="str">
        <f>CONCATENATE("          ", "6294", " - ", "TRAVEL OPERATIONAL")</f>
        <v xml:space="preserve">          6294 - TRAVEL OPERATIONAL</v>
      </c>
      <c r="C78" s="11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1"/>
      <c r="P78" s="6"/>
      <c r="Q78" s="2"/>
      <c r="R78" s="7">
        <f t="shared" si="52"/>
        <v>0</v>
      </c>
      <c r="S78" s="2"/>
      <c r="T78" s="6">
        <v>1250</v>
      </c>
      <c r="U78" s="2"/>
      <c r="V78" s="7">
        <f t="shared" si="53"/>
        <v>0</v>
      </c>
      <c r="W78" s="2"/>
      <c r="X78" s="6">
        <f t="shared" si="54"/>
        <v>-1250</v>
      </c>
      <c r="Y78" s="2"/>
      <c r="Z78" s="7">
        <f t="shared" si="55"/>
        <v>-1</v>
      </c>
    </row>
    <row r="79" spans="1:26" s="60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3">
        <f>IF(D$12=0,0,D80/D$12)</f>
        <v>0</v>
      </c>
      <c r="G80" s="4"/>
      <c r="H80" s="4">
        <f>SUM(0)</f>
        <v>0</v>
      </c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0"/>
      <c r="P80" s="4">
        <f>SUM(0)</f>
        <v>0</v>
      </c>
      <c r="Q80" s="4"/>
      <c r="R80" s="13">
        <f>IF(P$12=0,0,P80/P$12)</f>
        <v>0</v>
      </c>
      <c r="S80" s="4"/>
      <c r="T80" s="4">
        <f>SUM(0)</f>
        <v>0</v>
      </c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2">
        <f>+D16-D18+D80</f>
        <v>-224540.49000000002</v>
      </c>
      <c r="E82" s="14"/>
      <c r="F82" s="20">
        <f>IF(D$12=0,0,D82/D$12)</f>
        <v>0</v>
      </c>
      <c r="G82" s="14"/>
      <c r="H82" s="22">
        <f>+H16-H18+H80</f>
        <v>-433373.3022015384</v>
      </c>
      <c r="I82" s="14"/>
      <c r="J82" s="20">
        <f>IF(H$12=0,0,H82/H$12)</f>
        <v>0</v>
      </c>
      <c r="K82" s="15"/>
      <c r="L82" s="22">
        <f>+D82-H82</f>
        <v>208832.81220153839</v>
      </c>
      <c r="M82" s="15"/>
      <c r="N82" s="20">
        <f>IF(H82=0,0,L82/H82)</f>
        <v>-0.48187742793722343</v>
      </c>
      <c r="O82" s="28"/>
      <c r="P82" s="22">
        <f>+P16-P18+P80</f>
        <v>-854503.02</v>
      </c>
      <c r="Q82" s="14"/>
      <c r="R82" s="20">
        <f>IF(P$12=0,0,P82/P$12)</f>
        <v>0</v>
      </c>
      <c r="S82" s="14"/>
      <c r="T82" s="22">
        <f>+T16-T18+T80</f>
        <v>-1578965.035204615</v>
      </c>
      <c r="U82" s="14"/>
      <c r="V82" s="20">
        <f>IF(T$12=0,0,T82/T$12)</f>
        <v>0</v>
      </c>
      <c r="W82" s="15"/>
      <c r="X82" s="22">
        <f>+P82-T82</f>
        <v>724462.01520461496</v>
      </c>
      <c r="Y82" s="15"/>
      <c r="Z82" s="20">
        <f>IF(T82=0,0,X82/T82)</f>
        <v>-0.45882080923390006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/>
      <c r="E84" s="4"/>
      <c r="F84" s="13">
        <f>IF(D$12=0,0,D84/D$12)</f>
        <v>0</v>
      </c>
      <c r="G84" s="4"/>
      <c r="H84" s="4"/>
      <c r="I84" s="4"/>
      <c r="J84" s="13">
        <f>IF(H$12=0,0,H84/H$12)</f>
        <v>0</v>
      </c>
      <c r="K84" s="4"/>
      <c r="L84" s="4">
        <f>+D84-H84</f>
        <v>0</v>
      </c>
      <c r="M84" s="4"/>
      <c r="N84" s="13">
        <f>IF(H84=0,0,L84/H84)</f>
        <v>0</v>
      </c>
      <c r="O84" s="10"/>
      <c r="P84" s="4"/>
      <c r="Q84" s="4"/>
      <c r="R84" s="13">
        <f>IF(P$12=0,0,P84/P$12)</f>
        <v>0</v>
      </c>
      <c r="S84" s="4"/>
      <c r="T84" s="4">
        <v>0</v>
      </c>
      <c r="U84" s="4"/>
      <c r="V84" s="13">
        <f>IF(T$12=0,0,T84/T$12)</f>
        <v>0</v>
      </c>
      <c r="W84" s="4"/>
      <c r="X84" s="4">
        <f>+P84-T84</f>
        <v>0</v>
      </c>
      <c r="Y84" s="4"/>
      <c r="Z84" s="13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1">
        <f>+D82-D84</f>
        <v>-224540.49000000002</v>
      </c>
      <c r="E86" s="14"/>
      <c r="F86" s="33">
        <f>IF(D$12=0,0,D86/D$12)</f>
        <v>0</v>
      </c>
      <c r="G86" s="14"/>
      <c r="H86" s="31">
        <f>+H82-H84</f>
        <v>-433373.3022015384</v>
      </c>
      <c r="I86" s="14"/>
      <c r="J86" s="33">
        <f>IF(H$12=0,0,H86/H$12)</f>
        <v>0</v>
      </c>
      <c r="K86" s="15"/>
      <c r="L86" s="31">
        <f>D86-H86</f>
        <v>208832.81220153839</v>
      </c>
      <c r="M86" s="15"/>
      <c r="N86" s="33">
        <f>IF(H86=0,0,L86/H86)</f>
        <v>-0.48187742793722343</v>
      </c>
      <c r="O86" s="28"/>
      <c r="P86" s="31">
        <f>+P82-P84</f>
        <v>-854503.02</v>
      </c>
      <c r="Q86" s="14"/>
      <c r="R86" s="33">
        <f>IF(P$12=0,0,P86/P$12)</f>
        <v>0</v>
      </c>
      <c r="S86" s="14"/>
      <c r="T86" s="31">
        <f>+T82-T84</f>
        <v>-1578965.035204615</v>
      </c>
      <c r="U86" s="14"/>
      <c r="V86" s="33">
        <f>IF(T$12=0,0,T86/T$12)</f>
        <v>0</v>
      </c>
      <c r="W86" s="15"/>
      <c r="X86" s="31">
        <f>P86-T86</f>
        <v>724462.01520461496</v>
      </c>
      <c r="Y86" s="15"/>
      <c r="Z86" s="33">
        <f>IF(T86=0,0,X86/T86)</f>
        <v>-0.45882080923390006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4">
        <f>SUM(D86:D88)</f>
        <v>-224540.49000000002</v>
      </c>
      <c r="E89" s="14"/>
      <c r="F89" s="35">
        <f>IF(D$12=0,0,D89/D$12)</f>
        <v>0</v>
      </c>
      <c r="G89" s="14"/>
      <c r="H89" s="34">
        <f>SUM(H86:H88)</f>
        <v>-433373.3022015384</v>
      </c>
      <c r="I89" s="14"/>
      <c r="J89" s="35">
        <f>IF(H$12=0,0,H89/H$12)</f>
        <v>0</v>
      </c>
      <c r="K89" s="15"/>
      <c r="L89" s="34">
        <f>+D89-H89</f>
        <v>208832.81220153839</v>
      </c>
      <c r="M89" s="15"/>
      <c r="N89" s="35">
        <f>IF(H89=0,0,L89/H89)</f>
        <v>-0.48187742793722343</v>
      </c>
      <c r="O89" s="28"/>
      <c r="P89" s="34">
        <f>SUM(P86:P88)</f>
        <v>-854503.02</v>
      </c>
      <c r="Q89" s="14"/>
      <c r="R89" s="35">
        <f>IF(P$12=0,0,P89/P$12)</f>
        <v>0</v>
      </c>
      <c r="S89" s="14"/>
      <c r="T89" s="34">
        <f>SUM(T86:T88)</f>
        <v>-1578965.035204615</v>
      </c>
      <c r="U89" s="14"/>
      <c r="V89" s="35">
        <f>IF(T$12=0,0,T89/T$12)</f>
        <v>0</v>
      </c>
      <c r="W89" s="15"/>
      <c r="X89" s="34">
        <f>+P89-T89</f>
        <v>724462.01520461496</v>
      </c>
      <c r="Y89" s="15"/>
      <c r="Z89" s="35">
        <f>IF(T89=0,0,X89/T89)</f>
        <v>-0.45882080923390006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5">
        <v>44043.473164351853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62" t="s">
        <v>314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63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","202", " - ", "Accounting")</f>
        <v>Department 202 - Accounting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28987.139999999992</v>
      </c>
      <c r="E18" s="21"/>
      <c r="F18" s="32">
        <f t="shared" ref="F18:F28" si="0">IF(D$12=0,0,D18/D$12)</f>
        <v>0</v>
      </c>
      <c r="G18" s="21"/>
      <c r="H18" s="21">
        <f>SUM(OSRRefH22x_0)</f>
        <v>50004.1777898461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-21017.037789846108</v>
      </c>
      <c r="M18" s="4"/>
      <c r="N18" s="32">
        <f t="shared" ref="N18:N28" si="3">IF(H18=0,0,L18/H18)</f>
        <v>-0.42030563682448646</v>
      </c>
      <c r="O18" s="10"/>
      <c r="P18" s="21">
        <f>SUM(OSRRefP22x_0)</f>
        <v>565424.47</v>
      </c>
      <c r="Q18" s="21"/>
      <c r="R18" s="32">
        <f t="shared" ref="R18:R28" si="4">IF(P$12=0,0,P18/P$12)</f>
        <v>0</v>
      </c>
      <c r="S18" s="21"/>
      <c r="T18" s="21">
        <f>SUM(OSRRefT22x_0)</f>
        <v>664261.05568099965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-98836.585680999677</v>
      </c>
      <c r="Y18" s="4"/>
      <c r="Z18" s="32">
        <f t="shared" ref="Z18:Z28" si="7">IF(T18=0,0,X18/T18)</f>
        <v>-0.14879178123677975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10429.210000000001</v>
      </c>
      <c r="E19" s="1"/>
      <c r="F19" s="5">
        <f t="shared" si="0"/>
        <v>0</v>
      </c>
      <c r="G19" s="1"/>
      <c r="H19" s="1">
        <f>SUM(OSRRefH22_0x_0)</f>
        <v>14566.719328307681</v>
      </c>
      <c r="I19" s="1"/>
      <c r="J19" s="5">
        <f t="shared" si="1"/>
        <v>0</v>
      </c>
      <c r="K19" s="1"/>
      <c r="L19" s="1">
        <f t="shared" si="2"/>
        <v>-4137.5093283076803</v>
      </c>
      <c r="M19" s="1"/>
      <c r="N19" s="5">
        <f t="shared" si="3"/>
        <v>-0.28403851512860612</v>
      </c>
      <c r="O19" s="12"/>
      <c r="P19" s="1">
        <f>SUM(OSRRefP22_0x_0)</f>
        <v>144837.64000000001</v>
      </c>
      <c r="Q19" s="1"/>
      <c r="R19" s="5">
        <f t="shared" si="4"/>
        <v>0</v>
      </c>
      <c r="S19" s="1"/>
      <c r="T19" s="1">
        <f>SUM(OSRRefT22_0x_0)</f>
        <v>177378.16868099995</v>
      </c>
      <c r="U19" s="1"/>
      <c r="V19" s="5">
        <f t="shared" si="5"/>
        <v>0</v>
      </c>
      <c r="W19" s="1"/>
      <c r="X19" s="1">
        <f t="shared" si="6"/>
        <v>-32540.528680999938</v>
      </c>
      <c r="Y19" s="1"/>
      <c r="Z19" s="5">
        <f t="shared" si="7"/>
        <v>-0.18345283933741249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1297.97</v>
      </c>
      <c r="E20" s="2"/>
      <c r="F20" s="7">
        <f t="shared" si="0"/>
        <v>0</v>
      </c>
      <c r="G20" s="2"/>
      <c r="H20" s="6">
        <v>2607.17458984615</v>
      </c>
      <c r="I20" s="2"/>
      <c r="J20" s="7">
        <f t="shared" si="1"/>
        <v>0</v>
      </c>
      <c r="K20" s="2"/>
      <c r="L20" s="6">
        <f t="shared" si="2"/>
        <v>-1309.2045898461499</v>
      </c>
      <c r="M20" s="2"/>
      <c r="N20" s="7">
        <f t="shared" si="3"/>
        <v>-0.50215455265057884</v>
      </c>
      <c r="O20" s="11"/>
      <c r="P20" s="6">
        <v>29415.53</v>
      </c>
      <c r="Q20" s="2"/>
      <c r="R20" s="7">
        <f t="shared" si="4"/>
        <v>0</v>
      </c>
      <c r="S20" s="2"/>
      <c r="T20" s="6">
        <v>28777.399880999961</v>
      </c>
      <c r="U20" s="2"/>
      <c r="V20" s="7">
        <f t="shared" si="5"/>
        <v>0</v>
      </c>
      <c r="W20" s="2"/>
      <c r="X20" s="6">
        <f t="shared" si="6"/>
        <v>638.13011900003767</v>
      </c>
      <c r="Y20" s="2"/>
      <c r="Z20" s="7">
        <f t="shared" si="7"/>
        <v>2.2174696867640144E-2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72.11</v>
      </c>
      <c r="E21" s="2"/>
      <c r="F21" s="7">
        <f t="shared" si="0"/>
        <v>0</v>
      </c>
      <c r="G21" s="2"/>
      <c r="H21" s="6">
        <v>115.829003076923</v>
      </c>
      <c r="I21" s="2"/>
      <c r="J21" s="7">
        <f t="shared" si="1"/>
        <v>0</v>
      </c>
      <c r="K21" s="2"/>
      <c r="L21" s="6">
        <f t="shared" si="2"/>
        <v>-43.719003076923002</v>
      </c>
      <c r="M21" s="2"/>
      <c r="N21" s="7">
        <f t="shared" si="3"/>
        <v>-0.37744435258489489</v>
      </c>
      <c r="O21" s="11"/>
      <c r="P21" s="6">
        <v>1266.3399999999999</v>
      </c>
      <c r="Q21" s="2"/>
      <c r="R21" s="7">
        <f t="shared" si="4"/>
        <v>0</v>
      </c>
      <c r="S21" s="2"/>
      <c r="T21" s="6">
        <v>1500.26972</v>
      </c>
      <c r="U21" s="2"/>
      <c r="V21" s="7">
        <f t="shared" si="5"/>
        <v>0</v>
      </c>
      <c r="W21" s="2"/>
      <c r="X21" s="6">
        <f t="shared" si="6"/>
        <v>-233.92972000000009</v>
      </c>
      <c r="Y21" s="2"/>
      <c r="Z21" s="7">
        <f t="shared" si="7"/>
        <v>-0.15592510925302158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5567.04</v>
      </c>
      <c r="E22" s="2"/>
      <c r="F22" s="7">
        <f t="shared" si="0"/>
        <v>0</v>
      </c>
      <c r="G22" s="2"/>
      <c r="H22" s="6">
        <v>6065</v>
      </c>
      <c r="I22" s="2"/>
      <c r="J22" s="7">
        <f t="shared" si="1"/>
        <v>0</v>
      </c>
      <c r="K22" s="2"/>
      <c r="L22" s="6">
        <f t="shared" si="2"/>
        <v>-497.96000000000004</v>
      </c>
      <c r="M22" s="2"/>
      <c r="N22" s="7">
        <f t="shared" si="3"/>
        <v>-8.2103874690849135E-2</v>
      </c>
      <c r="O22" s="11"/>
      <c r="P22" s="6">
        <v>71876.790000000008</v>
      </c>
      <c r="Q22" s="2"/>
      <c r="R22" s="7">
        <f t="shared" si="4"/>
        <v>0</v>
      </c>
      <c r="S22" s="2"/>
      <c r="T22" s="6">
        <v>72780</v>
      </c>
      <c r="U22" s="2"/>
      <c r="V22" s="7">
        <f t="shared" si="5"/>
        <v>0</v>
      </c>
      <c r="W22" s="2"/>
      <c r="X22" s="6">
        <f t="shared" si="6"/>
        <v>-903.20999999999185</v>
      </c>
      <c r="Y22" s="2"/>
      <c r="Z22" s="7">
        <f t="shared" si="7"/>
        <v>-1.2410140148392304E-2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-1053.99</v>
      </c>
      <c r="E23" s="2"/>
      <c r="F23" s="7">
        <f t="shared" si="0"/>
        <v>0</v>
      </c>
      <c r="G23" s="2"/>
      <c r="H23" s="6">
        <v>88.575119999999998</v>
      </c>
      <c r="I23" s="2"/>
      <c r="J23" s="7">
        <f t="shared" si="1"/>
        <v>0</v>
      </c>
      <c r="K23" s="2"/>
      <c r="L23" s="6">
        <f t="shared" si="2"/>
        <v>-1142.56512</v>
      </c>
      <c r="M23" s="2"/>
      <c r="N23" s="7">
        <f t="shared" si="3"/>
        <v>-12.899391160858714</v>
      </c>
      <c r="O23" s="11"/>
      <c r="P23" s="6">
        <v>0</v>
      </c>
      <c r="Q23" s="2"/>
      <c r="R23" s="7">
        <f t="shared" si="4"/>
        <v>0</v>
      </c>
      <c r="S23" s="2"/>
      <c r="T23" s="6">
        <v>1147.2650799999999</v>
      </c>
      <c r="U23" s="2"/>
      <c r="V23" s="7">
        <f t="shared" si="5"/>
        <v>0</v>
      </c>
      <c r="W23" s="2"/>
      <c r="X23" s="6">
        <f t="shared" si="6"/>
        <v>-1147.2650799999999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1813.92</v>
      </c>
      <c r="E24" s="2"/>
      <c r="F24" s="7">
        <f t="shared" si="0"/>
        <v>0</v>
      </c>
      <c r="G24" s="2"/>
      <c r="H24" s="6">
        <v>2159.9892307692298</v>
      </c>
      <c r="I24" s="2"/>
      <c r="J24" s="7">
        <f t="shared" si="1"/>
        <v>0</v>
      </c>
      <c r="K24" s="2"/>
      <c r="L24" s="6">
        <f t="shared" si="2"/>
        <v>-346.06923076922976</v>
      </c>
      <c r="M24" s="2"/>
      <c r="N24" s="7">
        <f t="shared" si="3"/>
        <v>-0.16021803527510425</v>
      </c>
      <c r="O24" s="11"/>
      <c r="P24" s="6">
        <v>29534.16</v>
      </c>
      <c r="Q24" s="2"/>
      <c r="R24" s="7">
        <f t="shared" si="4"/>
        <v>0</v>
      </c>
      <c r="S24" s="2"/>
      <c r="T24" s="6">
        <v>28079.86</v>
      </c>
      <c r="U24" s="2"/>
      <c r="V24" s="7">
        <f t="shared" si="5"/>
        <v>0</v>
      </c>
      <c r="W24" s="2"/>
      <c r="X24" s="6">
        <f t="shared" si="6"/>
        <v>1454.2999999999993</v>
      </c>
      <c r="Y24" s="2"/>
      <c r="Z24" s="7">
        <f t="shared" si="7"/>
        <v>5.1791568761382689E-2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1520.74</v>
      </c>
      <c r="E26" s="2"/>
      <c r="F26" s="7">
        <f t="shared" si="0"/>
        <v>0</v>
      </c>
      <c r="G26" s="2"/>
      <c r="H26" s="6">
        <v>1255.8076923076899</v>
      </c>
      <c r="I26" s="2"/>
      <c r="J26" s="7">
        <f t="shared" si="1"/>
        <v>0</v>
      </c>
      <c r="K26" s="2"/>
      <c r="L26" s="6">
        <f t="shared" si="2"/>
        <v>264.93230769231013</v>
      </c>
      <c r="M26" s="2"/>
      <c r="N26" s="7">
        <f t="shared" si="3"/>
        <v>0.21096566720774484</v>
      </c>
      <c r="O26" s="11"/>
      <c r="P26" s="6">
        <v>24223.88</v>
      </c>
      <c r="Q26" s="2"/>
      <c r="R26" s="7">
        <f t="shared" si="4"/>
        <v>0</v>
      </c>
      <c r="S26" s="2"/>
      <c r="T26" s="6">
        <v>16325.5</v>
      </c>
      <c r="U26" s="2"/>
      <c r="V26" s="7">
        <f t="shared" si="5"/>
        <v>0</v>
      </c>
      <c r="W26" s="2"/>
      <c r="X26" s="6">
        <f t="shared" si="6"/>
        <v>7898.380000000001</v>
      </c>
      <c r="Y26" s="2"/>
      <c r="Z26" s="7">
        <f t="shared" si="7"/>
        <v>0.4838063152736517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979.42</v>
      </c>
      <c r="E27" s="2"/>
      <c r="F27" s="7">
        <f t="shared" si="0"/>
        <v>0</v>
      </c>
      <c r="G27" s="2"/>
      <c r="H27" s="6">
        <v>1524.3436923076899</v>
      </c>
      <c r="I27" s="2"/>
      <c r="J27" s="7">
        <f t="shared" si="1"/>
        <v>0</v>
      </c>
      <c r="K27" s="2"/>
      <c r="L27" s="6">
        <f t="shared" si="2"/>
        <v>-544.92369230768998</v>
      </c>
      <c r="M27" s="2"/>
      <c r="N27" s="7">
        <f t="shared" si="3"/>
        <v>-0.35748085884931569</v>
      </c>
      <c r="O27" s="11"/>
      <c r="P27" s="6">
        <v>-19352.439999999999</v>
      </c>
      <c r="Q27" s="2"/>
      <c r="R27" s="7">
        <f t="shared" si="4"/>
        <v>0</v>
      </c>
      <c r="S27" s="2"/>
      <c r="T27" s="6">
        <v>19767.874</v>
      </c>
      <c r="U27" s="2"/>
      <c r="V27" s="7">
        <f t="shared" si="5"/>
        <v>0</v>
      </c>
      <c r="W27" s="2"/>
      <c r="X27" s="6">
        <f t="shared" si="6"/>
        <v>-39120.313999999998</v>
      </c>
      <c r="Y27" s="2"/>
      <c r="Z27" s="7">
        <f t="shared" si="7"/>
        <v>-1.9789843864848591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232</v>
      </c>
      <c r="E28" s="2"/>
      <c r="F28" s="7">
        <f t="shared" si="0"/>
        <v>0</v>
      </c>
      <c r="G28" s="2"/>
      <c r="H28" s="6">
        <v>750</v>
      </c>
      <c r="I28" s="2"/>
      <c r="J28" s="7">
        <f t="shared" si="1"/>
        <v>0</v>
      </c>
      <c r="K28" s="2"/>
      <c r="L28" s="6">
        <f t="shared" si="2"/>
        <v>-518</v>
      </c>
      <c r="M28" s="2"/>
      <c r="N28" s="7">
        <f t="shared" si="3"/>
        <v>-0.69066666666666665</v>
      </c>
      <c r="O28" s="11"/>
      <c r="P28" s="6">
        <v>7873.38</v>
      </c>
      <c r="Q28" s="2"/>
      <c r="R28" s="7">
        <f t="shared" si="4"/>
        <v>0</v>
      </c>
      <c r="S28" s="2"/>
      <c r="T28" s="6">
        <v>9000</v>
      </c>
      <c r="U28" s="2"/>
      <c r="V28" s="7">
        <f t="shared" si="5"/>
        <v>0</v>
      </c>
      <c r="W28" s="2"/>
      <c r="X28" s="6">
        <f t="shared" si="6"/>
        <v>-1126.6199999999999</v>
      </c>
      <c r="Y28" s="2"/>
      <c r="Z28" s="7">
        <f t="shared" si="7"/>
        <v>-0.12517999999999999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16606.769999999997</v>
      </c>
      <c r="E29" s="1"/>
      <c r="F29" s="5">
        <f t="shared" ref="F29:F39" si="8">IF(D$12=0,0,D29/D$12)</f>
        <v>0</v>
      </c>
      <c r="G29" s="1"/>
      <c r="H29" s="1">
        <f>SUM(OSRRefH22_1x_0)</f>
        <v>31580.458461538423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-14973.688461538426</v>
      </c>
      <c r="M29" s="1"/>
      <c r="N29" s="5">
        <f t="shared" ref="N29:N39" si="11">IF(H29=0,0,L29/H29)</f>
        <v>-0.47414411287837244</v>
      </c>
      <c r="O29" s="12"/>
      <c r="P29" s="1">
        <f>SUM(OSRRefP22_1x_0)</f>
        <v>342140.14999999991</v>
      </c>
      <c r="Q29" s="1"/>
      <c r="R29" s="5">
        <f t="shared" ref="R29:R39" si="12">IF(P$12=0,0,P29/P$12)</f>
        <v>0</v>
      </c>
      <c r="S29" s="1"/>
      <c r="T29" s="1">
        <f>SUM(OSRRefT22_1x_0)</f>
        <v>409387.88699999964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-67247.736999999732</v>
      </c>
      <c r="Y29" s="1"/>
      <c r="Z29" s="5">
        <f t="shared" ref="Z29:Z39" si="15">IF(T29=0,0,X29/T29)</f>
        <v>-0.16426411023734025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5419.3846153846198</v>
      </c>
      <c r="I30" s="2"/>
      <c r="J30" s="7">
        <f t="shared" si="9"/>
        <v>0</v>
      </c>
      <c r="K30" s="2"/>
      <c r="L30" s="6">
        <f t="shared" si="10"/>
        <v>-5419.3846153846198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70452.000000000044</v>
      </c>
      <c r="U30" s="2"/>
      <c r="V30" s="7">
        <f t="shared" si="13"/>
        <v>0</v>
      </c>
      <c r="W30" s="2"/>
      <c r="X30" s="6">
        <f t="shared" si="14"/>
        <v>-70452.000000000044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16606.769999999997</v>
      </c>
      <c r="E31" s="2"/>
      <c r="F31" s="7">
        <f t="shared" si="8"/>
        <v>0</v>
      </c>
      <c r="G31" s="2"/>
      <c r="H31" s="6">
        <v>17185.1538461538</v>
      </c>
      <c r="I31" s="2"/>
      <c r="J31" s="7">
        <f t="shared" si="9"/>
        <v>0</v>
      </c>
      <c r="K31" s="2"/>
      <c r="L31" s="6">
        <f t="shared" si="10"/>
        <v>-578.38384615380346</v>
      </c>
      <c r="M31" s="2"/>
      <c r="N31" s="7">
        <f t="shared" si="11"/>
        <v>-3.3656017940348622E-2</v>
      </c>
      <c r="O31" s="11"/>
      <c r="P31" s="6">
        <v>292837.13</v>
      </c>
      <c r="Q31" s="2"/>
      <c r="R31" s="7">
        <f t="shared" si="12"/>
        <v>0</v>
      </c>
      <c r="S31" s="2"/>
      <c r="T31" s="6">
        <v>223406.99999999959</v>
      </c>
      <c r="U31" s="2"/>
      <c r="V31" s="7">
        <f t="shared" si="13"/>
        <v>0</v>
      </c>
      <c r="W31" s="2"/>
      <c r="X31" s="6">
        <f t="shared" si="14"/>
        <v>69430.130000000412</v>
      </c>
      <c r="Y31" s="2"/>
      <c r="Z31" s="7">
        <f t="shared" si="15"/>
        <v>0.31077866852874142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2496.7199999999998</v>
      </c>
      <c r="I33" s="2"/>
      <c r="J33" s="7">
        <f t="shared" si="9"/>
        <v>0</v>
      </c>
      <c r="K33" s="2"/>
      <c r="L33" s="6">
        <f t="shared" si="10"/>
        <v>-2496.7199999999998</v>
      </c>
      <c r="M33" s="2"/>
      <c r="N33" s="7">
        <f t="shared" si="11"/>
        <v>-1</v>
      </c>
      <c r="O33" s="11"/>
      <c r="P33" s="6">
        <v>-9381.52</v>
      </c>
      <c r="Q33" s="2"/>
      <c r="R33" s="7">
        <f t="shared" si="12"/>
        <v>0</v>
      </c>
      <c r="S33" s="2"/>
      <c r="T33" s="6">
        <v>32457.360000000001</v>
      </c>
      <c r="U33" s="2"/>
      <c r="V33" s="7">
        <f t="shared" si="13"/>
        <v>0</v>
      </c>
      <c r="W33" s="2"/>
      <c r="X33" s="6">
        <f t="shared" si="14"/>
        <v>-41838.880000000005</v>
      </c>
      <c r="Y33" s="2"/>
      <c r="Z33" s="7">
        <f t="shared" si="15"/>
        <v>-1.2890413761316386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20823.22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20823.22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6479.2</v>
      </c>
      <c r="I36" s="2"/>
      <c r="J36" s="7">
        <f t="shared" si="9"/>
        <v>0</v>
      </c>
      <c r="K36" s="2"/>
      <c r="L36" s="6">
        <f t="shared" si="10"/>
        <v>-6479.2</v>
      </c>
      <c r="M36" s="2"/>
      <c r="N36" s="7">
        <f t="shared" si="11"/>
        <v>-1</v>
      </c>
      <c r="O36" s="11"/>
      <c r="P36" s="6">
        <v>32551.350000000002</v>
      </c>
      <c r="Q36" s="2"/>
      <c r="R36" s="7">
        <f t="shared" si="12"/>
        <v>0</v>
      </c>
      <c r="S36" s="2"/>
      <c r="T36" s="6">
        <v>17381.7</v>
      </c>
      <c r="U36" s="2"/>
      <c r="V36" s="7">
        <f t="shared" si="13"/>
        <v>0</v>
      </c>
      <c r="W36" s="2"/>
      <c r="X36" s="6">
        <f t="shared" si="14"/>
        <v>15169.650000000001</v>
      </c>
      <c r="Y36" s="2"/>
      <c r="Z36" s="7">
        <f t="shared" si="15"/>
        <v>0.87273684392205597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5309.97</v>
      </c>
      <c r="Q37" s="2"/>
      <c r="R37" s="7">
        <f t="shared" si="12"/>
        <v>0</v>
      </c>
      <c r="S37" s="2"/>
      <c r="T37" s="6">
        <v>65689.827000000005</v>
      </c>
      <c r="U37" s="2"/>
      <c r="V37" s="7">
        <f t="shared" si="13"/>
        <v>0</v>
      </c>
      <c r="W37" s="2"/>
      <c r="X37" s="6">
        <f t="shared" si="14"/>
        <v>-60379.857000000004</v>
      </c>
      <c r="Y37" s="2"/>
      <c r="Z37" s="7">
        <f t="shared" si="15"/>
        <v>-0.91916602246493961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0</v>
      </c>
      <c r="E40" s="1"/>
      <c r="F40" s="5">
        <f t="shared" ref="F40:F57" si="16">IF(D$12=0,0,D40/D$12)</f>
        <v>0</v>
      </c>
      <c r="G40" s="1"/>
      <c r="H40" s="1">
        <f>SUM(OSRRefH22_2x_0)</f>
        <v>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0</v>
      </c>
      <c r="M40" s="1"/>
      <c r="N40" s="5">
        <f t="shared" ref="N40:N57" si="19">IF(H40=0,0,L40/H40)</f>
        <v>0</v>
      </c>
      <c r="O40" s="12"/>
      <c r="P40" s="1">
        <f>SUM(OSRRefP22_2x_0)</f>
        <v>62</v>
      </c>
      <c r="Q40" s="1"/>
      <c r="R40" s="5">
        <f t="shared" ref="R40:R57" si="20">IF(P$12=0,0,P40/P$12)</f>
        <v>0</v>
      </c>
      <c r="S40" s="1"/>
      <c r="T40" s="1">
        <f>SUM(OSRRefT22_2x_0)</f>
        <v>25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37</v>
      </c>
      <c r="Y40" s="1"/>
      <c r="Z40" s="5">
        <f t="shared" ref="Z40:Z57" si="23">IF(T40=0,0,X40/T40)</f>
        <v>1.48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62</v>
      </c>
      <c r="Q41" s="2"/>
      <c r="R41" s="7">
        <f t="shared" si="20"/>
        <v>0</v>
      </c>
      <c r="S41" s="2"/>
      <c r="T41" s="6">
        <v>25</v>
      </c>
      <c r="U41" s="2"/>
      <c r="V41" s="7">
        <f t="shared" si="21"/>
        <v>0</v>
      </c>
      <c r="W41" s="2"/>
      <c r="X41" s="6">
        <f t="shared" si="22"/>
        <v>37</v>
      </c>
      <c r="Y41" s="2"/>
      <c r="Z41" s="7">
        <f t="shared" si="23"/>
        <v>1.48</v>
      </c>
    </row>
    <row r="42" spans="1:26" s="26" customFormat="1" outlineLevel="1" collapsed="1" x14ac:dyDescent="0.25">
      <c r="A42" s="25"/>
      <c r="B42" s="12" t="str">
        <f>CONCATENATE("     ","Depreciation                                      ")</f>
        <v xml:space="preserve">     Depreciation                                      </v>
      </c>
      <c r="C42" s="12"/>
      <c r="D42" s="1">
        <f>SUM(OSRRefD22_3x_0)</f>
        <v>1558.82</v>
      </c>
      <c r="E42" s="1"/>
      <c r="F42" s="5">
        <f t="shared" si="16"/>
        <v>0</v>
      </c>
      <c r="G42" s="1"/>
      <c r="H42" s="1">
        <f>SUM(OSRRefH22_3x_0)</f>
        <v>1559</v>
      </c>
      <c r="I42" s="1"/>
      <c r="J42" s="5">
        <f t="shared" si="17"/>
        <v>0</v>
      </c>
      <c r="K42" s="1"/>
      <c r="L42" s="1">
        <f t="shared" si="18"/>
        <v>-0.18000000000006366</v>
      </c>
      <c r="M42" s="1"/>
      <c r="N42" s="5">
        <f t="shared" si="19"/>
        <v>-1.154586273252493E-4</v>
      </c>
      <c r="O42" s="12"/>
      <c r="P42" s="1">
        <f>SUM(OSRRefP22_3x_0)</f>
        <v>18706.5</v>
      </c>
      <c r="Q42" s="1"/>
      <c r="R42" s="5">
        <f t="shared" si="20"/>
        <v>0</v>
      </c>
      <c r="S42" s="1"/>
      <c r="T42" s="1">
        <f>SUM(OSRRefT22_3x_0)</f>
        <v>18708</v>
      </c>
      <c r="U42" s="1"/>
      <c r="V42" s="5">
        <f t="shared" si="21"/>
        <v>0</v>
      </c>
      <c r="W42" s="1"/>
      <c r="X42" s="1">
        <f t="shared" si="22"/>
        <v>-1.5</v>
      </c>
      <c r="Y42" s="1"/>
      <c r="Z42" s="5">
        <f t="shared" si="23"/>
        <v>-8.0179602309172541E-5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1558.82</v>
      </c>
      <c r="E43" s="2"/>
      <c r="F43" s="7">
        <f t="shared" si="16"/>
        <v>0</v>
      </c>
      <c r="G43" s="2"/>
      <c r="H43" s="6">
        <v>1559</v>
      </c>
      <c r="I43" s="2"/>
      <c r="J43" s="7">
        <f t="shared" si="17"/>
        <v>0</v>
      </c>
      <c r="K43" s="2"/>
      <c r="L43" s="6">
        <f t="shared" si="18"/>
        <v>-0.18000000000006366</v>
      </c>
      <c r="M43" s="2"/>
      <c r="N43" s="7">
        <f t="shared" si="19"/>
        <v>-1.154586273252493E-4</v>
      </c>
      <c r="O43" s="11"/>
      <c r="P43" s="6">
        <v>18706.5</v>
      </c>
      <c r="Q43" s="2"/>
      <c r="R43" s="7">
        <f t="shared" si="20"/>
        <v>0</v>
      </c>
      <c r="S43" s="2"/>
      <c r="T43" s="6">
        <v>18708</v>
      </c>
      <c r="U43" s="2"/>
      <c r="V43" s="7">
        <f t="shared" si="21"/>
        <v>0</v>
      </c>
      <c r="W43" s="2"/>
      <c r="X43" s="6">
        <f t="shared" si="22"/>
        <v>-1.5</v>
      </c>
      <c r="Y43" s="2"/>
      <c r="Z43" s="7">
        <f t="shared" si="23"/>
        <v>-8.0179602309172541E-5</v>
      </c>
    </row>
    <row r="44" spans="1:26" s="26" customFormat="1" outlineLevel="1" collapsed="1" x14ac:dyDescent="0.25">
      <c r="A44" s="25"/>
      <c r="B44" s="12" t="str">
        <f>CONCATENATE("     ","Employees' Appreciation                           ")</f>
        <v xml:space="preserve">     Employees' Appreciation                           </v>
      </c>
      <c r="C44" s="12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25</v>
      </c>
      <c r="I44" s="1"/>
      <c r="J44" s="5">
        <f t="shared" si="17"/>
        <v>0</v>
      </c>
      <c r="K44" s="1"/>
      <c r="L44" s="1">
        <f t="shared" si="18"/>
        <v>-25</v>
      </c>
      <c r="M44" s="1"/>
      <c r="N44" s="5">
        <f t="shared" si="19"/>
        <v>-1</v>
      </c>
      <c r="O44" s="12"/>
      <c r="P44" s="1">
        <f>SUM(OSRRefP22_4x_0)</f>
        <v>3.96</v>
      </c>
      <c r="Q44" s="1"/>
      <c r="R44" s="5">
        <f t="shared" si="20"/>
        <v>0</v>
      </c>
      <c r="S44" s="1"/>
      <c r="T44" s="1">
        <f>SUM(OSRRefT22_4x_0)</f>
        <v>300</v>
      </c>
      <c r="U44" s="1"/>
      <c r="V44" s="5">
        <f t="shared" si="21"/>
        <v>0</v>
      </c>
      <c r="W44" s="1"/>
      <c r="X44" s="1">
        <f t="shared" si="22"/>
        <v>-296.04000000000002</v>
      </c>
      <c r="Y44" s="1"/>
      <c r="Z44" s="5">
        <f t="shared" si="23"/>
        <v>-0.98680000000000012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25</v>
      </c>
      <c r="I45" s="2"/>
      <c r="J45" s="7">
        <f t="shared" si="17"/>
        <v>0</v>
      </c>
      <c r="K45" s="2"/>
      <c r="L45" s="6">
        <f t="shared" si="18"/>
        <v>-25</v>
      </c>
      <c r="M45" s="2"/>
      <c r="N45" s="7">
        <f t="shared" si="19"/>
        <v>-1</v>
      </c>
      <c r="O45" s="11"/>
      <c r="P45" s="6">
        <v>3.96</v>
      </c>
      <c r="Q45" s="2"/>
      <c r="R45" s="7">
        <f t="shared" si="20"/>
        <v>0</v>
      </c>
      <c r="S45" s="2"/>
      <c r="T45" s="6">
        <v>300</v>
      </c>
      <c r="U45" s="2"/>
      <c r="V45" s="7">
        <f t="shared" si="21"/>
        <v>0</v>
      </c>
      <c r="W45" s="2"/>
      <c r="X45" s="6">
        <f t="shared" si="22"/>
        <v>-296.04000000000002</v>
      </c>
      <c r="Y45" s="2"/>
      <c r="Z45" s="7">
        <f t="shared" si="23"/>
        <v>-0.98680000000000012</v>
      </c>
    </row>
    <row r="46" spans="1:26" s="26" customFormat="1" outlineLevel="1" collapsed="1" x14ac:dyDescent="0.25">
      <c r="A46" s="25"/>
      <c r="B46" s="12" t="str">
        <f>CONCATENATE("     ","Equipment Rental                                  ")</f>
        <v xml:space="preserve">     Equipment Rental                                  </v>
      </c>
      <c r="C46" s="12"/>
      <c r="D46" s="1">
        <f>SUM(OSRRefD22_5x_0)</f>
        <v>91.26</v>
      </c>
      <c r="E46" s="1"/>
      <c r="F46" s="5">
        <f t="shared" si="16"/>
        <v>0</v>
      </c>
      <c r="G46" s="1"/>
      <c r="H46" s="1">
        <f>SUM(OSRRefH22_5x_0)</f>
        <v>91</v>
      </c>
      <c r="I46" s="1"/>
      <c r="J46" s="5">
        <f t="shared" si="17"/>
        <v>0</v>
      </c>
      <c r="K46" s="1"/>
      <c r="L46" s="1">
        <f t="shared" si="18"/>
        <v>0.26000000000000512</v>
      </c>
      <c r="M46" s="1"/>
      <c r="N46" s="5">
        <f t="shared" si="19"/>
        <v>2.8571428571429135E-3</v>
      </c>
      <c r="O46" s="12"/>
      <c r="P46" s="1">
        <f>SUM(OSRRefP22_5x_0)</f>
        <v>1095.1199999999999</v>
      </c>
      <c r="Q46" s="1"/>
      <c r="R46" s="5">
        <f t="shared" si="20"/>
        <v>0</v>
      </c>
      <c r="S46" s="1"/>
      <c r="T46" s="1">
        <f>SUM(OSRRefT22_5x_0)</f>
        <v>1092</v>
      </c>
      <c r="U46" s="1"/>
      <c r="V46" s="5">
        <f t="shared" si="21"/>
        <v>0</v>
      </c>
      <c r="W46" s="1"/>
      <c r="X46" s="1">
        <f t="shared" si="22"/>
        <v>3.1199999999998909</v>
      </c>
      <c r="Y46" s="1"/>
      <c r="Z46" s="5">
        <f t="shared" si="23"/>
        <v>2.8571428571427574E-3</v>
      </c>
    </row>
    <row r="47" spans="1:26" s="24" customFormat="1" hidden="1" outlineLevel="2" x14ac:dyDescent="0.25">
      <c r="A47" s="27"/>
      <c r="B47" s="11" t="str">
        <f>CONCATENATE("          ", "6351", " - ", "EQUIPMENT RENTAL")</f>
        <v xml:space="preserve">          6351 - EQUIPMENT RENTAL</v>
      </c>
      <c r="C47" s="11"/>
      <c r="D47" s="6">
        <v>91.26</v>
      </c>
      <c r="E47" s="2"/>
      <c r="F47" s="7">
        <f t="shared" si="16"/>
        <v>0</v>
      </c>
      <c r="G47" s="2"/>
      <c r="H47" s="6">
        <v>91</v>
      </c>
      <c r="I47" s="2"/>
      <c r="J47" s="7">
        <f t="shared" si="17"/>
        <v>0</v>
      </c>
      <c r="K47" s="2"/>
      <c r="L47" s="6">
        <f t="shared" si="18"/>
        <v>0.26000000000000512</v>
      </c>
      <c r="M47" s="2"/>
      <c r="N47" s="7">
        <f t="shared" si="19"/>
        <v>2.8571428571429135E-3</v>
      </c>
      <c r="O47" s="11"/>
      <c r="P47" s="6">
        <v>1095.1199999999999</v>
      </c>
      <c r="Q47" s="2"/>
      <c r="R47" s="7">
        <f t="shared" si="20"/>
        <v>0</v>
      </c>
      <c r="S47" s="2"/>
      <c r="T47" s="6">
        <v>1092</v>
      </c>
      <c r="U47" s="2"/>
      <c r="V47" s="7">
        <f t="shared" si="21"/>
        <v>0</v>
      </c>
      <c r="W47" s="2"/>
      <c r="X47" s="6">
        <f t="shared" si="22"/>
        <v>3.1199999999998909</v>
      </c>
      <c r="Y47" s="2"/>
      <c r="Z47" s="7">
        <f t="shared" si="23"/>
        <v>2.8571428571427574E-3</v>
      </c>
    </row>
    <row r="48" spans="1:26" s="26" customFormat="1" outlineLevel="1" collapsed="1" x14ac:dyDescent="0.25">
      <c r="A48" s="25"/>
      <c r="B48" s="12" t="str">
        <f>CONCATENATE("     ","Freight out/Postage                               ")</f>
        <v xml:space="preserve">     Freight out/Postage                               </v>
      </c>
      <c r="C48" s="12"/>
      <c r="D48" s="1">
        <f>SUM(OSRRefD22_6x_0)</f>
        <v>40.799999999999997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-109.2</v>
      </c>
      <c r="M48" s="1"/>
      <c r="N48" s="5">
        <f t="shared" si="19"/>
        <v>-0.72799999999999998</v>
      </c>
      <c r="O48" s="12"/>
      <c r="P48" s="1">
        <f>SUM(OSRRefP22_6x_0)</f>
        <v>1366.2</v>
      </c>
      <c r="Q48" s="1"/>
      <c r="R48" s="5">
        <f t="shared" si="20"/>
        <v>0</v>
      </c>
      <c r="S48" s="1"/>
      <c r="T48" s="1">
        <f>SUM(OSRRefT22_6x_0)</f>
        <v>1800</v>
      </c>
      <c r="U48" s="1"/>
      <c r="V48" s="5">
        <f t="shared" si="21"/>
        <v>0</v>
      </c>
      <c r="W48" s="1"/>
      <c r="X48" s="1">
        <f t="shared" si="22"/>
        <v>-433.79999999999995</v>
      </c>
      <c r="Y48" s="1"/>
      <c r="Z48" s="5">
        <f t="shared" si="23"/>
        <v>-0.24099999999999996</v>
      </c>
    </row>
    <row r="49" spans="1:26" s="24" customFormat="1" hidden="1" outlineLevel="2" x14ac:dyDescent="0.25">
      <c r="A49" s="27"/>
      <c r="B49" s="11" t="str">
        <f>CONCATENATE("          ", "6307", " - ", "POSTAGE")</f>
        <v xml:space="preserve">          6307 - POSTAGE</v>
      </c>
      <c r="C49" s="11"/>
      <c r="D49" s="6">
        <v>40.799999999999997</v>
      </c>
      <c r="E49" s="2"/>
      <c r="F49" s="7">
        <f t="shared" si="16"/>
        <v>0</v>
      </c>
      <c r="G49" s="2"/>
      <c r="H49" s="6">
        <v>150</v>
      </c>
      <c r="I49" s="2"/>
      <c r="J49" s="7">
        <f t="shared" si="17"/>
        <v>0</v>
      </c>
      <c r="K49" s="2"/>
      <c r="L49" s="6">
        <f t="shared" si="18"/>
        <v>-109.2</v>
      </c>
      <c r="M49" s="2"/>
      <c r="N49" s="7">
        <f t="shared" si="19"/>
        <v>-0.72799999999999998</v>
      </c>
      <c r="O49" s="11"/>
      <c r="P49" s="6">
        <v>1366.2</v>
      </c>
      <c r="Q49" s="2"/>
      <c r="R49" s="7">
        <f t="shared" si="20"/>
        <v>0</v>
      </c>
      <c r="S49" s="2"/>
      <c r="T49" s="6">
        <v>1800</v>
      </c>
      <c r="U49" s="2"/>
      <c r="V49" s="7">
        <f t="shared" si="21"/>
        <v>0</v>
      </c>
      <c r="W49" s="2"/>
      <c r="X49" s="6">
        <f t="shared" si="22"/>
        <v>-433.79999999999995</v>
      </c>
      <c r="Y49" s="2"/>
      <c r="Z49" s="7">
        <f t="shared" si="23"/>
        <v>-0.24099999999999996</v>
      </c>
    </row>
    <row r="50" spans="1:26" s="26" customFormat="1" outlineLevel="1" collapsed="1" x14ac:dyDescent="0.25">
      <c r="A50" s="25"/>
      <c r="B50" s="12" t="str">
        <f>CONCATENATE("     ","General                                           ")</f>
        <v xml:space="preserve">     General                                           </v>
      </c>
      <c r="C50" s="12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2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300</v>
      </c>
      <c r="U50" s="1"/>
      <c r="V50" s="5">
        <f t="shared" si="21"/>
        <v>0</v>
      </c>
      <c r="W50" s="1"/>
      <c r="X50" s="1">
        <f t="shared" si="22"/>
        <v>-300</v>
      </c>
      <c r="Y50" s="1"/>
      <c r="Z50" s="5">
        <f t="shared" si="23"/>
        <v>-1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16"/>
        <v>0</v>
      </c>
      <c r="G51" s="2"/>
      <c r="H51" s="6">
        <v>25</v>
      </c>
      <c r="I51" s="2"/>
      <c r="J51" s="7">
        <f t="shared" si="17"/>
        <v>0</v>
      </c>
      <c r="K51" s="2"/>
      <c r="L51" s="6">
        <f t="shared" si="18"/>
        <v>-25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300</v>
      </c>
      <c r="U51" s="2"/>
      <c r="V51" s="7">
        <f t="shared" si="21"/>
        <v>0</v>
      </c>
      <c r="W51" s="2"/>
      <c r="X51" s="6">
        <f t="shared" si="22"/>
        <v>-300</v>
      </c>
      <c r="Y51" s="2"/>
      <c r="Z51" s="7">
        <f t="shared" si="23"/>
        <v>-1</v>
      </c>
    </row>
    <row r="52" spans="1:26" s="26" customFormat="1" outlineLevel="1" collapsed="1" x14ac:dyDescent="0.25">
      <c r="A52" s="25"/>
      <c r="B52" s="12" t="str">
        <f>CONCATENATE("     ","Insurance                                         ")</f>
        <v xml:space="preserve">     Insurance                                         </v>
      </c>
      <c r="C52" s="12"/>
      <c r="D52" s="1">
        <f>SUM(OSRRefD22_8x_0)</f>
        <v>132.16999999999999</v>
      </c>
      <c r="E52" s="1"/>
      <c r="F52" s="5">
        <f t="shared" si="16"/>
        <v>0</v>
      </c>
      <c r="G52" s="1"/>
      <c r="H52" s="1">
        <f>SUM(OSRRefH22_8x_0)</f>
        <v>125</v>
      </c>
      <c r="I52" s="1"/>
      <c r="J52" s="5">
        <f t="shared" si="17"/>
        <v>0</v>
      </c>
      <c r="K52" s="1"/>
      <c r="L52" s="1">
        <f t="shared" si="18"/>
        <v>7.1699999999999875</v>
      </c>
      <c r="M52" s="1"/>
      <c r="N52" s="5">
        <f t="shared" si="19"/>
        <v>5.7359999999999897E-2</v>
      </c>
      <c r="O52" s="12"/>
      <c r="P52" s="1">
        <f>SUM(OSRRefP22_8x_0)</f>
        <v>1586.04</v>
      </c>
      <c r="Q52" s="1"/>
      <c r="R52" s="5">
        <f t="shared" si="20"/>
        <v>0</v>
      </c>
      <c r="S52" s="1"/>
      <c r="T52" s="1">
        <f>SUM(OSRRefT22_8x_0)</f>
        <v>1500</v>
      </c>
      <c r="U52" s="1"/>
      <c r="V52" s="5">
        <f t="shared" si="21"/>
        <v>0</v>
      </c>
      <c r="W52" s="1"/>
      <c r="X52" s="1">
        <f t="shared" si="22"/>
        <v>86.039999999999964</v>
      </c>
      <c r="Y52" s="1"/>
      <c r="Z52" s="5">
        <f t="shared" si="23"/>
        <v>5.7359999999999974E-2</v>
      </c>
    </row>
    <row r="53" spans="1:26" s="24" customFormat="1" hidden="1" outlineLevel="2" x14ac:dyDescent="0.25">
      <c r="A53" s="27"/>
      <c r="B53" s="11" t="str">
        <f>CONCATENATE("          ", "6314", " - ", "LIABILITY INSURANCE")</f>
        <v xml:space="preserve">          6314 - LIABILITY INSURANCE</v>
      </c>
      <c r="C53" s="11"/>
      <c r="D53" s="6">
        <v>132.16999999999999</v>
      </c>
      <c r="E53" s="2"/>
      <c r="F53" s="7">
        <f t="shared" si="16"/>
        <v>0</v>
      </c>
      <c r="G53" s="2"/>
      <c r="H53" s="6">
        <v>125</v>
      </c>
      <c r="I53" s="2"/>
      <c r="J53" s="7">
        <f t="shared" si="17"/>
        <v>0</v>
      </c>
      <c r="K53" s="2"/>
      <c r="L53" s="6">
        <f t="shared" si="18"/>
        <v>7.1699999999999875</v>
      </c>
      <c r="M53" s="2"/>
      <c r="N53" s="7">
        <f t="shared" si="19"/>
        <v>5.7359999999999897E-2</v>
      </c>
      <c r="O53" s="11"/>
      <c r="P53" s="6">
        <v>1586.04</v>
      </c>
      <c r="Q53" s="2"/>
      <c r="R53" s="7">
        <f t="shared" si="20"/>
        <v>0</v>
      </c>
      <c r="S53" s="2"/>
      <c r="T53" s="6">
        <v>1500</v>
      </c>
      <c r="U53" s="2"/>
      <c r="V53" s="7">
        <f t="shared" si="21"/>
        <v>0</v>
      </c>
      <c r="W53" s="2"/>
      <c r="X53" s="6">
        <f t="shared" si="22"/>
        <v>86.039999999999964</v>
      </c>
      <c r="Y53" s="2"/>
      <c r="Z53" s="7">
        <f t="shared" si="23"/>
        <v>5.7359999999999974E-2</v>
      </c>
    </row>
    <row r="54" spans="1:26" s="26" customFormat="1" outlineLevel="1" collapsed="1" x14ac:dyDescent="0.25">
      <c r="A54" s="25"/>
      <c r="B54" s="12" t="str">
        <f>CONCATENATE("     ","Interest                                          ")</f>
        <v xml:space="preserve">     Interest                                          </v>
      </c>
      <c r="C54" s="12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0</v>
      </c>
      <c r="I54" s="1"/>
      <c r="J54" s="5">
        <f t="shared" si="17"/>
        <v>0</v>
      </c>
      <c r="K54" s="1"/>
      <c r="L54" s="1">
        <f t="shared" si="18"/>
        <v>0</v>
      </c>
      <c r="M54" s="1"/>
      <c r="N54" s="5">
        <f t="shared" si="19"/>
        <v>0</v>
      </c>
      <c r="O54" s="12"/>
      <c r="P54" s="1">
        <f>SUM(OSRRefP22_9x_0)</f>
        <v>0</v>
      </c>
      <c r="Q54" s="1"/>
      <c r="R54" s="5">
        <f t="shared" si="20"/>
        <v>0</v>
      </c>
      <c r="S54" s="1"/>
      <c r="T54" s="1">
        <f>SUM(OSRRefT22_9x_0)</f>
        <v>0</v>
      </c>
      <c r="U54" s="1"/>
      <c r="V54" s="5">
        <f t="shared" si="21"/>
        <v>0</v>
      </c>
      <c r="W54" s="1"/>
      <c r="X54" s="1">
        <f t="shared" si="22"/>
        <v>0</v>
      </c>
      <c r="Y54" s="1"/>
      <c r="Z54" s="5">
        <f t="shared" si="23"/>
        <v>0</v>
      </c>
    </row>
    <row r="55" spans="1:26" s="24" customFormat="1" hidden="1" outlineLevel="2" x14ac:dyDescent="0.25">
      <c r="A55" s="27"/>
      <c r="B55" s="11" t="str">
        <f>CONCATENATE("          ", "6401", " - ", "INTEREST EXPENSE")</f>
        <v xml:space="preserve">          6401 - INTEREST EXPENSE</v>
      </c>
      <c r="C55" s="11"/>
      <c r="D55" s="6"/>
      <c r="E55" s="2"/>
      <c r="F55" s="7">
        <f t="shared" si="16"/>
        <v>0</v>
      </c>
      <c r="G55" s="2"/>
      <c r="H55" s="6">
        <v>0</v>
      </c>
      <c r="I55" s="2"/>
      <c r="J55" s="7">
        <f t="shared" si="17"/>
        <v>0</v>
      </c>
      <c r="K55" s="2"/>
      <c r="L55" s="6">
        <f t="shared" si="18"/>
        <v>0</v>
      </c>
      <c r="M55" s="2"/>
      <c r="N55" s="7">
        <f t="shared" si="19"/>
        <v>0</v>
      </c>
      <c r="O55" s="11"/>
      <c r="P55" s="6"/>
      <c r="Q55" s="2"/>
      <c r="R55" s="7">
        <f t="shared" si="20"/>
        <v>0</v>
      </c>
      <c r="S55" s="2"/>
      <c r="T55" s="6">
        <v>0</v>
      </c>
      <c r="U55" s="2"/>
      <c r="V55" s="7">
        <f t="shared" si="21"/>
        <v>0</v>
      </c>
      <c r="W55" s="2"/>
      <c r="X55" s="6">
        <f t="shared" si="22"/>
        <v>0</v>
      </c>
      <c r="Y55" s="2"/>
      <c r="Z55" s="7">
        <f t="shared" si="23"/>
        <v>0</v>
      </c>
    </row>
    <row r="56" spans="1:26" s="24" customFormat="1" hidden="1" outlineLevel="2" x14ac:dyDescent="0.25">
      <c r="A56" s="27"/>
      <c r="B56" s="11" t="str">
        <f>CONCATENATE("          ", "6402", " - ", "INTEREST EXPENSE BOND ISSUANCE")</f>
        <v xml:space="preserve">          6402 - INTEREST EXPENSE BOND ISSUANCE</v>
      </c>
      <c r="C56" s="11"/>
      <c r="D56" s="6"/>
      <c r="E56" s="2"/>
      <c r="F56" s="7">
        <f t="shared" si="16"/>
        <v>0</v>
      </c>
      <c r="G56" s="2"/>
      <c r="H56" s="6">
        <v>0</v>
      </c>
      <c r="I56" s="2"/>
      <c r="J56" s="7">
        <f t="shared" si="17"/>
        <v>0</v>
      </c>
      <c r="K56" s="2"/>
      <c r="L56" s="6">
        <f t="shared" si="18"/>
        <v>0</v>
      </c>
      <c r="M56" s="2"/>
      <c r="N56" s="7">
        <f t="shared" si="19"/>
        <v>0</v>
      </c>
      <c r="O56" s="11"/>
      <c r="P56" s="6"/>
      <c r="Q56" s="2"/>
      <c r="R56" s="7">
        <f t="shared" si="20"/>
        <v>0</v>
      </c>
      <c r="S56" s="2"/>
      <c r="T56" s="6">
        <v>0</v>
      </c>
      <c r="U56" s="2"/>
      <c r="V56" s="7">
        <f t="shared" si="21"/>
        <v>0</v>
      </c>
      <c r="W56" s="2"/>
      <c r="X56" s="6">
        <f t="shared" si="22"/>
        <v>0</v>
      </c>
      <c r="Y56" s="2"/>
      <c r="Z56" s="7">
        <f t="shared" si="23"/>
        <v>0</v>
      </c>
    </row>
    <row r="57" spans="1:26" s="24" customFormat="1" hidden="1" outlineLevel="2" x14ac:dyDescent="0.25">
      <c r="A57" s="27"/>
      <c r="B57" s="11" t="str">
        <f>CONCATENATE("          ", "6403", " - ", "INTEREST EXPENSE LEASE EQUIP")</f>
        <v xml:space="preserve">          6403 - INTEREST EXPENSE LEASE EQUIP</v>
      </c>
      <c r="C57" s="11"/>
      <c r="D57" s="6"/>
      <c r="E57" s="2"/>
      <c r="F57" s="7">
        <f t="shared" si="16"/>
        <v>0</v>
      </c>
      <c r="G57" s="2"/>
      <c r="H57" s="6">
        <v>0</v>
      </c>
      <c r="I57" s="2"/>
      <c r="J57" s="7">
        <f t="shared" si="17"/>
        <v>0</v>
      </c>
      <c r="K57" s="2"/>
      <c r="L57" s="6">
        <f t="shared" si="18"/>
        <v>0</v>
      </c>
      <c r="M57" s="2"/>
      <c r="N57" s="7">
        <f t="shared" si="19"/>
        <v>0</v>
      </c>
      <c r="O57" s="11"/>
      <c r="P57" s="6"/>
      <c r="Q57" s="2"/>
      <c r="R57" s="7">
        <f t="shared" si="20"/>
        <v>0</v>
      </c>
      <c r="S57" s="2"/>
      <c r="T57" s="6">
        <v>0</v>
      </c>
      <c r="U57" s="2"/>
      <c r="V57" s="7">
        <f t="shared" si="21"/>
        <v>0</v>
      </c>
      <c r="W57" s="2"/>
      <c r="X57" s="6">
        <f t="shared" si="22"/>
        <v>0</v>
      </c>
      <c r="Y57" s="2"/>
      <c r="Z57" s="7">
        <f t="shared" si="23"/>
        <v>0</v>
      </c>
    </row>
    <row r="58" spans="1:26" s="26" customFormat="1" outlineLevel="1" collapsed="1" x14ac:dyDescent="0.25">
      <c r="A58" s="25"/>
      <c r="B58" s="12" t="str">
        <f>CONCATENATE("     ","Professional Services                             ")</f>
        <v xml:space="preserve">     Professional Services                             </v>
      </c>
      <c r="C58" s="12"/>
      <c r="D58" s="1">
        <f>SUM(OSRRefD22_10x_0)</f>
        <v>0</v>
      </c>
      <c r="E58" s="1"/>
      <c r="F58" s="5">
        <f t="shared" ref="F58:F63" si="24">IF(D$12=0,0,D58/D$12)</f>
        <v>0</v>
      </c>
      <c r="G58" s="1"/>
      <c r="H58" s="1">
        <f>SUM(OSRRefH22_10x_0)</f>
        <v>100</v>
      </c>
      <c r="I58" s="1"/>
      <c r="J58" s="5">
        <f t="shared" ref="J58:J63" si="25">IF(H$12=0,0,H58/H$12)</f>
        <v>0</v>
      </c>
      <c r="K58" s="1"/>
      <c r="L58" s="1">
        <f t="shared" ref="L58:L63" si="26">+D58-H58</f>
        <v>-100</v>
      </c>
      <c r="M58" s="1"/>
      <c r="N58" s="5">
        <f t="shared" ref="N58:N63" si="27">IF(H58=0,0,L58/H58)</f>
        <v>-1</v>
      </c>
      <c r="O58" s="12"/>
      <c r="P58" s="1">
        <f>SUM(OSRRefP22_10x_0)</f>
        <v>82.5</v>
      </c>
      <c r="Q58" s="1"/>
      <c r="R58" s="5">
        <f t="shared" ref="R58:R63" si="28">IF(P$12=0,0,P58/P$12)</f>
        <v>0</v>
      </c>
      <c r="S58" s="1"/>
      <c r="T58" s="1">
        <f>SUM(OSRRefT22_10x_0)</f>
        <v>1200</v>
      </c>
      <c r="U58" s="1"/>
      <c r="V58" s="5">
        <f t="shared" ref="V58:V63" si="29">IF(T$12=0,0,T58/T$12)</f>
        <v>0</v>
      </c>
      <c r="W58" s="1"/>
      <c r="X58" s="1">
        <f t="shared" ref="X58:X63" si="30">+P58-T58</f>
        <v>-1117.5</v>
      </c>
      <c r="Y58" s="1"/>
      <c r="Z58" s="5">
        <f t="shared" ref="Z58:Z63" si="31">IF(T58=0,0,X58/T58)</f>
        <v>-0.93125000000000002</v>
      </c>
    </row>
    <row r="59" spans="1:26" s="24" customFormat="1" hidden="1" outlineLevel="2" x14ac:dyDescent="0.25">
      <c r="A59" s="27"/>
      <c r="B59" s="11" t="str">
        <f>CONCATENATE("          ", "6332", " - ", "CONSULTANT FEES")</f>
        <v xml:space="preserve">          6332 - CONSULTANT FEES</v>
      </c>
      <c r="C59" s="11"/>
      <c r="D59" s="6"/>
      <c r="E59" s="2"/>
      <c r="F59" s="7">
        <f t="shared" si="24"/>
        <v>0</v>
      </c>
      <c r="G59" s="2"/>
      <c r="H59" s="6">
        <v>100</v>
      </c>
      <c r="I59" s="2"/>
      <c r="J59" s="7">
        <f t="shared" si="25"/>
        <v>0</v>
      </c>
      <c r="K59" s="2"/>
      <c r="L59" s="6">
        <f t="shared" si="26"/>
        <v>-100</v>
      </c>
      <c r="M59" s="2"/>
      <c r="N59" s="7">
        <f t="shared" si="27"/>
        <v>-1</v>
      </c>
      <c r="O59" s="11"/>
      <c r="P59" s="6">
        <v>82.5</v>
      </c>
      <c r="Q59" s="2"/>
      <c r="R59" s="7">
        <f t="shared" si="28"/>
        <v>0</v>
      </c>
      <c r="S59" s="2"/>
      <c r="T59" s="6">
        <v>1200</v>
      </c>
      <c r="U59" s="2"/>
      <c r="V59" s="7">
        <f t="shared" si="29"/>
        <v>0</v>
      </c>
      <c r="W59" s="2"/>
      <c r="X59" s="6">
        <f t="shared" si="30"/>
        <v>-1117.5</v>
      </c>
      <c r="Y59" s="2"/>
      <c r="Z59" s="7">
        <f t="shared" si="31"/>
        <v>-0.93125000000000002</v>
      </c>
    </row>
    <row r="60" spans="1:26" s="26" customFormat="1" outlineLevel="1" collapsed="1" x14ac:dyDescent="0.25">
      <c r="A60" s="25"/>
      <c r="B60" s="12" t="str">
        <f>CONCATENATE("     ","Repair and Maintenance                            ")</f>
        <v xml:space="preserve">     Repair and Maintenance                            </v>
      </c>
      <c r="C60" s="12"/>
      <c r="D60" s="1">
        <f>SUM(OSRRefD22_11x_0)</f>
        <v>68.61</v>
      </c>
      <c r="E60" s="1"/>
      <c r="F60" s="5">
        <f t="shared" si="24"/>
        <v>0</v>
      </c>
      <c r="G60" s="1"/>
      <c r="H60" s="1">
        <f>SUM(OSRRefH22_11x_0)</f>
        <v>20</v>
      </c>
      <c r="I60" s="1"/>
      <c r="J60" s="5">
        <f t="shared" si="25"/>
        <v>0</v>
      </c>
      <c r="K60" s="1"/>
      <c r="L60" s="1">
        <f t="shared" si="26"/>
        <v>48.61</v>
      </c>
      <c r="M60" s="1"/>
      <c r="N60" s="5">
        <f t="shared" si="27"/>
        <v>2.4304999999999999</v>
      </c>
      <c r="O60" s="12"/>
      <c r="P60" s="1">
        <f>SUM(OSRRefP22_11x_0)</f>
        <v>32691.109999999997</v>
      </c>
      <c r="Q60" s="1"/>
      <c r="R60" s="5">
        <f t="shared" si="28"/>
        <v>0</v>
      </c>
      <c r="S60" s="1"/>
      <c r="T60" s="1">
        <f>SUM(OSRRefT22_11x_0)</f>
        <v>30720</v>
      </c>
      <c r="U60" s="1"/>
      <c r="V60" s="5">
        <f t="shared" si="29"/>
        <v>0</v>
      </c>
      <c r="W60" s="1"/>
      <c r="X60" s="1">
        <f t="shared" si="30"/>
        <v>1971.1099999999969</v>
      </c>
      <c r="Y60" s="1"/>
      <c r="Z60" s="5">
        <f t="shared" si="31"/>
        <v>6.4163736979166566E-2</v>
      </c>
    </row>
    <row r="61" spans="1:26" s="24" customFormat="1" hidden="1" outlineLevel="2" x14ac:dyDescent="0.25">
      <c r="A61" s="27"/>
      <c r="B61" s="11" t="str">
        <f>CONCATENATE("          ", "6371", " - ", "COMPUTER SOFTWARE MAINTENANCE")</f>
        <v xml:space="preserve">          6371 - COMPUTER SOFTWARE MAINTENANCE</v>
      </c>
      <c r="C61" s="11"/>
      <c r="D61" s="6">
        <v>59.95</v>
      </c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59.95</v>
      </c>
      <c r="M61" s="2"/>
      <c r="N61" s="7">
        <f t="shared" si="27"/>
        <v>0</v>
      </c>
      <c r="O61" s="11"/>
      <c r="P61" s="6">
        <v>27023.78</v>
      </c>
      <c r="Q61" s="2"/>
      <c r="R61" s="7">
        <f t="shared" si="28"/>
        <v>0</v>
      </c>
      <c r="S61" s="2"/>
      <c r="T61" s="6">
        <v>26000</v>
      </c>
      <c r="U61" s="2"/>
      <c r="V61" s="7">
        <f t="shared" si="29"/>
        <v>0</v>
      </c>
      <c r="W61" s="2"/>
      <c r="X61" s="6">
        <f t="shared" si="30"/>
        <v>1023.7799999999988</v>
      </c>
      <c r="Y61" s="2"/>
      <c r="Z61" s="7">
        <f t="shared" si="31"/>
        <v>3.9376153846153804E-2</v>
      </c>
    </row>
    <row r="62" spans="1:26" s="24" customFormat="1" hidden="1" outlineLevel="2" x14ac:dyDescent="0.25">
      <c r="A62" s="27"/>
      <c r="B62" s="11" t="str">
        <f>CONCATENATE("          ", "6373", " - ", "MAINTENANCE CONTRACTS")</f>
        <v xml:space="preserve">          6373 - MAINTENANCE CONTRACTS</v>
      </c>
      <c r="C62" s="11"/>
      <c r="D62" s="6">
        <v>8.66</v>
      </c>
      <c r="E62" s="2"/>
      <c r="F62" s="7">
        <f t="shared" si="24"/>
        <v>0</v>
      </c>
      <c r="G62" s="2"/>
      <c r="H62" s="6">
        <v>20</v>
      </c>
      <c r="I62" s="2"/>
      <c r="J62" s="7">
        <f t="shared" si="25"/>
        <v>0</v>
      </c>
      <c r="K62" s="2"/>
      <c r="L62" s="6">
        <f t="shared" si="26"/>
        <v>-11.34</v>
      </c>
      <c r="M62" s="2"/>
      <c r="N62" s="7">
        <f t="shared" si="27"/>
        <v>-0.56699999999999995</v>
      </c>
      <c r="O62" s="11"/>
      <c r="P62" s="6">
        <v>5129.3900000000003</v>
      </c>
      <c r="Q62" s="2"/>
      <c r="R62" s="7">
        <f t="shared" si="28"/>
        <v>0</v>
      </c>
      <c r="S62" s="2"/>
      <c r="T62" s="6">
        <v>4720</v>
      </c>
      <c r="U62" s="2"/>
      <c r="V62" s="7">
        <f t="shared" si="29"/>
        <v>0</v>
      </c>
      <c r="W62" s="2"/>
      <c r="X62" s="6">
        <f t="shared" si="30"/>
        <v>409.39000000000033</v>
      </c>
      <c r="Y62" s="2"/>
      <c r="Z62" s="7">
        <f t="shared" si="31"/>
        <v>8.6735169491525488E-2</v>
      </c>
    </row>
    <row r="63" spans="1:26" s="24" customFormat="1" hidden="1" outlineLevel="2" x14ac:dyDescent="0.25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1"/>
      <c r="P63" s="6">
        <v>537.94000000000005</v>
      </c>
      <c r="Q63" s="2"/>
      <c r="R63" s="7">
        <f t="shared" si="28"/>
        <v>0</v>
      </c>
      <c r="S63" s="2"/>
      <c r="T63" s="6"/>
      <c r="U63" s="2"/>
      <c r="V63" s="7">
        <f t="shared" si="29"/>
        <v>0</v>
      </c>
      <c r="W63" s="2"/>
      <c r="X63" s="6">
        <f t="shared" si="30"/>
        <v>537.94000000000005</v>
      </c>
      <c r="Y63" s="2"/>
      <c r="Z63" s="7">
        <f t="shared" si="31"/>
        <v>0</v>
      </c>
    </row>
    <row r="64" spans="1:26" s="26" customFormat="1" outlineLevel="1" collapsed="1" x14ac:dyDescent="0.25">
      <c r="A64" s="25"/>
      <c r="B64" s="12" t="str">
        <f>CONCATENATE("     ","Services                                          ")</f>
        <v xml:space="preserve">     Services                                          </v>
      </c>
      <c r="C64" s="12"/>
      <c r="D64" s="1">
        <f>SUM(OSRRefD22_12x_0)</f>
        <v>0</v>
      </c>
      <c r="E64" s="1"/>
      <c r="F64" s="5">
        <f t="shared" ref="F64:F70" si="32">IF(D$12=0,0,D64/D$12)</f>
        <v>0</v>
      </c>
      <c r="G64" s="1"/>
      <c r="H64" s="1">
        <f>SUM(OSRRefH22_12x_0)</f>
        <v>600</v>
      </c>
      <c r="I64" s="1"/>
      <c r="J64" s="5">
        <f t="shared" ref="J64:J70" si="33">IF(H$12=0,0,H64/H$12)</f>
        <v>0</v>
      </c>
      <c r="K64" s="1"/>
      <c r="L64" s="1">
        <f t="shared" ref="L64:L70" si="34">+D64-H64</f>
        <v>-600</v>
      </c>
      <c r="M64" s="1"/>
      <c r="N64" s="5">
        <f t="shared" ref="N64:N70" si="35">IF(H64=0,0,L64/H64)</f>
        <v>-1</v>
      </c>
      <c r="O64" s="12"/>
      <c r="P64" s="1">
        <f>SUM(OSRRefP22_12x_0)</f>
        <v>10967.41</v>
      </c>
      <c r="Q64" s="1"/>
      <c r="R64" s="5">
        <f t="shared" ref="R64:R70" si="36">IF(P$12=0,0,P64/P$12)</f>
        <v>0</v>
      </c>
      <c r="S64" s="1"/>
      <c r="T64" s="1">
        <f>SUM(OSRRefT22_12x_0)</f>
        <v>7200</v>
      </c>
      <c r="U64" s="1"/>
      <c r="V64" s="5">
        <f t="shared" ref="V64:V70" si="37">IF(T$12=0,0,T64/T$12)</f>
        <v>0</v>
      </c>
      <c r="W64" s="1"/>
      <c r="X64" s="1">
        <f t="shared" ref="X64:X70" si="38">+P64-T64</f>
        <v>3767.41</v>
      </c>
      <c r="Y64" s="1"/>
      <c r="Z64" s="5">
        <f t="shared" ref="Z64:Z70" si="39">IF(T64=0,0,X64/T64)</f>
        <v>0.52325138888888889</v>
      </c>
    </row>
    <row r="65" spans="1:26" s="24" customFormat="1" hidden="1" outlineLevel="2" x14ac:dyDescent="0.25">
      <c r="A65" s="27"/>
      <c r="B65" s="11" t="str">
        <f>CONCATENATE("          ", "6281", " - ", "STORAGE FEE")</f>
        <v xml:space="preserve">          6281 - STORAGE FEE</v>
      </c>
      <c r="C65" s="11"/>
      <c r="D65" s="6"/>
      <c r="E65" s="2"/>
      <c r="F65" s="7">
        <f t="shared" si="32"/>
        <v>0</v>
      </c>
      <c r="G65" s="2"/>
      <c r="H65" s="6">
        <v>600</v>
      </c>
      <c r="I65" s="2"/>
      <c r="J65" s="7">
        <f t="shared" si="33"/>
        <v>0</v>
      </c>
      <c r="K65" s="2"/>
      <c r="L65" s="6">
        <f t="shared" si="34"/>
        <v>-600</v>
      </c>
      <c r="M65" s="2"/>
      <c r="N65" s="7">
        <f t="shared" si="35"/>
        <v>-1</v>
      </c>
      <c r="O65" s="11"/>
      <c r="P65" s="6">
        <v>10967.41</v>
      </c>
      <c r="Q65" s="2"/>
      <c r="R65" s="7">
        <f t="shared" si="36"/>
        <v>0</v>
      </c>
      <c r="S65" s="2"/>
      <c r="T65" s="6">
        <v>7200</v>
      </c>
      <c r="U65" s="2"/>
      <c r="V65" s="7">
        <f t="shared" si="37"/>
        <v>0</v>
      </c>
      <c r="W65" s="2"/>
      <c r="X65" s="6">
        <f t="shared" si="38"/>
        <v>3767.41</v>
      </c>
      <c r="Y65" s="2"/>
      <c r="Z65" s="7">
        <f t="shared" si="39"/>
        <v>0.52325138888888889</v>
      </c>
    </row>
    <row r="66" spans="1:26" s="26" customFormat="1" outlineLevel="1" collapsed="1" x14ac:dyDescent="0.25">
      <c r="A66" s="25"/>
      <c r="B66" s="12" t="str">
        <f>CONCATENATE("     ","Subscriptions &amp; Dues                              ")</f>
        <v xml:space="preserve">     Subscriptions &amp; Dues                              </v>
      </c>
      <c r="C66" s="12"/>
      <c r="D66" s="1">
        <f>SUM(OSRRefD22_13x_0)</f>
        <v>0</v>
      </c>
      <c r="E66" s="1"/>
      <c r="F66" s="5">
        <f t="shared" si="32"/>
        <v>0</v>
      </c>
      <c r="G66" s="1"/>
      <c r="H66" s="1">
        <f>SUM(OSRRefH22_13x_0)</f>
        <v>0</v>
      </c>
      <c r="I66" s="1"/>
      <c r="J66" s="5">
        <f t="shared" si="33"/>
        <v>0</v>
      </c>
      <c r="K66" s="1"/>
      <c r="L66" s="1">
        <f t="shared" si="34"/>
        <v>0</v>
      </c>
      <c r="M66" s="1"/>
      <c r="N66" s="5">
        <f t="shared" si="35"/>
        <v>0</v>
      </c>
      <c r="O66" s="12"/>
      <c r="P66" s="1">
        <f>SUM(OSRRefP22_13x_0)</f>
        <v>39</v>
      </c>
      <c r="Q66" s="1"/>
      <c r="R66" s="5">
        <f t="shared" si="36"/>
        <v>0</v>
      </c>
      <c r="S66" s="1"/>
      <c r="T66" s="1">
        <f>SUM(OSRRefT22_13x_0)</f>
        <v>0</v>
      </c>
      <c r="U66" s="1"/>
      <c r="V66" s="5">
        <f t="shared" si="37"/>
        <v>0</v>
      </c>
      <c r="W66" s="1"/>
      <c r="X66" s="1">
        <f t="shared" si="38"/>
        <v>39</v>
      </c>
      <c r="Y66" s="1"/>
      <c r="Z66" s="5">
        <f t="shared" si="39"/>
        <v>0</v>
      </c>
    </row>
    <row r="67" spans="1:26" s="24" customFormat="1" hidden="1" outlineLevel="2" x14ac:dyDescent="0.25">
      <c r="A67" s="27"/>
      <c r="B67" s="11" t="str">
        <f>CONCATENATE("          ", "6258", " - ", "MEMBERSHIP DUES")</f>
        <v xml:space="preserve">          6258 - MEMBERSHIP DUES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39</v>
      </c>
      <c r="Q67" s="2"/>
      <c r="R67" s="7">
        <f t="shared" si="36"/>
        <v>0</v>
      </c>
      <c r="S67" s="2"/>
      <c r="T67" s="6"/>
      <c r="U67" s="2"/>
      <c r="V67" s="7">
        <f t="shared" si="37"/>
        <v>0</v>
      </c>
      <c r="W67" s="2"/>
      <c r="X67" s="6">
        <f t="shared" si="38"/>
        <v>39</v>
      </c>
      <c r="Y67" s="2"/>
      <c r="Z67" s="7">
        <f t="shared" si="39"/>
        <v>0</v>
      </c>
    </row>
    <row r="68" spans="1:26" s="26" customFormat="1" outlineLevel="1" collapsed="1" x14ac:dyDescent="0.25">
      <c r="A68" s="25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SUM(OSRRefD22_14x_0)</f>
        <v>0</v>
      </c>
      <c r="E68" s="1"/>
      <c r="F68" s="5">
        <f t="shared" si="32"/>
        <v>0</v>
      </c>
      <c r="G68" s="1"/>
      <c r="H68" s="1">
        <f>SUM(OSRRefH22_14x_0)</f>
        <v>200</v>
      </c>
      <c r="I68" s="1"/>
      <c r="J68" s="5">
        <f t="shared" si="33"/>
        <v>0</v>
      </c>
      <c r="K68" s="1"/>
      <c r="L68" s="1">
        <f t="shared" si="34"/>
        <v>-200</v>
      </c>
      <c r="M68" s="1"/>
      <c r="N68" s="5">
        <f t="shared" si="35"/>
        <v>-1</v>
      </c>
      <c r="O68" s="12"/>
      <c r="P68" s="1">
        <f>SUM(OSRRefP22_14x_0)</f>
        <v>6840.7699999999995</v>
      </c>
      <c r="Q68" s="1"/>
      <c r="R68" s="5">
        <f t="shared" si="36"/>
        <v>0</v>
      </c>
      <c r="S68" s="1"/>
      <c r="T68" s="1">
        <f>SUM(OSRRefT22_14x_0)</f>
        <v>3150</v>
      </c>
      <c r="U68" s="1"/>
      <c r="V68" s="5">
        <f t="shared" si="37"/>
        <v>0</v>
      </c>
      <c r="W68" s="1"/>
      <c r="X68" s="1">
        <f t="shared" si="38"/>
        <v>3690.7699999999995</v>
      </c>
      <c r="Y68" s="1"/>
      <c r="Z68" s="5">
        <f t="shared" si="39"/>
        <v>1.1716730158730158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32"/>
        <v>0</v>
      </c>
      <c r="G69" s="2"/>
      <c r="H69" s="6">
        <v>200</v>
      </c>
      <c r="I69" s="2"/>
      <c r="J69" s="7">
        <f t="shared" si="33"/>
        <v>0</v>
      </c>
      <c r="K69" s="2"/>
      <c r="L69" s="6">
        <f t="shared" si="34"/>
        <v>-200</v>
      </c>
      <c r="M69" s="2"/>
      <c r="N69" s="7">
        <f t="shared" si="35"/>
        <v>-1</v>
      </c>
      <c r="O69" s="11"/>
      <c r="P69" s="6">
        <v>6177.86</v>
      </c>
      <c r="Q69" s="2"/>
      <c r="R69" s="7">
        <f t="shared" si="36"/>
        <v>0</v>
      </c>
      <c r="S69" s="2"/>
      <c r="T69" s="6">
        <v>3150</v>
      </c>
      <c r="U69" s="2"/>
      <c r="V69" s="7">
        <f t="shared" si="37"/>
        <v>0</v>
      </c>
      <c r="W69" s="2"/>
      <c r="X69" s="6">
        <f t="shared" si="38"/>
        <v>3027.8599999999997</v>
      </c>
      <c r="Y69" s="2"/>
      <c r="Z69" s="7">
        <f t="shared" si="39"/>
        <v>0.96122539682539676</v>
      </c>
    </row>
    <row r="70" spans="1:26" s="24" customFormat="1" hidden="1" outlineLevel="2" x14ac:dyDescent="0.25">
      <c r="A70" s="27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32"/>
        <v>0</v>
      </c>
      <c r="G70" s="2"/>
      <c r="H70" s="6"/>
      <c r="I70" s="2"/>
      <c r="J70" s="7">
        <f t="shared" si="33"/>
        <v>0</v>
      </c>
      <c r="K70" s="2"/>
      <c r="L70" s="6">
        <f t="shared" si="34"/>
        <v>0</v>
      </c>
      <c r="M70" s="2"/>
      <c r="N70" s="7">
        <f t="shared" si="35"/>
        <v>0</v>
      </c>
      <c r="O70" s="11"/>
      <c r="P70" s="6">
        <v>662.91</v>
      </c>
      <c r="Q70" s="2"/>
      <c r="R70" s="7">
        <f t="shared" si="36"/>
        <v>0</v>
      </c>
      <c r="S70" s="2"/>
      <c r="T70" s="6"/>
      <c r="U70" s="2"/>
      <c r="V70" s="7">
        <f t="shared" si="37"/>
        <v>0</v>
      </c>
      <c r="W70" s="2"/>
      <c r="X70" s="6">
        <f t="shared" si="38"/>
        <v>662.91</v>
      </c>
      <c r="Y70" s="2"/>
      <c r="Z70" s="7">
        <f t="shared" si="39"/>
        <v>0</v>
      </c>
    </row>
    <row r="71" spans="1:26" s="26" customFormat="1" outlineLevel="1" collapsed="1" x14ac:dyDescent="0.25">
      <c r="A71" s="25"/>
      <c r="B71" s="12" t="str">
        <f>CONCATENATE("     ","Telephone/Data Lines                              ")</f>
        <v xml:space="preserve">     Telephone/Data Lines                              </v>
      </c>
      <c r="C71" s="12"/>
      <c r="D71" s="1">
        <f>SUM(OSRRefD22_15x_0)</f>
        <v>59.5</v>
      </c>
      <c r="E71" s="1"/>
      <c r="F71" s="5">
        <f t="shared" ref="F71:F74" si="40">IF(D$12=0,0,D71/D$12)</f>
        <v>0</v>
      </c>
      <c r="G71" s="1"/>
      <c r="H71" s="1">
        <f>SUM(OSRRefH22_15x_0)</f>
        <v>375</v>
      </c>
      <c r="I71" s="1"/>
      <c r="J71" s="5">
        <f t="shared" ref="J71:J74" si="41">IF(H$12=0,0,H71/H$12)</f>
        <v>0</v>
      </c>
      <c r="K71" s="1"/>
      <c r="L71" s="1">
        <f t="shared" ref="L71:L74" si="42">+D71-H71</f>
        <v>-315.5</v>
      </c>
      <c r="M71" s="1"/>
      <c r="N71" s="5">
        <f t="shared" ref="N71:N74" si="43">IF(H71=0,0,L71/H71)</f>
        <v>-0.84133333333333338</v>
      </c>
      <c r="O71" s="12"/>
      <c r="P71" s="1">
        <f>SUM(OSRRefP22_15x_0)</f>
        <v>4605.8900000000003</v>
      </c>
      <c r="Q71" s="1"/>
      <c r="R71" s="5">
        <f t="shared" ref="R71:R74" si="44">IF(P$12=0,0,P71/P$12)</f>
        <v>0</v>
      </c>
      <c r="S71" s="1"/>
      <c r="T71" s="1">
        <f>SUM(OSRRefT22_15x_0)</f>
        <v>4500</v>
      </c>
      <c r="U71" s="1"/>
      <c r="V71" s="5">
        <f t="shared" ref="V71:V74" si="45">IF(T$12=0,0,T71/T$12)</f>
        <v>0</v>
      </c>
      <c r="W71" s="1"/>
      <c r="X71" s="1">
        <f t="shared" ref="X71:X74" si="46">+P71-T71</f>
        <v>105.89000000000033</v>
      </c>
      <c r="Y71" s="1"/>
      <c r="Z71" s="5">
        <f t="shared" ref="Z71:Z74" si="47">IF(T71=0,0,X71/T71)</f>
        <v>2.3531111111111183E-2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6">
        <v>59.5</v>
      </c>
      <c r="E72" s="2"/>
      <c r="F72" s="7">
        <f t="shared" si="40"/>
        <v>0</v>
      </c>
      <c r="G72" s="2"/>
      <c r="H72" s="6">
        <v>375</v>
      </c>
      <c r="I72" s="2"/>
      <c r="J72" s="7">
        <f t="shared" si="41"/>
        <v>0</v>
      </c>
      <c r="K72" s="2"/>
      <c r="L72" s="6">
        <f t="shared" si="42"/>
        <v>-315.5</v>
      </c>
      <c r="M72" s="2"/>
      <c r="N72" s="7">
        <f t="shared" si="43"/>
        <v>-0.84133333333333338</v>
      </c>
      <c r="O72" s="11"/>
      <c r="P72" s="6">
        <v>4605.8900000000003</v>
      </c>
      <c r="Q72" s="2"/>
      <c r="R72" s="7">
        <f t="shared" si="44"/>
        <v>0</v>
      </c>
      <c r="S72" s="2"/>
      <c r="T72" s="6">
        <v>4500</v>
      </c>
      <c r="U72" s="2"/>
      <c r="V72" s="7">
        <f t="shared" si="45"/>
        <v>0</v>
      </c>
      <c r="W72" s="2"/>
      <c r="X72" s="6">
        <f t="shared" si="46"/>
        <v>105.89000000000033</v>
      </c>
      <c r="Y72" s="2"/>
      <c r="Z72" s="7">
        <f t="shared" si="47"/>
        <v>2.3531111111111183E-2</v>
      </c>
    </row>
    <row r="73" spans="1:26" s="26" customFormat="1" outlineLevel="1" collapsed="1" x14ac:dyDescent="0.25">
      <c r="A73" s="25"/>
      <c r="B73" s="12" t="str">
        <f>CONCATENATE("     ","Training                                          ")</f>
        <v xml:space="preserve">     Training                                          </v>
      </c>
      <c r="C73" s="12"/>
      <c r="D73" s="1">
        <f>SUM(OSRRefD22_16x_0)</f>
        <v>0</v>
      </c>
      <c r="E73" s="1"/>
      <c r="F73" s="5">
        <f t="shared" si="40"/>
        <v>0</v>
      </c>
      <c r="G73" s="1"/>
      <c r="H73" s="1">
        <f>SUM(OSRRefH22_16x_0)</f>
        <v>587</v>
      </c>
      <c r="I73" s="1"/>
      <c r="J73" s="5">
        <f t="shared" si="41"/>
        <v>0</v>
      </c>
      <c r="K73" s="1"/>
      <c r="L73" s="1">
        <f t="shared" si="42"/>
        <v>-587</v>
      </c>
      <c r="M73" s="1"/>
      <c r="N73" s="5">
        <f t="shared" si="43"/>
        <v>-1</v>
      </c>
      <c r="O73" s="12"/>
      <c r="P73" s="1">
        <f>SUM(OSRRefP22_16x_0)</f>
        <v>400.18</v>
      </c>
      <c r="Q73" s="1"/>
      <c r="R73" s="5">
        <f t="shared" si="44"/>
        <v>0</v>
      </c>
      <c r="S73" s="1"/>
      <c r="T73" s="1">
        <f>SUM(OSRRefT22_16x_0)</f>
        <v>7000</v>
      </c>
      <c r="U73" s="1"/>
      <c r="V73" s="5">
        <f t="shared" si="45"/>
        <v>0</v>
      </c>
      <c r="W73" s="1"/>
      <c r="X73" s="1">
        <f t="shared" si="46"/>
        <v>-6599.82</v>
      </c>
      <c r="Y73" s="1"/>
      <c r="Z73" s="5">
        <f t="shared" si="47"/>
        <v>-0.94283142857142854</v>
      </c>
    </row>
    <row r="74" spans="1:26" s="24" customFormat="1" hidden="1" outlineLevel="2" x14ac:dyDescent="0.25">
      <c r="A74" s="27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40"/>
        <v>0</v>
      </c>
      <c r="G74" s="2"/>
      <c r="H74" s="6">
        <v>587</v>
      </c>
      <c r="I74" s="2"/>
      <c r="J74" s="7">
        <f t="shared" si="41"/>
        <v>0</v>
      </c>
      <c r="K74" s="2"/>
      <c r="L74" s="6">
        <f t="shared" si="42"/>
        <v>-587</v>
      </c>
      <c r="M74" s="2"/>
      <c r="N74" s="7">
        <f t="shared" si="43"/>
        <v>-1</v>
      </c>
      <c r="O74" s="11"/>
      <c r="P74" s="6">
        <v>400.18</v>
      </c>
      <c r="Q74" s="2"/>
      <c r="R74" s="7">
        <f t="shared" si="44"/>
        <v>0</v>
      </c>
      <c r="S74" s="2"/>
      <c r="T74" s="6">
        <v>7000</v>
      </c>
      <c r="U74" s="2"/>
      <c r="V74" s="7">
        <f t="shared" si="45"/>
        <v>0</v>
      </c>
      <c r="W74" s="2"/>
      <c r="X74" s="6">
        <f t="shared" si="46"/>
        <v>-6599.82</v>
      </c>
      <c r="Y74" s="2"/>
      <c r="Z74" s="7">
        <f t="shared" si="47"/>
        <v>-0.94283142857142854</v>
      </c>
    </row>
    <row r="75" spans="1:26" s="60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8" t="s">
        <v>0</v>
      </c>
      <c r="C76" s="10"/>
      <c r="D76" s="4">
        <f>SUM(0)</f>
        <v>0</v>
      </c>
      <c r="E76" s="4"/>
      <c r="F76" s="13">
        <f>IF(D$12=0,0,D76/D$12)</f>
        <v>0</v>
      </c>
      <c r="G76" s="4"/>
      <c r="H76" s="4">
        <f>SUM(0)</f>
        <v>0</v>
      </c>
      <c r="I76" s="4"/>
      <c r="J76" s="13">
        <f>IF(H$12=0,0,H76/H$12)</f>
        <v>0</v>
      </c>
      <c r="K76" s="4"/>
      <c r="L76" s="4">
        <f>+D76-H76</f>
        <v>0</v>
      </c>
      <c r="M76" s="4"/>
      <c r="N76" s="13">
        <f>IF(H76=0,0,L76/H76)</f>
        <v>0</v>
      </c>
      <c r="O76" s="10"/>
      <c r="P76" s="4">
        <f>SUM(0)</f>
        <v>0</v>
      </c>
      <c r="Q76" s="4"/>
      <c r="R76" s="13">
        <f>IF(P$12=0,0,P76/P$12)</f>
        <v>0</v>
      </c>
      <c r="S76" s="4"/>
      <c r="T76" s="4">
        <f>SUM(0)</f>
        <v>0</v>
      </c>
      <c r="U76" s="4"/>
      <c r="V76" s="13">
        <f>IF(T$12=0,0,T76/T$12)</f>
        <v>0</v>
      </c>
      <c r="W76" s="4"/>
      <c r="X76" s="4">
        <f>+P76-T76</f>
        <v>0</v>
      </c>
      <c r="Y76" s="4"/>
      <c r="Z76" s="13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9" t="s">
        <v>3</v>
      </c>
      <c r="C78" s="29"/>
      <c r="D78" s="22">
        <f>+D16-D18+D76</f>
        <v>-28987.139999999992</v>
      </c>
      <c r="E78" s="14"/>
      <c r="F78" s="20">
        <f>IF(D$12=0,0,D78/D$12)</f>
        <v>0</v>
      </c>
      <c r="G78" s="14"/>
      <c r="H78" s="22">
        <f>+H16-H18+H76</f>
        <v>-50004.1777898461</v>
      </c>
      <c r="I78" s="14"/>
      <c r="J78" s="20">
        <f>IF(H$12=0,0,H78/H$12)</f>
        <v>0</v>
      </c>
      <c r="K78" s="15"/>
      <c r="L78" s="22">
        <f>+D78-H78</f>
        <v>21017.037789846108</v>
      </c>
      <c r="M78" s="15"/>
      <c r="N78" s="20">
        <f>IF(H78=0,0,L78/H78)</f>
        <v>-0.42030563682448646</v>
      </c>
      <c r="O78" s="28"/>
      <c r="P78" s="22">
        <f>+P16-P18+P76</f>
        <v>-565424.47</v>
      </c>
      <c r="Q78" s="14"/>
      <c r="R78" s="20">
        <f>IF(P$12=0,0,P78/P$12)</f>
        <v>0</v>
      </c>
      <c r="S78" s="14"/>
      <c r="T78" s="22">
        <f>+T16-T18+T76</f>
        <v>-664261.05568099965</v>
      </c>
      <c r="U78" s="14"/>
      <c r="V78" s="20">
        <f>IF(T$12=0,0,T78/T$12)</f>
        <v>0</v>
      </c>
      <c r="W78" s="15"/>
      <c r="X78" s="22">
        <f>+P78-T78</f>
        <v>98836.585680999677</v>
      </c>
      <c r="Y78" s="15"/>
      <c r="Z78" s="20">
        <f>IF(T78=0,0,X78/T78)</f>
        <v>-0.14879178123677975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3">
        <f>IF(D$12=0,0,D80/D$12)</f>
        <v>0</v>
      </c>
      <c r="G80" s="4"/>
      <c r="H80" s="4"/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0"/>
      <c r="P80" s="4"/>
      <c r="Q80" s="4"/>
      <c r="R80" s="13">
        <f>IF(P$12=0,0,P80/P$12)</f>
        <v>0</v>
      </c>
      <c r="S80" s="4"/>
      <c r="T80" s="4"/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4</v>
      </c>
      <c r="C82" s="29"/>
      <c r="D82" s="31">
        <f>+D78-D80</f>
        <v>-28987.139999999992</v>
      </c>
      <c r="E82" s="14"/>
      <c r="F82" s="33">
        <f>IF(D$12=0,0,D82/D$12)</f>
        <v>0</v>
      </c>
      <c r="G82" s="14"/>
      <c r="H82" s="31">
        <f>+H78-H80</f>
        <v>-50004.1777898461</v>
      </c>
      <c r="I82" s="14"/>
      <c r="J82" s="33">
        <f>IF(H$12=0,0,H82/H$12)</f>
        <v>0</v>
      </c>
      <c r="K82" s="15"/>
      <c r="L82" s="31">
        <f>D82-H82</f>
        <v>21017.037789846108</v>
      </c>
      <c r="M82" s="15"/>
      <c r="N82" s="33">
        <f>IF(H82=0,0,L82/H82)</f>
        <v>-0.42030563682448646</v>
      </c>
      <c r="O82" s="28"/>
      <c r="P82" s="31">
        <f>+P78-P80</f>
        <v>-565424.47</v>
      </c>
      <c r="Q82" s="14"/>
      <c r="R82" s="33">
        <f>IF(P$12=0,0,P82/P$12)</f>
        <v>0</v>
      </c>
      <c r="S82" s="14"/>
      <c r="T82" s="31">
        <f>+T78-T80</f>
        <v>-664261.05568099965</v>
      </c>
      <c r="U82" s="14"/>
      <c r="V82" s="33">
        <f>IF(T$12=0,0,T82/T$12)</f>
        <v>0</v>
      </c>
      <c r="W82" s="15"/>
      <c r="X82" s="31">
        <f>P82-T82</f>
        <v>98836.585680999677</v>
      </c>
      <c r="Y82" s="15"/>
      <c r="Z82" s="33">
        <f>IF(T82=0,0,X82/T82)</f>
        <v>-0.14879178123677975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5</v>
      </c>
      <c r="C85" s="29"/>
      <c r="D85" s="34">
        <f>SUM(D82:D84)</f>
        <v>-28987.139999999992</v>
      </c>
      <c r="E85" s="14"/>
      <c r="F85" s="35">
        <f>IF(D$12=0,0,D85/D$12)</f>
        <v>0</v>
      </c>
      <c r="G85" s="14"/>
      <c r="H85" s="34">
        <f>SUM(H82:H84)</f>
        <v>-50004.1777898461</v>
      </c>
      <c r="I85" s="14"/>
      <c r="J85" s="35">
        <f>IF(H$12=0,0,H85/H$12)</f>
        <v>0</v>
      </c>
      <c r="K85" s="15"/>
      <c r="L85" s="34">
        <f>+D85-H85</f>
        <v>21017.037789846108</v>
      </c>
      <c r="M85" s="15"/>
      <c r="N85" s="35">
        <f>IF(H85=0,0,L85/H85)</f>
        <v>-0.42030563682448646</v>
      </c>
      <c r="O85" s="28"/>
      <c r="P85" s="34">
        <f>SUM(P82:P84)</f>
        <v>-565424.47</v>
      </c>
      <c r="Q85" s="14"/>
      <c r="R85" s="35">
        <f>IF(P$12=0,0,P85/P$12)</f>
        <v>0</v>
      </c>
      <c r="S85" s="14"/>
      <c r="T85" s="34">
        <f>SUM(T82:T84)</f>
        <v>-664261.05568099965</v>
      </c>
      <c r="U85" s="14"/>
      <c r="V85" s="35">
        <f>IF(T$12=0,0,T85/T$12)</f>
        <v>0</v>
      </c>
      <c r="W85" s="15"/>
      <c r="X85" s="34">
        <f>+P85-T85</f>
        <v>98836.585680999677</v>
      </c>
      <c r="Y85" s="15"/>
      <c r="Z85" s="35">
        <f>IF(T85=0,0,X85/T85)</f>
        <v>-0.14879178123677975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5">
        <v>44043.473178009262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2" t="s">
        <v>314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63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","203", " - ", "Human Resources")</f>
        <v>Department 203 - Human Resources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43972.88</v>
      </c>
      <c r="E18" s="21"/>
      <c r="F18" s="32">
        <f t="shared" ref="F18:F29" si="0">IF(D$12=0,0,D18/D$12)</f>
        <v>0</v>
      </c>
      <c r="G18" s="21"/>
      <c r="H18" s="21">
        <f>SUM(OSRRefH22x_0)</f>
        <v>55793.426544015376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-11820.546544015378</v>
      </c>
      <c r="M18" s="4"/>
      <c r="N18" s="32">
        <f t="shared" ref="N18:N29" si="3">IF(H18=0,0,L18/H18)</f>
        <v>-0.21186270993214876</v>
      </c>
      <c r="O18" s="10"/>
      <c r="P18" s="21">
        <f>SUM(OSRRefP22x_0)</f>
        <v>802300.28000000014</v>
      </c>
      <c r="Q18" s="21"/>
      <c r="R18" s="32">
        <f t="shared" ref="R18:R29" si="4">IF(P$12=0,0,P18/P$12)</f>
        <v>0</v>
      </c>
      <c r="S18" s="21"/>
      <c r="T18" s="21">
        <f>SUM(OSRRefT22x_0)</f>
        <v>726273.82532844297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76026.454671557178</v>
      </c>
      <c r="Y18" s="4"/>
      <c r="Z18" s="32">
        <f t="shared" ref="Z18:Z29" si="7">IF(T18=0,0,X18/T18)</f>
        <v>0.10468015233397089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10214.569999999998</v>
      </c>
      <c r="E19" s="1"/>
      <c r="F19" s="5">
        <f t="shared" si="0"/>
        <v>0</v>
      </c>
      <c r="G19" s="1"/>
      <c r="H19" s="1">
        <f>SUM(OSRRefH22_0x_0)</f>
        <v>11316.868620938458</v>
      </c>
      <c r="I19" s="1"/>
      <c r="J19" s="5">
        <f t="shared" si="1"/>
        <v>0</v>
      </c>
      <c r="K19" s="1"/>
      <c r="L19" s="1">
        <f t="shared" si="2"/>
        <v>-1102.2986209384599</v>
      </c>
      <c r="M19" s="1"/>
      <c r="N19" s="5">
        <f t="shared" si="3"/>
        <v>-9.7403147271586082E-2</v>
      </c>
      <c r="O19" s="12"/>
      <c r="P19" s="1">
        <f>SUM(OSRRefP22_0x_0)</f>
        <v>165704.23999999996</v>
      </c>
      <c r="Q19" s="1"/>
      <c r="R19" s="5">
        <f t="shared" si="4"/>
        <v>0</v>
      </c>
      <c r="S19" s="1"/>
      <c r="T19" s="1">
        <f>SUM(OSRRefT22_0x_0)</f>
        <v>130088.31052844305</v>
      </c>
      <c r="U19" s="1"/>
      <c r="V19" s="5">
        <f t="shared" si="5"/>
        <v>0</v>
      </c>
      <c r="W19" s="1"/>
      <c r="X19" s="1">
        <f t="shared" si="6"/>
        <v>35615.929471556912</v>
      </c>
      <c r="Y19" s="1"/>
      <c r="Z19" s="5">
        <f t="shared" si="7"/>
        <v>0.27378270443269148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2021.53</v>
      </c>
      <c r="E20" s="2"/>
      <c r="F20" s="7">
        <f t="shared" si="0"/>
        <v>0</v>
      </c>
      <c r="G20" s="2"/>
      <c r="H20" s="6">
        <v>1454.42757170769</v>
      </c>
      <c r="I20" s="2"/>
      <c r="J20" s="7">
        <f t="shared" si="1"/>
        <v>0</v>
      </c>
      <c r="K20" s="2"/>
      <c r="L20" s="6">
        <f t="shared" si="2"/>
        <v>567.10242829230992</v>
      </c>
      <c r="M20" s="2"/>
      <c r="N20" s="7">
        <f t="shared" si="3"/>
        <v>0.3899145198591476</v>
      </c>
      <c r="O20" s="11"/>
      <c r="P20" s="6">
        <v>26917.62</v>
      </c>
      <c r="Q20" s="2"/>
      <c r="R20" s="7">
        <f t="shared" si="4"/>
        <v>0</v>
      </c>
      <c r="S20" s="2"/>
      <c r="T20" s="6">
        <v>17048.464427520001</v>
      </c>
      <c r="U20" s="2"/>
      <c r="V20" s="7">
        <f t="shared" si="5"/>
        <v>0</v>
      </c>
      <c r="W20" s="2"/>
      <c r="X20" s="6">
        <f t="shared" si="6"/>
        <v>9869.1555724799982</v>
      </c>
      <c r="Y20" s="2"/>
      <c r="Z20" s="7">
        <f t="shared" si="7"/>
        <v>0.57888824031265795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89.45</v>
      </c>
      <c r="E21" s="2"/>
      <c r="F21" s="7">
        <f t="shared" si="0"/>
        <v>0</v>
      </c>
      <c r="G21" s="2"/>
      <c r="H21" s="6">
        <v>95.181885846153889</v>
      </c>
      <c r="I21" s="2"/>
      <c r="J21" s="7">
        <f t="shared" si="1"/>
        <v>0</v>
      </c>
      <c r="K21" s="2"/>
      <c r="L21" s="6">
        <f t="shared" si="2"/>
        <v>-5.7318858461538866</v>
      </c>
      <c r="M21" s="2"/>
      <c r="N21" s="7">
        <f t="shared" si="3"/>
        <v>-6.0220343347877688E-2</v>
      </c>
      <c r="O21" s="11"/>
      <c r="P21" s="6">
        <v>1067.8800000000001</v>
      </c>
      <c r="Q21" s="2"/>
      <c r="R21" s="7">
        <f t="shared" si="4"/>
        <v>0</v>
      </c>
      <c r="S21" s="2"/>
      <c r="T21" s="6">
        <v>1087.5253055999992</v>
      </c>
      <c r="U21" s="2"/>
      <c r="V21" s="7">
        <f t="shared" si="5"/>
        <v>0</v>
      </c>
      <c r="W21" s="2"/>
      <c r="X21" s="6">
        <f t="shared" si="6"/>
        <v>-19.645305599999119</v>
      </c>
      <c r="Y21" s="2"/>
      <c r="Z21" s="7">
        <f t="shared" si="7"/>
        <v>-1.8064228481709303E-2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6091.67</v>
      </c>
      <c r="E22" s="2"/>
      <c r="F22" s="7">
        <f t="shared" si="0"/>
        <v>0</v>
      </c>
      <c r="G22" s="2"/>
      <c r="H22" s="6">
        <v>6539.3076923076906</v>
      </c>
      <c r="I22" s="2"/>
      <c r="J22" s="7">
        <f t="shared" si="1"/>
        <v>0</v>
      </c>
      <c r="K22" s="2"/>
      <c r="L22" s="6">
        <f t="shared" si="2"/>
        <v>-447.63769230769049</v>
      </c>
      <c r="M22" s="2"/>
      <c r="N22" s="7">
        <f t="shared" si="3"/>
        <v>-6.845337662184868E-2</v>
      </c>
      <c r="O22" s="11"/>
      <c r="P22" s="6">
        <v>73799.079999999987</v>
      </c>
      <c r="Q22" s="2"/>
      <c r="R22" s="7">
        <f t="shared" si="4"/>
        <v>0</v>
      </c>
      <c r="S22" s="2"/>
      <c r="T22" s="6">
        <v>72996.923076923049</v>
      </c>
      <c r="U22" s="2"/>
      <c r="V22" s="7">
        <f t="shared" si="5"/>
        <v>0</v>
      </c>
      <c r="W22" s="2"/>
      <c r="X22" s="6">
        <f t="shared" si="6"/>
        <v>802.15692307693826</v>
      </c>
      <c r="Y22" s="2"/>
      <c r="Z22" s="7">
        <f t="shared" si="7"/>
        <v>1.0988914179733815E-2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-846.89</v>
      </c>
      <c r="E23" s="2"/>
      <c r="F23" s="7">
        <f t="shared" si="0"/>
        <v>0</v>
      </c>
      <c r="G23" s="2"/>
      <c r="H23" s="6">
        <v>72.786147999999997</v>
      </c>
      <c r="I23" s="2"/>
      <c r="J23" s="7">
        <f t="shared" si="1"/>
        <v>0</v>
      </c>
      <c r="K23" s="2"/>
      <c r="L23" s="6">
        <f t="shared" si="2"/>
        <v>-919.67614800000001</v>
      </c>
      <c r="M23" s="2"/>
      <c r="N23" s="7">
        <f t="shared" si="3"/>
        <v>-12.635318302597907</v>
      </c>
      <c r="O23" s="11"/>
      <c r="P23" s="6">
        <v>0</v>
      </c>
      <c r="Q23" s="2"/>
      <c r="R23" s="7">
        <f t="shared" si="4"/>
        <v>0</v>
      </c>
      <c r="S23" s="2"/>
      <c r="T23" s="6">
        <v>831.63699840000004</v>
      </c>
      <c r="U23" s="2"/>
      <c r="V23" s="7">
        <f t="shared" si="5"/>
        <v>0</v>
      </c>
      <c r="W23" s="2"/>
      <c r="X23" s="6">
        <f t="shared" si="6"/>
        <v>-831.63699840000004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1011.34</v>
      </c>
      <c r="E24" s="2"/>
      <c r="F24" s="7">
        <f t="shared" si="0"/>
        <v>0</v>
      </c>
      <c r="G24" s="2"/>
      <c r="H24" s="6">
        <v>684.79153846153804</v>
      </c>
      <c r="I24" s="2"/>
      <c r="J24" s="7">
        <f t="shared" si="1"/>
        <v>0</v>
      </c>
      <c r="K24" s="2"/>
      <c r="L24" s="6">
        <f t="shared" si="2"/>
        <v>326.54846153846199</v>
      </c>
      <c r="M24" s="2"/>
      <c r="N24" s="7">
        <f t="shared" si="3"/>
        <v>0.47685820165373277</v>
      </c>
      <c r="O24" s="11"/>
      <c r="P24" s="6">
        <v>14655.15</v>
      </c>
      <c r="Q24" s="2"/>
      <c r="R24" s="7">
        <f t="shared" si="4"/>
        <v>0</v>
      </c>
      <c r="S24" s="2"/>
      <c r="T24" s="6">
        <v>8902.2899999999954</v>
      </c>
      <c r="U24" s="2"/>
      <c r="V24" s="7">
        <f t="shared" si="5"/>
        <v>0</v>
      </c>
      <c r="W24" s="2"/>
      <c r="X24" s="6">
        <f t="shared" si="6"/>
        <v>5752.8600000000042</v>
      </c>
      <c r="Y24" s="2"/>
      <c r="Z24" s="7">
        <f t="shared" si="7"/>
        <v>0.6462224888202931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-500</v>
      </c>
      <c r="M25" s="2"/>
      <c r="N25" s="7">
        <f t="shared" si="3"/>
        <v>-1</v>
      </c>
      <c r="O25" s="11"/>
      <c r="P25" s="6">
        <v>4936.88</v>
      </c>
      <c r="Q25" s="2"/>
      <c r="R25" s="7">
        <f t="shared" si="4"/>
        <v>0</v>
      </c>
      <c r="S25" s="2"/>
      <c r="T25" s="6">
        <v>6000</v>
      </c>
      <c r="U25" s="2"/>
      <c r="V25" s="7">
        <f t="shared" si="5"/>
        <v>0</v>
      </c>
      <c r="W25" s="2"/>
      <c r="X25" s="6">
        <f t="shared" si="6"/>
        <v>-1063.1199999999999</v>
      </c>
      <c r="Y25" s="2"/>
      <c r="Z25" s="7">
        <f t="shared" si="7"/>
        <v>-0.17718666666666666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466.21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466.21</v>
      </c>
      <c r="M26" s="2"/>
      <c r="N26" s="7">
        <f t="shared" si="3"/>
        <v>0</v>
      </c>
      <c r="O26" s="11"/>
      <c r="P26" s="6">
        <v>5718.55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5718.55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472.52</v>
      </c>
      <c r="E27" s="2"/>
      <c r="F27" s="7">
        <f t="shared" si="0"/>
        <v>0</v>
      </c>
      <c r="G27" s="2"/>
      <c r="H27" s="6">
        <v>950.23361538461609</v>
      </c>
      <c r="I27" s="2"/>
      <c r="J27" s="7">
        <f t="shared" si="1"/>
        <v>0</v>
      </c>
      <c r="K27" s="2"/>
      <c r="L27" s="6">
        <f t="shared" si="2"/>
        <v>-477.71361538461611</v>
      </c>
      <c r="M27" s="2"/>
      <c r="N27" s="7">
        <f t="shared" si="3"/>
        <v>-0.5027328097535857</v>
      </c>
      <c r="O27" s="11"/>
      <c r="P27" s="6">
        <v>20368.54</v>
      </c>
      <c r="Q27" s="2"/>
      <c r="R27" s="7">
        <f t="shared" si="4"/>
        <v>0</v>
      </c>
      <c r="S27" s="2"/>
      <c r="T27" s="6">
        <v>11138.419200000002</v>
      </c>
      <c r="U27" s="2"/>
      <c r="V27" s="7">
        <f t="shared" si="5"/>
        <v>0</v>
      </c>
      <c r="W27" s="2"/>
      <c r="X27" s="6">
        <f t="shared" si="6"/>
        <v>9230.1207999999988</v>
      </c>
      <c r="Y27" s="2"/>
      <c r="Z27" s="7">
        <f t="shared" si="7"/>
        <v>0.82867421617602588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900.74</v>
      </c>
      <c r="E28" s="2"/>
      <c r="F28" s="7">
        <f t="shared" si="0"/>
        <v>0</v>
      </c>
      <c r="G28" s="2"/>
      <c r="H28" s="6">
        <v>570.14016923076906</v>
      </c>
      <c r="I28" s="2"/>
      <c r="J28" s="7">
        <f t="shared" si="1"/>
        <v>0</v>
      </c>
      <c r="K28" s="2"/>
      <c r="L28" s="6">
        <f t="shared" si="2"/>
        <v>330.59983076923095</v>
      </c>
      <c r="M28" s="2"/>
      <c r="N28" s="7">
        <f t="shared" si="3"/>
        <v>0.57985710990207018</v>
      </c>
      <c r="O28" s="11"/>
      <c r="P28" s="6">
        <v>14579.58</v>
      </c>
      <c r="Q28" s="2"/>
      <c r="R28" s="7">
        <f t="shared" si="4"/>
        <v>0</v>
      </c>
      <c r="S28" s="2"/>
      <c r="T28" s="6">
        <v>6683.05152</v>
      </c>
      <c r="U28" s="2"/>
      <c r="V28" s="7">
        <f t="shared" si="5"/>
        <v>0</v>
      </c>
      <c r="W28" s="2"/>
      <c r="X28" s="6">
        <f t="shared" si="6"/>
        <v>7896.5284799999999</v>
      </c>
      <c r="Y28" s="2"/>
      <c r="Z28" s="7">
        <f t="shared" si="7"/>
        <v>1.1815752813469258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8</v>
      </c>
      <c r="E29" s="2"/>
      <c r="F29" s="7">
        <f t="shared" si="0"/>
        <v>0</v>
      </c>
      <c r="G29" s="2"/>
      <c r="H29" s="6">
        <v>450</v>
      </c>
      <c r="I29" s="2"/>
      <c r="J29" s="7">
        <f t="shared" si="1"/>
        <v>0</v>
      </c>
      <c r="K29" s="2"/>
      <c r="L29" s="6">
        <f t="shared" si="2"/>
        <v>-442</v>
      </c>
      <c r="M29" s="2"/>
      <c r="N29" s="7">
        <f t="shared" si="3"/>
        <v>-0.98222222222222222</v>
      </c>
      <c r="O29" s="11"/>
      <c r="P29" s="6">
        <v>3660.96</v>
      </c>
      <c r="Q29" s="2"/>
      <c r="R29" s="7">
        <f t="shared" si="4"/>
        <v>0</v>
      </c>
      <c r="S29" s="2"/>
      <c r="T29" s="6">
        <v>5400</v>
      </c>
      <c r="U29" s="2"/>
      <c r="V29" s="7">
        <f t="shared" si="5"/>
        <v>0</v>
      </c>
      <c r="W29" s="2"/>
      <c r="X29" s="6">
        <f t="shared" si="6"/>
        <v>-1739.04</v>
      </c>
      <c r="Y29" s="2"/>
      <c r="Z29" s="7">
        <f t="shared" si="7"/>
        <v>-0.32204444444444441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26355.91</v>
      </c>
      <c r="E30" s="1"/>
      <c r="F30" s="5">
        <f t="shared" ref="F30:F40" si="8">IF(D$12=0,0,D30/D$12)</f>
        <v>0</v>
      </c>
      <c r="G30" s="1"/>
      <c r="H30" s="1">
        <f>SUM(OSRRefH22_1x_0)</f>
        <v>26805.557923076922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-449.64792307692187</v>
      </c>
      <c r="M30" s="1"/>
      <c r="N30" s="5">
        <f t="shared" ref="N30:N40" si="11">IF(H30=0,0,L30/H30)</f>
        <v>-1.6774428809400742E-2</v>
      </c>
      <c r="O30" s="12"/>
      <c r="P30" s="1">
        <f>SUM(OSRRefP22_1x_0)</f>
        <v>325084.53000000003</v>
      </c>
      <c r="Q30" s="1"/>
      <c r="R30" s="5">
        <f t="shared" ref="R30:R40" si="12">IF(P$12=0,0,P30/P$12)</f>
        <v>0</v>
      </c>
      <c r="S30" s="1"/>
      <c r="T30" s="1">
        <f>SUM(OSRRefT22_1x_0)</f>
        <v>305616.51479999995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19468.015200000082</v>
      </c>
      <c r="Y30" s="1"/>
      <c r="Z30" s="5">
        <f t="shared" ref="Z30:Z40" si="15">IF(T30=0,0,X30/T30)</f>
        <v>6.370079579220464E-2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9894.68</v>
      </c>
      <c r="E31" s="2"/>
      <c r="F31" s="7">
        <f t="shared" si="8"/>
        <v>0</v>
      </c>
      <c r="G31" s="2"/>
      <c r="H31" s="6">
        <v>7325.6769230769205</v>
      </c>
      <c r="I31" s="2"/>
      <c r="J31" s="7">
        <f t="shared" si="9"/>
        <v>0</v>
      </c>
      <c r="K31" s="2"/>
      <c r="L31" s="6">
        <f t="shared" si="10"/>
        <v>2569.0030769230798</v>
      </c>
      <c r="M31" s="2"/>
      <c r="N31" s="7">
        <f t="shared" si="11"/>
        <v>0.35068473588158877</v>
      </c>
      <c r="O31" s="11"/>
      <c r="P31" s="6">
        <v>112844.3</v>
      </c>
      <c r="Q31" s="2"/>
      <c r="R31" s="7">
        <f t="shared" si="12"/>
        <v>0</v>
      </c>
      <c r="S31" s="2"/>
      <c r="T31" s="6">
        <v>95233.799999999959</v>
      </c>
      <c r="U31" s="2"/>
      <c r="V31" s="7">
        <f t="shared" si="13"/>
        <v>0</v>
      </c>
      <c r="W31" s="2"/>
      <c r="X31" s="6">
        <f t="shared" si="14"/>
        <v>17610.500000000044</v>
      </c>
      <c r="Y31" s="2"/>
      <c r="Z31" s="7">
        <f t="shared" si="15"/>
        <v>0.18491858982840179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21069.18</v>
      </c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21069.18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9973.52</v>
      </c>
      <c r="E34" s="2"/>
      <c r="F34" s="7">
        <f t="shared" si="8"/>
        <v>0</v>
      </c>
      <c r="G34" s="2"/>
      <c r="H34" s="6">
        <v>10489.880999999999</v>
      </c>
      <c r="I34" s="2"/>
      <c r="J34" s="7">
        <f t="shared" si="9"/>
        <v>0</v>
      </c>
      <c r="K34" s="2"/>
      <c r="L34" s="6">
        <f t="shared" si="10"/>
        <v>-516.36099999999897</v>
      </c>
      <c r="M34" s="2"/>
      <c r="N34" s="7">
        <f t="shared" si="11"/>
        <v>-4.9224676619305692E-2</v>
      </c>
      <c r="O34" s="11"/>
      <c r="P34" s="6">
        <v>121467.52</v>
      </c>
      <c r="Q34" s="2"/>
      <c r="R34" s="7">
        <f t="shared" si="12"/>
        <v>0</v>
      </c>
      <c r="S34" s="2"/>
      <c r="T34" s="6">
        <v>113290.7148</v>
      </c>
      <c r="U34" s="2"/>
      <c r="V34" s="7">
        <f t="shared" si="13"/>
        <v>0</v>
      </c>
      <c r="W34" s="2"/>
      <c r="X34" s="6">
        <f t="shared" si="14"/>
        <v>8176.8052000000025</v>
      </c>
      <c r="Y34" s="2"/>
      <c r="Z34" s="7">
        <f t="shared" si="15"/>
        <v>7.2175422446888848E-2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6487.71</v>
      </c>
      <c r="E35" s="2"/>
      <c r="F35" s="7">
        <f t="shared" si="8"/>
        <v>0</v>
      </c>
      <c r="G35" s="2"/>
      <c r="H35" s="6">
        <v>8990</v>
      </c>
      <c r="I35" s="2"/>
      <c r="J35" s="7">
        <f t="shared" si="9"/>
        <v>0</v>
      </c>
      <c r="K35" s="2"/>
      <c r="L35" s="6">
        <f t="shared" si="10"/>
        <v>-2502.29</v>
      </c>
      <c r="M35" s="2"/>
      <c r="N35" s="7">
        <f t="shared" si="11"/>
        <v>-0.27834149054505003</v>
      </c>
      <c r="O35" s="11"/>
      <c r="P35" s="6">
        <v>69703.53</v>
      </c>
      <c r="Q35" s="2"/>
      <c r="R35" s="7">
        <f t="shared" si="12"/>
        <v>0</v>
      </c>
      <c r="S35" s="2"/>
      <c r="T35" s="6">
        <v>97092</v>
      </c>
      <c r="U35" s="2"/>
      <c r="V35" s="7">
        <f t="shared" si="13"/>
        <v>0</v>
      </c>
      <c r="W35" s="2"/>
      <c r="X35" s="6">
        <f t="shared" si="14"/>
        <v>-27388.47</v>
      </c>
      <c r="Y35" s="2"/>
      <c r="Z35" s="7">
        <f t="shared" si="15"/>
        <v>-0.28208781362007168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58" si="16">IF(D$12=0,0,D41/D$12)</f>
        <v>0</v>
      </c>
      <c r="G41" s="1"/>
      <c r="H41" s="1">
        <f>SUM(OSRRefH22_2x_0)</f>
        <v>260</v>
      </c>
      <c r="I41" s="1"/>
      <c r="J41" s="5">
        <f t="shared" ref="J41:J58" si="17">IF(H$12=0,0,H41/H$12)</f>
        <v>0</v>
      </c>
      <c r="K41" s="1"/>
      <c r="L41" s="1">
        <f t="shared" ref="L41:L58" si="18">+D41-H41</f>
        <v>-260</v>
      </c>
      <c r="M41" s="1"/>
      <c r="N41" s="5">
        <f t="shared" ref="N41:N58" si="19">IF(H41=0,0,L41/H41)</f>
        <v>-1</v>
      </c>
      <c r="O41" s="12"/>
      <c r="P41" s="1">
        <f>SUM(OSRRefP22_2x_0)</f>
        <v>1556.04</v>
      </c>
      <c r="Q41" s="1"/>
      <c r="R41" s="5">
        <f t="shared" ref="R41:R58" si="20">IF(P$12=0,0,P41/P$12)</f>
        <v>0</v>
      </c>
      <c r="S41" s="1"/>
      <c r="T41" s="1">
        <f>SUM(OSRRefT22_2x_0)</f>
        <v>3120</v>
      </c>
      <c r="U41" s="1"/>
      <c r="V41" s="5">
        <f t="shared" ref="V41:V58" si="21">IF(T$12=0,0,T41/T$12)</f>
        <v>0</v>
      </c>
      <c r="W41" s="1"/>
      <c r="X41" s="1">
        <f t="shared" ref="X41:X58" si="22">+P41-T41</f>
        <v>-1563.96</v>
      </c>
      <c r="Y41" s="1"/>
      <c r="Z41" s="5">
        <f t="shared" ref="Z41:Z58" si="23">IF(T41=0,0,X41/T41)</f>
        <v>-0.5012692307692308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260</v>
      </c>
      <c r="I42" s="2"/>
      <c r="J42" s="7">
        <f t="shared" si="17"/>
        <v>0</v>
      </c>
      <c r="K42" s="2"/>
      <c r="L42" s="6">
        <f t="shared" si="18"/>
        <v>-260</v>
      </c>
      <c r="M42" s="2"/>
      <c r="N42" s="7">
        <f t="shared" si="19"/>
        <v>-1</v>
      </c>
      <c r="O42" s="11"/>
      <c r="P42" s="6">
        <v>1556.04</v>
      </c>
      <c r="Q42" s="2"/>
      <c r="R42" s="7">
        <f t="shared" si="20"/>
        <v>0</v>
      </c>
      <c r="S42" s="2"/>
      <c r="T42" s="6">
        <v>3120</v>
      </c>
      <c r="U42" s="2"/>
      <c r="V42" s="7">
        <f t="shared" si="21"/>
        <v>0</v>
      </c>
      <c r="W42" s="2"/>
      <c r="X42" s="6">
        <f t="shared" si="22"/>
        <v>-1563.96</v>
      </c>
      <c r="Y42" s="2"/>
      <c r="Z42" s="7">
        <f t="shared" si="23"/>
        <v>-0.5012692307692308</v>
      </c>
    </row>
    <row r="43" spans="1:26" s="26" customFormat="1" outlineLevel="1" collapsed="1" x14ac:dyDescent="0.25">
      <c r="A43" s="25"/>
      <c r="B43" s="12" t="str">
        <f>CONCATENATE("     ","Depreciation                                      ")</f>
        <v xml:space="preserve">     Depreciation                                      </v>
      </c>
      <c r="C43" s="12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-224</v>
      </c>
      <c r="M43" s="1"/>
      <c r="N43" s="5">
        <f t="shared" si="19"/>
        <v>-1</v>
      </c>
      <c r="O43" s="12"/>
      <c r="P43" s="1">
        <f>SUM(OSRRefP22_3x_0)</f>
        <v>2017.57</v>
      </c>
      <c r="Q43" s="1"/>
      <c r="R43" s="5">
        <f t="shared" si="20"/>
        <v>0</v>
      </c>
      <c r="S43" s="1"/>
      <c r="T43" s="1">
        <f>SUM(OSRRefT22_3x_0)</f>
        <v>2688</v>
      </c>
      <c r="U43" s="1"/>
      <c r="V43" s="5">
        <f t="shared" si="21"/>
        <v>0</v>
      </c>
      <c r="W43" s="1"/>
      <c r="X43" s="1">
        <f t="shared" si="22"/>
        <v>-670.43000000000006</v>
      </c>
      <c r="Y43" s="1"/>
      <c r="Z43" s="5">
        <f t="shared" si="23"/>
        <v>-0.24941592261904763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/>
      <c r="E44" s="2"/>
      <c r="F44" s="7">
        <f t="shared" si="16"/>
        <v>0</v>
      </c>
      <c r="G44" s="2"/>
      <c r="H44" s="6">
        <v>224</v>
      </c>
      <c r="I44" s="2"/>
      <c r="J44" s="7">
        <f t="shared" si="17"/>
        <v>0</v>
      </c>
      <c r="K44" s="2"/>
      <c r="L44" s="6">
        <f t="shared" si="18"/>
        <v>-224</v>
      </c>
      <c r="M44" s="2"/>
      <c r="N44" s="7">
        <f t="shared" si="19"/>
        <v>-1</v>
      </c>
      <c r="O44" s="11"/>
      <c r="P44" s="6">
        <v>2017.57</v>
      </c>
      <c r="Q44" s="2"/>
      <c r="R44" s="7">
        <f t="shared" si="20"/>
        <v>0</v>
      </c>
      <c r="S44" s="2"/>
      <c r="T44" s="6">
        <v>2688</v>
      </c>
      <c r="U44" s="2"/>
      <c r="V44" s="7">
        <f t="shared" si="21"/>
        <v>0</v>
      </c>
      <c r="W44" s="2"/>
      <c r="X44" s="6">
        <f t="shared" si="22"/>
        <v>-670.43000000000006</v>
      </c>
      <c r="Y44" s="2"/>
      <c r="Z44" s="7">
        <f t="shared" si="23"/>
        <v>-0.24941592261904763</v>
      </c>
    </row>
    <row r="45" spans="1:26" s="26" customFormat="1" outlineLevel="1" collapsed="1" x14ac:dyDescent="0.25">
      <c r="A45" s="25"/>
      <c r="B45" s="12" t="str">
        <f>CONCATENATE("     ","Employees' Appreciation                           ")</f>
        <v xml:space="preserve">     Employees' Appreciation                           </v>
      </c>
      <c r="C45" s="12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583</v>
      </c>
      <c r="I45" s="1"/>
      <c r="J45" s="5">
        <f t="shared" si="17"/>
        <v>0</v>
      </c>
      <c r="K45" s="1"/>
      <c r="L45" s="1">
        <f t="shared" si="18"/>
        <v>-583</v>
      </c>
      <c r="M45" s="1"/>
      <c r="N45" s="5">
        <f t="shared" si="19"/>
        <v>-1</v>
      </c>
      <c r="O45" s="12"/>
      <c r="P45" s="1">
        <f>SUM(OSRRefP22_4x_0)</f>
        <v>29521.939999999995</v>
      </c>
      <c r="Q45" s="1"/>
      <c r="R45" s="5">
        <f t="shared" si="20"/>
        <v>0</v>
      </c>
      <c r="S45" s="1"/>
      <c r="T45" s="1">
        <f>SUM(OSRRefT22_4x_0)</f>
        <v>44496</v>
      </c>
      <c r="U45" s="1"/>
      <c r="V45" s="5">
        <f t="shared" si="21"/>
        <v>0</v>
      </c>
      <c r="W45" s="1"/>
      <c r="X45" s="1">
        <f t="shared" si="22"/>
        <v>-14974.060000000005</v>
      </c>
      <c r="Y45" s="1"/>
      <c r="Z45" s="5">
        <f t="shared" si="23"/>
        <v>-0.33652597986335864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16"/>
        <v>0</v>
      </c>
      <c r="G46" s="2"/>
      <c r="H46" s="6">
        <v>583</v>
      </c>
      <c r="I46" s="2"/>
      <c r="J46" s="7">
        <f t="shared" si="17"/>
        <v>0</v>
      </c>
      <c r="K46" s="2"/>
      <c r="L46" s="6">
        <f t="shared" si="18"/>
        <v>-583</v>
      </c>
      <c r="M46" s="2"/>
      <c r="N46" s="7">
        <f t="shared" si="19"/>
        <v>-1</v>
      </c>
      <c r="O46" s="11"/>
      <c r="P46" s="6">
        <v>29521.939999999995</v>
      </c>
      <c r="Q46" s="2"/>
      <c r="R46" s="7">
        <f t="shared" si="20"/>
        <v>0</v>
      </c>
      <c r="S46" s="2"/>
      <c r="T46" s="6">
        <v>44496</v>
      </c>
      <c r="U46" s="2"/>
      <c r="V46" s="7">
        <f t="shared" si="21"/>
        <v>0</v>
      </c>
      <c r="W46" s="2"/>
      <c r="X46" s="6">
        <f t="shared" si="22"/>
        <v>-14974.060000000005</v>
      </c>
      <c r="Y46" s="2"/>
      <c r="Z46" s="7">
        <f t="shared" si="23"/>
        <v>-0.33652597986335864</v>
      </c>
    </row>
    <row r="47" spans="1:26" s="26" customFormat="1" outlineLevel="1" collapsed="1" x14ac:dyDescent="0.25">
      <c r="A47" s="25"/>
      <c r="B47" s="12" t="str">
        <f>CONCATENATE("     ","Equipment Rental                                  ")</f>
        <v xml:space="preserve">     Equipment Rental                                  </v>
      </c>
      <c r="C47" s="12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-90</v>
      </c>
      <c r="M47" s="1"/>
      <c r="N47" s="5">
        <f t="shared" si="19"/>
        <v>-1</v>
      </c>
      <c r="O47" s="12"/>
      <c r="P47" s="1">
        <f>SUM(OSRRefP22_5x_0)</f>
        <v>273.77999999999997</v>
      </c>
      <c r="Q47" s="1"/>
      <c r="R47" s="5">
        <f t="shared" si="20"/>
        <v>0</v>
      </c>
      <c r="S47" s="1"/>
      <c r="T47" s="1">
        <f>SUM(OSRRefT22_5x_0)</f>
        <v>990</v>
      </c>
      <c r="U47" s="1"/>
      <c r="V47" s="5">
        <f t="shared" si="21"/>
        <v>0</v>
      </c>
      <c r="W47" s="1"/>
      <c r="X47" s="1">
        <f t="shared" si="22"/>
        <v>-716.22</v>
      </c>
      <c r="Y47" s="1"/>
      <c r="Z47" s="5">
        <f t="shared" si="23"/>
        <v>-0.72345454545454546</v>
      </c>
    </row>
    <row r="48" spans="1:26" s="24" customFormat="1" hidden="1" outlineLevel="2" x14ac:dyDescent="0.25">
      <c r="A48" s="27"/>
      <c r="B48" s="11" t="str">
        <f>CONCATENATE("          ", "6351", " - ", "EQUIPMENT RENTAL")</f>
        <v xml:space="preserve">          6351 - EQUIPMENT RENTAL</v>
      </c>
      <c r="C48" s="11"/>
      <c r="D48" s="6"/>
      <c r="E48" s="2"/>
      <c r="F48" s="7">
        <f t="shared" si="16"/>
        <v>0</v>
      </c>
      <c r="G48" s="2"/>
      <c r="H48" s="6">
        <v>90</v>
      </c>
      <c r="I48" s="2"/>
      <c r="J48" s="7">
        <f t="shared" si="17"/>
        <v>0</v>
      </c>
      <c r="K48" s="2"/>
      <c r="L48" s="6">
        <f t="shared" si="18"/>
        <v>-90</v>
      </c>
      <c r="M48" s="2"/>
      <c r="N48" s="7">
        <f t="shared" si="19"/>
        <v>-1</v>
      </c>
      <c r="O48" s="11"/>
      <c r="P48" s="6">
        <v>273.77999999999997</v>
      </c>
      <c r="Q48" s="2"/>
      <c r="R48" s="7">
        <f t="shared" si="20"/>
        <v>0</v>
      </c>
      <c r="S48" s="2"/>
      <c r="T48" s="6">
        <v>990</v>
      </c>
      <c r="U48" s="2"/>
      <c r="V48" s="7">
        <f t="shared" si="21"/>
        <v>0</v>
      </c>
      <c r="W48" s="2"/>
      <c r="X48" s="6">
        <f t="shared" si="22"/>
        <v>-716.22</v>
      </c>
      <c r="Y48" s="2"/>
      <c r="Z48" s="7">
        <f t="shared" si="23"/>
        <v>-0.72345454545454546</v>
      </c>
    </row>
    <row r="49" spans="1:26" s="26" customFormat="1" outlineLevel="1" collapsed="1" x14ac:dyDescent="0.25">
      <c r="A49" s="25"/>
      <c r="B49" s="12" t="str">
        <f>CONCATENATE("     ","Freight out/Postage                               ")</f>
        <v xml:space="preserve">     Freight out/Postage                               </v>
      </c>
      <c r="C49" s="12"/>
      <c r="D49" s="1">
        <f>SUM(OSRRefD22_6x_0)</f>
        <v>5.5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-89.5</v>
      </c>
      <c r="M49" s="1"/>
      <c r="N49" s="5">
        <f t="shared" si="19"/>
        <v>-0.94210526315789478</v>
      </c>
      <c r="O49" s="12"/>
      <c r="P49" s="1">
        <f>SUM(OSRRefP22_6x_0)</f>
        <v>1121</v>
      </c>
      <c r="Q49" s="1"/>
      <c r="R49" s="5">
        <f t="shared" si="20"/>
        <v>0</v>
      </c>
      <c r="S49" s="1"/>
      <c r="T49" s="1">
        <f>SUM(OSRRefT22_6x_0)</f>
        <v>1045</v>
      </c>
      <c r="U49" s="1"/>
      <c r="V49" s="5">
        <f t="shared" si="21"/>
        <v>0</v>
      </c>
      <c r="W49" s="1"/>
      <c r="X49" s="1">
        <f t="shared" si="22"/>
        <v>76</v>
      </c>
      <c r="Y49" s="1"/>
      <c r="Z49" s="5">
        <f t="shared" si="23"/>
        <v>7.2727272727272724E-2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6">
        <v>5.5</v>
      </c>
      <c r="E50" s="2"/>
      <c r="F50" s="7">
        <f t="shared" si="16"/>
        <v>0</v>
      </c>
      <c r="G50" s="2"/>
      <c r="H50" s="6">
        <v>95</v>
      </c>
      <c r="I50" s="2"/>
      <c r="J50" s="7">
        <f t="shared" si="17"/>
        <v>0</v>
      </c>
      <c r="K50" s="2"/>
      <c r="L50" s="6">
        <f t="shared" si="18"/>
        <v>-89.5</v>
      </c>
      <c r="M50" s="2"/>
      <c r="N50" s="7">
        <f t="shared" si="19"/>
        <v>-0.94210526315789478</v>
      </c>
      <c r="O50" s="11"/>
      <c r="P50" s="6">
        <v>1121</v>
      </c>
      <c r="Q50" s="2"/>
      <c r="R50" s="7">
        <f t="shared" si="20"/>
        <v>0</v>
      </c>
      <c r="S50" s="2"/>
      <c r="T50" s="6">
        <v>1045</v>
      </c>
      <c r="U50" s="2"/>
      <c r="V50" s="7">
        <f t="shared" si="21"/>
        <v>0</v>
      </c>
      <c r="W50" s="2"/>
      <c r="X50" s="6">
        <f t="shared" si="22"/>
        <v>76</v>
      </c>
      <c r="Y50" s="2"/>
      <c r="Z50" s="7">
        <f t="shared" si="23"/>
        <v>7.2727272727272724E-2</v>
      </c>
    </row>
    <row r="51" spans="1:26" s="26" customFormat="1" outlineLevel="1" collapsed="1" x14ac:dyDescent="0.25">
      <c r="A51" s="25"/>
      <c r="B51" s="12" t="str">
        <f>CONCATENATE("     ","General                                           ")</f>
        <v xml:space="preserve">     General                                           </v>
      </c>
      <c r="C51" s="12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-390</v>
      </c>
      <c r="M51" s="1"/>
      <c r="N51" s="5">
        <f t="shared" si="19"/>
        <v>-1</v>
      </c>
      <c r="O51" s="12"/>
      <c r="P51" s="1">
        <f>SUM(OSRRefP22_7x_0)</f>
        <v>700</v>
      </c>
      <c r="Q51" s="1"/>
      <c r="R51" s="5">
        <f t="shared" si="20"/>
        <v>0</v>
      </c>
      <c r="S51" s="1"/>
      <c r="T51" s="1">
        <f>SUM(OSRRefT22_7x_0)</f>
        <v>4290</v>
      </c>
      <c r="U51" s="1"/>
      <c r="V51" s="5">
        <f t="shared" si="21"/>
        <v>0</v>
      </c>
      <c r="W51" s="1"/>
      <c r="X51" s="1">
        <f t="shared" si="22"/>
        <v>-3590</v>
      </c>
      <c r="Y51" s="1"/>
      <c r="Z51" s="5">
        <f t="shared" si="23"/>
        <v>-0.8368298368298368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16"/>
        <v>0</v>
      </c>
      <c r="G52" s="2"/>
      <c r="H52" s="6">
        <v>390</v>
      </c>
      <c r="I52" s="2"/>
      <c r="J52" s="7">
        <f t="shared" si="17"/>
        <v>0</v>
      </c>
      <c r="K52" s="2"/>
      <c r="L52" s="6">
        <f t="shared" si="18"/>
        <v>-390</v>
      </c>
      <c r="M52" s="2"/>
      <c r="N52" s="7">
        <f t="shared" si="19"/>
        <v>-1</v>
      </c>
      <c r="O52" s="11"/>
      <c r="P52" s="6">
        <v>700</v>
      </c>
      <c r="Q52" s="2"/>
      <c r="R52" s="7">
        <f t="shared" si="20"/>
        <v>0</v>
      </c>
      <c r="S52" s="2"/>
      <c r="T52" s="6">
        <v>4290</v>
      </c>
      <c r="U52" s="2"/>
      <c r="V52" s="7">
        <f t="shared" si="21"/>
        <v>0</v>
      </c>
      <c r="W52" s="2"/>
      <c r="X52" s="6">
        <f t="shared" si="22"/>
        <v>-3590</v>
      </c>
      <c r="Y52" s="2"/>
      <c r="Z52" s="7">
        <f t="shared" si="23"/>
        <v>-0.8368298368298368</v>
      </c>
    </row>
    <row r="53" spans="1:26" s="26" customFormat="1" outlineLevel="1" collapsed="1" x14ac:dyDescent="0.25">
      <c r="A53" s="25"/>
      <c r="B53" s="12" t="str">
        <f>CONCATENATE("     ","Insurance                                         ")</f>
        <v xml:space="preserve">     Insurance                                         </v>
      </c>
      <c r="C53" s="12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2"/>
      <c r="P53" s="1">
        <f>SUM(OSRRefP22_8x_0)</f>
        <v>785.64</v>
      </c>
      <c r="Q53" s="1"/>
      <c r="R53" s="5">
        <f t="shared" si="20"/>
        <v>0</v>
      </c>
      <c r="S53" s="1"/>
      <c r="T53" s="1">
        <f>SUM(OSRRefT22_8x_0)</f>
        <v>780</v>
      </c>
      <c r="U53" s="1"/>
      <c r="V53" s="5">
        <f t="shared" si="21"/>
        <v>0</v>
      </c>
      <c r="W53" s="1"/>
      <c r="X53" s="1">
        <f t="shared" si="22"/>
        <v>5.6399999999999864</v>
      </c>
      <c r="Y53" s="1"/>
      <c r="Z53" s="5">
        <f t="shared" si="23"/>
        <v>7.2307692307692134E-3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6">
        <v>65.47</v>
      </c>
      <c r="E54" s="2"/>
      <c r="F54" s="7">
        <f t="shared" si="16"/>
        <v>0</v>
      </c>
      <c r="G54" s="2"/>
      <c r="H54" s="6">
        <v>65</v>
      </c>
      <c r="I54" s="2"/>
      <c r="J54" s="7">
        <f t="shared" si="17"/>
        <v>0</v>
      </c>
      <c r="K54" s="2"/>
      <c r="L54" s="6">
        <f t="shared" si="18"/>
        <v>0.46999999999999886</v>
      </c>
      <c r="M54" s="2"/>
      <c r="N54" s="7">
        <f t="shared" si="19"/>
        <v>7.2307692307692134E-3</v>
      </c>
      <c r="O54" s="11"/>
      <c r="P54" s="6">
        <v>785.64</v>
      </c>
      <c r="Q54" s="2"/>
      <c r="R54" s="7">
        <f t="shared" si="20"/>
        <v>0</v>
      </c>
      <c r="S54" s="2"/>
      <c r="T54" s="6">
        <v>780</v>
      </c>
      <c r="U54" s="2"/>
      <c r="V54" s="7">
        <f t="shared" si="21"/>
        <v>0</v>
      </c>
      <c r="W54" s="2"/>
      <c r="X54" s="6">
        <f t="shared" si="22"/>
        <v>5.6399999999999864</v>
      </c>
      <c r="Y54" s="2"/>
      <c r="Z54" s="7">
        <f t="shared" si="23"/>
        <v>7.2307692307692134E-3</v>
      </c>
    </row>
    <row r="55" spans="1:26" s="26" customFormat="1" outlineLevel="1" collapsed="1" x14ac:dyDescent="0.25">
      <c r="A55" s="25"/>
      <c r="B55" s="12" t="str">
        <f>CONCATENATE("     ","Professional Services                             ")</f>
        <v xml:space="preserve">     Professional Services                             </v>
      </c>
      <c r="C55" s="12"/>
      <c r="D55" s="1">
        <f>SUM(OSRRefD22_9x_0)</f>
        <v>595</v>
      </c>
      <c r="E55" s="1"/>
      <c r="F55" s="5">
        <f t="shared" si="16"/>
        <v>0</v>
      </c>
      <c r="G55" s="1"/>
      <c r="H55" s="1">
        <f>SUM(OSRRefH22_9x_0)</f>
        <v>837</v>
      </c>
      <c r="I55" s="1"/>
      <c r="J55" s="5">
        <f t="shared" si="17"/>
        <v>0</v>
      </c>
      <c r="K55" s="1"/>
      <c r="L55" s="1">
        <f t="shared" si="18"/>
        <v>-242</v>
      </c>
      <c r="M55" s="1"/>
      <c r="N55" s="5">
        <f t="shared" si="19"/>
        <v>-0.28912783751493432</v>
      </c>
      <c r="O55" s="12"/>
      <c r="P55" s="1">
        <f>SUM(OSRRefP22_9x_0)</f>
        <v>89533.52</v>
      </c>
      <c r="Q55" s="1"/>
      <c r="R55" s="5">
        <f t="shared" si="20"/>
        <v>0</v>
      </c>
      <c r="S55" s="1"/>
      <c r="T55" s="1">
        <f>SUM(OSRRefT22_9x_0)</f>
        <v>54000</v>
      </c>
      <c r="U55" s="1"/>
      <c r="V55" s="5">
        <f t="shared" si="21"/>
        <v>0</v>
      </c>
      <c r="W55" s="1"/>
      <c r="X55" s="1">
        <f t="shared" si="22"/>
        <v>35533.520000000004</v>
      </c>
      <c r="Y55" s="1"/>
      <c r="Z55" s="5">
        <f t="shared" si="23"/>
        <v>0.65802814814814825</v>
      </c>
    </row>
    <row r="56" spans="1:26" s="24" customFormat="1" hidden="1" outlineLevel="2" x14ac:dyDescent="0.25">
      <c r="A56" s="27"/>
      <c r="B56" s="11" t="str">
        <f>CONCATENATE("          ", "6332", " - ", "CONSULTANT FEES")</f>
        <v xml:space="preserve">          6332 - CONSULTANT FEES</v>
      </c>
      <c r="C56" s="11"/>
      <c r="D56" s="6"/>
      <c r="E56" s="2"/>
      <c r="F56" s="7">
        <f t="shared" si="16"/>
        <v>0</v>
      </c>
      <c r="G56" s="2"/>
      <c r="H56" s="6"/>
      <c r="I56" s="2"/>
      <c r="J56" s="7">
        <f t="shared" si="17"/>
        <v>0</v>
      </c>
      <c r="K56" s="2"/>
      <c r="L56" s="6">
        <f t="shared" si="18"/>
        <v>0</v>
      </c>
      <c r="M56" s="2"/>
      <c r="N56" s="7">
        <f t="shared" si="19"/>
        <v>0</v>
      </c>
      <c r="O56" s="11"/>
      <c r="P56" s="6">
        <v>21750</v>
      </c>
      <c r="Q56" s="2"/>
      <c r="R56" s="7">
        <f t="shared" si="20"/>
        <v>0</v>
      </c>
      <c r="S56" s="2"/>
      <c r="T56" s="6"/>
      <c r="U56" s="2"/>
      <c r="V56" s="7">
        <f t="shared" si="21"/>
        <v>0</v>
      </c>
      <c r="W56" s="2"/>
      <c r="X56" s="6">
        <f t="shared" si="22"/>
        <v>21750</v>
      </c>
      <c r="Y56" s="2"/>
      <c r="Z56" s="7">
        <f t="shared" si="23"/>
        <v>0</v>
      </c>
    </row>
    <row r="57" spans="1:26" s="24" customFormat="1" hidden="1" outlineLevel="2" x14ac:dyDescent="0.25">
      <c r="A57" s="27"/>
      <c r="B57" s="11" t="str">
        <f>CONCATENATE("          ", "6334", " - ", "LEGAL COUNCIL EXPENSE")</f>
        <v xml:space="preserve">          6334 - LEGAL COUNCIL EXPENSE</v>
      </c>
      <c r="C57" s="11"/>
      <c r="D57" s="6">
        <v>595</v>
      </c>
      <c r="E57" s="2"/>
      <c r="F57" s="7">
        <f t="shared" si="16"/>
        <v>0</v>
      </c>
      <c r="G57" s="2"/>
      <c r="H57" s="6">
        <v>837</v>
      </c>
      <c r="I57" s="2"/>
      <c r="J57" s="7">
        <f t="shared" si="17"/>
        <v>0</v>
      </c>
      <c r="K57" s="2"/>
      <c r="L57" s="6">
        <f t="shared" si="18"/>
        <v>-242</v>
      </c>
      <c r="M57" s="2"/>
      <c r="N57" s="7">
        <f t="shared" si="19"/>
        <v>-0.28912783751493432</v>
      </c>
      <c r="O57" s="11"/>
      <c r="P57" s="6">
        <v>38605</v>
      </c>
      <c r="Q57" s="2"/>
      <c r="R57" s="7">
        <f t="shared" si="20"/>
        <v>0</v>
      </c>
      <c r="S57" s="2"/>
      <c r="T57" s="6">
        <v>10000</v>
      </c>
      <c r="U57" s="2"/>
      <c r="V57" s="7">
        <f t="shared" si="21"/>
        <v>0</v>
      </c>
      <c r="W57" s="2"/>
      <c r="X57" s="6">
        <f t="shared" si="22"/>
        <v>28605</v>
      </c>
      <c r="Y57" s="2"/>
      <c r="Z57" s="7">
        <f t="shared" si="23"/>
        <v>2.8605</v>
      </c>
    </row>
    <row r="58" spans="1:26" s="24" customFormat="1" hidden="1" outlineLevel="2" x14ac:dyDescent="0.25">
      <c r="A58" s="27"/>
      <c r="B58" s="11" t="str">
        <f>CONCATENATE("          ", "6336", " - ", "PROFESSIONAL SERVICES")</f>
        <v xml:space="preserve">          6336 - PROFESSIONAL SERVICES</v>
      </c>
      <c r="C58" s="11"/>
      <c r="D58" s="6"/>
      <c r="E58" s="2"/>
      <c r="F58" s="7">
        <f t="shared" si="16"/>
        <v>0</v>
      </c>
      <c r="G58" s="2"/>
      <c r="H58" s="6"/>
      <c r="I58" s="2"/>
      <c r="J58" s="7">
        <f t="shared" si="17"/>
        <v>0</v>
      </c>
      <c r="K58" s="2"/>
      <c r="L58" s="6">
        <f t="shared" si="18"/>
        <v>0</v>
      </c>
      <c r="M58" s="2"/>
      <c r="N58" s="7">
        <f t="shared" si="19"/>
        <v>0</v>
      </c>
      <c r="O58" s="11"/>
      <c r="P58" s="6">
        <v>29178.52</v>
      </c>
      <c r="Q58" s="2"/>
      <c r="R58" s="7">
        <f t="shared" si="20"/>
        <v>0</v>
      </c>
      <c r="S58" s="2"/>
      <c r="T58" s="6">
        <v>44000</v>
      </c>
      <c r="U58" s="2"/>
      <c r="V58" s="7">
        <f t="shared" si="21"/>
        <v>0</v>
      </c>
      <c r="W58" s="2"/>
      <c r="X58" s="6">
        <f t="shared" si="22"/>
        <v>-14821.48</v>
      </c>
      <c r="Y58" s="2"/>
      <c r="Z58" s="7">
        <f t="shared" si="23"/>
        <v>-0.3368518181818182</v>
      </c>
    </row>
    <row r="59" spans="1:26" s="26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SUM(OSRRefD22_10x_0)</f>
        <v>5005.3900000000003</v>
      </c>
      <c r="E59" s="1"/>
      <c r="F59" s="5">
        <f t="shared" ref="F59:F61" si="24">IF(D$12=0,0,D59/D$12)</f>
        <v>0</v>
      </c>
      <c r="G59" s="1"/>
      <c r="H59" s="1">
        <f>SUM(OSRRefH22_10x_0)</f>
        <v>12920</v>
      </c>
      <c r="I59" s="1"/>
      <c r="J59" s="5">
        <f t="shared" ref="J59:J61" si="25">IF(H$12=0,0,H59/H$12)</f>
        <v>0</v>
      </c>
      <c r="K59" s="1"/>
      <c r="L59" s="1">
        <f t="shared" ref="L59:L61" si="26">+D59-H59</f>
        <v>-7914.61</v>
      </c>
      <c r="M59" s="1"/>
      <c r="N59" s="5">
        <f t="shared" ref="N59:N61" si="27">IF(H59=0,0,L59/H59)</f>
        <v>-0.61258591331269352</v>
      </c>
      <c r="O59" s="12"/>
      <c r="P59" s="1">
        <f>SUM(OSRRefP22_10x_0)</f>
        <v>148921.76999999999</v>
      </c>
      <c r="Q59" s="1"/>
      <c r="R59" s="5">
        <f t="shared" ref="R59:R61" si="28">IF(P$12=0,0,P59/P$12)</f>
        <v>0</v>
      </c>
      <c r="S59" s="1"/>
      <c r="T59" s="1">
        <f>SUM(OSRRefT22_10x_0)</f>
        <v>142120</v>
      </c>
      <c r="U59" s="1"/>
      <c r="V59" s="5">
        <f t="shared" ref="V59:V61" si="29">IF(T$12=0,0,T59/T$12)</f>
        <v>0</v>
      </c>
      <c r="W59" s="1"/>
      <c r="X59" s="1">
        <f t="shared" ref="X59:X61" si="30">+P59-T59</f>
        <v>6801.7699999999895</v>
      </c>
      <c r="Y59" s="1"/>
      <c r="Z59" s="5">
        <f t="shared" ref="Z59:Z61" si="31">IF(T59=0,0,X59/T59)</f>
        <v>4.7859344216155286E-2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>
        <v>5005.3900000000003</v>
      </c>
      <c r="E60" s="2"/>
      <c r="F60" s="7">
        <f t="shared" si="24"/>
        <v>0</v>
      </c>
      <c r="G60" s="2"/>
      <c r="H60" s="6">
        <v>12920</v>
      </c>
      <c r="I60" s="2"/>
      <c r="J60" s="7">
        <f t="shared" si="25"/>
        <v>0</v>
      </c>
      <c r="K60" s="2"/>
      <c r="L60" s="6">
        <f t="shared" si="26"/>
        <v>-7914.61</v>
      </c>
      <c r="M60" s="2"/>
      <c r="N60" s="7">
        <f t="shared" si="27"/>
        <v>-0.61258591331269352</v>
      </c>
      <c r="O60" s="11"/>
      <c r="P60" s="6">
        <v>148094.15</v>
      </c>
      <c r="Q60" s="2"/>
      <c r="R60" s="7">
        <f t="shared" si="28"/>
        <v>0</v>
      </c>
      <c r="S60" s="2"/>
      <c r="T60" s="6">
        <v>142120</v>
      </c>
      <c r="U60" s="2"/>
      <c r="V60" s="7">
        <f t="shared" si="29"/>
        <v>0</v>
      </c>
      <c r="W60" s="2"/>
      <c r="X60" s="6">
        <f t="shared" si="30"/>
        <v>5974.1499999999942</v>
      </c>
      <c r="Y60" s="2"/>
      <c r="Z60" s="7">
        <f t="shared" si="31"/>
        <v>4.203595553053753E-2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827.62</v>
      </c>
      <c r="Q61" s="2"/>
      <c r="R61" s="7">
        <f t="shared" si="28"/>
        <v>0</v>
      </c>
      <c r="S61" s="2"/>
      <c r="T61" s="6"/>
      <c r="U61" s="2"/>
      <c r="V61" s="7">
        <f t="shared" si="29"/>
        <v>0</v>
      </c>
      <c r="W61" s="2"/>
      <c r="X61" s="6">
        <f t="shared" si="30"/>
        <v>827.62</v>
      </c>
      <c r="Y61" s="2"/>
      <c r="Z61" s="7">
        <f t="shared" si="31"/>
        <v>0</v>
      </c>
    </row>
    <row r="62" spans="1:26" s="26" customFormat="1" outlineLevel="1" collapsed="1" x14ac:dyDescent="0.25">
      <c r="A62" s="25"/>
      <c r="B62" s="12" t="str">
        <f>CONCATENATE("     ","Subscriptions &amp; Dues                              ")</f>
        <v xml:space="preserve">     Subscriptions &amp; Dues                              </v>
      </c>
      <c r="C62" s="12"/>
      <c r="D62" s="1">
        <f>SUM(OSRRefD22_11x_0)</f>
        <v>0</v>
      </c>
      <c r="E62" s="1"/>
      <c r="F62" s="5">
        <f t="shared" ref="F62:F68" si="32">IF(D$12=0,0,D62/D$12)</f>
        <v>0</v>
      </c>
      <c r="G62" s="1"/>
      <c r="H62" s="1">
        <f>SUM(OSRRefH22_11x_0)</f>
        <v>0</v>
      </c>
      <c r="I62" s="1"/>
      <c r="J62" s="5">
        <f t="shared" ref="J62:J68" si="33">IF(H$12=0,0,H62/H$12)</f>
        <v>0</v>
      </c>
      <c r="K62" s="1"/>
      <c r="L62" s="1">
        <f t="shared" ref="L62:L68" si="34">+D62-H62</f>
        <v>0</v>
      </c>
      <c r="M62" s="1"/>
      <c r="N62" s="5">
        <f t="shared" ref="N62:N68" si="35">IF(H62=0,0,L62/H62)</f>
        <v>0</v>
      </c>
      <c r="O62" s="12"/>
      <c r="P62" s="1">
        <f>SUM(OSRRefP22_11x_0)</f>
        <v>587</v>
      </c>
      <c r="Q62" s="1"/>
      <c r="R62" s="5">
        <f t="shared" ref="R62:R68" si="36">IF(P$12=0,0,P62/P$12)</f>
        <v>0</v>
      </c>
      <c r="S62" s="1"/>
      <c r="T62" s="1">
        <f>SUM(OSRRefT22_11x_0)</f>
        <v>627</v>
      </c>
      <c r="U62" s="1"/>
      <c r="V62" s="5">
        <f t="shared" ref="V62:V68" si="37">IF(T$12=0,0,T62/T$12)</f>
        <v>0</v>
      </c>
      <c r="W62" s="1"/>
      <c r="X62" s="1">
        <f t="shared" ref="X62:X68" si="38">+P62-T62</f>
        <v>-40</v>
      </c>
      <c r="Y62" s="1"/>
      <c r="Z62" s="5">
        <f t="shared" ref="Z62:Z68" si="39">IF(T62=0,0,X62/T62)</f>
        <v>-6.3795853269537475E-2</v>
      </c>
    </row>
    <row r="63" spans="1:26" s="24" customFormat="1" hidden="1" outlineLevel="2" x14ac:dyDescent="0.25">
      <c r="A63" s="27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587</v>
      </c>
      <c r="Q63" s="2"/>
      <c r="R63" s="7">
        <f t="shared" si="36"/>
        <v>0</v>
      </c>
      <c r="S63" s="2"/>
      <c r="T63" s="6">
        <v>627</v>
      </c>
      <c r="U63" s="2"/>
      <c r="V63" s="7">
        <f t="shared" si="37"/>
        <v>0</v>
      </c>
      <c r="W63" s="2"/>
      <c r="X63" s="6">
        <f t="shared" si="38"/>
        <v>-40</v>
      </c>
      <c r="Y63" s="2"/>
      <c r="Z63" s="7">
        <f t="shared" si="39"/>
        <v>-6.3795853269537475E-2</v>
      </c>
    </row>
    <row r="64" spans="1:26" s="26" customFormat="1" outlineLevel="1" collapsed="1" x14ac:dyDescent="0.25">
      <c r="A64" s="25"/>
      <c r="B64" s="12" t="str">
        <f>CONCATENATE("     ","Supplies                                          ")</f>
        <v xml:space="preserve">     Supplies                                          </v>
      </c>
      <c r="C64" s="12"/>
      <c r="D64" s="1">
        <f>SUM(OSRRefD22_12x_0)</f>
        <v>1426.1899999999998</v>
      </c>
      <c r="E64" s="1"/>
      <c r="F64" s="5">
        <f t="shared" si="32"/>
        <v>0</v>
      </c>
      <c r="G64" s="1"/>
      <c r="H64" s="1">
        <f>SUM(OSRRefH22_12x_0)</f>
        <v>1917</v>
      </c>
      <c r="I64" s="1"/>
      <c r="J64" s="5">
        <f t="shared" si="33"/>
        <v>0</v>
      </c>
      <c r="K64" s="1"/>
      <c r="L64" s="1">
        <f t="shared" si="34"/>
        <v>-490.81000000000017</v>
      </c>
      <c r="M64" s="1"/>
      <c r="N64" s="5">
        <f t="shared" si="35"/>
        <v>-0.25603025560772047</v>
      </c>
      <c r="O64" s="12"/>
      <c r="P64" s="1">
        <f>SUM(OSRRefP22_12x_0)</f>
        <v>18337.77</v>
      </c>
      <c r="Q64" s="1"/>
      <c r="R64" s="5">
        <f t="shared" si="36"/>
        <v>0</v>
      </c>
      <c r="S64" s="1"/>
      <c r="T64" s="1">
        <f>SUM(OSRRefT22_12x_0)</f>
        <v>20054</v>
      </c>
      <c r="U64" s="1"/>
      <c r="V64" s="5">
        <f t="shared" si="37"/>
        <v>0</v>
      </c>
      <c r="W64" s="1"/>
      <c r="X64" s="1">
        <f t="shared" si="38"/>
        <v>-1716.2299999999996</v>
      </c>
      <c r="Y64" s="1"/>
      <c r="Z64" s="5">
        <f t="shared" si="39"/>
        <v>-8.5580432831355316E-2</v>
      </c>
    </row>
    <row r="65" spans="1:26" s="24" customFormat="1" hidden="1" outlineLevel="2" x14ac:dyDescent="0.25">
      <c r="A65" s="27"/>
      <c r="B65" s="11" t="str">
        <f>CONCATENATE("          ", "6235", " - ", "COVID-19 EXPENSES")</f>
        <v xml:space="preserve">          6235 - COVID-19 EXPENSES</v>
      </c>
      <c r="C65" s="11"/>
      <c r="D65" s="6">
        <v>1330.84</v>
      </c>
      <c r="E65" s="2"/>
      <c r="F65" s="7">
        <f t="shared" si="32"/>
        <v>0</v>
      </c>
      <c r="G65" s="2"/>
      <c r="H65" s="6"/>
      <c r="I65" s="2"/>
      <c r="J65" s="7">
        <f t="shared" si="33"/>
        <v>0</v>
      </c>
      <c r="K65" s="2"/>
      <c r="L65" s="6">
        <f t="shared" si="34"/>
        <v>1330.84</v>
      </c>
      <c r="M65" s="2"/>
      <c r="N65" s="7">
        <f t="shared" si="35"/>
        <v>0</v>
      </c>
      <c r="O65" s="11"/>
      <c r="P65" s="6">
        <v>1330.84</v>
      </c>
      <c r="Q65" s="2"/>
      <c r="R65" s="7">
        <f t="shared" si="36"/>
        <v>0</v>
      </c>
      <c r="S65" s="2"/>
      <c r="T65" s="6"/>
      <c r="U65" s="2"/>
      <c r="V65" s="7">
        <f t="shared" si="37"/>
        <v>0</v>
      </c>
      <c r="W65" s="2"/>
      <c r="X65" s="6">
        <f t="shared" si="38"/>
        <v>1330.84</v>
      </c>
      <c r="Y65" s="2"/>
      <c r="Z65" s="7">
        <f t="shared" si="39"/>
        <v>0</v>
      </c>
    </row>
    <row r="66" spans="1:26" s="24" customFormat="1" hidden="1" outlineLevel="2" x14ac:dyDescent="0.25">
      <c r="A66" s="27"/>
      <c r="B66" s="11" t="str">
        <f>CONCATENATE("          ", "6241", " - ", "OFFICE EXPENSE")</f>
        <v xml:space="preserve">          6241 - OFFICE EXPENSE</v>
      </c>
      <c r="C66" s="11"/>
      <c r="D66" s="6">
        <v>95.35</v>
      </c>
      <c r="E66" s="2"/>
      <c r="F66" s="7">
        <f t="shared" si="32"/>
        <v>0</v>
      </c>
      <c r="G66" s="2"/>
      <c r="H66" s="6">
        <v>1500</v>
      </c>
      <c r="I66" s="2"/>
      <c r="J66" s="7">
        <f t="shared" si="33"/>
        <v>0</v>
      </c>
      <c r="K66" s="2"/>
      <c r="L66" s="6">
        <f t="shared" si="34"/>
        <v>-1404.65</v>
      </c>
      <c r="M66" s="2"/>
      <c r="N66" s="7">
        <f t="shared" si="35"/>
        <v>-0.93643333333333334</v>
      </c>
      <c r="O66" s="11"/>
      <c r="P66" s="6">
        <v>12768.58</v>
      </c>
      <c r="Q66" s="2"/>
      <c r="R66" s="7">
        <f t="shared" si="36"/>
        <v>0</v>
      </c>
      <c r="S66" s="2"/>
      <c r="T66" s="6">
        <v>15050</v>
      </c>
      <c r="U66" s="2"/>
      <c r="V66" s="7">
        <f t="shared" si="37"/>
        <v>0</v>
      </c>
      <c r="W66" s="2"/>
      <c r="X66" s="6">
        <f t="shared" si="38"/>
        <v>-2281.42</v>
      </c>
      <c r="Y66" s="2"/>
      <c r="Z66" s="7">
        <f t="shared" si="39"/>
        <v>-0.15158936877076412</v>
      </c>
    </row>
    <row r="67" spans="1:26" s="24" customFormat="1" hidden="1" outlineLevel="2" x14ac:dyDescent="0.25">
      <c r="A67" s="27"/>
      <c r="B67" s="11" t="str">
        <f>CONCATENATE("          ", "6244", " - ", "SAFETY SUPPLY EXPENSE")</f>
        <v xml:space="preserve">          6244 - SAFETY SUPPLY EXPENSE</v>
      </c>
      <c r="C67" s="11"/>
      <c r="D67" s="6"/>
      <c r="E67" s="2"/>
      <c r="F67" s="7">
        <f t="shared" si="32"/>
        <v>0</v>
      </c>
      <c r="G67" s="2"/>
      <c r="H67" s="6">
        <v>417</v>
      </c>
      <c r="I67" s="2"/>
      <c r="J67" s="7">
        <f t="shared" si="33"/>
        <v>0</v>
      </c>
      <c r="K67" s="2"/>
      <c r="L67" s="6">
        <f t="shared" si="34"/>
        <v>-417</v>
      </c>
      <c r="M67" s="2"/>
      <c r="N67" s="7">
        <f t="shared" si="35"/>
        <v>-1</v>
      </c>
      <c r="O67" s="11"/>
      <c r="P67" s="6">
        <v>2034.69</v>
      </c>
      <c r="Q67" s="2"/>
      <c r="R67" s="7">
        <f t="shared" si="36"/>
        <v>0</v>
      </c>
      <c r="S67" s="2"/>
      <c r="T67" s="6">
        <v>5004</v>
      </c>
      <c r="U67" s="2"/>
      <c r="V67" s="7">
        <f t="shared" si="37"/>
        <v>0</v>
      </c>
      <c r="W67" s="2"/>
      <c r="X67" s="6">
        <f t="shared" si="38"/>
        <v>-2969.31</v>
      </c>
      <c r="Y67" s="2"/>
      <c r="Z67" s="7">
        <f t="shared" si="39"/>
        <v>-0.59338729016786573</v>
      </c>
    </row>
    <row r="68" spans="1:26" s="24" customFormat="1" hidden="1" outlineLevel="2" x14ac:dyDescent="0.25">
      <c r="A68" s="27"/>
      <c r="B68" s="11" t="str">
        <f>CONCATENATE("          ", "6245", " - ", "PRINTING")</f>
        <v xml:space="preserve">          6245 - PRINTING</v>
      </c>
      <c r="C68" s="11"/>
      <c r="D68" s="6"/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0</v>
      </c>
      <c r="M68" s="2"/>
      <c r="N68" s="7">
        <f t="shared" si="35"/>
        <v>0</v>
      </c>
      <c r="O68" s="11"/>
      <c r="P68" s="6">
        <v>2203.66</v>
      </c>
      <c r="Q68" s="2"/>
      <c r="R68" s="7">
        <f t="shared" si="36"/>
        <v>0</v>
      </c>
      <c r="S68" s="2"/>
      <c r="T68" s="6"/>
      <c r="U68" s="2"/>
      <c r="V68" s="7">
        <f t="shared" si="37"/>
        <v>0</v>
      </c>
      <c r="W68" s="2"/>
      <c r="X68" s="6">
        <f t="shared" si="38"/>
        <v>2203.66</v>
      </c>
      <c r="Y68" s="2"/>
      <c r="Z68" s="7">
        <f t="shared" si="39"/>
        <v>0</v>
      </c>
    </row>
    <row r="69" spans="1:26" s="26" customFormat="1" outlineLevel="1" collapsed="1" x14ac:dyDescent="0.25">
      <c r="A69" s="25"/>
      <c r="B69" s="12" t="str">
        <f>CONCATENATE("     ","Telephone/Data Lines                              ")</f>
        <v xml:space="preserve">     Telephone/Data Lines                              </v>
      </c>
      <c r="C69" s="12"/>
      <c r="D69" s="1">
        <f>SUM(OSRRefD22_13x_0)</f>
        <v>304.85000000000002</v>
      </c>
      <c r="E69" s="1"/>
      <c r="F69" s="5">
        <f t="shared" ref="F69:F74" si="40">IF(D$12=0,0,D69/D$12)</f>
        <v>0</v>
      </c>
      <c r="G69" s="1"/>
      <c r="H69" s="1">
        <f>SUM(OSRRefH22_13x_0)</f>
        <v>290</v>
      </c>
      <c r="I69" s="1"/>
      <c r="J69" s="5">
        <f t="shared" ref="J69:J74" si="41">IF(H$12=0,0,H69/H$12)</f>
        <v>0</v>
      </c>
      <c r="K69" s="1"/>
      <c r="L69" s="1">
        <f t="shared" ref="L69:L74" si="42">+D69-H69</f>
        <v>14.850000000000023</v>
      </c>
      <c r="M69" s="1"/>
      <c r="N69" s="5">
        <f t="shared" ref="N69:N74" si="43">IF(H69=0,0,L69/H69)</f>
        <v>5.1206896551724217E-2</v>
      </c>
      <c r="O69" s="12"/>
      <c r="P69" s="1">
        <f>SUM(OSRRefP22_13x_0)</f>
        <v>4043.67</v>
      </c>
      <c r="Q69" s="1"/>
      <c r="R69" s="5">
        <f t="shared" ref="R69:R74" si="44">IF(P$12=0,0,P69/P$12)</f>
        <v>0</v>
      </c>
      <c r="S69" s="1"/>
      <c r="T69" s="1">
        <f>SUM(OSRRefT22_13x_0)</f>
        <v>3480</v>
      </c>
      <c r="U69" s="1"/>
      <c r="V69" s="5">
        <f t="shared" ref="V69:V74" si="45">IF(T$12=0,0,T69/T$12)</f>
        <v>0</v>
      </c>
      <c r="W69" s="1"/>
      <c r="X69" s="1">
        <f t="shared" ref="X69:X74" si="46">+P69-T69</f>
        <v>563.67000000000007</v>
      </c>
      <c r="Y69" s="1"/>
      <c r="Z69" s="5">
        <f t="shared" ref="Z69:Z74" si="47">IF(T69=0,0,X69/T69)</f>
        <v>0.16197413793103452</v>
      </c>
    </row>
    <row r="70" spans="1:26" s="24" customFormat="1" hidden="1" outlineLevel="2" x14ac:dyDescent="0.25">
      <c r="A70" s="27"/>
      <c r="B70" s="11" t="str">
        <f>CONCATENATE("          ", "6309", " - ", "TELEPHONE")</f>
        <v xml:space="preserve">          6309 - TELEPHONE</v>
      </c>
      <c r="C70" s="11"/>
      <c r="D70" s="6">
        <v>304.85000000000002</v>
      </c>
      <c r="E70" s="2"/>
      <c r="F70" s="7">
        <f t="shared" si="40"/>
        <v>0</v>
      </c>
      <c r="G70" s="2"/>
      <c r="H70" s="6">
        <v>290</v>
      </c>
      <c r="I70" s="2"/>
      <c r="J70" s="7">
        <f t="shared" si="41"/>
        <v>0</v>
      </c>
      <c r="K70" s="2"/>
      <c r="L70" s="6">
        <f t="shared" si="42"/>
        <v>14.850000000000023</v>
      </c>
      <c r="M70" s="2"/>
      <c r="N70" s="7">
        <f t="shared" si="43"/>
        <v>5.1206896551724217E-2</v>
      </c>
      <c r="O70" s="11"/>
      <c r="P70" s="6">
        <v>4043.67</v>
      </c>
      <c r="Q70" s="2"/>
      <c r="R70" s="7">
        <f t="shared" si="44"/>
        <v>0</v>
      </c>
      <c r="S70" s="2"/>
      <c r="T70" s="6">
        <v>3480</v>
      </c>
      <c r="U70" s="2"/>
      <c r="V70" s="7">
        <f t="shared" si="45"/>
        <v>0</v>
      </c>
      <c r="W70" s="2"/>
      <c r="X70" s="6">
        <f t="shared" si="46"/>
        <v>563.67000000000007</v>
      </c>
      <c r="Y70" s="2"/>
      <c r="Z70" s="7">
        <f t="shared" si="47"/>
        <v>0.16197413793103452</v>
      </c>
    </row>
    <row r="71" spans="1:26" s="26" customFormat="1" outlineLevel="1" collapsed="1" x14ac:dyDescent="0.25">
      <c r="A71" s="25"/>
      <c r="B71" s="12" t="str">
        <f>CONCATENATE("     ","Training                                          ")</f>
        <v xml:space="preserve">     Training                                          </v>
      </c>
      <c r="C71" s="12"/>
      <c r="D71" s="1">
        <f>SUM(OSRRefD22_14x_0)</f>
        <v>0</v>
      </c>
      <c r="E71" s="1"/>
      <c r="F71" s="5">
        <f t="shared" si="40"/>
        <v>0</v>
      </c>
      <c r="G71" s="1"/>
      <c r="H71" s="1">
        <f>SUM(OSRRefH22_14x_0)</f>
        <v>0</v>
      </c>
      <c r="I71" s="1"/>
      <c r="J71" s="5">
        <f t="shared" si="41"/>
        <v>0</v>
      </c>
      <c r="K71" s="1"/>
      <c r="L71" s="1">
        <f t="shared" si="42"/>
        <v>0</v>
      </c>
      <c r="M71" s="1"/>
      <c r="N71" s="5">
        <f t="shared" si="43"/>
        <v>0</v>
      </c>
      <c r="O71" s="12"/>
      <c r="P71" s="1">
        <f>SUM(OSRRefP22_14x_0)</f>
        <v>10624.8</v>
      </c>
      <c r="Q71" s="1"/>
      <c r="R71" s="5">
        <f t="shared" si="44"/>
        <v>0</v>
      </c>
      <c r="S71" s="1"/>
      <c r="T71" s="1">
        <f>SUM(OSRRefT22_14x_0)</f>
        <v>8000</v>
      </c>
      <c r="U71" s="1"/>
      <c r="V71" s="5">
        <f t="shared" si="45"/>
        <v>0</v>
      </c>
      <c r="W71" s="1"/>
      <c r="X71" s="1">
        <f t="shared" si="46"/>
        <v>2624.7999999999993</v>
      </c>
      <c r="Y71" s="1"/>
      <c r="Z71" s="5">
        <f t="shared" si="47"/>
        <v>0.32809999999999989</v>
      </c>
    </row>
    <row r="72" spans="1:26" s="24" customFormat="1" hidden="1" outlineLevel="2" x14ac:dyDescent="0.25">
      <c r="A72" s="27"/>
      <c r="B72" s="11" t="str">
        <f>CONCATENATE("          ", "6376", " - ", "TRAINING")</f>
        <v xml:space="preserve">          6376 - TRAINING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>
        <v>10624.8</v>
      </c>
      <c r="Q72" s="2"/>
      <c r="R72" s="7">
        <f t="shared" si="44"/>
        <v>0</v>
      </c>
      <c r="S72" s="2"/>
      <c r="T72" s="6">
        <v>8000</v>
      </c>
      <c r="U72" s="2"/>
      <c r="V72" s="7">
        <f t="shared" si="45"/>
        <v>0</v>
      </c>
      <c r="W72" s="2"/>
      <c r="X72" s="6">
        <f t="shared" si="46"/>
        <v>2624.7999999999993</v>
      </c>
      <c r="Y72" s="2"/>
      <c r="Z72" s="7">
        <f t="shared" si="47"/>
        <v>0.32809999999999989</v>
      </c>
    </row>
    <row r="73" spans="1:26" s="26" customFormat="1" outlineLevel="1" collapsed="1" x14ac:dyDescent="0.25">
      <c r="A73" s="25"/>
      <c r="B73" s="12" t="str">
        <f>CONCATENATE("     ","Travel                                            ")</f>
        <v xml:space="preserve">     Travel                                            </v>
      </c>
      <c r="C73" s="12"/>
      <c r="D73" s="1">
        <f>SUM(OSRRefD22_15x_0)</f>
        <v>0</v>
      </c>
      <c r="E73" s="1"/>
      <c r="F73" s="5">
        <f t="shared" si="40"/>
        <v>0</v>
      </c>
      <c r="G73" s="1"/>
      <c r="H73" s="1">
        <f>SUM(OSRRefH22_15x_0)</f>
        <v>0</v>
      </c>
      <c r="I73" s="1"/>
      <c r="J73" s="5">
        <f t="shared" si="41"/>
        <v>0</v>
      </c>
      <c r="K73" s="1"/>
      <c r="L73" s="1">
        <f t="shared" si="42"/>
        <v>0</v>
      </c>
      <c r="M73" s="1"/>
      <c r="N73" s="5">
        <f t="shared" si="43"/>
        <v>0</v>
      </c>
      <c r="O73" s="12"/>
      <c r="P73" s="1">
        <f>SUM(OSRRefP22_15x_0)</f>
        <v>3487.01</v>
      </c>
      <c r="Q73" s="1"/>
      <c r="R73" s="5">
        <f t="shared" si="44"/>
        <v>0</v>
      </c>
      <c r="S73" s="1"/>
      <c r="T73" s="1">
        <f>SUM(OSRRefT22_15x_0)</f>
        <v>4879</v>
      </c>
      <c r="U73" s="1"/>
      <c r="V73" s="5">
        <f t="shared" si="45"/>
        <v>0</v>
      </c>
      <c r="W73" s="1"/>
      <c r="X73" s="1">
        <f t="shared" si="46"/>
        <v>-1391.9899999999998</v>
      </c>
      <c r="Y73" s="1"/>
      <c r="Z73" s="5">
        <f t="shared" si="47"/>
        <v>-0.28530231604837053</v>
      </c>
    </row>
    <row r="74" spans="1:26" s="24" customFormat="1" hidden="1" outlineLevel="2" x14ac:dyDescent="0.25">
      <c r="A74" s="27"/>
      <c r="B74" s="11" t="str">
        <f>CONCATENATE("          ", "6292", " - ", "TRAVEL/CONFERENCE")</f>
        <v xml:space="preserve">          6292 - TRAVEL/CONFERENCE</v>
      </c>
      <c r="C74" s="11"/>
      <c r="D74" s="6"/>
      <c r="E74" s="2"/>
      <c r="F74" s="7">
        <f t="shared" si="40"/>
        <v>0</v>
      </c>
      <c r="G74" s="2"/>
      <c r="H74" s="6"/>
      <c r="I74" s="2"/>
      <c r="J74" s="7">
        <f t="shared" si="41"/>
        <v>0</v>
      </c>
      <c r="K74" s="2"/>
      <c r="L74" s="6">
        <f t="shared" si="42"/>
        <v>0</v>
      </c>
      <c r="M74" s="2"/>
      <c r="N74" s="7">
        <f t="shared" si="43"/>
        <v>0</v>
      </c>
      <c r="O74" s="11"/>
      <c r="P74" s="6">
        <v>3487.01</v>
      </c>
      <c r="Q74" s="2"/>
      <c r="R74" s="7">
        <f t="shared" si="44"/>
        <v>0</v>
      </c>
      <c r="S74" s="2"/>
      <c r="T74" s="6">
        <v>4879</v>
      </c>
      <c r="U74" s="2"/>
      <c r="V74" s="7">
        <f t="shared" si="45"/>
        <v>0</v>
      </c>
      <c r="W74" s="2"/>
      <c r="X74" s="6">
        <f t="shared" si="46"/>
        <v>-1391.9899999999998</v>
      </c>
      <c r="Y74" s="2"/>
      <c r="Z74" s="7">
        <f t="shared" si="47"/>
        <v>-0.28530231604837053</v>
      </c>
    </row>
    <row r="75" spans="1:26" s="60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8" t="s">
        <v>0</v>
      </c>
      <c r="C76" s="10"/>
      <c r="D76" s="4">
        <f>SUM(0)</f>
        <v>0</v>
      </c>
      <c r="E76" s="4"/>
      <c r="F76" s="13">
        <f>IF(D$12=0,0,D76/D$12)</f>
        <v>0</v>
      </c>
      <c r="G76" s="4"/>
      <c r="H76" s="4">
        <f>SUM(0)</f>
        <v>0</v>
      </c>
      <c r="I76" s="4"/>
      <c r="J76" s="13">
        <f>IF(H$12=0,0,H76/H$12)</f>
        <v>0</v>
      </c>
      <c r="K76" s="4"/>
      <c r="L76" s="4">
        <f>+D76-H76</f>
        <v>0</v>
      </c>
      <c r="M76" s="4"/>
      <c r="N76" s="13">
        <f>IF(H76=0,0,L76/H76)</f>
        <v>0</v>
      </c>
      <c r="O76" s="10"/>
      <c r="P76" s="4">
        <f>SUM(0)</f>
        <v>0</v>
      </c>
      <c r="Q76" s="4"/>
      <c r="R76" s="13">
        <f>IF(P$12=0,0,P76/P$12)</f>
        <v>0</v>
      </c>
      <c r="S76" s="4"/>
      <c r="T76" s="4">
        <f>SUM(0)</f>
        <v>0</v>
      </c>
      <c r="U76" s="4"/>
      <c r="V76" s="13">
        <f>IF(T$12=0,0,T76/T$12)</f>
        <v>0</v>
      </c>
      <c r="W76" s="4"/>
      <c r="X76" s="4">
        <f>+P76-T76</f>
        <v>0</v>
      </c>
      <c r="Y76" s="4"/>
      <c r="Z76" s="13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9" t="s">
        <v>3</v>
      </c>
      <c r="C78" s="29"/>
      <c r="D78" s="22">
        <f>+D16-D18+D76</f>
        <v>-43972.88</v>
      </c>
      <c r="E78" s="14"/>
      <c r="F78" s="20">
        <f>IF(D$12=0,0,D78/D$12)</f>
        <v>0</v>
      </c>
      <c r="G78" s="14"/>
      <c r="H78" s="22">
        <f>+H16-H18+H76</f>
        <v>-55793.426544015376</v>
      </c>
      <c r="I78" s="14"/>
      <c r="J78" s="20">
        <f>IF(H$12=0,0,H78/H$12)</f>
        <v>0</v>
      </c>
      <c r="K78" s="15"/>
      <c r="L78" s="22">
        <f>+D78-H78</f>
        <v>11820.546544015378</v>
      </c>
      <c r="M78" s="15"/>
      <c r="N78" s="20">
        <f>IF(H78=0,0,L78/H78)</f>
        <v>-0.21186270993214876</v>
      </c>
      <c r="O78" s="28"/>
      <c r="P78" s="22">
        <f>+P16-P18+P76</f>
        <v>-802300.28000000014</v>
      </c>
      <c r="Q78" s="14"/>
      <c r="R78" s="20">
        <f>IF(P$12=0,0,P78/P$12)</f>
        <v>0</v>
      </c>
      <c r="S78" s="14"/>
      <c r="T78" s="22">
        <f>+T16-T18+T76</f>
        <v>-726273.82532844297</v>
      </c>
      <c r="U78" s="14"/>
      <c r="V78" s="20">
        <f>IF(T$12=0,0,T78/T$12)</f>
        <v>0</v>
      </c>
      <c r="W78" s="15"/>
      <c r="X78" s="22">
        <f>+P78-T78</f>
        <v>-76026.454671557178</v>
      </c>
      <c r="Y78" s="15"/>
      <c r="Z78" s="20">
        <f>IF(T78=0,0,X78/T78)</f>
        <v>0.10468015233397089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3">
        <f>IF(D$12=0,0,D80/D$12)</f>
        <v>0</v>
      </c>
      <c r="G80" s="4"/>
      <c r="H80" s="4"/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0"/>
      <c r="P80" s="4"/>
      <c r="Q80" s="4"/>
      <c r="R80" s="13">
        <f>IF(P$12=0,0,P80/P$12)</f>
        <v>0</v>
      </c>
      <c r="S80" s="4"/>
      <c r="T80" s="4"/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4</v>
      </c>
      <c r="C82" s="29"/>
      <c r="D82" s="31">
        <f>+D78-D80</f>
        <v>-43972.88</v>
      </c>
      <c r="E82" s="14"/>
      <c r="F82" s="33">
        <f>IF(D$12=0,0,D82/D$12)</f>
        <v>0</v>
      </c>
      <c r="G82" s="14"/>
      <c r="H82" s="31">
        <f>+H78-H80</f>
        <v>-55793.426544015376</v>
      </c>
      <c r="I82" s="14"/>
      <c r="J82" s="33">
        <f>IF(H$12=0,0,H82/H$12)</f>
        <v>0</v>
      </c>
      <c r="K82" s="15"/>
      <c r="L82" s="31">
        <f>D82-H82</f>
        <v>11820.546544015378</v>
      </c>
      <c r="M82" s="15"/>
      <c r="N82" s="33">
        <f>IF(H82=0,0,L82/H82)</f>
        <v>-0.21186270993214876</v>
      </c>
      <c r="O82" s="28"/>
      <c r="P82" s="31">
        <f>+P78-P80</f>
        <v>-802300.28000000014</v>
      </c>
      <c r="Q82" s="14"/>
      <c r="R82" s="33">
        <f>IF(P$12=0,0,P82/P$12)</f>
        <v>0</v>
      </c>
      <c r="S82" s="14"/>
      <c r="T82" s="31">
        <f>+T78-T80</f>
        <v>-726273.82532844297</v>
      </c>
      <c r="U82" s="14"/>
      <c r="V82" s="33">
        <f>IF(T$12=0,0,T82/T$12)</f>
        <v>0</v>
      </c>
      <c r="W82" s="15"/>
      <c r="X82" s="31">
        <f>P82-T82</f>
        <v>-76026.454671557178</v>
      </c>
      <c r="Y82" s="15"/>
      <c r="Z82" s="33">
        <f>IF(T82=0,0,X82/T82)</f>
        <v>0.10468015233397089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5</v>
      </c>
      <c r="C85" s="29"/>
      <c r="D85" s="34">
        <f>SUM(D82:D84)</f>
        <v>-43972.88</v>
      </c>
      <c r="E85" s="14"/>
      <c r="F85" s="35">
        <f>IF(D$12=0,0,D85/D$12)</f>
        <v>0</v>
      </c>
      <c r="G85" s="14"/>
      <c r="H85" s="34">
        <f>SUM(H82:H84)</f>
        <v>-55793.426544015376</v>
      </c>
      <c r="I85" s="14"/>
      <c r="J85" s="35">
        <f>IF(H$12=0,0,H85/H$12)</f>
        <v>0</v>
      </c>
      <c r="K85" s="15"/>
      <c r="L85" s="34">
        <f>+D85-H85</f>
        <v>11820.546544015378</v>
      </c>
      <c r="M85" s="15"/>
      <c r="N85" s="35">
        <f>IF(H85=0,0,L85/H85)</f>
        <v>-0.21186270993214876</v>
      </c>
      <c r="O85" s="28"/>
      <c r="P85" s="34">
        <f>SUM(P82:P84)</f>
        <v>-802300.28000000014</v>
      </c>
      <c r="Q85" s="14"/>
      <c r="R85" s="35">
        <f>IF(P$12=0,0,P85/P$12)</f>
        <v>0</v>
      </c>
      <c r="S85" s="14"/>
      <c r="T85" s="34">
        <f>SUM(T82:T84)</f>
        <v>-726273.82532844297</v>
      </c>
      <c r="U85" s="14"/>
      <c r="V85" s="35">
        <f>IF(T$12=0,0,T85/T$12)</f>
        <v>0</v>
      </c>
      <c r="W85" s="15"/>
      <c r="X85" s="34">
        <f>+P85-T85</f>
        <v>-76026.454671557178</v>
      </c>
      <c r="Y85" s="15"/>
      <c r="Z85" s="35">
        <f>IF(T85=0,0,X85/T85)</f>
        <v>0.10468015233397089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5">
        <v>44043.473195104169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2" t="s">
        <v>314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63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","204", " - ", "Information Technology")</f>
        <v>Department 204 - Information Technology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3" si="0">+D12-H12</f>
        <v>0</v>
      </c>
      <c r="M12" s="4"/>
      <c r="N12" s="13">
        <f t="shared" ref="N12:N13" si="1">IF(H12=0,0,L12/H12)</f>
        <v>0</v>
      </c>
      <c r="O12" s="10"/>
      <c r="P12" s="4">
        <f>SUM(OSRRefP13x_0)</f>
        <v>0</v>
      </c>
      <c r="Q12" s="4"/>
      <c r="R12" s="13"/>
      <c r="S12" s="4"/>
      <c r="T12" s="4">
        <f>SUM(OSRRefT13x_0)</f>
        <v>200</v>
      </c>
      <c r="U12" s="4"/>
      <c r="V12" s="13"/>
      <c r="W12" s="4"/>
      <c r="X12" s="4">
        <f t="shared" ref="X12:X13" si="2">+P12-T12</f>
        <v>-200</v>
      </c>
      <c r="Y12" s="4"/>
      <c r="Z12" s="13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0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0</v>
      </c>
      <c r="E17" s="14"/>
      <c r="F17" s="20">
        <f>IF(D$12=0,0,D17/D$12)</f>
        <v>0</v>
      </c>
      <c r="G17" s="14"/>
      <c r="H17" s="22">
        <f>H12-H15</f>
        <v>0</v>
      </c>
      <c r="I17" s="14"/>
      <c r="J17" s="20">
        <f>IF(H$12=0,0,H17/H$12)</f>
        <v>0</v>
      </c>
      <c r="K17" s="15"/>
      <c r="L17" s="22">
        <f>+D17-H17</f>
        <v>0</v>
      </c>
      <c r="M17" s="15"/>
      <c r="N17" s="20">
        <f>IF(H17=0,0,L17/H17)</f>
        <v>0</v>
      </c>
      <c r="O17" s="28"/>
      <c r="P17" s="22">
        <f>P12-P15</f>
        <v>0</v>
      </c>
      <c r="Q17" s="14"/>
      <c r="R17" s="20">
        <f>IF(P$12=0,0,P17/P$12)</f>
        <v>0</v>
      </c>
      <c r="S17" s="14"/>
      <c r="T17" s="22">
        <f>T12-T15</f>
        <v>200</v>
      </c>
      <c r="U17" s="14"/>
      <c r="V17" s="20">
        <f>IF(T$12=0,0,T17/T$12)</f>
        <v>1</v>
      </c>
      <c r="W17" s="15"/>
      <c r="X17" s="22">
        <f>+P17-T17</f>
        <v>-200</v>
      </c>
      <c r="Y17" s="15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45858.31</v>
      </c>
      <c r="E19" s="21"/>
      <c r="F19" s="32">
        <f t="shared" ref="F19:F30" si="4">IF(D$12=0,0,D19/D$12)</f>
        <v>0</v>
      </c>
      <c r="G19" s="21"/>
      <c r="H19" s="21">
        <f>SUM(OSRRefH22x_0)</f>
        <v>65844.194832076886</v>
      </c>
      <c r="I19" s="21"/>
      <c r="J19" s="32">
        <f t="shared" ref="J19:J30" si="5">IF(H$12=0,0,H19/H$12)</f>
        <v>0</v>
      </c>
      <c r="K19" s="4"/>
      <c r="L19" s="21">
        <f t="shared" ref="L19:L30" si="6">+D19-H19</f>
        <v>-19985.884832076888</v>
      </c>
      <c r="M19" s="4"/>
      <c r="N19" s="32">
        <f t="shared" ref="N19:N30" si="7">IF(H19=0,0,L19/H19)</f>
        <v>-0.30353298241473059</v>
      </c>
      <c r="O19" s="10"/>
      <c r="P19" s="21">
        <f>SUM(OSRRefP22x_0)</f>
        <v>682956.21</v>
      </c>
      <c r="Q19" s="21"/>
      <c r="R19" s="32">
        <f t="shared" ref="R19:R30" si="8">IF(P$12=0,0,P19/P$12)</f>
        <v>0</v>
      </c>
      <c r="S19" s="21"/>
      <c r="T19" s="21">
        <f>SUM(OSRRefT22x_0)</f>
        <v>822391.53528923041</v>
      </c>
      <c r="U19" s="21"/>
      <c r="V19" s="32">
        <f t="shared" ref="V19:V30" si="9">IF(T$12=0,0,T19/T$12)</f>
        <v>4111.9576764461517</v>
      </c>
      <c r="W19" s="4"/>
      <c r="X19" s="21">
        <f t="shared" ref="X19:X30" si="10">+P19-T19</f>
        <v>-139435.32528923044</v>
      </c>
      <c r="Y19" s="4"/>
      <c r="Z19" s="32">
        <f t="shared" ref="Z19:Z30" si="11">IF(T19=0,0,X19/T19)</f>
        <v>-0.16954859006445372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11709.130000000001</v>
      </c>
      <c r="E20" s="1"/>
      <c r="F20" s="5">
        <f t="shared" si="4"/>
        <v>0</v>
      </c>
      <c r="G20" s="1"/>
      <c r="H20" s="1">
        <f>SUM(OSRRefH22_0x_0)</f>
        <v>13720.970293615388</v>
      </c>
      <c r="I20" s="1"/>
      <c r="J20" s="5">
        <f t="shared" si="5"/>
        <v>0</v>
      </c>
      <c r="K20" s="1"/>
      <c r="L20" s="1">
        <f t="shared" si="6"/>
        <v>-2011.8402936153871</v>
      </c>
      <c r="M20" s="1"/>
      <c r="N20" s="5">
        <f t="shared" si="7"/>
        <v>-0.14662522041546378</v>
      </c>
      <c r="O20" s="12"/>
      <c r="P20" s="1">
        <f>SUM(OSRRefP22_0x_0)</f>
        <v>153591.16999999998</v>
      </c>
      <c r="Q20" s="1"/>
      <c r="R20" s="5">
        <f t="shared" si="8"/>
        <v>0</v>
      </c>
      <c r="S20" s="1"/>
      <c r="T20" s="1">
        <f>SUM(OSRRefT22_0x_0)</f>
        <v>177977.69528923085</v>
      </c>
      <c r="U20" s="1"/>
      <c r="V20" s="5">
        <f t="shared" si="9"/>
        <v>889.88847644615419</v>
      </c>
      <c r="W20" s="1"/>
      <c r="X20" s="1">
        <f t="shared" si="10"/>
        <v>-24386.525289230864</v>
      </c>
      <c r="Y20" s="1"/>
      <c r="Z20" s="5">
        <f t="shared" si="11"/>
        <v>-0.13702012069321617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1652.7</v>
      </c>
      <c r="E21" s="2"/>
      <c r="F21" s="7">
        <f t="shared" si="4"/>
        <v>0</v>
      </c>
      <c r="G21" s="2"/>
      <c r="H21" s="6">
        <v>2180.6275705384601</v>
      </c>
      <c r="I21" s="2"/>
      <c r="J21" s="7">
        <f t="shared" si="5"/>
        <v>0</v>
      </c>
      <c r="K21" s="2"/>
      <c r="L21" s="6">
        <f t="shared" si="6"/>
        <v>-527.92757053846003</v>
      </c>
      <c r="M21" s="2"/>
      <c r="N21" s="7">
        <f t="shared" si="7"/>
        <v>-0.24209891577592932</v>
      </c>
      <c r="O21" s="11"/>
      <c r="P21" s="6">
        <v>24563.510000000002</v>
      </c>
      <c r="Q21" s="2"/>
      <c r="R21" s="7">
        <f t="shared" si="8"/>
        <v>0</v>
      </c>
      <c r="S21" s="2"/>
      <c r="T21" s="6">
        <v>30955.160519999998</v>
      </c>
      <c r="U21" s="2"/>
      <c r="V21" s="7">
        <f t="shared" si="9"/>
        <v>154.77580259999999</v>
      </c>
      <c r="W21" s="2"/>
      <c r="X21" s="6">
        <f t="shared" si="10"/>
        <v>-6391.6505199999956</v>
      </c>
      <c r="Y21" s="2"/>
      <c r="Z21" s="7">
        <f t="shared" si="11"/>
        <v>-0.20648093605815346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73.45</v>
      </c>
      <c r="E22" s="2"/>
      <c r="F22" s="7">
        <f t="shared" si="4"/>
        <v>0</v>
      </c>
      <c r="G22" s="2"/>
      <c r="H22" s="6">
        <v>102.590789230769</v>
      </c>
      <c r="I22" s="2"/>
      <c r="J22" s="7">
        <f t="shared" si="5"/>
        <v>0</v>
      </c>
      <c r="K22" s="2"/>
      <c r="L22" s="6">
        <f t="shared" si="6"/>
        <v>-29.140789230769002</v>
      </c>
      <c r="M22" s="2"/>
      <c r="N22" s="7">
        <f t="shared" si="7"/>
        <v>-0.2840487869258842</v>
      </c>
      <c r="O22" s="11"/>
      <c r="P22" s="6">
        <v>995.08</v>
      </c>
      <c r="Q22" s="2"/>
      <c r="R22" s="7">
        <f t="shared" si="8"/>
        <v>0</v>
      </c>
      <c r="S22" s="2"/>
      <c r="T22" s="6">
        <v>1394.2855999999999</v>
      </c>
      <c r="U22" s="2"/>
      <c r="V22" s="7">
        <f t="shared" si="9"/>
        <v>6.9714279999999995</v>
      </c>
      <c r="W22" s="2"/>
      <c r="X22" s="6">
        <f t="shared" si="10"/>
        <v>-399.20559999999989</v>
      </c>
      <c r="Y22" s="2"/>
      <c r="Z22" s="7">
        <f t="shared" si="11"/>
        <v>-0.28631551527176347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5567.87</v>
      </c>
      <c r="E23" s="2"/>
      <c r="F23" s="7">
        <f t="shared" si="4"/>
        <v>0</v>
      </c>
      <c r="G23" s="2"/>
      <c r="H23" s="6">
        <v>7007.1923076923094</v>
      </c>
      <c r="I23" s="2"/>
      <c r="J23" s="7">
        <f t="shared" si="5"/>
        <v>0</v>
      </c>
      <c r="K23" s="2"/>
      <c r="L23" s="6">
        <f t="shared" si="6"/>
        <v>-1439.3223076923096</v>
      </c>
      <c r="M23" s="2"/>
      <c r="N23" s="7">
        <f t="shared" si="7"/>
        <v>-0.20540642307080109</v>
      </c>
      <c r="O23" s="11"/>
      <c r="P23" s="6">
        <v>64383.000000000007</v>
      </c>
      <c r="Q23" s="2"/>
      <c r="R23" s="7">
        <f t="shared" si="8"/>
        <v>0</v>
      </c>
      <c r="S23" s="2"/>
      <c r="T23" s="6">
        <v>87273.230769230795</v>
      </c>
      <c r="U23" s="2"/>
      <c r="V23" s="7">
        <f t="shared" si="9"/>
        <v>436.36615384615396</v>
      </c>
      <c r="W23" s="2"/>
      <c r="X23" s="6">
        <f t="shared" si="10"/>
        <v>-22890.230769230788</v>
      </c>
      <c r="Y23" s="2"/>
      <c r="Z23" s="7">
        <f t="shared" si="11"/>
        <v>-0.2622823810631863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-830.65</v>
      </c>
      <c r="E24" s="2"/>
      <c r="F24" s="7">
        <f t="shared" si="4"/>
        <v>0</v>
      </c>
      <c r="G24" s="2"/>
      <c r="H24" s="6">
        <v>78.451779999999999</v>
      </c>
      <c r="I24" s="2"/>
      <c r="J24" s="7">
        <f t="shared" si="5"/>
        <v>0</v>
      </c>
      <c r="K24" s="2"/>
      <c r="L24" s="6">
        <f t="shared" si="6"/>
        <v>-909.10177999999996</v>
      </c>
      <c r="M24" s="2"/>
      <c r="N24" s="7">
        <f t="shared" si="7"/>
        <v>-11.588032546871466</v>
      </c>
      <c r="O24" s="11"/>
      <c r="P24" s="6">
        <v>0</v>
      </c>
      <c r="Q24" s="2"/>
      <c r="R24" s="7">
        <f t="shared" si="8"/>
        <v>0</v>
      </c>
      <c r="S24" s="2"/>
      <c r="T24" s="6">
        <v>1066.2184</v>
      </c>
      <c r="U24" s="2"/>
      <c r="V24" s="7">
        <f t="shared" si="9"/>
        <v>5.3310919999999999</v>
      </c>
      <c r="W24" s="2"/>
      <c r="X24" s="6">
        <f t="shared" si="10"/>
        <v>-1066.2184</v>
      </c>
      <c r="Y24" s="2"/>
      <c r="Z24" s="7">
        <f t="shared" si="11"/>
        <v>-1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1716.08</v>
      </c>
      <c r="E25" s="2"/>
      <c r="F25" s="7">
        <f t="shared" si="4"/>
        <v>0</v>
      </c>
      <c r="G25" s="2"/>
      <c r="H25" s="6">
        <v>1608.0676923076899</v>
      </c>
      <c r="I25" s="2"/>
      <c r="J25" s="7">
        <f t="shared" si="5"/>
        <v>0</v>
      </c>
      <c r="K25" s="2"/>
      <c r="L25" s="6">
        <f t="shared" si="6"/>
        <v>108.01230769231006</v>
      </c>
      <c r="M25" s="2"/>
      <c r="N25" s="7">
        <f t="shared" si="7"/>
        <v>6.7169005514503458E-2</v>
      </c>
      <c r="O25" s="11"/>
      <c r="P25" s="6">
        <v>19719.72</v>
      </c>
      <c r="Q25" s="2"/>
      <c r="R25" s="7">
        <f t="shared" si="8"/>
        <v>0</v>
      </c>
      <c r="S25" s="2"/>
      <c r="T25" s="6">
        <v>20904.88</v>
      </c>
      <c r="U25" s="2"/>
      <c r="V25" s="7">
        <f t="shared" si="9"/>
        <v>104.5244</v>
      </c>
      <c r="W25" s="2"/>
      <c r="X25" s="6">
        <f t="shared" si="10"/>
        <v>-1185.1599999999999</v>
      </c>
      <c r="Y25" s="2"/>
      <c r="Z25" s="7">
        <f t="shared" si="11"/>
        <v>-5.6692982691122829E-2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>
        <v>744</v>
      </c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744</v>
      </c>
      <c r="M26" s="2"/>
      <c r="N26" s="7">
        <f t="shared" si="7"/>
        <v>0</v>
      </c>
      <c r="O26" s="11"/>
      <c r="P26" s="6">
        <v>878</v>
      </c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878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168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168</v>
      </c>
      <c r="M27" s="2"/>
      <c r="N27" s="7">
        <f t="shared" si="7"/>
        <v>0</v>
      </c>
      <c r="O27" s="11"/>
      <c r="P27" s="6">
        <v>4400.32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4400.32</v>
      </c>
      <c r="Y27" s="2"/>
      <c r="Z27" s="7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6">
        <v>1474.64</v>
      </c>
      <c r="E28" s="2"/>
      <c r="F28" s="7">
        <f t="shared" si="4"/>
        <v>0</v>
      </c>
      <c r="G28" s="2"/>
      <c r="H28" s="6">
        <v>1313.44807692308</v>
      </c>
      <c r="I28" s="2"/>
      <c r="J28" s="7">
        <f t="shared" si="5"/>
        <v>0</v>
      </c>
      <c r="K28" s="2"/>
      <c r="L28" s="6">
        <f t="shared" si="6"/>
        <v>161.19192307692015</v>
      </c>
      <c r="M28" s="2"/>
      <c r="N28" s="7">
        <f t="shared" si="7"/>
        <v>0.12272424461158209</v>
      </c>
      <c r="O28" s="11"/>
      <c r="P28" s="6">
        <v>19681.560000000001</v>
      </c>
      <c r="Q28" s="2"/>
      <c r="R28" s="7">
        <f t="shared" si="8"/>
        <v>0</v>
      </c>
      <c r="S28" s="2"/>
      <c r="T28" s="6">
        <v>17201.00000000004</v>
      </c>
      <c r="U28" s="2"/>
      <c r="V28" s="7">
        <f t="shared" si="9"/>
        <v>86.005000000000194</v>
      </c>
      <c r="W28" s="2"/>
      <c r="X28" s="6">
        <f t="shared" si="10"/>
        <v>2480.5599999999613</v>
      </c>
      <c r="Y28" s="2"/>
      <c r="Z28" s="7">
        <f t="shared" si="11"/>
        <v>0.1442102203360244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6">
        <v>999.04</v>
      </c>
      <c r="E29" s="2"/>
      <c r="F29" s="7">
        <f t="shared" si="4"/>
        <v>0</v>
      </c>
      <c r="G29" s="2"/>
      <c r="H29" s="6">
        <v>1430.59207692308</v>
      </c>
      <c r="I29" s="2"/>
      <c r="J29" s="7">
        <f t="shared" si="5"/>
        <v>0</v>
      </c>
      <c r="K29" s="2"/>
      <c r="L29" s="6">
        <f t="shared" si="6"/>
        <v>-431.55207692307999</v>
      </c>
      <c r="M29" s="2"/>
      <c r="N29" s="7">
        <f t="shared" si="7"/>
        <v>-0.30165977002421474</v>
      </c>
      <c r="O29" s="11"/>
      <c r="P29" s="6">
        <v>13222.18</v>
      </c>
      <c r="Q29" s="2"/>
      <c r="R29" s="7">
        <f t="shared" si="8"/>
        <v>0</v>
      </c>
      <c r="S29" s="2"/>
      <c r="T29" s="6">
        <v>19182.920000000038</v>
      </c>
      <c r="U29" s="2"/>
      <c r="V29" s="7">
        <f t="shared" si="9"/>
        <v>95.914600000000192</v>
      </c>
      <c r="W29" s="2"/>
      <c r="X29" s="6">
        <f t="shared" si="10"/>
        <v>-5960.740000000038</v>
      </c>
      <c r="Y29" s="2"/>
      <c r="Z29" s="7">
        <f t="shared" si="11"/>
        <v>-0.31073163001253334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6">
        <v>144</v>
      </c>
      <c r="E30" s="2"/>
      <c r="F30" s="7">
        <f t="shared" si="4"/>
        <v>0</v>
      </c>
      <c r="G30" s="2"/>
      <c r="H30" s="6"/>
      <c r="I30" s="2"/>
      <c r="J30" s="7">
        <f t="shared" si="5"/>
        <v>0</v>
      </c>
      <c r="K30" s="2"/>
      <c r="L30" s="6">
        <f t="shared" si="6"/>
        <v>144</v>
      </c>
      <c r="M30" s="2"/>
      <c r="N30" s="7">
        <f t="shared" si="7"/>
        <v>0</v>
      </c>
      <c r="O30" s="11"/>
      <c r="P30" s="6">
        <v>5747.8</v>
      </c>
      <c r="Q30" s="2"/>
      <c r="R30" s="7">
        <f t="shared" si="8"/>
        <v>0</v>
      </c>
      <c r="S30" s="2"/>
      <c r="T30" s="6"/>
      <c r="U30" s="2"/>
      <c r="V30" s="7">
        <f t="shared" si="9"/>
        <v>0</v>
      </c>
      <c r="W30" s="2"/>
      <c r="X30" s="6">
        <f t="shared" si="10"/>
        <v>5747.8</v>
      </c>
      <c r="Y30" s="2"/>
      <c r="Z30" s="7">
        <f t="shared" si="11"/>
        <v>0</v>
      </c>
    </row>
    <row r="31" spans="1:26" s="26" customFormat="1" outlineLevel="1" collapsed="1" x14ac:dyDescent="0.25">
      <c r="A31" s="25"/>
      <c r="B31" s="12" t="str">
        <f>CONCATENATE("     ","*Payroll                                          ")</f>
        <v xml:space="preserve">     *Payroll                                          </v>
      </c>
      <c r="C31" s="12"/>
      <c r="D31" s="1">
        <f>SUM(OSRRefD22_1x_0)</f>
        <v>18409.620000000003</v>
      </c>
      <c r="E31" s="1"/>
      <c r="F31" s="5">
        <f t="shared" ref="F31:F41" si="12">IF(D$12=0,0,D31/D$12)</f>
        <v>0</v>
      </c>
      <c r="G31" s="1"/>
      <c r="H31" s="1">
        <f>SUM(OSRRefH22_1x_0)</f>
        <v>27920.224538461502</v>
      </c>
      <c r="I31" s="1"/>
      <c r="J31" s="5">
        <f t="shared" ref="J31:J41" si="13">IF(H$12=0,0,H31/H$12)</f>
        <v>0</v>
      </c>
      <c r="K31" s="1"/>
      <c r="L31" s="1">
        <f t="shared" ref="L31:L41" si="14">+D31-H31</f>
        <v>-9510.604538461499</v>
      </c>
      <c r="M31" s="1"/>
      <c r="N31" s="5">
        <f t="shared" ref="N31:N41" si="15">IF(H31=0,0,L31/H31)</f>
        <v>-0.34063495891160067</v>
      </c>
      <c r="O31" s="12"/>
      <c r="P31" s="1">
        <f>SUM(OSRRefP22_1x_0)</f>
        <v>293390.09999999998</v>
      </c>
      <c r="Q31" s="1"/>
      <c r="R31" s="5">
        <f t="shared" ref="R31:R41" si="16">IF(P$12=0,0,P31/P$12)</f>
        <v>0</v>
      </c>
      <c r="S31" s="1"/>
      <c r="T31" s="1">
        <f>SUM(OSRRefT22_1x_0)</f>
        <v>380036.83999999962</v>
      </c>
      <c r="U31" s="1"/>
      <c r="V31" s="5">
        <f t="shared" ref="V31:V41" si="17">IF(T$12=0,0,T31/T$12)</f>
        <v>1900.1841999999981</v>
      </c>
      <c r="W31" s="1"/>
      <c r="X31" s="1">
        <f t="shared" ref="X31:X41" si="18">+P31-T31</f>
        <v>-86646.739999999641</v>
      </c>
      <c r="Y31" s="1"/>
      <c r="Z31" s="5">
        <f t="shared" ref="Z31:Z41" si="19">IF(T31=0,0,X31/T31)</f>
        <v>-0.22799563326544797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15049.62</v>
      </c>
      <c r="E33" s="2"/>
      <c r="F33" s="7">
        <f t="shared" si="12"/>
        <v>0</v>
      </c>
      <c r="G33" s="2"/>
      <c r="H33" s="6">
        <v>18698.461538461499</v>
      </c>
      <c r="I33" s="2"/>
      <c r="J33" s="7">
        <f t="shared" si="13"/>
        <v>0</v>
      </c>
      <c r="K33" s="2"/>
      <c r="L33" s="6">
        <f t="shared" si="14"/>
        <v>-3648.8415384614982</v>
      </c>
      <c r="M33" s="2"/>
      <c r="N33" s="7">
        <f t="shared" si="15"/>
        <v>-0.19514127036366455</v>
      </c>
      <c r="O33" s="11"/>
      <c r="P33" s="6">
        <v>160206.75999999998</v>
      </c>
      <c r="Q33" s="2"/>
      <c r="R33" s="7">
        <f t="shared" si="16"/>
        <v>0</v>
      </c>
      <c r="S33" s="2"/>
      <c r="T33" s="6">
        <v>243079.99999999959</v>
      </c>
      <c r="U33" s="2"/>
      <c r="V33" s="7">
        <f t="shared" si="17"/>
        <v>1215.399999999998</v>
      </c>
      <c r="W33" s="2"/>
      <c r="X33" s="6">
        <f t="shared" si="18"/>
        <v>-82873.239999999612</v>
      </c>
      <c r="Y33" s="2"/>
      <c r="Z33" s="7">
        <f t="shared" si="19"/>
        <v>-0.34092989962152276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6">
        <v>3360</v>
      </c>
      <c r="E35" s="2"/>
      <c r="F35" s="7">
        <f t="shared" si="12"/>
        <v>0</v>
      </c>
      <c r="G35" s="2"/>
      <c r="H35" s="6">
        <v>7541.7630000000008</v>
      </c>
      <c r="I35" s="2"/>
      <c r="J35" s="7">
        <f t="shared" si="13"/>
        <v>0</v>
      </c>
      <c r="K35" s="2"/>
      <c r="L35" s="6">
        <f t="shared" si="14"/>
        <v>-4181.7630000000008</v>
      </c>
      <c r="M35" s="2"/>
      <c r="N35" s="7">
        <f t="shared" si="15"/>
        <v>-0.55448082895206341</v>
      </c>
      <c r="O35" s="11"/>
      <c r="P35" s="6">
        <v>80619.600000000006</v>
      </c>
      <c r="Q35" s="2"/>
      <c r="R35" s="7">
        <f t="shared" si="16"/>
        <v>0</v>
      </c>
      <c r="S35" s="2"/>
      <c r="T35" s="6">
        <v>100556.84</v>
      </c>
      <c r="U35" s="2"/>
      <c r="V35" s="7">
        <f t="shared" si="17"/>
        <v>502.7842</v>
      </c>
      <c r="W35" s="2"/>
      <c r="X35" s="6">
        <f t="shared" si="18"/>
        <v>-19937.239999999991</v>
      </c>
      <c r="Y35" s="2"/>
      <c r="Z35" s="7">
        <f t="shared" si="19"/>
        <v>-0.19826836245053037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>
        <v>23545.86</v>
      </c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23545.86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26497.88</v>
      </c>
      <c r="Q38" s="2"/>
      <c r="R38" s="7">
        <f t="shared" si="16"/>
        <v>0</v>
      </c>
      <c r="S38" s="2"/>
      <c r="T38" s="6">
        <v>30800</v>
      </c>
      <c r="U38" s="2"/>
      <c r="V38" s="7">
        <f t="shared" si="17"/>
        <v>154</v>
      </c>
      <c r="W38" s="2"/>
      <c r="X38" s="6">
        <f t="shared" si="18"/>
        <v>-4302.119999999999</v>
      </c>
      <c r="Y38" s="2"/>
      <c r="Z38" s="7">
        <f t="shared" si="19"/>
        <v>-0.13967922077922074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1680</v>
      </c>
      <c r="I39" s="2"/>
      <c r="J39" s="7">
        <f t="shared" si="13"/>
        <v>0</v>
      </c>
      <c r="K39" s="2"/>
      <c r="L39" s="6">
        <f t="shared" si="14"/>
        <v>-1680</v>
      </c>
      <c r="M39" s="2"/>
      <c r="N39" s="7">
        <f t="shared" si="15"/>
        <v>-1</v>
      </c>
      <c r="O39" s="11"/>
      <c r="P39" s="6">
        <v>2520</v>
      </c>
      <c r="Q39" s="2"/>
      <c r="R39" s="7">
        <f t="shared" si="16"/>
        <v>0</v>
      </c>
      <c r="S39" s="2"/>
      <c r="T39" s="6">
        <v>5600</v>
      </c>
      <c r="U39" s="2"/>
      <c r="V39" s="7">
        <f t="shared" si="17"/>
        <v>28</v>
      </c>
      <c r="W39" s="2"/>
      <c r="X39" s="6">
        <f t="shared" si="18"/>
        <v>-3080</v>
      </c>
      <c r="Y39" s="2"/>
      <c r="Z39" s="7">
        <f t="shared" si="19"/>
        <v>-0.55000000000000004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6" customFormat="1" outlineLevel="1" collapsed="1" x14ac:dyDescent="0.25">
      <c r="A42" s="25"/>
      <c r="B42" s="12" t="str">
        <f>CONCATENATE("     ","Advertising/Promo                                 ")</f>
        <v xml:space="preserve">     Advertising/Promo                                 </v>
      </c>
      <c r="C42" s="12"/>
      <c r="D42" s="1">
        <f>SUM(OSRRefD22_2x_0)</f>
        <v>0</v>
      </c>
      <c r="E42" s="1"/>
      <c r="F42" s="5">
        <f t="shared" ref="F42:F46" si="20">IF(D$12=0,0,D42/D$12)</f>
        <v>0</v>
      </c>
      <c r="G42" s="1"/>
      <c r="H42" s="1">
        <f>SUM(OSRRefH22_2x_0)</f>
        <v>0</v>
      </c>
      <c r="I42" s="1"/>
      <c r="J42" s="5">
        <f t="shared" ref="J42:J46" si="21">IF(H$12=0,0,H42/H$12)</f>
        <v>0</v>
      </c>
      <c r="K42" s="1"/>
      <c r="L42" s="1">
        <f t="shared" ref="L42:L46" si="22">+D42-H42</f>
        <v>0</v>
      </c>
      <c r="M42" s="1"/>
      <c r="N42" s="5">
        <f t="shared" ref="N42:N46" si="23">IF(H42=0,0,L42/H42)</f>
        <v>0</v>
      </c>
      <c r="O42" s="12"/>
      <c r="P42" s="1">
        <f>SUM(OSRRefP22_2x_0)</f>
        <v>9.99</v>
      </c>
      <c r="Q42" s="1"/>
      <c r="R42" s="5">
        <f t="shared" ref="R42:R46" si="24">IF(P$12=0,0,P42/P$12)</f>
        <v>0</v>
      </c>
      <c r="S42" s="1"/>
      <c r="T42" s="1">
        <f>SUM(OSRRefT22_2x_0)</f>
        <v>0</v>
      </c>
      <c r="U42" s="1"/>
      <c r="V42" s="5">
        <f t="shared" ref="V42:V46" si="25">IF(T$12=0,0,T42/T$12)</f>
        <v>0</v>
      </c>
      <c r="W42" s="1"/>
      <c r="X42" s="1">
        <f t="shared" ref="X42:X46" si="26">+P42-T42</f>
        <v>9.99</v>
      </c>
      <c r="Y42" s="1"/>
      <c r="Z42" s="5">
        <f t="shared" ref="Z42:Z46" si="27">IF(T42=0,0,X42/T42)</f>
        <v>0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9.99</v>
      </c>
      <c r="Q43" s="2"/>
      <c r="R43" s="7">
        <f t="shared" si="24"/>
        <v>0</v>
      </c>
      <c r="S43" s="2"/>
      <c r="T43" s="6"/>
      <c r="U43" s="2"/>
      <c r="V43" s="7">
        <f t="shared" si="25"/>
        <v>0</v>
      </c>
      <c r="W43" s="2"/>
      <c r="X43" s="6">
        <f t="shared" si="26"/>
        <v>9.99</v>
      </c>
      <c r="Y43" s="2"/>
      <c r="Z43" s="7">
        <f t="shared" si="27"/>
        <v>0</v>
      </c>
    </row>
    <row r="44" spans="1:26" s="26" customFormat="1" outlineLevel="1" collapsed="1" x14ac:dyDescent="0.25">
      <c r="A44" s="25"/>
      <c r="B44" s="12" t="str">
        <f>CONCATENATE("     ","Depreciation                                      ")</f>
        <v xml:space="preserve">     Depreciation                                      </v>
      </c>
      <c r="C44" s="12"/>
      <c r="D44" s="1">
        <f>SUM(OSRRefD22_3x_0)</f>
        <v>5462</v>
      </c>
      <c r="E44" s="1"/>
      <c r="F44" s="5">
        <f t="shared" si="20"/>
        <v>0</v>
      </c>
      <c r="G44" s="1"/>
      <c r="H44" s="1">
        <f>SUM(OSRRefH22_3x_0)</f>
        <v>6476</v>
      </c>
      <c r="I44" s="1"/>
      <c r="J44" s="5">
        <f t="shared" si="21"/>
        <v>0</v>
      </c>
      <c r="K44" s="1"/>
      <c r="L44" s="1">
        <f t="shared" si="22"/>
        <v>-1014</v>
      </c>
      <c r="M44" s="1"/>
      <c r="N44" s="5">
        <f t="shared" si="23"/>
        <v>-0.15657813465101914</v>
      </c>
      <c r="O44" s="12"/>
      <c r="P44" s="1">
        <f>SUM(OSRRefP22_3x_0)</f>
        <v>72325.490000000005</v>
      </c>
      <c r="Q44" s="1"/>
      <c r="R44" s="5">
        <f t="shared" si="24"/>
        <v>0</v>
      </c>
      <c r="S44" s="1"/>
      <c r="T44" s="1">
        <f>SUM(OSRRefT22_3x_0)</f>
        <v>76095</v>
      </c>
      <c r="U44" s="1"/>
      <c r="V44" s="5">
        <f t="shared" si="25"/>
        <v>380.47500000000002</v>
      </c>
      <c r="W44" s="1"/>
      <c r="X44" s="1">
        <f t="shared" si="26"/>
        <v>-3769.5099999999948</v>
      </c>
      <c r="Y44" s="1"/>
      <c r="Z44" s="5">
        <f t="shared" si="27"/>
        <v>-4.9536894671134694E-2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5462</v>
      </c>
      <c r="E45" s="2"/>
      <c r="F45" s="7">
        <f t="shared" si="20"/>
        <v>0</v>
      </c>
      <c r="G45" s="2"/>
      <c r="H45" s="6">
        <v>6176</v>
      </c>
      <c r="I45" s="2"/>
      <c r="J45" s="7">
        <f t="shared" si="21"/>
        <v>0</v>
      </c>
      <c r="K45" s="2"/>
      <c r="L45" s="6">
        <f t="shared" si="22"/>
        <v>-714</v>
      </c>
      <c r="M45" s="2"/>
      <c r="N45" s="7">
        <f t="shared" si="23"/>
        <v>-0.11560880829015543</v>
      </c>
      <c r="O45" s="11"/>
      <c r="P45" s="6">
        <v>72325.490000000005</v>
      </c>
      <c r="Q45" s="2"/>
      <c r="R45" s="7">
        <f t="shared" si="24"/>
        <v>0</v>
      </c>
      <c r="S45" s="2"/>
      <c r="T45" s="6">
        <v>74112</v>
      </c>
      <c r="U45" s="2"/>
      <c r="V45" s="7">
        <f t="shared" si="25"/>
        <v>370.56</v>
      </c>
      <c r="W45" s="2"/>
      <c r="X45" s="6">
        <f t="shared" si="26"/>
        <v>-1786.5099999999948</v>
      </c>
      <c r="Y45" s="2"/>
      <c r="Z45" s="7">
        <f t="shared" si="27"/>
        <v>-2.4105542962003384E-2</v>
      </c>
    </row>
    <row r="46" spans="1:26" s="24" customFormat="1" hidden="1" outlineLevel="2" x14ac:dyDescent="0.25">
      <c r="A46" s="27"/>
      <c r="B46" s="11" t="str">
        <f>CONCATENATE("          ", "6324", " - ", "FURNITURE + FIXT DEPRECIATION")</f>
        <v xml:space="preserve">          6324 - FURNITURE + FIXT DEPRECIATION</v>
      </c>
      <c r="C46" s="11"/>
      <c r="D46" s="6"/>
      <c r="E46" s="2"/>
      <c r="F46" s="7">
        <f t="shared" si="20"/>
        <v>0</v>
      </c>
      <c r="G46" s="2"/>
      <c r="H46" s="6">
        <v>300</v>
      </c>
      <c r="I46" s="2"/>
      <c r="J46" s="7">
        <f t="shared" si="21"/>
        <v>0</v>
      </c>
      <c r="K46" s="2"/>
      <c r="L46" s="6">
        <f t="shared" si="22"/>
        <v>-300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1983</v>
      </c>
      <c r="U46" s="2"/>
      <c r="V46" s="7">
        <f t="shared" si="25"/>
        <v>9.9149999999999991</v>
      </c>
      <c r="W46" s="2"/>
      <c r="X46" s="6">
        <f t="shared" si="26"/>
        <v>-1983</v>
      </c>
      <c r="Y46" s="2"/>
      <c r="Z46" s="7">
        <f t="shared" si="27"/>
        <v>-1</v>
      </c>
    </row>
    <row r="47" spans="1:26" s="26" customFormat="1" outlineLevel="1" collapsed="1" x14ac:dyDescent="0.25">
      <c r="A47" s="25"/>
      <c r="B47" s="12" t="str">
        <f>CONCATENATE("     ","Employees' Appreciation                           ")</f>
        <v xml:space="preserve">     Employees' Appreciation                           </v>
      </c>
      <c r="C47" s="12"/>
      <c r="D47" s="1">
        <f>SUM(OSRRefD22_4x_0)</f>
        <v>0</v>
      </c>
      <c r="E47" s="1"/>
      <c r="F47" s="5">
        <f t="shared" ref="F47:F57" si="28">IF(D$12=0,0,D47/D$12)</f>
        <v>0</v>
      </c>
      <c r="G47" s="1"/>
      <c r="H47" s="1">
        <f>SUM(OSRRefH22_4x_0)</f>
        <v>100</v>
      </c>
      <c r="I47" s="1"/>
      <c r="J47" s="5">
        <f t="shared" ref="J47:J57" si="29">IF(H$12=0,0,H47/H$12)</f>
        <v>0</v>
      </c>
      <c r="K47" s="1"/>
      <c r="L47" s="1">
        <f t="shared" ref="L47:L57" si="30">+D47-H47</f>
        <v>-100</v>
      </c>
      <c r="M47" s="1"/>
      <c r="N47" s="5">
        <f t="shared" ref="N47:N57" si="31">IF(H47=0,0,L47/H47)</f>
        <v>-1</v>
      </c>
      <c r="O47" s="12"/>
      <c r="P47" s="1">
        <f>SUM(OSRRefP22_4x_0)</f>
        <v>0</v>
      </c>
      <c r="Q47" s="1"/>
      <c r="R47" s="5">
        <f t="shared" ref="R47:R57" si="32">IF(P$12=0,0,P47/P$12)</f>
        <v>0</v>
      </c>
      <c r="S47" s="1"/>
      <c r="T47" s="1">
        <f>SUM(OSRRefT22_4x_0)</f>
        <v>1200</v>
      </c>
      <c r="U47" s="1"/>
      <c r="V47" s="5">
        <f t="shared" ref="V47:V57" si="33">IF(T$12=0,0,T47/T$12)</f>
        <v>6</v>
      </c>
      <c r="W47" s="1"/>
      <c r="X47" s="1">
        <f t="shared" ref="X47:X57" si="34">+P47-T47</f>
        <v>-1200</v>
      </c>
      <c r="Y47" s="1"/>
      <c r="Z47" s="5">
        <f t="shared" ref="Z47:Z57" si="35">IF(T47=0,0,X47/T47)</f>
        <v>-1</v>
      </c>
    </row>
    <row r="48" spans="1:26" s="24" customFormat="1" hidden="1" outlineLevel="2" x14ac:dyDescent="0.25">
      <c r="A48" s="27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8"/>
        <v>0</v>
      </c>
      <c r="G48" s="2"/>
      <c r="H48" s="6">
        <v>100</v>
      </c>
      <c r="I48" s="2"/>
      <c r="J48" s="7">
        <f t="shared" si="29"/>
        <v>0</v>
      </c>
      <c r="K48" s="2"/>
      <c r="L48" s="6">
        <f t="shared" si="30"/>
        <v>-100</v>
      </c>
      <c r="M48" s="2"/>
      <c r="N48" s="7">
        <f t="shared" si="31"/>
        <v>-1</v>
      </c>
      <c r="O48" s="11"/>
      <c r="P48" s="6"/>
      <c r="Q48" s="2"/>
      <c r="R48" s="7">
        <f t="shared" si="32"/>
        <v>0</v>
      </c>
      <c r="S48" s="2"/>
      <c r="T48" s="6">
        <v>1200</v>
      </c>
      <c r="U48" s="2"/>
      <c r="V48" s="7">
        <f t="shared" si="33"/>
        <v>6</v>
      </c>
      <c r="W48" s="2"/>
      <c r="X48" s="6">
        <f t="shared" si="34"/>
        <v>-1200</v>
      </c>
      <c r="Y48" s="2"/>
      <c r="Z48" s="7">
        <f t="shared" si="35"/>
        <v>-1</v>
      </c>
    </row>
    <row r="49" spans="1:26" s="26" customFormat="1" outlineLevel="1" collapsed="1" x14ac:dyDescent="0.25">
      <c r="A49" s="25"/>
      <c r="B49" s="12" t="str">
        <f>CONCATENATE("     ","Insurance                                         ")</f>
        <v xml:space="preserve">     Insurance                                         </v>
      </c>
      <c r="C49" s="12"/>
      <c r="D49" s="1">
        <f>SUM(OSRRefD22_5x_0)</f>
        <v>56.34</v>
      </c>
      <c r="E49" s="1"/>
      <c r="F49" s="5">
        <f t="shared" si="28"/>
        <v>0</v>
      </c>
      <c r="G49" s="1"/>
      <c r="H49" s="1">
        <f>SUM(OSRRefH22_5x_0)</f>
        <v>55</v>
      </c>
      <c r="I49" s="1"/>
      <c r="J49" s="5">
        <f t="shared" si="29"/>
        <v>0</v>
      </c>
      <c r="K49" s="1"/>
      <c r="L49" s="1">
        <f t="shared" si="30"/>
        <v>1.3400000000000034</v>
      </c>
      <c r="M49" s="1"/>
      <c r="N49" s="5">
        <f t="shared" si="31"/>
        <v>2.4363636363636424E-2</v>
      </c>
      <c r="O49" s="12"/>
      <c r="P49" s="1">
        <f>SUM(OSRRefP22_5x_0)</f>
        <v>676.08</v>
      </c>
      <c r="Q49" s="1"/>
      <c r="R49" s="5">
        <f t="shared" si="32"/>
        <v>0</v>
      </c>
      <c r="S49" s="1"/>
      <c r="T49" s="1">
        <f>SUM(OSRRefT22_5x_0)</f>
        <v>660</v>
      </c>
      <c r="U49" s="1"/>
      <c r="V49" s="5">
        <f t="shared" si="33"/>
        <v>3.3</v>
      </c>
      <c r="W49" s="1"/>
      <c r="X49" s="1">
        <f t="shared" si="34"/>
        <v>16.080000000000041</v>
      </c>
      <c r="Y49" s="1"/>
      <c r="Z49" s="5">
        <f t="shared" si="35"/>
        <v>2.4363636363636424E-2</v>
      </c>
    </row>
    <row r="50" spans="1:26" s="24" customFormat="1" hidden="1" outlineLevel="2" x14ac:dyDescent="0.25">
      <c r="A50" s="27"/>
      <c r="B50" s="11" t="str">
        <f>CONCATENATE("          ", "6314", " - ", "LIABILITY INSURANCE")</f>
        <v xml:space="preserve">          6314 - LIABILITY INSURANCE</v>
      </c>
      <c r="C50" s="11"/>
      <c r="D50" s="6">
        <v>56.34</v>
      </c>
      <c r="E50" s="2"/>
      <c r="F50" s="7">
        <f t="shared" si="28"/>
        <v>0</v>
      </c>
      <c r="G50" s="2"/>
      <c r="H50" s="6">
        <v>55</v>
      </c>
      <c r="I50" s="2"/>
      <c r="J50" s="7">
        <f t="shared" si="29"/>
        <v>0</v>
      </c>
      <c r="K50" s="2"/>
      <c r="L50" s="6">
        <f t="shared" si="30"/>
        <v>1.3400000000000034</v>
      </c>
      <c r="M50" s="2"/>
      <c r="N50" s="7">
        <f t="shared" si="31"/>
        <v>2.4363636363636424E-2</v>
      </c>
      <c r="O50" s="11"/>
      <c r="P50" s="6">
        <v>676.08</v>
      </c>
      <c r="Q50" s="2"/>
      <c r="R50" s="7">
        <f t="shared" si="32"/>
        <v>0</v>
      </c>
      <c r="S50" s="2"/>
      <c r="T50" s="6">
        <v>660</v>
      </c>
      <c r="U50" s="2"/>
      <c r="V50" s="7">
        <f t="shared" si="33"/>
        <v>3.3</v>
      </c>
      <c r="W50" s="2"/>
      <c r="X50" s="6">
        <f t="shared" si="34"/>
        <v>16.080000000000041</v>
      </c>
      <c r="Y50" s="2"/>
      <c r="Z50" s="7">
        <f t="shared" si="35"/>
        <v>2.4363636363636424E-2</v>
      </c>
    </row>
    <row r="51" spans="1:26" s="26" customFormat="1" outlineLevel="1" collapsed="1" x14ac:dyDescent="0.25">
      <c r="A51" s="25"/>
      <c r="B51" s="12" t="str">
        <f>CONCATENATE("     ","Professional Services                             ")</f>
        <v xml:space="preserve">     Professional Services                             </v>
      </c>
      <c r="C51" s="12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500</v>
      </c>
      <c r="I51" s="1"/>
      <c r="J51" s="5">
        <f t="shared" si="29"/>
        <v>0</v>
      </c>
      <c r="K51" s="1"/>
      <c r="L51" s="1">
        <f t="shared" si="30"/>
        <v>-500</v>
      </c>
      <c r="M51" s="1"/>
      <c r="N51" s="5">
        <f t="shared" si="31"/>
        <v>-1</v>
      </c>
      <c r="O51" s="12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6000</v>
      </c>
      <c r="U51" s="1"/>
      <c r="V51" s="5">
        <f t="shared" si="33"/>
        <v>30</v>
      </c>
      <c r="W51" s="1"/>
      <c r="X51" s="1">
        <f t="shared" si="34"/>
        <v>-6000</v>
      </c>
      <c r="Y51" s="1"/>
      <c r="Z51" s="5">
        <f t="shared" si="35"/>
        <v>-1</v>
      </c>
    </row>
    <row r="52" spans="1:26" s="24" customFormat="1" hidden="1" outlineLevel="2" x14ac:dyDescent="0.25">
      <c r="A52" s="27"/>
      <c r="B52" s="11" t="str">
        <f>CONCATENATE("          ", "6332", " - ", "CONSULTANT FEES")</f>
        <v xml:space="preserve">          6332 - CONSULTANT FEES</v>
      </c>
      <c r="C52" s="11"/>
      <c r="D52" s="6"/>
      <c r="E52" s="2"/>
      <c r="F52" s="7">
        <f t="shared" si="28"/>
        <v>0</v>
      </c>
      <c r="G52" s="2"/>
      <c r="H52" s="6">
        <v>500</v>
      </c>
      <c r="I52" s="2"/>
      <c r="J52" s="7">
        <f t="shared" si="29"/>
        <v>0</v>
      </c>
      <c r="K52" s="2"/>
      <c r="L52" s="6">
        <f t="shared" si="30"/>
        <v>-500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6000</v>
      </c>
      <c r="U52" s="2"/>
      <c r="V52" s="7">
        <f t="shared" si="33"/>
        <v>30</v>
      </c>
      <c r="W52" s="2"/>
      <c r="X52" s="6">
        <f t="shared" si="34"/>
        <v>-6000</v>
      </c>
      <c r="Y52" s="2"/>
      <c r="Z52" s="7">
        <f t="shared" si="35"/>
        <v>-1</v>
      </c>
    </row>
    <row r="53" spans="1:26" s="26" customFormat="1" outlineLevel="1" collapsed="1" x14ac:dyDescent="0.25">
      <c r="A53" s="25"/>
      <c r="B53" s="12" t="str">
        <f>CONCATENATE("     ","Repair and Maintenance                            ")</f>
        <v xml:space="preserve">     Repair and Maintenance                            </v>
      </c>
      <c r="C53" s="12"/>
      <c r="D53" s="1">
        <f>SUM(OSRRefD22_7x_0)</f>
        <v>9532</v>
      </c>
      <c r="E53" s="1"/>
      <c r="F53" s="5">
        <f t="shared" si="28"/>
        <v>0</v>
      </c>
      <c r="G53" s="1"/>
      <c r="H53" s="1">
        <f>SUM(OSRRefH22_7x_0)</f>
        <v>13900</v>
      </c>
      <c r="I53" s="1"/>
      <c r="J53" s="5">
        <f t="shared" si="29"/>
        <v>0</v>
      </c>
      <c r="K53" s="1"/>
      <c r="L53" s="1">
        <f t="shared" si="30"/>
        <v>-4368</v>
      </c>
      <c r="M53" s="1"/>
      <c r="N53" s="5">
        <f t="shared" si="31"/>
        <v>-0.31424460431654677</v>
      </c>
      <c r="O53" s="12"/>
      <c r="P53" s="1">
        <f>SUM(OSRRefP22_7x_0)</f>
        <v>117256.66999999998</v>
      </c>
      <c r="Q53" s="1"/>
      <c r="R53" s="5">
        <f t="shared" si="32"/>
        <v>0</v>
      </c>
      <c r="S53" s="1"/>
      <c r="T53" s="1">
        <f>SUM(OSRRefT22_7x_0)</f>
        <v>145900</v>
      </c>
      <c r="U53" s="1"/>
      <c r="V53" s="5">
        <f t="shared" si="33"/>
        <v>729.5</v>
      </c>
      <c r="W53" s="1"/>
      <c r="X53" s="1">
        <f t="shared" si="34"/>
        <v>-28643.330000000016</v>
      </c>
      <c r="Y53" s="1"/>
      <c r="Z53" s="5">
        <f t="shared" si="35"/>
        <v>-0.19632165867032225</v>
      </c>
    </row>
    <row r="54" spans="1:26" s="24" customFormat="1" hidden="1" outlineLevel="2" x14ac:dyDescent="0.2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125</v>
      </c>
      <c r="E54" s="2"/>
      <c r="F54" s="7">
        <f t="shared" si="28"/>
        <v>0</v>
      </c>
      <c r="G54" s="2"/>
      <c r="H54" s="6">
        <v>1000</v>
      </c>
      <c r="I54" s="2"/>
      <c r="J54" s="7">
        <f t="shared" si="29"/>
        <v>0</v>
      </c>
      <c r="K54" s="2"/>
      <c r="L54" s="6">
        <f t="shared" si="30"/>
        <v>-875</v>
      </c>
      <c r="M54" s="2"/>
      <c r="N54" s="7">
        <f t="shared" si="31"/>
        <v>-0.875</v>
      </c>
      <c r="O54" s="11"/>
      <c r="P54" s="6">
        <v>3627.2</v>
      </c>
      <c r="Q54" s="2"/>
      <c r="R54" s="7">
        <f t="shared" si="32"/>
        <v>0</v>
      </c>
      <c r="S54" s="2"/>
      <c r="T54" s="6">
        <v>8000</v>
      </c>
      <c r="U54" s="2"/>
      <c r="V54" s="7">
        <f t="shared" si="33"/>
        <v>40</v>
      </c>
      <c r="W54" s="2"/>
      <c r="X54" s="6">
        <f t="shared" si="34"/>
        <v>-4372.8</v>
      </c>
      <c r="Y54" s="2"/>
      <c r="Z54" s="7">
        <f t="shared" si="35"/>
        <v>-0.54659999999999997</v>
      </c>
    </row>
    <row r="55" spans="1:26" s="24" customFormat="1" hidden="1" outlineLevel="2" x14ac:dyDescent="0.25">
      <c r="A55" s="27"/>
      <c r="B55" s="11" t="str">
        <f>CONCATENATE("          ", "6372", " - ", "COMPUTER HARDWARE MAINTENANCE")</f>
        <v xml:space="preserve">          6372 - COMPUTER HARDWARE MAINTENANCE</v>
      </c>
      <c r="C55" s="11"/>
      <c r="D55" s="6"/>
      <c r="E55" s="2"/>
      <c r="F55" s="7">
        <f t="shared" si="28"/>
        <v>0</v>
      </c>
      <c r="G55" s="2"/>
      <c r="H55" s="6">
        <v>1000</v>
      </c>
      <c r="I55" s="2"/>
      <c r="J55" s="7">
        <f t="shared" si="29"/>
        <v>0</v>
      </c>
      <c r="K55" s="2"/>
      <c r="L55" s="6">
        <f t="shared" si="30"/>
        <v>-1000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10000</v>
      </c>
      <c r="U55" s="2"/>
      <c r="V55" s="7">
        <f t="shared" si="33"/>
        <v>50</v>
      </c>
      <c r="W55" s="2"/>
      <c r="X55" s="6">
        <f t="shared" si="34"/>
        <v>-10000</v>
      </c>
      <c r="Y55" s="2"/>
      <c r="Z55" s="7">
        <f t="shared" si="35"/>
        <v>-1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>
        <v>9407</v>
      </c>
      <c r="E56" s="2"/>
      <c r="F56" s="7">
        <f t="shared" si="28"/>
        <v>0</v>
      </c>
      <c r="G56" s="2"/>
      <c r="H56" s="6">
        <v>11900</v>
      </c>
      <c r="I56" s="2"/>
      <c r="J56" s="7">
        <f t="shared" si="29"/>
        <v>0</v>
      </c>
      <c r="K56" s="2"/>
      <c r="L56" s="6">
        <f t="shared" si="30"/>
        <v>-2493</v>
      </c>
      <c r="M56" s="2"/>
      <c r="N56" s="7">
        <f t="shared" si="31"/>
        <v>-0.20949579831932774</v>
      </c>
      <c r="O56" s="11"/>
      <c r="P56" s="6">
        <v>113471.06999999999</v>
      </c>
      <c r="Q56" s="2"/>
      <c r="R56" s="7">
        <f t="shared" si="32"/>
        <v>0</v>
      </c>
      <c r="S56" s="2"/>
      <c r="T56" s="6">
        <v>127900</v>
      </c>
      <c r="U56" s="2"/>
      <c r="V56" s="7">
        <f t="shared" si="33"/>
        <v>639.5</v>
      </c>
      <c r="W56" s="2"/>
      <c r="X56" s="6">
        <f t="shared" si="34"/>
        <v>-14428.930000000008</v>
      </c>
      <c r="Y56" s="2"/>
      <c r="Z56" s="7">
        <f t="shared" si="35"/>
        <v>-0.11281415168100084</v>
      </c>
    </row>
    <row r="57" spans="1:26" s="24" customFormat="1" hidden="1" outlineLevel="2" x14ac:dyDescent="0.2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158.4</v>
      </c>
      <c r="Q57" s="2"/>
      <c r="R57" s="7">
        <f t="shared" si="32"/>
        <v>0</v>
      </c>
      <c r="S57" s="2"/>
      <c r="T57" s="6"/>
      <c r="U57" s="2"/>
      <c r="V57" s="7">
        <f t="shared" si="33"/>
        <v>0</v>
      </c>
      <c r="W57" s="2"/>
      <c r="X57" s="6">
        <f t="shared" si="34"/>
        <v>158.4</v>
      </c>
      <c r="Y57" s="2"/>
      <c r="Z57" s="7">
        <f t="shared" si="35"/>
        <v>0</v>
      </c>
    </row>
    <row r="58" spans="1:26" s="26" customFormat="1" outlineLevel="1" collapsed="1" x14ac:dyDescent="0.25">
      <c r="A58" s="25"/>
      <c r="B58" s="12" t="str">
        <f>CONCATENATE("     ","Subscriptions &amp; Dues                              ")</f>
        <v xml:space="preserve">     Subscriptions &amp; Dues                              </v>
      </c>
      <c r="C58" s="12"/>
      <c r="D58" s="1">
        <f>SUM(OSRRefD22_8x_0)</f>
        <v>0</v>
      </c>
      <c r="E58" s="1"/>
      <c r="F58" s="5">
        <f t="shared" ref="F58:F62" si="36">IF(D$12=0,0,D58/D$12)</f>
        <v>0</v>
      </c>
      <c r="G58" s="1"/>
      <c r="H58" s="1">
        <f>SUM(OSRRefH22_8x_0)</f>
        <v>200</v>
      </c>
      <c r="I58" s="1"/>
      <c r="J58" s="5">
        <f t="shared" ref="J58:J62" si="37">IF(H$12=0,0,H58/H$12)</f>
        <v>0</v>
      </c>
      <c r="K58" s="1"/>
      <c r="L58" s="1">
        <f t="shared" ref="L58:L62" si="38">+D58-H58</f>
        <v>-200</v>
      </c>
      <c r="M58" s="1"/>
      <c r="N58" s="5">
        <f t="shared" ref="N58:N62" si="39">IF(H58=0,0,L58/H58)</f>
        <v>-1</v>
      </c>
      <c r="O58" s="12"/>
      <c r="P58" s="1">
        <f>SUM(OSRRefP22_8x_0)</f>
        <v>0</v>
      </c>
      <c r="Q58" s="1"/>
      <c r="R58" s="5">
        <f t="shared" ref="R58:R62" si="40">IF(P$12=0,0,P58/P$12)</f>
        <v>0</v>
      </c>
      <c r="S58" s="1"/>
      <c r="T58" s="1">
        <f>SUM(OSRRefT22_8x_0)</f>
        <v>1400</v>
      </c>
      <c r="U58" s="1"/>
      <c r="V58" s="5">
        <f t="shared" ref="V58:V62" si="41">IF(T$12=0,0,T58/T$12)</f>
        <v>7</v>
      </c>
      <c r="W58" s="1"/>
      <c r="X58" s="1">
        <f t="shared" ref="X58:X62" si="42">+P58-T58</f>
        <v>-1400</v>
      </c>
      <c r="Y58" s="1"/>
      <c r="Z58" s="5">
        <f t="shared" ref="Z58:Z62" si="43">IF(T58=0,0,X58/T58)</f>
        <v>-1</v>
      </c>
    </row>
    <row r="59" spans="1:26" s="24" customFormat="1" hidden="1" outlineLevel="2" x14ac:dyDescent="0.25">
      <c r="A59" s="27"/>
      <c r="B59" s="11" t="str">
        <f>CONCATENATE("          ", "6275", " - ", "SUBSCRIPTIONS")</f>
        <v xml:space="preserve">          6275 - SUBSCRIPTIONS</v>
      </c>
      <c r="C59" s="11"/>
      <c r="D59" s="6"/>
      <c r="E59" s="2"/>
      <c r="F59" s="7">
        <f t="shared" si="36"/>
        <v>0</v>
      </c>
      <c r="G59" s="2"/>
      <c r="H59" s="6">
        <v>200</v>
      </c>
      <c r="I59" s="2"/>
      <c r="J59" s="7">
        <f t="shared" si="37"/>
        <v>0</v>
      </c>
      <c r="K59" s="2"/>
      <c r="L59" s="6">
        <f t="shared" si="38"/>
        <v>-200</v>
      </c>
      <c r="M59" s="2"/>
      <c r="N59" s="7">
        <f t="shared" si="39"/>
        <v>-1</v>
      </c>
      <c r="O59" s="11"/>
      <c r="P59" s="6"/>
      <c r="Q59" s="2"/>
      <c r="R59" s="7">
        <f t="shared" si="40"/>
        <v>0</v>
      </c>
      <c r="S59" s="2"/>
      <c r="T59" s="6">
        <v>1400</v>
      </c>
      <c r="U59" s="2"/>
      <c r="V59" s="7">
        <f t="shared" si="41"/>
        <v>7</v>
      </c>
      <c r="W59" s="2"/>
      <c r="X59" s="6">
        <f t="shared" si="42"/>
        <v>-1400</v>
      </c>
      <c r="Y59" s="2"/>
      <c r="Z59" s="7">
        <f t="shared" si="43"/>
        <v>-1</v>
      </c>
    </row>
    <row r="60" spans="1:26" s="26" customFormat="1" outlineLevel="1" collapsed="1" x14ac:dyDescent="0.25">
      <c r="A60" s="25"/>
      <c r="B60" s="12" t="str">
        <f>CONCATENATE("     ","Supplies                                          ")</f>
        <v xml:space="preserve">     Supplies                                          </v>
      </c>
      <c r="C60" s="12"/>
      <c r="D60" s="1">
        <f>SUM(OSRRefD22_9x_0)</f>
        <v>1069.1400000000001</v>
      </c>
      <c r="E60" s="1"/>
      <c r="F60" s="5">
        <f t="shared" si="36"/>
        <v>0</v>
      </c>
      <c r="G60" s="1"/>
      <c r="H60" s="1">
        <f>SUM(OSRRefH22_9x_0)</f>
        <v>422</v>
      </c>
      <c r="I60" s="1"/>
      <c r="J60" s="5">
        <f t="shared" si="37"/>
        <v>0</v>
      </c>
      <c r="K60" s="1"/>
      <c r="L60" s="1">
        <f t="shared" si="38"/>
        <v>647.1400000000001</v>
      </c>
      <c r="M60" s="1"/>
      <c r="N60" s="5">
        <f t="shared" si="39"/>
        <v>1.5335071090047396</v>
      </c>
      <c r="O60" s="12"/>
      <c r="P60" s="1">
        <f>SUM(OSRRefP22_9x_0)</f>
        <v>27192.59</v>
      </c>
      <c r="Q60" s="1"/>
      <c r="R60" s="5">
        <f t="shared" si="40"/>
        <v>0</v>
      </c>
      <c r="S60" s="1"/>
      <c r="T60" s="1">
        <f>SUM(OSRRefT22_9x_0)</f>
        <v>5422</v>
      </c>
      <c r="U60" s="1"/>
      <c r="V60" s="5">
        <f t="shared" si="41"/>
        <v>27.11</v>
      </c>
      <c r="W60" s="1"/>
      <c r="X60" s="1">
        <f t="shared" si="42"/>
        <v>21770.59</v>
      </c>
      <c r="Y60" s="1"/>
      <c r="Z60" s="5">
        <f t="shared" si="43"/>
        <v>4.0152323865732207</v>
      </c>
    </row>
    <row r="61" spans="1:26" s="24" customFormat="1" hidden="1" outlineLevel="2" x14ac:dyDescent="0.25">
      <c r="A61" s="27"/>
      <c r="B61" s="11" t="str">
        <f>CONCATENATE("          ", "6241", " - ", "OFFICE EXPENSE")</f>
        <v xml:space="preserve">          6241 - OFFICE EXPENSE</v>
      </c>
      <c r="C61" s="11"/>
      <c r="D61" s="6">
        <v>1069.1400000000001</v>
      </c>
      <c r="E61" s="2"/>
      <c r="F61" s="7">
        <f t="shared" si="36"/>
        <v>0</v>
      </c>
      <c r="G61" s="2"/>
      <c r="H61" s="6">
        <v>422</v>
      </c>
      <c r="I61" s="2"/>
      <c r="J61" s="7">
        <f t="shared" si="37"/>
        <v>0</v>
      </c>
      <c r="K61" s="2"/>
      <c r="L61" s="6">
        <f t="shared" si="38"/>
        <v>647.1400000000001</v>
      </c>
      <c r="M61" s="2"/>
      <c r="N61" s="7">
        <f t="shared" si="39"/>
        <v>1.5335071090047396</v>
      </c>
      <c r="O61" s="11"/>
      <c r="P61" s="6">
        <v>27192.59</v>
      </c>
      <c r="Q61" s="2"/>
      <c r="R61" s="7">
        <f t="shared" si="40"/>
        <v>0</v>
      </c>
      <c r="S61" s="2"/>
      <c r="T61" s="6">
        <v>4722</v>
      </c>
      <c r="U61" s="2"/>
      <c r="V61" s="7">
        <f t="shared" si="41"/>
        <v>23.61</v>
      </c>
      <c r="W61" s="2"/>
      <c r="X61" s="6">
        <f t="shared" si="42"/>
        <v>22470.59</v>
      </c>
      <c r="Y61" s="2"/>
      <c r="Z61" s="7">
        <f t="shared" si="43"/>
        <v>4.7587018212621768</v>
      </c>
    </row>
    <row r="62" spans="1:26" s="24" customFormat="1" hidden="1" outlineLevel="2" x14ac:dyDescent="0.25">
      <c r="A62" s="27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700</v>
      </c>
      <c r="U62" s="2"/>
      <c r="V62" s="7">
        <f t="shared" si="41"/>
        <v>3.5</v>
      </c>
      <c r="W62" s="2"/>
      <c r="X62" s="6">
        <f t="shared" si="42"/>
        <v>-700</v>
      </c>
      <c r="Y62" s="2"/>
      <c r="Z62" s="7">
        <f t="shared" si="43"/>
        <v>-1</v>
      </c>
    </row>
    <row r="63" spans="1:26" s="26" customFormat="1" outlineLevel="1" collapsed="1" x14ac:dyDescent="0.25">
      <c r="A63" s="25"/>
      <c r="B63" s="12" t="str">
        <f>CONCATENATE("     ","Telephone/Data Lines                              ")</f>
        <v xml:space="preserve">     Telephone/Data Lines                              </v>
      </c>
      <c r="C63" s="12"/>
      <c r="D63" s="1">
        <f>SUM(OSRRefD22_10x_0)</f>
        <v>973.25</v>
      </c>
      <c r="E63" s="1"/>
      <c r="F63" s="5">
        <f t="shared" ref="F63:F65" si="44">IF(D$12=0,0,D63/D$12)</f>
        <v>0</v>
      </c>
      <c r="G63" s="1"/>
      <c r="H63" s="1">
        <f>SUM(OSRRefH22_10x_0)</f>
        <v>550</v>
      </c>
      <c r="I63" s="1"/>
      <c r="J63" s="5">
        <f t="shared" ref="J63:J65" si="45">IF(H$12=0,0,H63/H$12)</f>
        <v>0</v>
      </c>
      <c r="K63" s="1"/>
      <c r="L63" s="1">
        <f t="shared" ref="L63:L65" si="46">+D63-H63</f>
        <v>423.25</v>
      </c>
      <c r="M63" s="1"/>
      <c r="N63" s="5">
        <f t="shared" ref="N63:N65" si="47">IF(H63=0,0,L63/H63)</f>
        <v>0.76954545454545453</v>
      </c>
      <c r="O63" s="12"/>
      <c r="P63" s="1">
        <f>SUM(OSRRefP22_10x_0)</f>
        <v>14138.230000000001</v>
      </c>
      <c r="Q63" s="1"/>
      <c r="R63" s="5">
        <f t="shared" ref="R63:R65" si="48">IF(P$12=0,0,P63/P$12)</f>
        <v>0</v>
      </c>
      <c r="S63" s="1"/>
      <c r="T63" s="1">
        <f>SUM(OSRRefT22_10x_0)</f>
        <v>5700</v>
      </c>
      <c r="U63" s="1"/>
      <c r="V63" s="5">
        <f t="shared" ref="V63:V65" si="49">IF(T$12=0,0,T63/T$12)</f>
        <v>28.5</v>
      </c>
      <c r="W63" s="1"/>
      <c r="X63" s="1">
        <f t="shared" ref="X63:X65" si="50">+P63-T63</f>
        <v>8438.2300000000014</v>
      </c>
      <c r="Y63" s="1"/>
      <c r="Z63" s="5">
        <f t="shared" ref="Z63:Z65" si="51">IF(T63=0,0,X63/T63)</f>
        <v>1.4803912280701756</v>
      </c>
    </row>
    <row r="64" spans="1:26" s="24" customFormat="1" hidden="1" outlineLevel="2" x14ac:dyDescent="0.25">
      <c r="A64" s="27"/>
      <c r="B64" s="11" t="str">
        <f>CONCATENATE("          ", "6303", " - ", "DATA PHONE LINES")</f>
        <v xml:space="preserve">          6303 - DATA PHONE LINES</v>
      </c>
      <c r="C64" s="11"/>
      <c r="D64" s="6">
        <v>208.97</v>
      </c>
      <c r="E64" s="2"/>
      <c r="F64" s="7">
        <f t="shared" si="44"/>
        <v>0</v>
      </c>
      <c r="G64" s="2"/>
      <c r="H64" s="6">
        <v>300</v>
      </c>
      <c r="I64" s="2"/>
      <c r="J64" s="7">
        <f t="shared" si="45"/>
        <v>0</v>
      </c>
      <c r="K64" s="2"/>
      <c r="L64" s="6">
        <f t="shared" si="46"/>
        <v>-91.03</v>
      </c>
      <c r="M64" s="2"/>
      <c r="N64" s="7">
        <f t="shared" si="47"/>
        <v>-0.30343333333333333</v>
      </c>
      <c r="O64" s="11"/>
      <c r="P64" s="6">
        <v>1889.95</v>
      </c>
      <c r="Q64" s="2"/>
      <c r="R64" s="7">
        <f t="shared" si="48"/>
        <v>0</v>
      </c>
      <c r="S64" s="2"/>
      <c r="T64" s="6">
        <v>2700</v>
      </c>
      <c r="U64" s="2"/>
      <c r="V64" s="7">
        <f t="shared" si="49"/>
        <v>13.5</v>
      </c>
      <c r="W64" s="2"/>
      <c r="X64" s="6">
        <f t="shared" si="50"/>
        <v>-810.05</v>
      </c>
      <c r="Y64" s="2"/>
      <c r="Z64" s="7">
        <f t="shared" si="51"/>
        <v>-0.30001851851851852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764.28</v>
      </c>
      <c r="E65" s="2"/>
      <c r="F65" s="7">
        <f t="shared" si="44"/>
        <v>0</v>
      </c>
      <c r="G65" s="2"/>
      <c r="H65" s="6">
        <v>250</v>
      </c>
      <c r="I65" s="2"/>
      <c r="J65" s="7">
        <f t="shared" si="45"/>
        <v>0</v>
      </c>
      <c r="K65" s="2"/>
      <c r="L65" s="6">
        <f t="shared" si="46"/>
        <v>514.28</v>
      </c>
      <c r="M65" s="2"/>
      <c r="N65" s="7">
        <f t="shared" si="47"/>
        <v>2.0571199999999998</v>
      </c>
      <c r="O65" s="11"/>
      <c r="P65" s="6">
        <v>12248.28</v>
      </c>
      <c r="Q65" s="2"/>
      <c r="R65" s="7">
        <f t="shared" si="48"/>
        <v>0</v>
      </c>
      <c r="S65" s="2"/>
      <c r="T65" s="6">
        <v>3000</v>
      </c>
      <c r="U65" s="2"/>
      <c r="V65" s="7">
        <f t="shared" si="49"/>
        <v>15</v>
      </c>
      <c r="W65" s="2"/>
      <c r="X65" s="6">
        <f t="shared" si="50"/>
        <v>9248.2800000000007</v>
      </c>
      <c r="Y65" s="2"/>
      <c r="Z65" s="7">
        <f t="shared" si="51"/>
        <v>3.0827600000000004</v>
      </c>
    </row>
    <row r="66" spans="1:26" s="26" customFormat="1" outlineLevel="1" collapsed="1" x14ac:dyDescent="0.25">
      <c r="A66" s="25"/>
      <c r="B66" s="12" t="str">
        <f>CONCATENATE("     ","Training                                          ")</f>
        <v xml:space="preserve">     Training                                          </v>
      </c>
      <c r="C66" s="12"/>
      <c r="D66" s="1">
        <f>SUM(OSRRefD22_11x_0)</f>
        <v>-1353.17</v>
      </c>
      <c r="E66" s="1"/>
      <c r="F66" s="5">
        <f t="shared" ref="F66:F70" si="52">IF(D$12=0,0,D66/D$12)</f>
        <v>0</v>
      </c>
      <c r="G66" s="1"/>
      <c r="H66" s="1">
        <f>SUM(OSRRefH22_11x_0)</f>
        <v>1000</v>
      </c>
      <c r="I66" s="1"/>
      <c r="J66" s="5">
        <f t="shared" ref="J66:J70" si="53">IF(H$12=0,0,H66/H$12)</f>
        <v>0</v>
      </c>
      <c r="K66" s="1"/>
      <c r="L66" s="1">
        <f t="shared" ref="L66:L70" si="54">+D66-H66</f>
        <v>-2353.17</v>
      </c>
      <c r="M66" s="1"/>
      <c r="N66" s="5">
        <f t="shared" ref="N66:N70" si="55">IF(H66=0,0,L66/H66)</f>
        <v>-2.35317</v>
      </c>
      <c r="O66" s="12"/>
      <c r="P66" s="1">
        <f>SUM(OSRRefP22_11x_0)</f>
        <v>2992.68</v>
      </c>
      <c r="Q66" s="1"/>
      <c r="R66" s="5">
        <f t="shared" ref="R66:R70" si="56">IF(P$12=0,0,P66/P$12)</f>
        <v>0</v>
      </c>
      <c r="S66" s="1"/>
      <c r="T66" s="1">
        <f>SUM(OSRRefT22_11x_0)</f>
        <v>12000</v>
      </c>
      <c r="U66" s="1"/>
      <c r="V66" s="5">
        <f t="shared" ref="V66:V70" si="57">IF(T$12=0,0,T66/T$12)</f>
        <v>60</v>
      </c>
      <c r="W66" s="1"/>
      <c r="X66" s="1">
        <f t="shared" ref="X66:X70" si="58">+P66-T66</f>
        <v>-9007.32</v>
      </c>
      <c r="Y66" s="1"/>
      <c r="Z66" s="5">
        <f t="shared" ref="Z66:Z70" si="59">IF(T66=0,0,X66/T66)</f>
        <v>-0.75061</v>
      </c>
    </row>
    <row r="67" spans="1:26" s="24" customFormat="1" hidden="1" outlineLevel="2" x14ac:dyDescent="0.25">
      <c r="A67" s="27"/>
      <c r="B67" s="11" t="str">
        <f>CONCATENATE("          ", "6376", " - ", "TRAINING")</f>
        <v xml:space="preserve">          6376 - TRAINING</v>
      </c>
      <c r="C67" s="11"/>
      <c r="D67" s="6">
        <v>-1353.17</v>
      </c>
      <c r="E67" s="2"/>
      <c r="F67" s="7">
        <f t="shared" si="52"/>
        <v>0</v>
      </c>
      <c r="G67" s="2"/>
      <c r="H67" s="6">
        <v>1000</v>
      </c>
      <c r="I67" s="2"/>
      <c r="J67" s="7">
        <f t="shared" si="53"/>
        <v>0</v>
      </c>
      <c r="K67" s="2"/>
      <c r="L67" s="6">
        <f t="shared" si="54"/>
        <v>-2353.17</v>
      </c>
      <c r="M67" s="2"/>
      <c r="N67" s="7">
        <f t="shared" si="55"/>
        <v>-2.35317</v>
      </c>
      <c r="O67" s="11"/>
      <c r="P67" s="6">
        <v>2992.68</v>
      </c>
      <c r="Q67" s="2"/>
      <c r="R67" s="7">
        <f t="shared" si="56"/>
        <v>0</v>
      </c>
      <c r="S67" s="2"/>
      <c r="T67" s="6">
        <v>12000</v>
      </c>
      <c r="U67" s="2"/>
      <c r="V67" s="7">
        <f t="shared" si="57"/>
        <v>60</v>
      </c>
      <c r="W67" s="2"/>
      <c r="X67" s="6">
        <f t="shared" si="58"/>
        <v>-9007.32</v>
      </c>
      <c r="Y67" s="2"/>
      <c r="Z67" s="7">
        <f t="shared" si="59"/>
        <v>-0.75061</v>
      </c>
    </row>
    <row r="68" spans="1:26" s="26" customFormat="1" outlineLevel="1" collapsed="1" x14ac:dyDescent="0.25">
      <c r="A68" s="25"/>
      <c r="B68" s="12" t="str">
        <f>CONCATENATE("     ","Travel                                            ")</f>
        <v xml:space="preserve">     Travel                                            </v>
      </c>
      <c r="C68" s="12"/>
      <c r="D68" s="1">
        <f>SUM(OSRRefD22_12x_0)</f>
        <v>0</v>
      </c>
      <c r="E68" s="1"/>
      <c r="F68" s="5">
        <f t="shared" si="52"/>
        <v>0</v>
      </c>
      <c r="G68" s="1"/>
      <c r="H68" s="1">
        <f>SUM(OSRRefH22_12x_0)</f>
        <v>1000</v>
      </c>
      <c r="I68" s="1"/>
      <c r="J68" s="5">
        <f t="shared" si="53"/>
        <v>0</v>
      </c>
      <c r="K68" s="1"/>
      <c r="L68" s="1">
        <f t="shared" si="54"/>
        <v>-1000</v>
      </c>
      <c r="M68" s="1"/>
      <c r="N68" s="5">
        <f t="shared" si="55"/>
        <v>-1</v>
      </c>
      <c r="O68" s="12"/>
      <c r="P68" s="1">
        <f>SUM(OSRRefP22_12x_0)</f>
        <v>1383.21</v>
      </c>
      <c r="Q68" s="1"/>
      <c r="R68" s="5">
        <f t="shared" si="56"/>
        <v>0</v>
      </c>
      <c r="S68" s="1"/>
      <c r="T68" s="1">
        <f>SUM(OSRRefT22_12x_0)</f>
        <v>10000</v>
      </c>
      <c r="U68" s="1"/>
      <c r="V68" s="5">
        <f t="shared" si="57"/>
        <v>50</v>
      </c>
      <c r="W68" s="1"/>
      <c r="X68" s="1">
        <f t="shared" si="58"/>
        <v>-8616.7900000000009</v>
      </c>
      <c r="Y68" s="1"/>
      <c r="Z68" s="5">
        <f t="shared" si="59"/>
        <v>-0.86167900000000008</v>
      </c>
    </row>
    <row r="69" spans="1:26" s="24" customFormat="1" hidden="1" outlineLevel="2" x14ac:dyDescent="0.25">
      <c r="A69" s="27"/>
      <c r="B69" s="11" t="str">
        <f>CONCATENATE("          ", "6292", " - ", "TRAVEL/CONFERENCE")</f>
        <v xml:space="preserve">          6292 - TRAVEL/CONFERENCE</v>
      </c>
      <c r="C69" s="11"/>
      <c r="D69" s="6"/>
      <c r="E69" s="2"/>
      <c r="F69" s="7">
        <f t="shared" si="52"/>
        <v>0</v>
      </c>
      <c r="G69" s="2"/>
      <c r="H69" s="6">
        <v>1000</v>
      </c>
      <c r="I69" s="2"/>
      <c r="J69" s="7">
        <f t="shared" si="53"/>
        <v>0</v>
      </c>
      <c r="K69" s="2"/>
      <c r="L69" s="6">
        <f t="shared" si="54"/>
        <v>-1000</v>
      </c>
      <c r="M69" s="2"/>
      <c r="N69" s="7">
        <f t="shared" si="55"/>
        <v>-1</v>
      </c>
      <c r="O69" s="11"/>
      <c r="P69" s="6">
        <v>1359.31</v>
      </c>
      <c r="Q69" s="2"/>
      <c r="R69" s="7">
        <f t="shared" si="56"/>
        <v>0</v>
      </c>
      <c r="S69" s="2"/>
      <c r="T69" s="6">
        <v>10000</v>
      </c>
      <c r="U69" s="2"/>
      <c r="V69" s="7">
        <f t="shared" si="57"/>
        <v>50</v>
      </c>
      <c r="W69" s="2"/>
      <c r="X69" s="6">
        <f t="shared" si="58"/>
        <v>-8640.69</v>
      </c>
      <c r="Y69" s="2"/>
      <c r="Z69" s="7">
        <f t="shared" si="59"/>
        <v>-0.86406900000000009</v>
      </c>
    </row>
    <row r="70" spans="1:26" s="24" customFormat="1" hidden="1" outlineLevel="2" x14ac:dyDescent="0.25">
      <c r="A70" s="27"/>
      <c r="B70" s="11" t="str">
        <f>CONCATENATE("          ", "6294", " - ", "TRAVEL OPERATIONAL")</f>
        <v xml:space="preserve">          6294 - TRAVEL OPERATIONAL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23.9</v>
      </c>
      <c r="Q70" s="2"/>
      <c r="R70" s="7">
        <f t="shared" si="56"/>
        <v>0</v>
      </c>
      <c r="S70" s="2"/>
      <c r="T70" s="6"/>
      <c r="U70" s="2"/>
      <c r="V70" s="7">
        <f t="shared" si="57"/>
        <v>0</v>
      </c>
      <c r="W70" s="2"/>
      <c r="X70" s="6">
        <f t="shared" si="58"/>
        <v>23.9</v>
      </c>
      <c r="Y70" s="2"/>
      <c r="Z70" s="7">
        <f t="shared" si="59"/>
        <v>0</v>
      </c>
    </row>
    <row r="71" spans="1:26" s="60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0</v>
      </c>
      <c r="C72" s="10"/>
      <c r="D72" s="4">
        <f>SUM(0)</f>
        <v>0</v>
      </c>
      <c r="E72" s="4"/>
      <c r="F72" s="13">
        <f>IF(D$12=0,0,D72/D$12)</f>
        <v>0</v>
      </c>
      <c r="G72" s="4"/>
      <c r="H72" s="4">
        <f>SUM(0)</f>
        <v>0</v>
      </c>
      <c r="I72" s="4"/>
      <c r="J72" s="13">
        <f>IF(H$12=0,0,H72/H$12)</f>
        <v>0</v>
      </c>
      <c r="K72" s="4"/>
      <c r="L72" s="4">
        <f>+D72-H72</f>
        <v>0</v>
      </c>
      <c r="M72" s="4"/>
      <c r="N72" s="13">
        <f>IF(H72=0,0,L72/H72)</f>
        <v>0</v>
      </c>
      <c r="O72" s="10"/>
      <c r="P72" s="4">
        <f>SUM(0)</f>
        <v>0</v>
      </c>
      <c r="Q72" s="4"/>
      <c r="R72" s="13">
        <f>IF(P$12=0,0,P72/P$12)</f>
        <v>0</v>
      </c>
      <c r="S72" s="4"/>
      <c r="T72" s="4">
        <f>SUM(0)</f>
        <v>0</v>
      </c>
      <c r="U72" s="4"/>
      <c r="V72" s="13">
        <f>IF(T$12=0,0,T72/T$12)</f>
        <v>0</v>
      </c>
      <c r="W72" s="4"/>
      <c r="X72" s="4">
        <f>+P72-T72</f>
        <v>0</v>
      </c>
      <c r="Y72" s="4"/>
      <c r="Z72" s="13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2">
        <f>+D17-D19+D72</f>
        <v>-45858.31</v>
      </c>
      <c r="E74" s="14"/>
      <c r="F74" s="20">
        <f>IF(D$12=0,0,D74/D$12)</f>
        <v>0</v>
      </c>
      <c r="G74" s="14"/>
      <c r="H74" s="22">
        <f>+H17-H19+H72</f>
        <v>-65844.194832076886</v>
      </c>
      <c r="I74" s="14"/>
      <c r="J74" s="20">
        <f>IF(H$12=0,0,H74/H$12)</f>
        <v>0</v>
      </c>
      <c r="K74" s="15"/>
      <c r="L74" s="22">
        <f>+D74-H74</f>
        <v>19985.884832076888</v>
      </c>
      <c r="M74" s="15"/>
      <c r="N74" s="20">
        <f>IF(H74=0,0,L74/H74)</f>
        <v>-0.30353298241473059</v>
      </c>
      <c r="O74" s="28"/>
      <c r="P74" s="22">
        <f>+P17-P19+P72</f>
        <v>-682956.21</v>
      </c>
      <c r="Q74" s="14"/>
      <c r="R74" s="20">
        <f>IF(P$12=0,0,P74/P$12)</f>
        <v>0</v>
      </c>
      <c r="S74" s="14"/>
      <c r="T74" s="22">
        <f>+T17-T19+T72</f>
        <v>-822191.53528923041</v>
      </c>
      <c r="U74" s="14"/>
      <c r="V74" s="20">
        <f>IF(T$12=0,0,T74/T$12)</f>
        <v>-4110.9576764461517</v>
      </c>
      <c r="W74" s="15"/>
      <c r="X74" s="22">
        <f>+P74-T74</f>
        <v>139235.32528923044</v>
      </c>
      <c r="Y74" s="15"/>
      <c r="Z74" s="20">
        <f>IF(T74=0,0,X74/T74)</f>
        <v>-0.16934658083076745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/>
      <c r="E76" s="4"/>
      <c r="F76" s="13">
        <f>IF(D$12=0,0,D76/D$12)</f>
        <v>0</v>
      </c>
      <c r="G76" s="4"/>
      <c r="H76" s="4"/>
      <c r="I76" s="4"/>
      <c r="J76" s="13">
        <f>IF(H$12=0,0,H76/H$12)</f>
        <v>0</v>
      </c>
      <c r="K76" s="4"/>
      <c r="L76" s="4">
        <f>+D76-H76</f>
        <v>0</v>
      </c>
      <c r="M76" s="4"/>
      <c r="N76" s="13">
        <f>IF(H76=0,0,L76/H76)</f>
        <v>0</v>
      </c>
      <c r="O76" s="10"/>
      <c r="P76" s="4"/>
      <c r="Q76" s="4"/>
      <c r="R76" s="13">
        <f>IF(P$12=0,0,P76/P$12)</f>
        <v>0</v>
      </c>
      <c r="S76" s="4"/>
      <c r="T76" s="4"/>
      <c r="U76" s="4"/>
      <c r="V76" s="13">
        <f>IF(T$12=0,0,T76/T$12)</f>
        <v>0</v>
      </c>
      <c r="W76" s="4"/>
      <c r="X76" s="4">
        <f>+P76-T76</f>
        <v>0</v>
      </c>
      <c r="Y76" s="4"/>
      <c r="Z76" s="13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1">
        <f>+D74-D76</f>
        <v>-45858.31</v>
      </c>
      <c r="E78" s="14"/>
      <c r="F78" s="33">
        <f>IF(D$12=0,0,D78/D$12)</f>
        <v>0</v>
      </c>
      <c r="G78" s="14"/>
      <c r="H78" s="31">
        <f>+H74-H76</f>
        <v>-65844.194832076886</v>
      </c>
      <c r="I78" s="14"/>
      <c r="J78" s="33">
        <f>IF(H$12=0,0,H78/H$12)</f>
        <v>0</v>
      </c>
      <c r="K78" s="15"/>
      <c r="L78" s="31">
        <f>D78-H78</f>
        <v>19985.884832076888</v>
      </c>
      <c r="M78" s="15"/>
      <c r="N78" s="33">
        <f>IF(H78=0,0,L78/H78)</f>
        <v>-0.30353298241473059</v>
      </c>
      <c r="O78" s="28"/>
      <c r="P78" s="31">
        <f>+P74-P76</f>
        <v>-682956.21</v>
      </c>
      <c r="Q78" s="14"/>
      <c r="R78" s="33">
        <f>IF(P$12=0,0,P78/P$12)</f>
        <v>0</v>
      </c>
      <c r="S78" s="14"/>
      <c r="T78" s="31">
        <f>+T74-T76</f>
        <v>-822191.53528923041</v>
      </c>
      <c r="U78" s="14"/>
      <c r="V78" s="33">
        <f>IF(T$12=0,0,T78/T$12)</f>
        <v>-4110.9576764461517</v>
      </c>
      <c r="W78" s="15"/>
      <c r="X78" s="31">
        <f>P78-T78</f>
        <v>139235.32528923044</v>
      </c>
      <c r="Y78" s="15"/>
      <c r="Z78" s="33">
        <f>IF(T78=0,0,X78/T78)</f>
        <v>-0.16934658083076745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4">
        <f>SUM(D78:D80)</f>
        <v>-45858.31</v>
      </c>
      <c r="E81" s="14"/>
      <c r="F81" s="35">
        <f>IF(D$12=0,0,D81/D$12)</f>
        <v>0</v>
      </c>
      <c r="G81" s="14"/>
      <c r="H81" s="34">
        <f>SUM(H78:H80)</f>
        <v>-65844.194832076886</v>
      </c>
      <c r="I81" s="14"/>
      <c r="J81" s="35">
        <f>IF(H$12=0,0,H81/H$12)</f>
        <v>0</v>
      </c>
      <c r="K81" s="15"/>
      <c r="L81" s="34">
        <f>+D81-H81</f>
        <v>19985.884832076888</v>
      </c>
      <c r="M81" s="15"/>
      <c r="N81" s="35">
        <f>IF(H81=0,0,L81/H81)</f>
        <v>-0.30353298241473059</v>
      </c>
      <c r="O81" s="28"/>
      <c r="P81" s="34">
        <f>SUM(P78:P80)</f>
        <v>-682956.21</v>
      </c>
      <c r="Q81" s="14"/>
      <c r="R81" s="35">
        <f>IF(P$12=0,0,P81/P$12)</f>
        <v>0</v>
      </c>
      <c r="S81" s="14"/>
      <c r="T81" s="34">
        <f>SUM(T78:T80)</f>
        <v>-822191.53528923041</v>
      </c>
      <c r="U81" s="14"/>
      <c r="V81" s="35">
        <f>IF(T$12=0,0,T81/T$12)</f>
        <v>-4110.9576764461517</v>
      </c>
      <c r="W81" s="15"/>
      <c r="X81" s="34">
        <f>+P81-T81</f>
        <v>139235.32528923044</v>
      </c>
      <c r="Y81" s="15"/>
      <c r="Z81" s="35">
        <f>IF(T81=0,0,X81/T81)</f>
        <v>-0.16934658083076745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25">
      <c r="A83" s="9"/>
      <c r="B83" s="55">
        <v>44043.473210648146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62" t="s">
        <v>314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63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","205", " - ", "Maintenance")</f>
        <v>Department 205 - Maintenance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6767.76</v>
      </c>
      <c r="E18" s="21"/>
      <c r="F18" s="32">
        <f t="shared" ref="F18:F28" si="0">IF(D$12=0,0,D18/D$12)</f>
        <v>0</v>
      </c>
      <c r="G18" s="21"/>
      <c r="H18" s="21">
        <f>SUM(OSRRefH22x_0)</f>
        <v>7260.5090453384582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-492.74904533845802</v>
      </c>
      <c r="M18" s="4"/>
      <c r="N18" s="32">
        <f t="shared" ref="N18:N28" si="3">IF(H18=0,0,L18/H18)</f>
        <v>-6.7867010737328801E-2</v>
      </c>
      <c r="O18" s="10"/>
      <c r="P18" s="21">
        <f>SUM(OSRRefP22x_0)</f>
        <v>90939.59</v>
      </c>
      <c r="Q18" s="21"/>
      <c r="R18" s="32">
        <f t="shared" ref="R18:R28" si="4">IF(P$12=0,0,P18/P$12)</f>
        <v>0</v>
      </c>
      <c r="S18" s="21"/>
      <c r="T18" s="21">
        <f>SUM(OSRRefT22x_0)</f>
        <v>98413.617589400004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-7474.0275894000079</v>
      </c>
      <c r="Y18" s="4"/>
      <c r="Z18" s="32">
        <f t="shared" ref="Z18:Z28" si="7">IF(T18=0,0,X18/T18)</f>
        <v>-7.5945054886439059E-2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2113.48</v>
      </c>
      <c r="E19" s="1"/>
      <c r="F19" s="5">
        <f t="shared" si="0"/>
        <v>0</v>
      </c>
      <c r="G19" s="1"/>
      <c r="H19" s="1">
        <f>SUM(OSRRefH22_0x_0)</f>
        <v>2294.782322261538</v>
      </c>
      <c r="I19" s="1"/>
      <c r="J19" s="5">
        <f t="shared" si="1"/>
        <v>0</v>
      </c>
      <c r="K19" s="1"/>
      <c r="L19" s="1">
        <f t="shared" si="2"/>
        <v>-181.30232226153794</v>
      </c>
      <c r="M19" s="1"/>
      <c r="N19" s="5">
        <f t="shared" si="3"/>
        <v>-7.9006326875859026E-2</v>
      </c>
      <c r="O19" s="12"/>
      <c r="P19" s="1">
        <f>SUM(OSRRefP22_0x_0)</f>
        <v>30746.67</v>
      </c>
      <c r="Q19" s="1"/>
      <c r="R19" s="5">
        <f t="shared" si="4"/>
        <v>0</v>
      </c>
      <c r="S19" s="1"/>
      <c r="T19" s="1">
        <f>SUM(OSRRefT22_0x_0)</f>
        <v>29019.1701894</v>
      </c>
      <c r="U19" s="1"/>
      <c r="V19" s="5">
        <f t="shared" si="5"/>
        <v>0</v>
      </c>
      <c r="W19" s="1"/>
      <c r="X19" s="1">
        <f t="shared" si="6"/>
        <v>1727.4998105999985</v>
      </c>
      <c r="Y19" s="1"/>
      <c r="Z19" s="5">
        <f t="shared" si="7"/>
        <v>5.9529607474131441E-2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315.83999999999997</v>
      </c>
      <c r="E20" s="2"/>
      <c r="F20" s="7">
        <f t="shared" si="0"/>
        <v>0</v>
      </c>
      <c r="G20" s="2"/>
      <c r="H20" s="6">
        <v>321.40351195384602</v>
      </c>
      <c r="I20" s="2"/>
      <c r="J20" s="7">
        <f t="shared" si="1"/>
        <v>0</v>
      </c>
      <c r="K20" s="2"/>
      <c r="L20" s="6">
        <f t="shared" si="2"/>
        <v>-5.5635119538460458</v>
      </c>
      <c r="M20" s="2"/>
      <c r="N20" s="7">
        <f t="shared" si="3"/>
        <v>-1.7310053396818431E-2</v>
      </c>
      <c r="O20" s="11"/>
      <c r="P20" s="6">
        <v>4197.5600000000004</v>
      </c>
      <c r="Q20" s="2"/>
      <c r="R20" s="7">
        <f t="shared" si="4"/>
        <v>0</v>
      </c>
      <c r="S20" s="2"/>
      <c r="T20" s="6">
        <v>4178.2456554</v>
      </c>
      <c r="U20" s="2"/>
      <c r="V20" s="7">
        <f t="shared" si="5"/>
        <v>0</v>
      </c>
      <c r="W20" s="2"/>
      <c r="X20" s="6">
        <f t="shared" si="6"/>
        <v>19.314344600000368</v>
      </c>
      <c r="Y20" s="2"/>
      <c r="Z20" s="7">
        <f t="shared" si="7"/>
        <v>4.6225967051598191E-3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279.52</v>
      </c>
      <c r="E21" s="2"/>
      <c r="F21" s="7">
        <f t="shared" si="0"/>
        <v>0</v>
      </c>
      <c r="G21" s="2"/>
      <c r="H21" s="6">
        <v>284.32010661538499</v>
      </c>
      <c r="I21" s="2"/>
      <c r="J21" s="7">
        <f t="shared" si="1"/>
        <v>0</v>
      </c>
      <c r="K21" s="2"/>
      <c r="L21" s="6">
        <f t="shared" si="2"/>
        <v>-4.8001066153850047</v>
      </c>
      <c r="M21" s="2"/>
      <c r="N21" s="7">
        <f t="shared" si="3"/>
        <v>-1.6882754696903535E-2</v>
      </c>
      <c r="O21" s="11"/>
      <c r="P21" s="6">
        <v>3350.78</v>
      </c>
      <c r="Q21" s="2"/>
      <c r="R21" s="7">
        <f t="shared" si="4"/>
        <v>0</v>
      </c>
      <c r="S21" s="2"/>
      <c r="T21" s="6">
        <v>3696.1613860000039</v>
      </c>
      <c r="U21" s="2"/>
      <c r="V21" s="7">
        <f t="shared" si="5"/>
        <v>0</v>
      </c>
      <c r="W21" s="2"/>
      <c r="X21" s="6">
        <f t="shared" si="6"/>
        <v>-345.38138600000366</v>
      </c>
      <c r="Y21" s="2"/>
      <c r="Z21" s="7">
        <f t="shared" si="7"/>
        <v>-9.3443264492781355E-2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33.159999999999968</v>
      </c>
      <c r="M22" s="2"/>
      <c r="N22" s="7">
        <f t="shared" si="3"/>
        <v>5.001508295625938E-2</v>
      </c>
      <c r="O22" s="11"/>
      <c r="P22" s="6">
        <v>8347.7999999999993</v>
      </c>
      <c r="Q22" s="2"/>
      <c r="R22" s="7">
        <f t="shared" si="4"/>
        <v>0</v>
      </c>
      <c r="S22" s="2"/>
      <c r="T22" s="6">
        <v>7956</v>
      </c>
      <c r="U22" s="2"/>
      <c r="V22" s="7">
        <f t="shared" si="5"/>
        <v>0</v>
      </c>
      <c r="W22" s="2"/>
      <c r="X22" s="6">
        <f t="shared" si="6"/>
        <v>391.79999999999927</v>
      </c>
      <c r="Y22" s="2"/>
      <c r="Z22" s="7">
        <f t="shared" si="7"/>
        <v>4.9245852187028566E-2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-131</v>
      </c>
      <c r="E23" s="2"/>
      <c r="F23" s="7">
        <f t="shared" si="0"/>
        <v>0</v>
      </c>
      <c r="G23" s="2"/>
      <c r="H23" s="6">
        <v>10.919236</v>
      </c>
      <c r="I23" s="2"/>
      <c r="J23" s="7">
        <f t="shared" si="1"/>
        <v>0</v>
      </c>
      <c r="K23" s="2"/>
      <c r="L23" s="6">
        <f t="shared" si="2"/>
        <v>-141.91923600000001</v>
      </c>
      <c r="M23" s="2"/>
      <c r="N23" s="7">
        <f t="shared" si="3"/>
        <v>-12.997176359225135</v>
      </c>
      <c r="O23" s="11"/>
      <c r="P23" s="6">
        <v>0</v>
      </c>
      <c r="Q23" s="2"/>
      <c r="R23" s="7">
        <f t="shared" si="4"/>
        <v>0</v>
      </c>
      <c r="S23" s="2"/>
      <c r="T23" s="6">
        <v>141.95006799999999</v>
      </c>
      <c r="U23" s="2"/>
      <c r="V23" s="7">
        <f t="shared" si="5"/>
        <v>0</v>
      </c>
      <c r="W23" s="2"/>
      <c r="X23" s="6">
        <f t="shared" si="6"/>
        <v>-141.95006799999999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361.174729230769</v>
      </c>
      <c r="I24" s="2"/>
      <c r="J24" s="7">
        <f t="shared" si="1"/>
        <v>0</v>
      </c>
      <c r="K24" s="2"/>
      <c r="L24" s="6">
        <f t="shared" si="2"/>
        <v>68.085270769230988</v>
      </c>
      <c r="M24" s="2"/>
      <c r="N24" s="7">
        <f t="shared" si="3"/>
        <v>0.18851061621680784</v>
      </c>
      <c r="O24" s="11"/>
      <c r="P24" s="6">
        <v>5365.74</v>
      </c>
      <c r="Q24" s="2"/>
      <c r="R24" s="7">
        <f t="shared" si="4"/>
        <v>0</v>
      </c>
      <c r="S24" s="2"/>
      <c r="T24" s="6">
        <v>4695.2714800000003</v>
      </c>
      <c r="U24" s="2"/>
      <c r="V24" s="7">
        <f t="shared" si="5"/>
        <v>0</v>
      </c>
      <c r="W24" s="2"/>
      <c r="X24" s="6">
        <f t="shared" si="6"/>
        <v>670.46851999999944</v>
      </c>
      <c r="Y24" s="2"/>
      <c r="Z24" s="7">
        <f t="shared" si="7"/>
        <v>0.14279653963693689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193.98</v>
      </c>
      <c r="E26" s="2"/>
      <c r="F26" s="7">
        <f t="shared" si="0"/>
        <v>0</v>
      </c>
      <c r="G26" s="2"/>
      <c r="H26" s="6">
        <v>419.97061538461503</v>
      </c>
      <c r="I26" s="2"/>
      <c r="J26" s="7">
        <f t="shared" si="1"/>
        <v>0</v>
      </c>
      <c r="K26" s="2"/>
      <c r="L26" s="6">
        <f t="shared" si="2"/>
        <v>-225.99061538461504</v>
      </c>
      <c r="M26" s="2"/>
      <c r="N26" s="7">
        <f t="shared" si="3"/>
        <v>-0.53811054179981055</v>
      </c>
      <c r="O26" s="11"/>
      <c r="P26" s="6">
        <v>4805.12</v>
      </c>
      <c r="Q26" s="2"/>
      <c r="R26" s="7">
        <f t="shared" si="4"/>
        <v>0</v>
      </c>
      <c r="S26" s="2"/>
      <c r="T26" s="6">
        <v>5459.6179999999958</v>
      </c>
      <c r="U26" s="2"/>
      <c r="V26" s="7">
        <f t="shared" si="5"/>
        <v>0</v>
      </c>
      <c r="W26" s="2"/>
      <c r="X26" s="6">
        <f t="shared" si="6"/>
        <v>-654.49799999999595</v>
      </c>
      <c r="Y26" s="2"/>
      <c r="Z26" s="7">
        <f t="shared" si="7"/>
        <v>-0.11987981576732959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83.994123076923103</v>
      </c>
      <c r="I27" s="2"/>
      <c r="J27" s="7">
        <f t="shared" si="1"/>
        <v>0</v>
      </c>
      <c r="K27" s="2"/>
      <c r="L27" s="6">
        <f t="shared" si="2"/>
        <v>109.7258769230769</v>
      </c>
      <c r="M27" s="2"/>
      <c r="N27" s="7">
        <f t="shared" si="3"/>
        <v>1.3063518363372668</v>
      </c>
      <c r="O27" s="11"/>
      <c r="P27" s="6">
        <v>3363.4</v>
      </c>
      <c r="Q27" s="2"/>
      <c r="R27" s="7">
        <f t="shared" si="4"/>
        <v>0</v>
      </c>
      <c r="S27" s="2"/>
      <c r="T27" s="6">
        <v>1091.9236000000008</v>
      </c>
      <c r="U27" s="2"/>
      <c r="V27" s="7">
        <f t="shared" si="5"/>
        <v>0</v>
      </c>
      <c r="W27" s="2"/>
      <c r="X27" s="6">
        <f t="shared" si="6"/>
        <v>2271.4763999999996</v>
      </c>
      <c r="Y27" s="2"/>
      <c r="Z27" s="7">
        <f t="shared" si="7"/>
        <v>2.0802521348563197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136</v>
      </c>
      <c r="E28" s="2"/>
      <c r="F28" s="7">
        <f t="shared" si="0"/>
        <v>0</v>
      </c>
      <c r="G28" s="2"/>
      <c r="H28" s="6">
        <v>150</v>
      </c>
      <c r="I28" s="2"/>
      <c r="J28" s="7">
        <f t="shared" si="1"/>
        <v>0</v>
      </c>
      <c r="K28" s="2"/>
      <c r="L28" s="6">
        <f t="shared" si="2"/>
        <v>-14</v>
      </c>
      <c r="M28" s="2"/>
      <c r="N28" s="7">
        <f t="shared" si="3"/>
        <v>-9.3333333333333338E-2</v>
      </c>
      <c r="O28" s="11"/>
      <c r="P28" s="6">
        <v>1316.27</v>
      </c>
      <c r="Q28" s="2"/>
      <c r="R28" s="7">
        <f t="shared" si="4"/>
        <v>0</v>
      </c>
      <c r="S28" s="2"/>
      <c r="T28" s="6">
        <v>1800</v>
      </c>
      <c r="U28" s="2"/>
      <c r="V28" s="7">
        <f t="shared" si="5"/>
        <v>0</v>
      </c>
      <c r="W28" s="2"/>
      <c r="X28" s="6">
        <f t="shared" si="6"/>
        <v>-483.73</v>
      </c>
      <c r="Y28" s="2"/>
      <c r="Z28" s="7">
        <f t="shared" si="7"/>
        <v>-0.26873888888888892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3569.77</v>
      </c>
      <c r="E29" s="1"/>
      <c r="F29" s="5">
        <f t="shared" ref="F29:F39" si="8">IF(D$12=0,0,D29/D$12)</f>
        <v>0</v>
      </c>
      <c r="G29" s="1"/>
      <c r="H29" s="1">
        <f>SUM(OSRRefH22_1x_0)</f>
        <v>3905.7267230769203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-335.9567230769203</v>
      </c>
      <c r="M29" s="1"/>
      <c r="N29" s="5">
        <f t="shared" ref="N29:N39" si="11">IF(H29=0,0,L29/H29)</f>
        <v>-8.6016443775220039E-2</v>
      </c>
      <c r="O29" s="12"/>
      <c r="P29" s="1">
        <f>SUM(OSRRefP22_1x_0)</f>
        <v>36498.43</v>
      </c>
      <c r="Q29" s="1"/>
      <c r="R29" s="5">
        <f t="shared" ref="R29:R39" si="12">IF(P$12=0,0,P29/P$12)</f>
        <v>0</v>
      </c>
      <c r="S29" s="1"/>
      <c r="T29" s="1">
        <f>SUM(OSRRefT22_1x_0)</f>
        <v>50774.447400000005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-14276.017400000004</v>
      </c>
      <c r="Y29" s="1"/>
      <c r="Z29" s="5">
        <f t="shared" ref="Z29:Z39" si="15">IF(T29=0,0,X29/T29)</f>
        <v>-0.28116539186598816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3569.77</v>
      </c>
      <c r="E31" s="2"/>
      <c r="F31" s="7">
        <f t="shared" si="8"/>
        <v>0</v>
      </c>
      <c r="G31" s="2"/>
      <c r="H31" s="6">
        <v>3905.7267230769203</v>
      </c>
      <c r="I31" s="2"/>
      <c r="J31" s="7">
        <f t="shared" si="9"/>
        <v>0</v>
      </c>
      <c r="K31" s="2"/>
      <c r="L31" s="6">
        <f t="shared" si="10"/>
        <v>-335.9567230769203</v>
      </c>
      <c r="M31" s="2"/>
      <c r="N31" s="7">
        <f t="shared" si="11"/>
        <v>-8.6016443775220039E-2</v>
      </c>
      <c r="O31" s="11"/>
      <c r="P31" s="6">
        <v>36498.43</v>
      </c>
      <c r="Q31" s="2"/>
      <c r="R31" s="7">
        <f t="shared" si="12"/>
        <v>0</v>
      </c>
      <c r="S31" s="2"/>
      <c r="T31" s="6">
        <v>50774.447400000005</v>
      </c>
      <c r="U31" s="2"/>
      <c r="V31" s="7">
        <f t="shared" si="13"/>
        <v>0</v>
      </c>
      <c r="W31" s="2"/>
      <c r="X31" s="6">
        <f t="shared" si="14"/>
        <v>-14276.017400000004</v>
      </c>
      <c r="Y31" s="2"/>
      <c r="Z31" s="7">
        <f t="shared" si="15"/>
        <v>-0.28116539186598816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2" t="str">
        <f>CONCATENATE("     ","General                                           ")</f>
        <v xml:space="preserve">     General                                           </v>
      </c>
      <c r="C40" s="12"/>
      <c r="D40" s="1">
        <f>SUM(OSRRefD22_2x_0)</f>
        <v>-276.68</v>
      </c>
      <c r="E40" s="1"/>
      <c r="F40" s="5">
        <f t="shared" ref="F40:F49" si="16">IF(D$12=0,0,D40/D$12)</f>
        <v>0</v>
      </c>
      <c r="G40" s="1"/>
      <c r="H40" s="1">
        <f>SUM(OSRRefH22_2x_0)</f>
        <v>-500</v>
      </c>
      <c r="I40" s="1"/>
      <c r="J40" s="5">
        <f t="shared" ref="J40:J49" si="17">IF(H$12=0,0,H40/H$12)</f>
        <v>0</v>
      </c>
      <c r="K40" s="1"/>
      <c r="L40" s="1">
        <f t="shared" ref="L40:L49" si="18">+D40-H40</f>
        <v>223.32</v>
      </c>
      <c r="M40" s="1"/>
      <c r="N40" s="5">
        <f t="shared" ref="N40:N49" si="19">IF(H40=0,0,L40/H40)</f>
        <v>-0.44663999999999998</v>
      </c>
      <c r="O40" s="12"/>
      <c r="P40" s="1">
        <f>SUM(OSRRefP22_2x_0)</f>
        <v>-1185.6199999999999</v>
      </c>
      <c r="Q40" s="1"/>
      <c r="R40" s="5">
        <f t="shared" ref="R40:R49" si="20">IF(P$12=0,0,P40/P$12)</f>
        <v>0</v>
      </c>
      <c r="S40" s="1"/>
      <c r="T40" s="1">
        <f>SUM(OSRRefT22_2x_0)</f>
        <v>-6000</v>
      </c>
      <c r="U40" s="1"/>
      <c r="V40" s="5">
        <f t="shared" ref="V40:V49" si="21">IF(T$12=0,0,T40/T$12)</f>
        <v>0</v>
      </c>
      <c r="W40" s="1"/>
      <c r="X40" s="1">
        <f t="shared" ref="X40:X49" si="22">+P40-T40</f>
        <v>4814.38</v>
      </c>
      <c r="Y40" s="1"/>
      <c r="Z40" s="5">
        <f t="shared" ref="Z40:Z49" si="23">IF(T40=0,0,X40/T40)</f>
        <v>-0.80239666666666665</v>
      </c>
    </row>
    <row r="41" spans="1:26" s="24" customFormat="1" hidden="1" outlineLevel="2" x14ac:dyDescent="0.25">
      <c r="A41" s="27"/>
      <c r="B41" s="11" t="str">
        <f>CONCATENATE("          ", "6279", " - ", "GENERAL EXPENSE")</f>
        <v xml:space="preserve">          6279 - GENERAL EXPENSE</v>
      </c>
      <c r="C41" s="11"/>
      <c r="D41" s="6">
        <v>-276.68</v>
      </c>
      <c r="E41" s="2"/>
      <c r="F41" s="7">
        <f t="shared" si="16"/>
        <v>0</v>
      </c>
      <c r="G41" s="2"/>
      <c r="H41" s="6">
        <v>-500</v>
      </c>
      <c r="I41" s="2"/>
      <c r="J41" s="7">
        <f t="shared" si="17"/>
        <v>0</v>
      </c>
      <c r="K41" s="2"/>
      <c r="L41" s="6">
        <f t="shared" si="18"/>
        <v>223.32</v>
      </c>
      <c r="M41" s="2"/>
      <c r="N41" s="7">
        <f t="shared" si="19"/>
        <v>-0.44663999999999998</v>
      </c>
      <c r="O41" s="11"/>
      <c r="P41" s="6">
        <v>-1185.6199999999999</v>
      </c>
      <c r="Q41" s="2"/>
      <c r="R41" s="7">
        <f t="shared" si="20"/>
        <v>0</v>
      </c>
      <c r="S41" s="2"/>
      <c r="T41" s="6">
        <v>-6000</v>
      </c>
      <c r="U41" s="2"/>
      <c r="V41" s="7">
        <f t="shared" si="21"/>
        <v>0</v>
      </c>
      <c r="W41" s="2"/>
      <c r="X41" s="6">
        <f t="shared" si="22"/>
        <v>4814.38</v>
      </c>
      <c r="Y41" s="2"/>
      <c r="Z41" s="7">
        <f t="shared" si="23"/>
        <v>-0.80239666666666665</v>
      </c>
    </row>
    <row r="42" spans="1:26" s="26" customFormat="1" outlineLevel="1" collapsed="1" x14ac:dyDescent="0.25">
      <c r="A42" s="25"/>
      <c r="B42" s="12" t="str">
        <f>CONCATENATE("     ","Insurance                                         ")</f>
        <v xml:space="preserve">     Insurance                                         </v>
      </c>
      <c r="C42" s="12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2"/>
      <c r="P42" s="1">
        <f>SUM(OSRRefP22_3x_0)</f>
        <v>294.72000000000003</v>
      </c>
      <c r="Q42" s="1"/>
      <c r="R42" s="5">
        <f t="shared" si="20"/>
        <v>0</v>
      </c>
      <c r="S42" s="1"/>
      <c r="T42" s="1">
        <f>SUM(OSRRefT22_3x_0)</f>
        <v>300</v>
      </c>
      <c r="U42" s="1"/>
      <c r="V42" s="5">
        <f t="shared" si="21"/>
        <v>0</v>
      </c>
      <c r="W42" s="1"/>
      <c r="X42" s="1">
        <f t="shared" si="22"/>
        <v>-5.2799999999999727</v>
      </c>
      <c r="Y42" s="1"/>
      <c r="Z42" s="5">
        <f t="shared" si="23"/>
        <v>-1.7599999999999907E-2</v>
      </c>
    </row>
    <row r="43" spans="1:26" s="24" customFormat="1" hidden="1" outlineLevel="2" x14ac:dyDescent="0.25">
      <c r="A43" s="27"/>
      <c r="B43" s="11" t="str">
        <f>CONCATENATE("          ", "6314", " - ", "LIABILITY INSURANCE")</f>
        <v xml:space="preserve">          6314 - LIABILITY INSURANCE</v>
      </c>
      <c r="C43" s="11"/>
      <c r="D43" s="6">
        <v>24.56</v>
      </c>
      <c r="E43" s="2"/>
      <c r="F43" s="7">
        <f t="shared" si="16"/>
        <v>0</v>
      </c>
      <c r="G43" s="2"/>
      <c r="H43" s="6">
        <v>25</v>
      </c>
      <c r="I43" s="2"/>
      <c r="J43" s="7">
        <f t="shared" si="17"/>
        <v>0</v>
      </c>
      <c r="K43" s="2"/>
      <c r="L43" s="6">
        <f t="shared" si="18"/>
        <v>-0.44000000000000128</v>
      </c>
      <c r="M43" s="2"/>
      <c r="N43" s="7">
        <f t="shared" si="19"/>
        <v>-1.760000000000005E-2</v>
      </c>
      <c r="O43" s="11"/>
      <c r="P43" s="6">
        <v>294.72000000000003</v>
      </c>
      <c r="Q43" s="2"/>
      <c r="R43" s="7">
        <f t="shared" si="20"/>
        <v>0</v>
      </c>
      <c r="S43" s="2"/>
      <c r="T43" s="6">
        <v>300</v>
      </c>
      <c r="U43" s="2"/>
      <c r="V43" s="7">
        <f t="shared" si="21"/>
        <v>0</v>
      </c>
      <c r="W43" s="2"/>
      <c r="X43" s="6">
        <f t="shared" si="22"/>
        <v>-5.2799999999999727</v>
      </c>
      <c r="Y43" s="2"/>
      <c r="Z43" s="7">
        <f t="shared" si="23"/>
        <v>-1.7599999999999907E-2</v>
      </c>
    </row>
    <row r="44" spans="1:26" s="26" customFormat="1" outlineLevel="1" collapsed="1" x14ac:dyDescent="0.25">
      <c r="A44" s="25"/>
      <c r="B44" s="12" t="str">
        <f>CONCATENATE("     ","Professional Services                             ")</f>
        <v xml:space="preserve">     Professional Services                             </v>
      </c>
      <c r="C44" s="12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2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"6336", " - ", "PROFESSIONAL SERVICES")</f>
        <v xml:space="preserve">          6336 - PROFESSIONAL SERVICES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4500</v>
      </c>
      <c r="U45" s="2"/>
      <c r="V45" s="7">
        <f t="shared" si="21"/>
        <v>0</v>
      </c>
      <c r="W45" s="2"/>
      <c r="X45" s="6">
        <f t="shared" si="22"/>
        <v>-4500</v>
      </c>
      <c r="Y45" s="2"/>
      <c r="Z45" s="7">
        <f t="shared" si="23"/>
        <v>-1</v>
      </c>
    </row>
    <row r="46" spans="1:26" s="26" customFormat="1" outlineLevel="1" collapsed="1" x14ac:dyDescent="0.25">
      <c r="A46" s="25"/>
      <c r="B46" s="12" t="str">
        <f>CONCATENATE("     ","Repair and Maintenance                            ")</f>
        <v xml:space="preserve">     Repair and Maintenance                            </v>
      </c>
      <c r="C46" s="12"/>
      <c r="D46" s="1">
        <f>SUM(OSRRefD22_5x_0)</f>
        <v>887.83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-612.16999999999996</v>
      </c>
      <c r="M46" s="1"/>
      <c r="N46" s="5">
        <f t="shared" si="19"/>
        <v>-0.40811333333333333</v>
      </c>
      <c r="O46" s="12"/>
      <c r="P46" s="1">
        <f>SUM(OSRRefP22_5x_0)</f>
        <v>21916.65</v>
      </c>
      <c r="Q46" s="1"/>
      <c r="R46" s="5">
        <f t="shared" si="20"/>
        <v>0</v>
      </c>
      <c r="S46" s="1"/>
      <c r="T46" s="1">
        <f>SUM(OSRRefT22_5x_0)</f>
        <v>18000</v>
      </c>
      <c r="U46" s="1"/>
      <c r="V46" s="5">
        <f t="shared" si="21"/>
        <v>0</v>
      </c>
      <c r="W46" s="1"/>
      <c r="X46" s="1">
        <f t="shared" si="22"/>
        <v>3916.6500000000015</v>
      </c>
      <c r="Y46" s="1"/>
      <c r="Z46" s="5">
        <f t="shared" si="23"/>
        <v>0.21759166666666674</v>
      </c>
    </row>
    <row r="47" spans="1:26" s="24" customFormat="1" hidden="1" outlineLevel="2" x14ac:dyDescent="0.25">
      <c r="A47" s="27"/>
      <c r="B47" s="11" t="str">
        <f>CONCATENATE("          ", "6371", " - ", "COMPUTER SOFTWARE MAINTENANCE")</f>
        <v xml:space="preserve">          6371 - COMPUTER SOFTWARE MAINTENANCE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4968.9799999999996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4968.9799999999996</v>
      </c>
      <c r="Y47" s="2"/>
      <c r="Z47" s="7">
        <f t="shared" si="23"/>
        <v>0</v>
      </c>
    </row>
    <row r="48" spans="1:26" s="24" customFormat="1" hidden="1" outlineLevel="2" x14ac:dyDescent="0.25">
      <c r="A48" s="27"/>
      <c r="B48" s="11" t="str">
        <f>CONCATENATE("          ", "6373", " - ", "MAINTENANCE CONTRACTS")</f>
        <v xml:space="preserve">          6373 - MAINTENANCE CONTRACTS</v>
      </c>
      <c r="C48" s="11"/>
      <c r="D48" s="6">
        <v>866</v>
      </c>
      <c r="E48" s="2"/>
      <c r="F48" s="7">
        <f t="shared" si="16"/>
        <v>0</v>
      </c>
      <c r="G48" s="2"/>
      <c r="H48" s="6">
        <v>1500</v>
      </c>
      <c r="I48" s="2"/>
      <c r="J48" s="7">
        <f t="shared" si="17"/>
        <v>0</v>
      </c>
      <c r="K48" s="2"/>
      <c r="L48" s="6">
        <f t="shared" si="18"/>
        <v>-634</v>
      </c>
      <c r="M48" s="2"/>
      <c r="N48" s="7">
        <f t="shared" si="19"/>
        <v>-0.42266666666666669</v>
      </c>
      <c r="O48" s="11"/>
      <c r="P48" s="6">
        <v>14519.91</v>
      </c>
      <c r="Q48" s="2"/>
      <c r="R48" s="7">
        <f t="shared" si="20"/>
        <v>0</v>
      </c>
      <c r="S48" s="2"/>
      <c r="T48" s="6">
        <v>18000</v>
      </c>
      <c r="U48" s="2"/>
      <c r="V48" s="7">
        <f t="shared" si="21"/>
        <v>0</v>
      </c>
      <c r="W48" s="2"/>
      <c r="X48" s="6">
        <f t="shared" si="22"/>
        <v>-3480.09</v>
      </c>
      <c r="Y48" s="2"/>
      <c r="Z48" s="7">
        <f t="shared" si="23"/>
        <v>-0.19333833333333333</v>
      </c>
    </row>
    <row r="49" spans="1:26" s="24" customFormat="1" hidden="1" outlineLevel="2" x14ac:dyDescent="0.25">
      <c r="A49" s="27"/>
      <c r="B49" s="11" t="str">
        <f>CONCATENATE("          ", "6375", " - ", "OUTSIDE REPAIRS &amp; MAINTENANCE")</f>
        <v xml:space="preserve">          6375 - OUTSIDE REPAIRS &amp; MAINTENANCE</v>
      </c>
      <c r="C49" s="11"/>
      <c r="D49" s="6">
        <v>21.83</v>
      </c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21.83</v>
      </c>
      <c r="M49" s="2"/>
      <c r="N49" s="7">
        <f t="shared" si="19"/>
        <v>0</v>
      </c>
      <c r="O49" s="11"/>
      <c r="P49" s="6">
        <v>2427.7600000000002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2427.7600000000002</v>
      </c>
      <c r="Y49" s="2"/>
      <c r="Z49" s="7">
        <f t="shared" si="23"/>
        <v>0</v>
      </c>
    </row>
    <row r="50" spans="1:26" s="26" customFormat="1" outlineLevel="1" collapsed="1" x14ac:dyDescent="0.25">
      <c r="A50" s="25"/>
      <c r="B50" s="12" t="str">
        <f>CONCATENATE("     ","Services                                          ")</f>
        <v xml:space="preserve">     Services                                          </v>
      </c>
      <c r="C50" s="12"/>
      <c r="D50" s="1">
        <f>SUM(OSRRefD22_6x_0)</f>
        <v>0</v>
      </c>
      <c r="E50" s="1"/>
      <c r="F50" s="5">
        <f t="shared" ref="F50:F54" si="24">IF(D$12=0,0,D50/D$12)</f>
        <v>0</v>
      </c>
      <c r="G50" s="1"/>
      <c r="H50" s="1">
        <f>SUM(OSRRefH22_6x_0)</f>
        <v>10</v>
      </c>
      <c r="I50" s="1"/>
      <c r="J50" s="5">
        <f t="shared" ref="J50:J54" si="25">IF(H$12=0,0,H50/H$12)</f>
        <v>0</v>
      </c>
      <c r="K50" s="1"/>
      <c r="L50" s="1">
        <f t="shared" ref="L50:L54" si="26">+D50-H50</f>
        <v>-10</v>
      </c>
      <c r="M50" s="1"/>
      <c r="N50" s="5">
        <f t="shared" ref="N50:N54" si="27">IF(H50=0,0,L50/H50)</f>
        <v>-1</v>
      </c>
      <c r="O50" s="12"/>
      <c r="P50" s="1">
        <f>SUM(OSRRefP22_6x_0)</f>
        <v>83.98</v>
      </c>
      <c r="Q50" s="1"/>
      <c r="R50" s="5">
        <f t="shared" ref="R50:R54" si="28">IF(P$12=0,0,P50/P$12)</f>
        <v>0</v>
      </c>
      <c r="S50" s="1"/>
      <c r="T50" s="1">
        <f>SUM(OSRRefT22_6x_0)</f>
        <v>120</v>
      </c>
      <c r="U50" s="1"/>
      <c r="V50" s="5">
        <f t="shared" ref="V50:V54" si="29">IF(T$12=0,0,T50/T$12)</f>
        <v>0</v>
      </c>
      <c r="W50" s="1"/>
      <c r="X50" s="1">
        <f t="shared" ref="X50:X54" si="30">+P50-T50</f>
        <v>-36.019999999999996</v>
      </c>
      <c r="Y50" s="1"/>
      <c r="Z50" s="5">
        <f t="shared" ref="Z50:Z54" si="31">IF(T50=0,0,X50/T50)</f>
        <v>-0.30016666666666664</v>
      </c>
    </row>
    <row r="51" spans="1:26" s="24" customFormat="1" hidden="1" outlineLevel="2" x14ac:dyDescent="0.25">
      <c r="A51" s="27"/>
      <c r="B51" s="11" t="str">
        <f>CONCATENATE("          ", "6286", " - ", "LAUNDRY EXPENSE")</f>
        <v xml:space="preserve">          6286 - LAUNDRY EXPENSE</v>
      </c>
      <c r="C51" s="11"/>
      <c r="D51" s="6"/>
      <c r="E51" s="2"/>
      <c r="F51" s="7">
        <f t="shared" si="24"/>
        <v>0</v>
      </c>
      <c r="G51" s="2"/>
      <c r="H51" s="6">
        <v>10</v>
      </c>
      <c r="I51" s="2"/>
      <c r="J51" s="7">
        <f t="shared" si="25"/>
        <v>0</v>
      </c>
      <c r="K51" s="2"/>
      <c r="L51" s="6">
        <f t="shared" si="26"/>
        <v>-10</v>
      </c>
      <c r="M51" s="2"/>
      <c r="N51" s="7">
        <f t="shared" si="27"/>
        <v>-1</v>
      </c>
      <c r="O51" s="11"/>
      <c r="P51" s="6">
        <v>83.98</v>
      </c>
      <c r="Q51" s="2"/>
      <c r="R51" s="7">
        <f t="shared" si="28"/>
        <v>0</v>
      </c>
      <c r="S51" s="2"/>
      <c r="T51" s="6">
        <v>120</v>
      </c>
      <c r="U51" s="2"/>
      <c r="V51" s="7">
        <f t="shared" si="29"/>
        <v>0</v>
      </c>
      <c r="W51" s="2"/>
      <c r="X51" s="6">
        <f t="shared" si="30"/>
        <v>-36.019999999999996</v>
      </c>
      <c r="Y51" s="2"/>
      <c r="Z51" s="7">
        <f t="shared" si="31"/>
        <v>-0.30016666666666664</v>
      </c>
    </row>
    <row r="52" spans="1:26" s="26" customFormat="1" outlineLevel="1" collapsed="1" x14ac:dyDescent="0.25">
      <c r="A52" s="25"/>
      <c r="B52" s="12" t="str">
        <f>CONCATENATE("     ","Supplies                                          ")</f>
        <v xml:space="preserve">     Supplies                                          </v>
      </c>
      <c r="C52" s="12"/>
      <c r="D52" s="1">
        <f>SUM(OSRRefD22_7x_0)</f>
        <v>0</v>
      </c>
      <c r="E52" s="1"/>
      <c r="F52" s="5">
        <f t="shared" si="24"/>
        <v>0</v>
      </c>
      <c r="G52" s="1"/>
      <c r="H52" s="1">
        <f>SUM(OSRRefH22_7x_0)</f>
        <v>10</v>
      </c>
      <c r="I52" s="1"/>
      <c r="J52" s="5">
        <f t="shared" si="25"/>
        <v>0</v>
      </c>
      <c r="K52" s="1"/>
      <c r="L52" s="1">
        <f t="shared" si="26"/>
        <v>-10</v>
      </c>
      <c r="M52" s="1"/>
      <c r="N52" s="5">
        <f t="shared" si="27"/>
        <v>-1</v>
      </c>
      <c r="O52" s="12"/>
      <c r="P52" s="1">
        <f>SUM(OSRRefP22_7x_0)</f>
        <v>1123.9000000000001</v>
      </c>
      <c r="Q52" s="1"/>
      <c r="R52" s="5">
        <f t="shared" si="28"/>
        <v>0</v>
      </c>
      <c r="S52" s="1"/>
      <c r="T52" s="1">
        <f>SUM(OSRRefT22_7x_0)</f>
        <v>920</v>
      </c>
      <c r="U52" s="1"/>
      <c r="V52" s="5">
        <f t="shared" si="29"/>
        <v>0</v>
      </c>
      <c r="W52" s="1"/>
      <c r="X52" s="1">
        <f t="shared" si="30"/>
        <v>203.90000000000009</v>
      </c>
      <c r="Y52" s="1"/>
      <c r="Z52" s="5">
        <f t="shared" si="31"/>
        <v>0.2216304347826088</v>
      </c>
    </row>
    <row r="53" spans="1:26" s="24" customFormat="1" hidden="1" outlineLevel="2" x14ac:dyDescent="0.25">
      <c r="A53" s="27"/>
      <c r="B53" s="11" t="str">
        <f>CONCATENATE("          ", "6234", " - ", "EXPENDABLE SUPPLIES &amp; EQUIPMEN")</f>
        <v xml:space="preserve">          6234 - EXPENDABLE SUPPLIES &amp; EQUIPMEN</v>
      </c>
      <c r="C53" s="11"/>
      <c r="D53" s="6"/>
      <c r="E53" s="2"/>
      <c r="F53" s="7">
        <f t="shared" si="24"/>
        <v>0</v>
      </c>
      <c r="G53" s="2"/>
      <c r="H53" s="6">
        <v>0</v>
      </c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>
        <v>1006.59</v>
      </c>
      <c r="Q53" s="2"/>
      <c r="R53" s="7">
        <f t="shared" si="28"/>
        <v>0</v>
      </c>
      <c r="S53" s="2"/>
      <c r="T53" s="6">
        <v>800</v>
      </c>
      <c r="U53" s="2"/>
      <c r="V53" s="7">
        <f t="shared" si="29"/>
        <v>0</v>
      </c>
      <c r="W53" s="2"/>
      <c r="X53" s="6">
        <f t="shared" si="30"/>
        <v>206.59000000000003</v>
      </c>
      <c r="Y53" s="2"/>
      <c r="Z53" s="7">
        <f t="shared" si="31"/>
        <v>0.25823750000000006</v>
      </c>
    </row>
    <row r="54" spans="1:26" s="24" customFormat="1" hidden="1" outlineLevel="2" x14ac:dyDescent="0.25">
      <c r="A54" s="27"/>
      <c r="B54" s="11" t="str">
        <f>CONCATENATE("          ", "6241", " - ", "OFFICE EXPENSE")</f>
        <v xml:space="preserve">          6241 - OFFICE EXPENSE</v>
      </c>
      <c r="C54" s="11"/>
      <c r="D54" s="6"/>
      <c r="E54" s="2"/>
      <c r="F54" s="7">
        <f t="shared" si="24"/>
        <v>0</v>
      </c>
      <c r="G54" s="2"/>
      <c r="H54" s="6">
        <v>10</v>
      </c>
      <c r="I54" s="2"/>
      <c r="J54" s="7">
        <f t="shared" si="25"/>
        <v>0</v>
      </c>
      <c r="K54" s="2"/>
      <c r="L54" s="6">
        <f t="shared" si="26"/>
        <v>-10</v>
      </c>
      <c r="M54" s="2"/>
      <c r="N54" s="7">
        <f t="shared" si="27"/>
        <v>-1</v>
      </c>
      <c r="O54" s="11"/>
      <c r="P54" s="6">
        <v>117.31</v>
      </c>
      <c r="Q54" s="2"/>
      <c r="R54" s="7">
        <f t="shared" si="28"/>
        <v>0</v>
      </c>
      <c r="S54" s="2"/>
      <c r="T54" s="6">
        <v>120</v>
      </c>
      <c r="U54" s="2"/>
      <c r="V54" s="7">
        <f t="shared" si="29"/>
        <v>0</v>
      </c>
      <c r="W54" s="2"/>
      <c r="X54" s="6">
        <f t="shared" si="30"/>
        <v>-2.6899999999999977</v>
      </c>
      <c r="Y54" s="2"/>
      <c r="Z54" s="7">
        <f t="shared" si="31"/>
        <v>-2.2416666666666647E-2</v>
      </c>
    </row>
    <row r="55" spans="1:26" s="26" customFormat="1" outlineLevel="1" collapsed="1" x14ac:dyDescent="0.25">
      <c r="A55" s="25"/>
      <c r="B55" s="12" t="str">
        <f>CONCATENATE("     ","Telephone/Data Lines                              ")</f>
        <v xml:space="preserve">     Telephone/Data Lines                              </v>
      </c>
      <c r="C55" s="12"/>
      <c r="D55" s="1">
        <f>SUM(OSRRefD22_8x_0)</f>
        <v>448.8</v>
      </c>
      <c r="E55" s="1"/>
      <c r="F55" s="5">
        <f t="shared" ref="F55:F58" si="32">IF(D$12=0,0,D55/D$12)</f>
        <v>0</v>
      </c>
      <c r="G55" s="1"/>
      <c r="H55" s="1">
        <f>SUM(OSRRefH22_8x_0)</f>
        <v>15</v>
      </c>
      <c r="I55" s="1"/>
      <c r="J55" s="5">
        <f t="shared" ref="J55:J58" si="33">IF(H$12=0,0,H55/H$12)</f>
        <v>0</v>
      </c>
      <c r="K55" s="1"/>
      <c r="L55" s="1">
        <f t="shared" ref="L55:L58" si="34">+D55-H55</f>
        <v>433.8</v>
      </c>
      <c r="M55" s="1"/>
      <c r="N55" s="5">
        <f t="shared" ref="N55:N58" si="35">IF(H55=0,0,L55/H55)</f>
        <v>28.92</v>
      </c>
      <c r="O55" s="12"/>
      <c r="P55" s="1">
        <f>SUM(OSRRefP22_8x_0)</f>
        <v>1204</v>
      </c>
      <c r="Q55" s="1"/>
      <c r="R55" s="5">
        <f t="shared" ref="R55:R58" si="36">IF(P$12=0,0,P55/P$12)</f>
        <v>0</v>
      </c>
      <c r="S55" s="1"/>
      <c r="T55" s="1">
        <f>SUM(OSRRefT22_8x_0)</f>
        <v>780</v>
      </c>
      <c r="U55" s="1"/>
      <c r="V55" s="5">
        <f t="shared" ref="V55:V58" si="37">IF(T$12=0,0,T55/T$12)</f>
        <v>0</v>
      </c>
      <c r="W55" s="1"/>
      <c r="X55" s="1">
        <f t="shared" ref="X55:X58" si="38">+P55-T55</f>
        <v>424</v>
      </c>
      <c r="Y55" s="1"/>
      <c r="Z55" s="5">
        <f t="shared" ref="Z55:Z58" si="39">IF(T55=0,0,X55/T55)</f>
        <v>0.54358974358974355</v>
      </c>
    </row>
    <row r="56" spans="1:26" s="24" customFormat="1" hidden="1" outlineLevel="2" x14ac:dyDescent="0.25">
      <c r="A56" s="27"/>
      <c r="B56" s="11" t="str">
        <f>CONCATENATE("          ", "6309", " - ", "TELEPHONE")</f>
        <v xml:space="preserve">          6309 - TELEPHONE</v>
      </c>
      <c r="C56" s="11"/>
      <c r="D56" s="6">
        <v>448.8</v>
      </c>
      <c r="E56" s="2"/>
      <c r="F56" s="7">
        <f t="shared" si="32"/>
        <v>0</v>
      </c>
      <c r="G56" s="2"/>
      <c r="H56" s="6">
        <v>15</v>
      </c>
      <c r="I56" s="2"/>
      <c r="J56" s="7">
        <f t="shared" si="33"/>
        <v>0</v>
      </c>
      <c r="K56" s="2"/>
      <c r="L56" s="6">
        <f t="shared" si="34"/>
        <v>433.8</v>
      </c>
      <c r="M56" s="2"/>
      <c r="N56" s="7">
        <f t="shared" si="35"/>
        <v>28.92</v>
      </c>
      <c r="O56" s="11"/>
      <c r="P56" s="6">
        <v>1204</v>
      </c>
      <c r="Q56" s="2"/>
      <c r="R56" s="7">
        <f t="shared" si="36"/>
        <v>0</v>
      </c>
      <c r="S56" s="2"/>
      <c r="T56" s="6">
        <v>780</v>
      </c>
      <c r="U56" s="2"/>
      <c r="V56" s="7">
        <f t="shared" si="37"/>
        <v>0</v>
      </c>
      <c r="W56" s="2"/>
      <c r="X56" s="6">
        <f t="shared" si="38"/>
        <v>424</v>
      </c>
      <c r="Y56" s="2"/>
      <c r="Z56" s="7">
        <f t="shared" si="39"/>
        <v>0.54358974358974355</v>
      </c>
    </row>
    <row r="57" spans="1:26" s="26" customFormat="1" outlineLevel="1" collapsed="1" x14ac:dyDescent="0.25">
      <c r="A57" s="25"/>
      <c r="B57" s="12" t="str">
        <f>CONCATENATE("     ","Travel                                            ")</f>
        <v xml:space="preserve">     Travel                                            </v>
      </c>
      <c r="C57" s="12"/>
      <c r="D57" s="1">
        <f>SUM(OSRRefD22_9x_0)</f>
        <v>0</v>
      </c>
      <c r="E57" s="1"/>
      <c r="F57" s="5">
        <f t="shared" si="32"/>
        <v>0</v>
      </c>
      <c r="G57" s="1"/>
      <c r="H57" s="1">
        <f>SUM(OSRRefH22_9x_0)</f>
        <v>0</v>
      </c>
      <c r="I57" s="1"/>
      <c r="J57" s="5">
        <f t="shared" si="33"/>
        <v>0</v>
      </c>
      <c r="K57" s="1"/>
      <c r="L57" s="1">
        <f t="shared" si="34"/>
        <v>0</v>
      </c>
      <c r="M57" s="1"/>
      <c r="N57" s="5">
        <f t="shared" si="35"/>
        <v>0</v>
      </c>
      <c r="O57" s="12"/>
      <c r="P57" s="1">
        <f>SUM(OSRRefP22_9x_0)</f>
        <v>256.86</v>
      </c>
      <c r="Q57" s="1"/>
      <c r="R57" s="5">
        <f t="shared" si="36"/>
        <v>0</v>
      </c>
      <c r="S57" s="1"/>
      <c r="T57" s="1">
        <f>SUM(OSRRefT22_9x_0)</f>
        <v>0</v>
      </c>
      <c r="U57" s="1"/>
      <c r="V57" s="5">
        <f t="shared" si="37"/>
        <v>0</v>
      </c>
      <c r="W57" s="1"/>
      <c r="X57" s="1">
        <f t="shared" si="38"/>
        <v>256.86</v>
      </c>
      <c r="Y57" s="1"/>
      <c r="Z57" s="5">
        <f t="shared" si="39"/>
        <v>0</v>
      </c>
    </row>
    <row r="58" spans="1:26" s="24" customFormat="1" hidden="1" outlineLevel="2" x14ac:dyDescent="0.25">
      <c r="A58" s="27"/>
      <c r="B58" s="11" t="str">
        <f>CONCATENATE("          ", "6292", " - ", "TRAVEL/CONFERENCE")</f>
        <v xml:space="preserve">          6292 - TRAVEL/CONFERENCE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256.86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256.86</v>
      </c>
      <c r="Y58" s="2"/>
      <c r="Z58" s="7">
        <f t="shared" si="39"/>
        <v>0</v>
      </c>
    </row>
    <row r="59" spans="1:26" s="60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3">
        <f>IF(D$12=0,0,D60/D$12)</f>
        <v>0</v>
      </c>
      <c r="G60" s="4"/>
      <c r="H60" s="4">
        <f>SUM(0)</f>
        <v>0</v>
      </c>
      <c r="I60" s="4"/>
      <c r="J60" s="13">
        <f>IF(H$12=0,0,H60/H$12)</f>
        <v>0</v>
      </c>
      <c r="K60" s="4"/>
      <c r="L60" s="4">
        <f>+D60-H60</f>
        <v>0</v>
      </c>
      <c r="M60" s="4"/>
      <c r="N60" s="13">
        <f>IF(H60=0,0,L60/H60)</f>
        <v>0</v>
      </c>
      <c r="O60" s="10"/>
      <c r="P60" s="4">
        <f>SUM(0)</f>
        <v>0</v>
      </c>
      <c r="Q60" s="4"/>
      <c r="R60" s="13">
        <f>IF(P$12=0,0,P60/P$12)</f>
        <v>0</v>
      </c>
      <c r="S60" s="4"/>
      <c r="T60" s="4">
        <f>SUM(0)</f>
        <v>0</v>
      </c>
      <c r="U60" s="4"/>
      <c r="V60" s="13">
        <f>IF(T$12=0,0,T60/T$12)</f>
        <v>0</v>
      </c>
      <c r="W60" s="4"/>
      <c r="X60" s="4">
        <f>+P60-T60</f>
        <v>0</v>
      </c>
      <c r="Y60" s="4"/>
      <c r="Z60" s="13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2">
        <f>+D16-D18+D60</f>
        <v>-6767.76</v>
      </c>
      <c r="E62" s="14"/>
      <c r="F62" s="20">
        <f>IF(D$12=0,0,D62/D$12)</f>
        <v>0</v>
      </c>
      <c r="G62" s="14"/>
      <c r="H62" s="22">
        <f>+H16-H18+H60</f>
        <v>-7260.5090453384582</v>
      </c>
      <c r="I62" s="14"/>
      <c r="J62" s="20">
        <f>IF(H$12=0,0,H62/H$12)</f>
        <v>0</v>
      </c>
      <c r="K62" s="15"/>
      <c r="L62" s="22">
        <f>+D62-H62</f>
        <v>492.74904533845802</v>
      </c>
      <c r="M62" s="15"/>
      <c r="N62" s="20">
        <f>IF(H62=0,0,L62/H62)</f>
        <v>-6.7867010737328801E-2</v>
      </c>
      <c r="O62" s="28"/>
      <c r="P62" s="22">
        <f>+P16-P18+P60</f>
        <v>-90939.59</v>
      </c>
      <c r="Q62" s="14"/>
      <c r="R62" s="20">
        <f>IF(P$12=0,0,P62/P$12)</f>
        <v>0</v>
      </c>
      <c r="S62" s="14"/>
      <c r="T62" s="22">
        <f>+T16-T18+T60</f>
        <v>-98413.617589400004</v>
      </c>
      <c r="U62" s="14"/>
      <c r="V62" s="20">
        <f>IF(T$12=0,0,T62/T$12)</f>
        <v>0</v>
      </c>
      <c r="W62" s="15"/>
      <c r="X62" s="22">
        <f>+P62-T62</f>
        <v>7474.0275894000079</v>
      </c>
      <c r="Y62" s="15"/>
      <c r="Z62" s="20">
        <f>IF(T62=0,0,X62/T62)</f>
        <v>-7.5945054886439059E-2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3">
        <f>IF(D$12=0,0,D64/D$12)</f>
        <v>0</v>
      </c>
      <c r="G64" s="4"/>
      <c r="H64" s="4"/>
      <c r="I64" s="4"/>
      <c r="J64" s="13">
        <f>IF(H$12=0,0,H64/H$12)</f>
        <v>0</v>
      </c>
      <c r="K64" s="4"/>
      <c r="L64" s="4">
        <f>+D64-H64</f>
        <v>0</v>
      </c>
      <c r="M64" s="4"/>
      <c r="N64" s="13">
        <f>IF(H64=0,0,L64/H64)</f>
        <v>0</v>
      </c>
      <c r="O64" s="10"/>
      <c r="P64" s="4"/>
      <c r="Q64" s="4"/>
      <c r="R64" s="13">
        <f>IF(P$12=0,0,P64/P$12)</f>
        <v>0</v>
      </c>
      <c r="S64" s="4"/>
      <c r="T64" s="4">
        <v>0</v>
      </c>
      <c r="U64" s="4"/>
      <c r="V64" s="13">
        <f>IF(T$12=0,0,T64/T$12)</f>
        <v>0</v>
      </c>
      <c r="W64" s="4"/>
      <c r="X64" s="4">
        <f>+P64-T64</f>
        <v>0</v>
      </c>
      <c r="Y64" s="4"/>
      <c r="Z64" s="13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1">
        <f>+D62-D64</f>
        <v>-6767.76</v>
      </c>
      <c r="E66" s="14"/>
      <c r="F66" s="33">
        <f>IF(D$12=0,0,D66/D$12)</f>
        <v>0</v>
      </c>
      <c r="G66" s="14"/>
      <c r="H66" s="31">
        <f>+H62-H64</f>
        <v>-7260.5090453384582</v>
      </c>
      <c r="I66" s="14"/>
      <c r="J66" s="33">
        <f>IF(H$12=0,0,H66/H$12)</f>
        <v>0</v>
      </c>
      <c r="K66" s="15"/>
      <c r="L66" s="31">
        <f>D66-H66</f>
        <v>492.74904533845802</v>
      </c>
      <c r="M66" s="15"/>
      <c r="N66" s="33">
        <f>IF(H66=0,0,L66/H66)</f>
        <v>-6.7867010737328801E-2</v>
      </c>
      <c r="O66" s="28"/>
      <c r="P66" s="31">
        <f>+P62-P64</f>
        <v>-90939.59</v>
      </c>
      <c r="Q66" s="14"/>
      <c r="R66" s="33">
        <f>IF(P$12=0,0,P66/P$12)</f>
        <v>0</v>
      </c>
      <c r="S66" s="14"/>
      <c r="T66" s="31">
        <f>+T62-T64</f>
        <v>-98413.617589400004</v>
      </c>
      <c r="U66" s="14"/>
      <c r="V66" s="33">
        <f>IF(T$12=0,0,T66/T$12)</f>
        <v>0</v>
      </c>
      <c r="W66" s="15"/>
      <c r="X66" s="31">
        <f>P66-T66</f>
        <v>7474.0275894000079</v>
      </c>
      <c r="Y66" s="15"/>
      <c r="Z66" s="33">
        <f>IF(T66=0,0,X66/T66)</f>
        <v>-7.5945054886439059E-2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4">
        <f>SUM(D66:D68)</f>
        <v>-6767.76</v>
      </c>
      <c r="E69" s="14"/>
      <c r="F69" s="35">
        <f>IF(D$12=0,0,D69/D$12)</f>
        <v>0</v>
      </c>
      <c r="G69" s="14"/>
      <c r="H69" s="34">
        <f>SUM(H66:H68)</f>
        <v>-7260.5090453384582</v>
      </c>
      <c r="I69" s="14"/>
      <c r="J69" s="35">
        <f>IF(H$12=0,0,H69/H$12)</f>
        <v>0</v>
      </c>
      <c r="K69" s="15"/>
      <c r="L69" s="34">
        <f>+D69-H69</f>
        <v>492.74904533845802</v>
      </c>
      <c r="M69" s="15"/>
      <c r="N69" s="35">
        <f>IF(H69=0,0,L69/H69)</f>
        <v>-6.7867010737328801E-2</v>
      </c>
      <c r="O69" s="28"/>
      <c r="P69" s="34">
        <f>SUM(P66:P68)</f>
        <v>-90939.59</v>
      </c>
      <c r="Q69" s="14"/>
      <c r="R69" s="35">
        <f>IF(P$12=0,0,P69/P$12)</f>
        <v>0</v>
      </c>
      <c r="S69" s="14"/>
      <c r="T69" s="34">
        <f>SUM(T66:T68)</f>
        <v>-98413.617589400004</v>
      </c>
      <c r="U69" s="14"/>
      <c r="V69" s="35">
        <f>IF(T$12=0,0,T69/T$12)</f>
        <v>0</v>
      </c>
      <c r="W69" s="15"/>
      <c r="X69" s="34">
        <f>+P69-T69</f>
        <v>7474.0275894000079</v>
      </c>
      <c r="Y69" s="15"/>
      <c r="Z69" s="35">
        <f>IF(T69=0,0,X69/T69)</f>
        <v>-7.5945054886439059E-2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5">
        <v>44043.473228275463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62" t="s">
        <v>314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3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","206", " - ", "Graphics")</f>
        <v>Department 206 - Graphics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8294.5400000000009</v>
      </c>
      <c r="E18" s="21"/>
      <c r="F18" s="32">
        <f t="shared" ref="F18:F28" si="0">IF(D$12=0,0,D18/D$12)</f>
        <v>0</v>
      </c>
      <c r="G18" s="21"/>
      <c r="H18" s="21">
        <f>SUM(OSRRefH22x_0)</f>
        <v>14359.450389516001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-6064.9103895160006</v>
      </c>
      <c r="M18" s="4"/>
      <c r="N18" s="32">
        <f t="shared" ref="N18:N28" si="3">IF(H18=0,0,L18/H18)</f>
        <v>-0.42236368558674509</v>
      </c>
      <c r="O18" s="10"/>
      <c r="P18" s="21">
        <f>SUM(OSRRefP22x_0)</f>
        <v>106543.27999999998</v>
      </c>
      <c r="Q18" s="21"/>
      <c r="R18" s="32">
        <f t="shared" ref="R18:R28" si="4">IF(P$12=0,0,P18/P$12)</f>
        <v>0</v>
      </c>
      <c r="S18" s="21"/>
      <c r="T18" s="21">
        <f>SUM(OSRRefT22x_0)</f>
        <v>189393.38153695804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-82850.101536958056</v>
      </c>
      <c r="Y18" s="4"/>
      <c r="Z18" s="32">
        <f t="shared" ref="Z18:Z28" si="7">IF(T18=0,0,X18/T18)</f>
        <v>-0.43744982461697463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1211.44</v>
      </c>
      <c r="E19" s="1"/>
      <c r="F19" s="5">
        <f t="shared" si="0"/>
        <v>0</v>
      </c>
      <c r="G19" s="1"/>
      <c r="H19" s="1">
        <f>SUM(OSRRefH22_0x_0)</f>
        <v>5313.5609095159998</v>
      </c>
      <c r="I19" s="1"/>
      <c r="J19" s="5">
        <f t="shared" si="1"/>
        <v>0</v>
      </c>
      <c r="K19" s="1"/>
      <c r="L19" s="1">
        <f t="shared" si="2"/>
        <v>-4102.1209095159993</v>
      </c>
      <c r="M19" s="1"/>
      <c r="N19" s="5">
        <f t="shared" si="3"/>
        <v>-0.77200976508419328</v>
      </c>
      <c r="O19" s="12"/>
      <c r="P19" s="1">
        <f>SUM(OSRRefP22_0x_0)</f>
        <v>20837.550000000003</v>
      </c>
      <c r="Q19" s="1"/>
      <c r="R19" s="5">
        <f t="shared" si="4"/>
        <v>0</v>
      </c>
      <c r="S19" s="1"/>
      <c r="T19" s="1">
        <f>SUM(OSRRefT22_0x_0)</f>
        <v>70533.893296958006</v>
      </c>
      <c r="U19" s="1"/>
      <c r="V19" s="5">
        <f t="shared" si="5"/>
        <v>0</v>
      </c>
      <c r="W19" s="1"/>
      <c r="X19" s="1">
        <f t="shared" si="6"/>
        <v>-49696.343296958003</v>
      </c>
      <c r="Y19" s="1"/>
      <c r="Z19" s="5">
        <f t="shared" si="7"/>
        <v>-0.70457394273883522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370.37</v>
      </c>
      <c r="E20" s="2"/>
      <c r="F20" s="7">
        <f t="shared" si="0"/>
        <v>0</v>
      </c>
      <c r="G20" s="2"/>
      <c r="H20" s="6">
        <v>849.05268711600002</v>
      </c>
      <c r="I20" s="2"/>
      <c r="J20" s="7">
        <f t="shared" si="1"/>
        <v>0</v>
      </c>
      <c r="K20" s="2"/>
      <c r="L20" s="6">
        <f t="shared" si="2"/>
        <v>-478.68268711600001</v>
      </c>
      <c r="M20" s="2"/>
      <c r="N20" s="7">
        <f t="shared" si="3"/>
        <v>-0.56378443220285224</v>
      </c>
      <c r="O20" s="11"/>
      <c r="P20" s="6">
        <v>5453.03</v>
      </c>
      <c r="Q20" s="2"/>
      <c r="R20" s="7">
        <f t="shared" si="4"/>
        <v>0</v>
      </c>
      <c r="S20" s="2"/>
      <c r="T20" s="6">
        <v>14653.117105758</v>
      </c>
      <c r="U20" s="2"/>
      <c r="V20" s="7">
        <f t="shared" si="5"/>
        <v>0</v>
      </c>
      <c r="W20" s="2"/>
      <c r="X20" s="6">
        <f t="shared" si="6"/>
        <v>-9200.0871057580007</v>
      </c>
      <c r="Y20" s="2"/>
      <c r="Z20" s="7">
        <f t="shared" si="7"/>
        <v>-0.62785870332960014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20.66</v>
      </c>
      <c r="E21" s="2"/>
      <c r="F21" s="7">
        <f t="shared" si="0"/>
        <v>0</v>
      </c>
      <c r="G21" s="2"/>
      <c r="H21" s="6">
        <v>54.919952479999999</v>
      </c>
      <c r="I21" s="2"/>
      <c r="J21" s="7">
        <f t="shared" si="1"/>
        <v>0</v>
      </c>
      <c r="K21" s="2"/>
      <c r="L21" s="6">
        <f t="shared" si="2"/>
        <v>-34.259952479999995</v>
      </c>
      <c r="M21" s="2"/>
      <c r="N21" s="7">
        <f t="shared" si="3"/>
        <v>-0.62381613480959075</v>
      </c>
      <c r="O21" s="11"/>
      <c r="P21" s="6">
        <v>295.89999999999998</v>
      </c>
      <c r="Q21" s="2"/>
      <c r="R21" s="7">
        <f t="shared" si="4"/>
        <v>0</v>
      </c>
      <c r="S21" s="2"/>
      <c r="T21" s="6">
        <v>696.88092724000001</v>
      </c>
      <c r="U21" s="2"/>
      <c r="V21" s="7">
        <f t="shared" si="5"/>
        <v>0</v>
      </c>
      <c r="W21" s="2"/>
      <c r="X21" s="6">
        <f t="shared" si="6"/>
        <v>-400.98092724000003</v>
      </c>
      <c r="Y21" s="2"/>
      <c r="Z21" s="7">
        <f t="shared" si="7"/>
        <v>-0.57539374599917203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2589</v>
      </c>
      <c r="I22" s="2"/>
      <c r="J22" s="7">
        <f t="shared" si="1"/>
        <v>0</v>
      </c>
      <c r="K22" s="2"/>
      <c r="L22" s="6">
        <f t="shared" si="2"/>
        <v>-1888.13</v>
      </c>
      <c r="M22" s="2"/>
      <c r="N22" s="7">
        <f t="shared" si="3"/>
        <v>-0.72928930088837396</v>
      </c>
      <c r="O22" s="11"/>
      <c r="P22" s="6">
        <v>8410.68</v>
      </c>
      <c r="Q22" s="2"/>
      <c r="R22" s="7">
        <f t="shared" si="4"/>
        <v>0</v>
      </c>
      <c r="S22" s="2"/>
      <c r="T22" s="6">
        <v>31680</v>
      </c>
      <c r="U22" s="2"/>
      <c r="V22" s="7">
        <f t="shared" si="5"/>
        <v>0</v>
      </c>
      <c r="W22" s="2"/>
      <c r="X22" s="6">
        <f t="shared" si="6"/>
        <v>-23269.32</v>
      </c>
      <c r="Y22" s="2"/>
      <c r="Z22" s="7">
        <f t="shared" si="7"/>
        <v>-0.7345113636363636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-286.66000000000003</v>
      </c>
      <c r="E23" s="2"/>
      <c r="F23" s="7">
        <f t="shared" si="0"/>
        <v>0</v>
      </c>
      <c r="G23" s="2"/>
      <c r="H23" s="6">
        <v>41.997610719999997</v>
      </c>
      <c r="I23" s="2"/>
      <c r="J23" s="7">
        <f t="shared" si="1"/>
        <v>0</v>
      </c>
      <c r="K23" s="2"/>
      <c r="L23" s="6">
        <f t="shared" si="2"/>
        <v>-328.65761072000004</v>
      </c>
      <c r="M23" s="2"/>
      <c r="N23" s="7">
        <f t="shared" si="3"/>
        <v>-7.8256263888718678</v>
      </c>
      <c r="O23" s="11"/>
      <c r="P23" s="6">
        <v>0</v>
      </c>
      <c r="Q23" s="2"/>
      <c r="R23" s="7">
        <f t="shared" si="4"/>
        <v>0</v>
      </c>
      <c r="S23" s="2"/>
      <c r="T23" s="6">
        <v>532.90894435999996</v>
      </c>
      <c r="U23" s="2"/>
      <c r="V23" s="7">
        <f t="shared" si="5"/>
        <v>0</v>
      </c>
      <c r="W23" s="2"/>
      <c r="X23" s="6">
        <f t="shared" si="6"/>
        <v>-532.90894435999996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599.79643920000001</v>
      </c>
      <c r="I24" s="2"/>
      <c r="J24" s="7">
        <f t="shared" si="1"/>
        <v>0</v>
      </c>
      <c r="K24" s="2"/>
      <c r="L24" s="6">
        <f t="shared" si="2"/>
        <v>-599.79643920000001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7797.3537096</v>
      </c>
      <c r="U24" s="2"/>
      <c r="V24" s="7">
        <f t="shared" si="5"/>
        <v>0</v>
      </c>
      <c r="W24" s="2"/>
      <c r="X24" s="6">
        <f t="shared" si="6"/>
        <v>-7797.3537096</v>
      </c>
      <c r="Y24" s="2"/>
      <c r="Z24" s="7">
        <f t="shared" si="7"/>
        <v>-1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184.8</v>
      </c>
      <c r="E26" s="2"/>
      <c r="F26" s="7">
        <f t="shared" si="0"/>
        <v>0</v>
      </c>
      <c r="G26" s="2"/>
      <c r="H26" s="6">
        <v>554.71885999999995</v>
      </c>
      <c r="I26" s="2"/>
      <c r="J26" s="7">
        <f t="shared" si="1"/>
        <v>0</v>
      </c>
      <c r="K26" s="2"/>
      <c r="L26" s="6">
        <f t="shared" si="2"/>
        <v>-369.91885999999994</v>
      </c>
      <c r="M26" s="2"/>
      <c r="N26" s="7">
        <f t="shared" si="3"/>
        <v>-0.66685827123310715</v>
      </c>
      <c r="O26" s="11"/>
      <c r="P26" s="6">
        <v>2402.4</v>
      </c>
      <c r="Q26" s="2"/>
      <c r="R26" s="7">
        <f t="shared" si="4"/>
        <v>0</v>
      </c>
      <c r="S26" s="2"/>
      <c r="T26" s="6">
        <v>7211.3451800000003</v>
      </c>
      <c r="U26" s="2"/>
      <c r="V26" s="7">
        <f t="shared" si="5"/>
        <v>0</v>
      </c>
      <c r="W26" s="2"/>
      <c r="X26" s="6">
        <f t="shared" si="6"/>
        <v>-4808.9451800000006</v>
      </c>
      <c r="Y26" s="2"/>
      <c r="Z26" s="7">
        <f t="shared" si="7"/>
        <v>-0.66685827123310726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624.07536000000005</v>
      </c>
      <c r="I27" s="2"/>
      <c r="J27" s="7">
        <f t="shared" si="1"/>
        <v>0</v>
      </c>
      <c r="K27" s="2"/>
      <c r="L27" s="6">
        <f t="shared" si="2"/>
        <v>-402.67536000000007</v>
      </c>
      <c r="M27" s="2"/>
      <c r="N27" s="7">
        <f t="shared" si="3"/>
        <v>-0.64523515237006002</v>
      </c>
      <c r="O27" s="11"/>
      <c r="P27" s="6">
        <v>2878.2</v>
      </c>
      <c r="Q27" s="2"/>
      <c r="R27" s="7">
        <f t="shared" si="4"/>
        <v>0</v>
      </c>
      <c r="S27" s="2"/>
      <c r="T27" s="6">
        <v>7962.2874299999994</v>
      </c>
      <c r="U27" s="2"/>
      <c r="V27" s="7">
        <f t="shared" si="5"/>
        <v>0</v>
      </c>
      <c r="W27" s="2"/>
      <c r="X27" s="6">
        <f t="shared" si="6"/>
        <v>-5084.0874299999996</v>
      </c>
      <c r="Y27" s="2"/>
      <c r="Z27" s="7">
        <f t="shared" si="7"/>
        <v>-0.63852096205976827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1397.34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1397.34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6455.15</v>
      </c>
      <c r="E29" s="1"/>
      <c r="F29" s="5">
        <f t="shared" ref="F29:F39" si="8">IF(D$12=0,0,D29/D$12)</f>
        <v>0</v>
      </c>
      <c r="G29" s="1"/>
      <c r="H29" s="1">
        <f>SUM(OSRRefH22_1x_0)</f>
        <v>15331.889480000002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-8876.739480000002</v>
      </c>
      <c r="M29" s="1"/>
      <c r="N29" s="5">
        <f t="shared" ref="N29:N39" si="11">IF(H29=0,0,L29/H29)</f>
        <v>-0.57897231072396182</v>
      </c>
      <c r="O29" s="12"/>
      <c r="P29" s="1">
        <f>SUM(OSRRefP22_1x_0)</f>
        <v>119549.47</v>
      </c>
      <c r="Q29" s="1"/>
      <c r="R29" s="5">
        <f t="shared" ref="R29:R39" si="12">IF(P$12=0,0,P29/P$12)</f>
        <v>0</v>
      </c>
      <c r="S29" s="1"/>
      <c r="T29" s="1">
        <f>SUM(OSRRefT22_1x_0)</f>
        <v>194291.48823999998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-74742.018239999976</v>
      </c>
      <c r="Y29" s="1"/>
      <c r="Z29" s="5">
        <f t="shared" ref="Z29:Z39" si="15">IF(T29=0,0,X29/T29)</f>
        <v>-0.3846901319098156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6276.93948</v>
      </c>
      <c r="I30" s="2"/>
      <c r="J30" s="7">
        <f t="shared" si="9"/>
        <v>0</v>
      </c>
      <c r="K30" s="2"/>
      <c r="L30" s="6">
        <f t="shared" si="10"/>
        <v>-6276.93948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81600.213239999997</v>
      </c>
      <c r="U30" s="2"/>
      <c r="V30" s="7">
        <f t="shared" si="13"/>
        <v>0</v>
      </c>
      <c r="W30" s="2"/>
      <c r="X30" s="6">
        <f t="shared" si="14"/>
        <v>-81600.213239999997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>
        <v>5115</v>
      </c>
      <c r="E33" s="2"/>
      <c r="F33" s="7">
        <f t="shared" si="8"/>
        <v>0</v>
      </c>
      <c r="G33" s="2"/>
      <c r="H33" s="6">
        <v>3996.4</v>
      </c>
      <c r="I33" s="2"/>
      <c r="J33" s="7">
        <f t="shared" si="9"/>
        <v>0</v>
      </c>
      <c r="K33" s="2"/>
      <c r="L33" s="6">
        <f t="shared" si="10"/>
        <v>1118.5999999999999</v>
      </c>
      <c r="M33" s="2"/>
      <c r="N33" s="7">
        <f t="shared" si="11"/>
        <v>0.27990191172054846</v>
      </c>
      <c r="O33" s="11"/>
      <c r="P33" s="6">
        <v>62899.5</v>
      </c>
      <c r="Q33" s="2"/>
      <c r="R33" s="7">
        <f t="shared" si="12"/>
        <v>0</v>
      </c>
      <c r="S33" s="2"/>
      <c r="T33" s="6">
        <v>51953.2</v>
      </c>
      <c r="U33" s="2"/>
      <c r="V33" s="7">
        <f t="shared" si="13"/>
        <v>0</v>
      </c>
      <c r="W33" s="2"/>
      <c r="X33" s="6">
        <f t="shared" si="14"/>
        <v>10946.300000000003</v>
      </c>
      <c r="Y33" s="2"/>
      <c r="Z33" s="7">
        <f t="shared" si="15"/>
        <v>0.21069539508634702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2361.4299999999998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2361.4299999999998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41753.5</v>
      </c>
      <c r="Q36" s="2"/>
      <c r="R36" s="7">
        <f t="shared" si="12"/>
        <v>0</v>
      </c>
      <c r="S36" s="2"/>
      <c r="T36" s="6">
        <v>47242.025000000001</v>
      </c>
      <c r="U36" s="2"/>
      <c r="V36" s="7">
        <f t="shared" si="13"/>
        <v>0</v>
      </c>
      <c r="W36" s="2"/>
      <c r="X36" s="6">
        <f t="shared" si="14"/>
        <v>-5488.5250000000015</v>
      </c>
      <c r="Y36" s="2"/>
      <c r="Z36" s="7">
        <f t="shared" si="15"/>
        <v>-0.11617886828517621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1340.15</v>
      </c>
      <c r="E37" s="2"/>
      <c r="F37" s="7">
        <f t="shared" si="8"/>
        <v>0</v>
      </c>
      <c r="G37" s="2"/>
      <c r="H37" s="6">
        <v>5058.55</v>
      </c>
      <c r="I37" s="2"/>
      <c r="J37" s="7">
        <f t="shared" si="9"/>
        <v>0</v>
      </c>
      <c r="K37" s="2"/>
      <c r="L37" s="6">
        <f t="shared" si="10"/>
        <v>-3718.4</v>
      </c>
      <c r="M37" s="2"/>
      <c r="N37" s="7">
        <f t="shared" si="11"/>
        <v>-0.73507230332802875</v>
      </c>
      <c r="O37" s="11"/>
      <c r="P37" s="6">
        <v>12535.04</v>
      </c>
      <c r="Q37" s="2"/>
      <c r="R37" s="7">
        <f t="shared" si="12"/>
        <v>0</v>
      </c>
      <c r="S37" s="2"/>
      <c r="T37" s="6">
        <v>13496.05</v>
      </c>
      <c r="U37" s="2"/>
      <c r="V37" s="7">
        <f t="shared" si="13"/>
        <v>0</v>
      </c>
      <c r="W37" s="2"/>
      <c r="X37" s="6">
        <f t="shared" si="14"/>
        <v>-961.0099999999984</v>
      </c>
      <c r="Y37" s="2"/>
      <c r="Z37" s="7">
        <f t="shared" si="15"/>
        <v>-7.1206760496589624E-2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346.42</v>
      </c>
      <c r="E40" s="1"/>
      <c r="F40" s="5">
        <f t="shared" ref="F40:F52" si="16">IF(D$12=0,0,D40/D$12)</f>
        <v>0</v>
      </c>
      <c r="G40" s="1"/>
      <c r="H40" s="1">
        <f>SUM(OSRRefH22_2x_0)</f>
        <v>-9000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9346.42</v>
      </c>
      <c r="M40" s="1"/>
      <c r="N40" s="5">
        <f t="shared" ref="N40:N52" si="19">IF(H40=0,0,L40/H40)</f>
        <v>-1.038491111111111</v>
      </c>
      <c r="O40" s="12"/>
      <c r="P40" s="1">
        <f>SUM(OSRRefP22_2x_0)</f>
        <v>-45543.57</v>
      </c>
      <c r="Q40" s="1"/>
      <c r="R40" s="5">
        <f t="shared" ref="R40:R52" si="20">IF(P$12=0,0,P40/P$12)</f>
        <v>0</v>
      </c>
      <c r="S40" s="1"/>
      <c r="T40" s="1">
        <f>SUM(OSRRefT22_2x_0)</f>
        <v>-108000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62456.43</v>
      </c>
      <c r="Y40" s="1"/>
      <c r="Z40" s="5">
        <f t="shared" ref="Z40:Z52" si="23">IF(T40=0,0,X40/T40)</f>
        <v>-0.57830027777777782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346.42</v>
      </c>
      <c r="E41" s="2"/>
      <c r="F41" s="7">
        <f t="shared" si="16"/>
        <v>0</v>
      </c>
      <c r="G41" s="2"/>
      <c r="H41" s="6">
        <v>-9000</v>
      </c>
      <c r="I41" s="2"/>
      <c r="J41" s="7">
        <f t="shared" si="17"/>
        <v>0</v>
      </c>
      <c r="K41" s="2"/>
      <c r="L41" s="6">
        <f t="shared" si="18"/>
        <v>9346.42</v>
      </c>
      <c r="M41" s="2"/>
      <c r="N41" s="7">
        <f t="shared" si="19"/>
        <v>-1.038491111111111</v>
      </c>
      <c r="O41" s="11"/>
      <c r="P41" s="6">
        <v>-45543.57</v>
      </c>
      <c r="Q41" s="2"/>
      <c r="R41" s="7">
        <f t="shared" si="20"/>
        <v>0</v>
      </c>
      <c r="S41" s="2"/>
      <c r="T41" s="6">
        <v>-108000</v>
      </c>
      <c r="U41" s="2"/>
      <c r="V41" s="7">
        <f t="shared" si="21"/>
        <v>0</v>
      </c>
      <c r="W41" s="2"/>
      <c r="X41" s="6">
        <f t="shared" si="22"/>
        <v>62456.43</v>
      </c>
      <c r="Y41" s="2"/>
      <c r="Z41" s="7">
        <f t="shared" si="23"/>
        <v>-0.57830027777777782</v>
      </c>
    </row>
    <row r="42" spans="1:26" s="26" customFormat="1" outlineLevel="1" collapsed="1" x14ac:dyDescent="0.25">
      <c r="A42" s="25"/>
      <c r="B42" s="12" t="str">
        <f>CONCATENATE("     ","Depreciation                                      ")</f>
        <v xml:space="preserve">     Depreciation                                      </v>
      </c>
      <c r="C42" s="12"/>
      <c r="D42" s="1">
        <f>SUM(OSRRefD22_3x_0)</f>
        <v>271.33999999999997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-17.660000000000025</v>
      </c>
      <c r="M42" s="1"/>
      <c r="N42" s="5">
        <f t="shared" si="19"/>
        <v>-6.1107266435986247E-2</v>
      </c>
      <c r="O42" s="12"/>
      <c r="P42" s="1">
        <f>SUM(OSRRefP22_3x_0)</f>
        <v>3474.95</v>
      </c>
      <c r="Q42" s="1"/>
      <c r="R42" s="5">
        <f t="shared" si="20"/>
        <v>0</v>
      </c>
      <c r="S42" s="1"/>
      <c r="T42" s="1">
        <f>SUM(OSRRefT22_3x_0)</f>
        <v>3468</v>
      </c>
      <c r="U42" s="1"/>
      <c r="V42" s="5">
        <f t="shared" si="21"/>
        <v>0</v>
      </c>
      <c r="W42" s="1"/>
      <c r="X42" s="1">
        <f t="shared" si="22"/>
        <v>6.9499999999998181</v>
      </c>
      <c r="Y42" s="1"/>
      <c r="Z42" s="5">
        <f t="shared" si="23"/>
        <v>2.0040369088811473E-3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271.33999999999997</v>
      </c>
      <c r="E43" s="2"/>
      <c r="F43" s="7">
        <f t="shared" si="16"/>
        <v>0</v>
      </c>
      <c r="G43" s="2"/>
      <c r="H43" s="6">
        <v>289</v>
      </c>
      <c r="I43" s="2"/>
      <c r="J43" s="7">
        <f t="shared" si="17"/>
        <v>0</v>
      </c>
      <c r="K43" s="2"/>
      <c r="L43" s="6">
        <f t="shared" si="18"/>
        <v>-17.660000000000025</v>
      </c>
      <c r="M43" s="2"/>
      <c r="N43" s="7">
        <f t="shared" si="19"/>
        <v>-6.1107266435986247E-2</v>
      </c>
      <c r="O43" s="11"/>
      <c r="P43" s="6">
        <v>3474.95</v>
      </c>
      <c r="Q43" s="2"/>
      <c r="R43" s="7">
        <f t="shared" si="20"/>
        <v>0</v>
      </c>
      <c r="S43" s="2"/>
      <c r="T43" s="6">
        <v>3468</v>
      </c>
      <c r="U43" s="2"/>
      <c r="V43" s="7">
        <f t="shared" si="21"/>
        <v>0</v>
      </c>
      <c r="W43" s="2"/>
      <c r="X43" s="6">
        <f t="shared" si="22"/>
        <v>6.9499999999998181</v>
      </c>
      <c r="Y43" s="2"/>
      <c r="Z43" s="7">
        <f t="shared" si="23"/>
        <v>2.0040369088811473E-3</v>
      </c>
    </row>
    <row r="44" spans="1:26" s="26" customFormat="1" outlineLevel="1" collapsed="1" x14ac:dyDescent="0.25">
      <c r="A44" s="25"/>
      <c r="B44" s="12" t="str">
        <f>CONCATENATE("     ","Employees' Appreciation                           ")</f>
        <v xml:space="preserve">     Employees' Appreciation                           </v>
      </c>
      <c r="C44" s="12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-200</v>
      </c>
      <c r="M44" s="1"/>
      <c r="N44" s="5">
        <f t="shared" si="19"/>
        <v>-1</v>
      </c>
      <c r="O44" s="12"/>
      <c r="P44" s="1">
        <f>SUM(OSRRefP22_4x_0)</f>
        <v>30.15</v>
      </c>
      <c r="Q44" s="1"/>
      <c r="R44" s="5">
        <f t="shared" si="20"/>
        <v>0</v>
      </c>
      <c r="S44" s="1"/>
      <c r="T44" s="1">
        <f>SUM(OSRRefT22_4x_0)</f>
        <v>2400</v>
      </c>
      <c r="U44" s="1"/>
      <c r="V44" s="5">
        <f t="shared" si="21"/>
        <v>0</v>
      </c>
      <c r="W44" s="1"/>
      <c r="X44" s="1">
        <f t="shared" si="22"/>
        <v>-2369.85</v>
      </c>
      <c r="Y44" s="1"/>
      <c r="Z44" s="5">
        <f t="shared" si="23"/>
        <v>-0.98743749999999997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200</v>
      </c>
      <c r="I45" s="2"/>
      <c r="J45" s="7">
        <f t="shared" si="17"/>
        <v>0</v>
      </c>
      <c r="K45" s="2"/>
      <c r="L45" s="6">
        <f t="shared" si="18"/>
        <v>-200</v>
      </c>
      <c r="M45" s="2"/>
      <c r="N45" s="7">
        <f t="shared" si="19"/>
        <v>-1</v>
      </c>
      <c r="O45" s="11"/>
      <c r="P45" s="6">
        <v>30.15</v>
      </c>
      <c r="Q45" s="2"/>
      <c r="R45" s="7">
        <f t="shared" si="20"/>
        <v>0</v>
      </c>
      <c r="S45" s="2"/>
      <c r="T45" s="6">
        <v>2400</v>
      </c>
      <c r="U45" s="2"/>
      <c r="V45" s="7">
        <f t="shared" si="21"/>
        <v>0</v>
      </c>
      <c r="W45" s="2"/>
      <c r="X45" s="6">
        <f t="shared" si="22"/>
        <v>-2369.85</v>
      </c>
      <c r="Y45" s="2"/>
      <c r="Z45" s="7">
        <f t="shared" si="23"/>
        <v>-0.98743749999999997</v>
      </c>
    </row>
    <row r="46" spans="1:26" s="26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2"/>
      <c r="P46" s="1">
        <f>SUM(OSRRefP22_5x_0)</f>
        <v>1373.22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1373.22</v>
      </c>
      <c r="Y46" s="1"/>
      <c r="Z46" s="5">
        <f t="shared" si="23"/>
        <v>0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1373.22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1373.22</v>
      </c>
      <c r="Y47" s="2"/>
      <c r="Z47" s="7">
        <f t="shared" si="23"/>
        <v>0</v>
      </c>
    </row>
    <row r="48" spans="1:26" s="26" customFormat="1" outlineLevel="1" collapsed="1" x14ac:dyDescent="0.25">
      <c r="A48" s="25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-400</v>
      </c>
      <c r="M48" s="1"/>
      <c r="N48" s="5">
        <f t="shared" si="19"/>
        <v>-1</v>
      </c>
      <c r="O48" s="12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4800</v>
      </c>
      <c r="U48" s="1"/>
      <c r="V48" s="5">
        <f t="shared" si="21"/>
        <v>0</v>
      </c>
      <c r="W48" s="1"/>
      <c r="X48" s="1">
        <f t="shared" si="22"/>
        <v>-4800</v>
      </c>
      <c r="Y48" s="1"/>
      <c r="Z48" s="5">
        <f t="shared" si="23"/>
        <v>-1</v>
      </c>
    </row>
    <row r="49" spans="1:26" s="24" customFormat="1" hidden="1" outlineLevel="2" x14ac:dyDescent="0.25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>
        <v>400</v>
      </c>
      <c r="I49" s="2"/>
      <c r="J49" s="7">
        <f t="shared" si="17"/>
        <v>0</v>
      </c>
      <c r="K49" s="2"/>
      <c r="L49" s="6">
        <f t="shared" si="18"/>
        <v>-400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4800</v>
      </c>
      <c r="U49" s="2"/>
      <c r="V49" s="7">
        <f t="shared" si="21"/>
        <v>0</v>
      </c>
      <c r="W49" s="2"/>
      <c r="X49" s="6">
        <f t="shared" si="22"/>
        <v>-4800</v>
      </c>
      <c r="Y49" s="2"/>
      <c r="Z49" s="7">
        <f t="shared" si="23"/>
        <v>-1</v>
      </c>
    </row>
    <row r="50" spans="1:26" s="26" customFormat="1" outlineLevel="1" collapsed="1" x14ac:dyDescent="0.25">
      <c r="A50" s="25"/>
      <c r="B50" s="12" t="str">
        <f>CONCATENATE("     ","Supplies                                          ")</f>
        <v xml:space="preserve">     Supplies                                          </v>
      </c>
      <c r="C50" s="12"/>
      <c r="D50" s="1">
        <f>SUM(OSRRefD22_7x_0)</f>
        <v>88.19</v>
      </c>
      <c r="E50" s="1"/>
      <c r="F50" s="5">
        <f t="shared" si="16"/>
        <v>0</v>
      </c>
      <c r="G50" s="1"/>
      <c r="H50" s="1">
        <f>SUM(OSRRefH22_7x_0)</f>
        <v>975</v>
      </c>
      <c r="I50" s="1"/>
      <c r="J50" s="5">
        <f t="shared" si="17"/>
        <v>0</v>
      </c>
      <c r="K50" s="1"/>
      <c r="L50" s="1">
        <f t="shared" si="18"/>
        <v>-886.81</v>
      </c>
      <c r="M50" s="1"/>
      <c r="N50" s="5">
        <f t="shared" si="19"/>
        <v>-0.90954871794871794</v>
      </c>
      <c r="O50" s="12"/>
      <c r="P50" s="1">
        <f>SUM(OSRRefP22_7x_0)</f>
        <v>2281.75</v>
      </c>
      <c r="Q50" s="1"/>
      <c r="R50" s="5">
        <f t="shared" si="20"/>
        <v>0</v>
      </c>
      <c r="S50" s="1"/>
      <c r="T50" s="1">
        <f>SUM(OSRRefT22_7x_0)</f>
        <v>11700</v>
      </c>
      <c r="U50" s="1"/>
      <c r="V50" s="5">
        <f t="shared" si="21"/>
        <v>0</v>
      </c>
      <c r="W50" s="1"/>
      <c r="X50" s="1">
        <f t="shared" si="22"/>
        <v>-9418.25</v>
      </c>
      <c r="Y50" s="1"/>
      <c r="Z50" s="5">
        <f t="shared" si="23"/>
        <v>-0.80497863247863244</v>
      </c>
    </row>
    <row r="51" spans="1:26" s="24" customFormat="1" hidden="1" outlineLevel="2" x14ac:dyDescent="0.25">
      <c r="A51" s="27"/>
      <c r="B51" s="11" t="str">
        <f>CONCATENATE("          ", "6241", " - ", "OFFICE EXPENSE")</f>
        <v xml:space="preserve">          6241 - OFFICE EXPENSE</v>
      </c>
      <c r="C51" s="11"/>
      <c r="D51" s="6">
        <v>88.19</v>
      </c>
      <c r="E51" s="2"/>
      <c r="F51" s="7">
        <f t="shared" si="16"/>
        <v>0</v>
      </c>
      <c r="G51" s="2"/>
      <c r="H51" s="6">
        <v>975</v>
      </c>
      <c r="I51" s="2"/>
      <c r="J51" s="7">
        <f t="shared" si="17"/>
        <v>0</v>
      </c>
      <c r="K51" s="2"/>
      <c r="L51" s="6">
        <f t="shared" si="18"/>
        <v>-886.81</v>
      </c>
      <c r="M51" s="2"/>
      <c r="N51" s="7">
        <f t="shared" si="19"/>
        <v>-0.90954871794871794</v>
      </c>
      <c r="O51" s="11"/>
      <c r="P51" s="6">
        <v>1935.33</v>
      </c>
      <c r="Q51" s="2"/>
      <c r="R51" s="7">
        <f t="shared" si="20"/>
        <v>0</v>
      </c>
      <c r="S51" s="2"/>
      <c r="T51" s="6">
        <v>11700</v>
      </c>
      <c r="U51" s="2"/>
      <c r="V51" s="7">
        <f t="shared" si="21"/>
        <v>0</v>
      </c>
      <c r="W51" s="2"/>
      <c r="X51" s="6">
        <f t="shared" si="22"/>
        <v>-9764.67</v>
      </c>
      <c r="Y51" s="2"/>
      <c r="Z51" s="7">
        <f t="shared" si="23"/>
        <v>-0.83458717948717953</v>
      </c>
    </row>
    <row r="52" spans="1:26" s="24" customFormat="1" hidden="1" outlineLevel="2" x14ac:dyDescent="0.25">
      <c r="A52" s="27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346.42</v>
      </c>
      <c r="Q52" s="2"/>
      <c r="R52" s="7">
        <f t="shared" si="20"/>
        <v>0</v>
      </c>
      <c r="S52" s="2"/>
      <c r="T52" s="6"/>
      <c r="U52" s="2"/>
      <c r="V52" s="7">
        <f t="shared" si="21"/>
        <v>0</v>
      </c>
      <c r="W52" s="2"/>
      <c r="X52" s="6">
        <f t="shared" si="22"/>
        <v>346.42</v>
      </c>
      <c r="Y52" s="2"/>
      <c r="Z52" s="7">
        <f t="shared" si="23"/>
        <v>0</v>
      </c>
    </row>
    <row r="53" spans="1:26" s="26" customFormat="1" outlineLevel="1" collapsed="1" x14ac:dyDescent="0.25">
      <c r="A53" s="25"/>
      <c r="B53" s="12" t="str">
        <f>CONCATENATE("     ","Telephone/Data Lines                              ")</f>
        <v xml:space="preserve">     Telephone/Data Lines                              </v>
      </c>
      <c r="C53" s="12"/>
      <c r="D53" s="1">
        <f>SUM(OSRRefD22_8x_0)</f>
        <v>-78</v>
      </c>
      <c r="E53" s="1"/>
      <c r="F53" s="5">
        <f t="shared" ref="F53:F58" si="24">IF(D$12=0,0,D53/D$12)</f>
        <v>0</v>
      </c>
      <c r="G53" s="1"/>
      <c r="H53" s="1">
        <f>SUM(OSRRefH22_8x_0)</f>
        <v>150</v>
      </c>
      <c r="I53" s="1"/>
      <c r="J53" s="5">
        <f t="shared" ref="J53:J58" si="25">IF(H$12=0,0,H53/H$12)</f>
        <v>0</v>
      </c>
      <c r="K53" s="1"/>
      <c r="L53" s="1">
        <f t="shared" ref="L53:L58" si="26">+D53-H53</f>
        <v>-228</v>
      </c>
      <c r="M53" s="1"/>
      <c r="N53" s="5">
        <f t="shared" ref="N53:N58" si="27">IF(H53=0,0,L53/H53)</f>
        <v>-1.52</v>
      </c>
      <c r="O53" s="12"/>
      <c r="P53" s="1">
        <f>SUM(OSRRefP22_8x_0)</f>
        <v>618.38</v>
      </c>
      <c r="Q53" s="1"/>
      <c r="R53" s="5">
        <f t="shared" ref="R53:R58" si="28">IF(P$12=0,0,P53/P$12)</f>
        <v>0</v>
      </c>
      <c r="S53" s="1"/>
      <c r="T53" s="1">
        <f>SUM(OSRRefT22_8x_0)</f>
        <v>1800</v>
      </c>
      <c r="U53" s="1"/>
      <c r="V53" s="5">
        <f t="shared" ref="V53:V58" si="29">IF(T$12=0,0,T53/T$12)</f>
        <v>0</v>
      </c>
      <c r="W53" s="1"/>
      <c r="X53" s="1">
        <f t="shared" ref="X53:X58" si="30">+P53-T53</f>
        <v>-1181.6199999999999</v>
      </c>
      <c r="Y53" s="1"/>
      <c r="Z53" s="5">
        <f t="shared" ref="Z53:Z58" si="31">IF(T53=0,0,X53/T53)</f>
        <v>-0.65645555555555546</v>
      </c>
    </row>
    <row r="54" spans="1:26" s="24" customFormat="1" hidden="1" outlineLevel="2" x14ac:dyDescent="0.25">
      <c r="A54" s="27"/>
      <c r="B54" s="11" t="str">
        <f>CONCATENATE("          ", "6309", " - ", "TELEPHONE")</f>
        <v xml:space="preserve">          6309 - TELEPHONE</v>
      </c>
      <c r="C54" s="11"/>
      <c r="D54" s="6">
        <v>-78</v>
      </c>
      <c r="E54" s="2"/>
      <c r="F54" s="7">
        <f t="shared" si="24"/>
        <v>0</v>
      </c>
      <c r="G54" s="2"/>
      <c r="H54" s="6">
        <v>150</v>
      </c>
      <c r="I54" s="2"/>
      <c r="J54" s="7">
        <f t="shared" si="25"/>
        <v>0</v>
      </c>
      <c r="K54" s="2"/>
      <c r="L54" s="6">
        <f t="shared" si="26"/>
        <v>-228</v>
      </c>
      <c r="M54" s="2"/>
      <c r="N54" s="7">
        <f t="shared" si="27"/>
        <v>-1.52</v>
      </c>
      <c r="O54" s="11"/>
      <c r="P54" s="6">
        <v>618.38</v>
      </c>
      <c r="Q54" s="2"/>
      <c r="R54" s="7">
        <f t="shared" si="28"/>
        <v>0</v>
      </c>
      <c r="S54" s="2"/>
      <c r="T54" s="6">
        <v>1800</v>
      </c>
      <c r="U54" s="2"/>
      <c r="V54" s="7">
        <f t="shared" si="29"/>
        <v>0</v>
      </c>
      <c r="W54" s="2"/>
      <c r="X54" s="6">
        <f t="shared" si="30"/>
        <v>-1181.6199999999999</v>
      </c>
      <c r="Y54" s="2"/>
      <c r="Z54" s="7">
        <f t="shared" si="31"/>
        <v>-0.65645555555555546</v>
      </c>
    </row>
    <row r="55" spans="1:26" s="26" customFormat="1" outlineLevel="1" collapsed="1" x14ac:dyDescent="0.25">
      <c r="A55" s="25"/>
      <c r="B55" s="12" t="str">
        <f>CONCATENATE("     ","Training                                          ")</f>
        <v xml:space="preserve">     Training                                          </v>
      </c>
      <c r="C55" s="12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200</v>
      </c>
      <c r="I55" s="1"/>
      <c r="J55" s="5">
        <f t="shared" si="25"/>
        <v>0</v>
      </c>
      <c r="K55" s="1"/>
      <c r="L55" s="1">
        <f t="shared" si="26"/>
        <v>-200</v>
      </c>
      <c r="M55" s="1"/>
      <c r="N55" s="5">
        <f t="shared" si="27"/>
        <v>-1</v>
      </c>
      <c r="O55" s="12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2400</v>
      </c>
      <c r="U55" s="1"/>
      <c r="V55" s="5">
        <f t="shared" si="29"/>
        <v>0</v>
      </c>
      <c r="W55" s="1"/>
      <c r="X55" s="1">
        <f t="shared" si="30"/>
        <v>-2400</v>
      </c>
      <c r="Y55" s="1"/>
      <c r="Z55" s="5">
        <f t="shared" si="31"/>
        <v>-1</v>
      </c>
    </row>
    <row r="56" spans="1:26" s="24" customFormat="1" hidden="1" outlineLevel="2" x14ac:dyDescent="0.25">
      <c r="A56" s="27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>
        <v>200</v>
      </c>
      <c r="I56" s="2"/>
      <c r="J56" s="7">
        <f t="shared" si="25"/>
        <v>0</v>
      </c>
      <c r="K56" s="2"/>
      <c r="L56" s="6">
        <f t="shared" si="26"/>
        <v>-200</v>
      </c>
      <c r="M56" s="2"/>
      <c r="N56" s="7">
        <f t="shared" si="27"/>
        <v>-1</v>
      </c>
      <c r="O56" s="11"/>
      <c r="P56" s="6"/>
      <c r="Q56" s="2"/>
      <c r="R56" s="7">
        <f t="shared" si="28"/>
        <v>0</v>
      </c>
      <c r="S56" s="2"/>
      <c r="T56" s="6">
        <v>2400</v>
      </c>
      <c r="U56" s="2"/>
      <c r="V56" s="7">
        <f t="shared" si="29"/>
        <v>0</v>
      </c>
      <c r="W56" s="2"/>
      <c r="X56" s="6">
        <f t="shared" si="30"/>
        <v>-2400</v>
      </c>
      <c r="Y56" s="2"/>
      <c r="Z56" s="7">
        <f t="shared" si="31"/>
        <v>-1</v>
      </c>
    </row>
    <row r="57" spans="1:26" s="26" customFormat="1" outlineLevel="1" collapsed="1" x14ac:dyDescent="0.25">
      <c r="A57" s="25"/>
      <c r="B57" s="12" t="str">
        <f>CONCATENATE("     ","Travel                                            ")</f>
        <v xml:space="preserve">     Travel                                            </v>
      </c>
      <c r="C57" s="12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-500</v>
      </c>
      <c r="M57" s="1"/>
      <c r="N57" s="5">
        <f t="shared" si="27"/>
        <v>-1</v>
      </c>
      <c r="O57" s="12"/>
      <c r="P57" s="1">
        <f>SUM(OSRRefP22_10x_0)</f>
        <v>3921.38</v>
      </c>
      <c r="Q57" s="1"/>
      <c r="R57" s="5">
        <f t="shared" si="28"/>
        <v>0</v>
      </c>
      <c r="S57" s="1"/>
      <c r="T57" s="1">
        <f>SUM(OSRRefT22_10x_0)</f>
        <v>6000</v>
      </c>
      <c r="U57" s="1"/>
      <c r="V57" s="5">
        <f t="shared" si="29"/>
        <v>0</v>
      </c>
      <c r="W57" s="1"/>
      <c r="X57" s="1">
        <f t="shared" si="30"/>
        <v>-2078.62</v>
      </c>
      <c r="Y57" s="1"/>
      <c r="Z57" s="5">
        <f t="shared" si="31"/>
        <v>-0.34643666666666667</v>
      </c>
    </row>
    <row r="58" spans="1:26" s="24" customFormat="1" hidden="1" outlineLevel="2" x14ac:dyDescent="0.25">
      <c r="A58" s="27"/>
      <c r="B58" s="11" t="str">
        <f>CONCATENATE("          ", "6292", " - ", "TRAVEL/CONFERENCE")</f>
        <v xml:space="preserve">          6292 - TRAVEL/CONFERENCE</v>
      </c>
      <c r="C58" s="11"/>
      <c r="D58" s="6"/>
      <c r="E58" s="2"/>
      <c r="F58" s="7">
        <f t="shared" si="24"/>
        <v>0</v>
      </c>
      <c r="G58" s="2"/>
      <c r="H58" s="6">
        <v>500</v>
      </c>
      <c r="I58" s="2"/>
      <c r="J58" s="7">
        <f t="shared" si="25"/>
        <v>0</v>
      </c>
      <c r="K58" s="2"/>
      <c r="L58" s="6">
        <f t="shared" si="26"/>
        <v>-500</v>
      </c>
      <c r="M58" s="2"/>
      <c r="N58" s="7">
        <f t="shared" si="27"/>
        <v>-1</v>
      </c>
      <c r="O58" s="11"/>
      <c r="P58" s="6">
        <v>3921.38</v>
      </c>
      <c r="Q58" s="2"/>
      <c r="R58" s="7">
        <f t="shared" si="28"/>
        <v>0</v>
      </c>
      <c r="S58" s="2"/>
      <c r="T58" s="6">
        <v>6000</v>
      </c>
      <c r="U58" s="2"/>
      <c r="V58" s="7">
        <f t="shared" si="29"/>
        <v>0</v>
      </c>
      <c r="W58" s="2"/>
      <c r="X58" s="6">
        <f t="shared" si="30"/>
        <v>-2078.62</v>
      </c>
      <c r="Y58" s="2"/>
      <c r="Z58" s="7">
        <f t="shared" si="31"/>
        <v>-0.34643666666666667</v>
      </c>
    </row>
    <row r="59" spans="1:26" s="60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3">
        <f>IF(D$12=0,0,D60/D$12)</f>
        <v>0</v>
      </c>
      <c r="G60" s="4"/>
      <c r="H60" s="4">
        <f>SUM(0)</f>
        <v>0</v>
      </c>
      <c r="I60" s="4"/>
      <c r="J60" s="13">
        <f>IF(H$12=0,0,H60/H$12)</f>
        <v>0</v>
      </c>
      <c r="K60" s="4"/>
      <c r="L60" s="4">
        <f>+D60-H60</f>
        <v>0</v>
      </c>
      <c r="M60" s="4"/>
      <c r="N60" s="13">
        <f>IF(H60=0,0,L60/H60)</f>
        <v>0</v>
      </c>
      <c r="O60" s="10"/>
      <c r="P60" s="4">
        <f>SUM(0)</f>
        <v>0</v>
      </c>
      <c r="Q60" s="4"/>
      <c r="R60" s="13">
        <f>IF(P$12=0,0,P60/P$12)</f>
        <v>0</v>
      </c>
      <c r="S60" s="4"/>
      <c r="T60" s="4">
        <f>SUM(0)</f>
        <v>0</v>
      </c>
      <c r="U60" s="4"/>
      <c r="V60" s="13">
        <f>IF(T$12=0,0,T60/T$12)</f>
        <v>0</v>
      </c>
      <c r="W60" s="4"/>
      <c r="X60" s="4">
        <f>+P60-T60</f>
        <v>0</v>
      </c>
      <c r="Y60" s="4"/>
      <c r="Z60" s="13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2">
        <f>+D16-D18+D60</f>
        <v>-8294.5400000000009</v>
      </c>
      <c r="E62" s="14"/>
      <c r="F62" s="20">
        <f>IF(D$12=0,0,D62/D$12)</f>
        <v>0</v>
      </c>
      <c r="G62" s="14"/>
      <c r="H62" s="22">
        <f>+H16-H18+H60</f>
        <v>-14359.450389516001</v>
      </c>
      <c r="I62" s="14"/>
      <c r="J62" s="20">
        <f>IF(H$12=0,0,H62/H$12)</f>
        <v>0</v>
      </c>
      <c r="K62" s="15"/>
      <c r="L62" s="22">
        <f>+D62-H62</f>
        <v>6064.9103895160006</v>
      </c>
      <c r="M62" s="15"/>
      <c r="N62" s="20">
        <f>IF(H62=0,0,L62/H62)</f>
        <v>-0.42236368558674509</v>
      </c>
      <c r="O62" s="28"/>
      <c r="P62" s="22">
        <f>+P16-P18+P60</f>
        <v>-106543.27999999998</v>
      </c>
      <c r="Q62" s="14"/>
      <c r="R62" s="20">
        <f>IF(P$12=0,0,P62/P$12)</f>
        <v>0</v>
      </c>
      <c r="S62" s="14"/>
      <c r="T62" s="22">
        <f>+T16-T18+T60</f>
        <v>-189393.38153695804</v>
      </c>
      <c r="U62" s="14"/>
      <c r="V62" s="20">
        <f>IF(T$12=0,0,T62/T$12)</f>
        <v>0</v>
      </c>
      <c r="W62" s="15"/>
      <c r="X62" s="22">
        <f>+P62-T62</f>
        <v>82850.101536958056</v>
      </c>
      <c r="Y62" s="15"/>
      <c r="Z62" s="20">
        <f>IF(T62=0,0,X62/T62)</f>
        <v>-0.43744982461697463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3">
        <f>IF(D$12=0,0,D64/D$12)</f>
        <v>0</v>
      </c>
      <c r="G64" s="4"/>
      <c r="H64" s="4"/>
      <c r="I64" s="4"/>
      <c r="J64" s="13">
        <f>IF(H$12=0,0,H64/H$12)</f>
        <v>0</v>
      </c>
      <c r="K64" s="4"/>
      <c r="L64" s="4">
        <f>+D64-H64</f>
        <v>0</v>
      </c>
      <c r="M64" s="4"/>
      <c r="N64" s="13">
        <f>IF(H64=0,0,L64/H64)</f>
        <v>0</v>
      </c>
      <c r="O64" s="10"/>
      <c r="P64" s="4"/>
      <c r="Q64" s="4"/>
      <c r="R64" s="13">
        <f>IF(P$12=0,0,P64/P$12)</f>
        <v>0</v>
      </c>
      <c r="S64" s="4"/>
      <c r="T64" s="4">
        <v>0</v>
      </c>
      <c r="U64" s="4"/>
      <c r="V64" s="13">
        <f>IF(T$12=0,0,T64/T$12)</f>
        <v>0</v>
      </c>
      <c r="W64" s="4"/>
      <c r="X64" s="4">
        <f>+P64-T64</f>
        <v>0</v>
      </c>
      <c r="Y64" s="4"/>
      <c r="Z64" s="13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1">
        <f>+D62-D64</f>
        <v>-8294.5400000000009</v>
      </c>
      <c r="E66" s="14"/>
      <c r="F66" s="33">
        <f>IF(D$12=0,0,D66/D$12)</f>
        <v>0</v>
      </c>
      <c r="G66" s="14"/>
      <c r="H66" s="31">
        <f>+H62-H64</f>
        <v>-14359.450389516001</v>
      </c>
      <c r="I66" s="14"/>
      <c r="J66" s="33">
        <f>IF(H$12=0,0,H66/H$12)</f>
        <v>0</v>
      </c>
      <c r="K66" s="15"/>
      <c r="L66" s="31">
        <f>D66-H66</f>
        <v>6064.9103895160006</v>
      </c>
      <c r="M66" s="15"/>
      <c r="N66" s="33">
        <f>IF(H66=0,0,L66/H66)</f>
        <v>-0.42236368558674509</v>
      </c>
      <c r="O66" s="28"/>
      <c r="P66" s="31">
        <f>+P62-P64</f>
        <v>-106543.27999999998</v>
      </c>
      <c r="Q66" s="14"/>
      <c r="R66" s="33">
        <f>IF(P$12=0,0,P66/P$12)</f>
        <v>0</v>
      </c>
      <c r="S66" s="14"/>
      <c r="T66" s="31">
        <f>+T62-T64</f>
        <v>-189393.38153695804</v>
      </c>
      <c r="U66" s="14"/>
      <c r="V66" s="33">
        <f>IF(T$12=0,0,T66/T$12)</f>
        <v>0</v>
      </c>
      <c r="W66" s="15"/>
      <c r="X66" s="31">
        <f>P66-T66</f>
        <v>82850.101536958056</v>
      </c>
      <c r="Y66" s="15"/>
      <c r="Z66" s="33">
        <f>IF(T66=0,0,X66/T66)</f>
        <v>-0.43744982461697463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4">
        <f>SUM(D66:D68)</f>
        <v>-8294.5400000000009</v>
      </c>
      <c r="E69" s="14"/>
      <c r="F69" s="35">
        <f>IF(D$12=0,0,D69/D$12)</f>
        <v>0</v>
      </c>
      <c r="G69" s="14"/>
      <c r="H69" s="34">
        <f>SUM(H66:H68)</f>
        <v>-14359.450389516001</v>
      </c>
      <c r="I69" s="14"/>
      <c r="J69" s="35">
        <f>IF(H$12=0,0,H69/H$12)</f>
        <v>0</v>
      </c>
      <c r="K69" s="15"/>
      <c r="L69" s="34">
        <f>+D69-H69</f>
        <v>6064.9103895160006</v>
      </c>
      <c r="M69" s="15"/>
      <c r="N69" s="35">
        <f>IF(H69=0,0,L69/H69)</f>
        <v>-0.42236368558674509</v>
      </c>
      <c r="O69" s="28"/>
      <c r="P69" s="34">
        <f>SUM(P66:P68)</f>
        <v>-106543.27999999998</v>
      </c>
      <c r="Q69" s="14"/>
      <c r="R69" s="35">
        <f>IF(P$12=0,0,P69/P$12)</f>
        <v>0</v>
      </c>
      <c r="S69" s="14"/>
      <c r="T69" s="34">
        <f>SUM(T66:T68)</f>
        <v>-189393.38153695804</v>
      </c>
      <c r="U69" s="14"/>
      <c r="V69" s="35">
        <f>IF(T$12=0,0,T69/T$12)</f>
        <v>0</v>
      </c>
      <c r="W69" s="15"/>
      <c r="X69" s="34">
        <f>+P69-T69</f>
        <v>82850.101536958056</v>
      </c>
      <c r="Y69" s="15"/>
      <c r="Z69" s="35">
        <f>IF(T69=0,0,X69/T69)</f>
        <v>-0.43744982461697463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5">
        <v>44043.473241782405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62" t="s">
        <v>314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3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35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308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208172.59000000003</v>
      </c>
      <c r="E12" s="4"/>
      <c r="F12" s="13"/>
      <c r="G12" s="4"/>
      <c r="H12" s="4">
        <f>SUM(OSRRefH13x_0)</f>
        <v>541866.15128999995</v>
      </c>
      <c r="I12" s="4"/>
      <c r="J12" s="13"/>
      <c r="K12" s="4"/>
      <c r="L12" s="4">
        <f t="shared" ref="L12:L115" si="0">+D12-H12</f>
        <v>-333693.56128999993</v>
      </c>
      <c r="M12" s="4"/>
      <c r="N12" s="13">
        <f t="shared" ref="N12:N115" si="1">IF(H12=0,0,L12/H12)</f>
        <v>-0.61582285679883952</v>
      </c>
      <c r="O12" s="10"/>
      <c r="P12" s="4">
        <f>SUM(OSRRefP13x_0)</f>
        <v>11599536.650000002</v>
      </c>
      <c r="Q12" s="4"/>
      <c r="R12" s="13"/>
      <c r="S12" s="4"/>
      <c r="T12" s="4">
        <f>SUM(OSRRefT13x_0)</f>
        <v>15330998.699990001</v>
      </c>
      <c r="U12" s="4"/>
      <c r="V12" s="13"/>
      <c r="W12" s="4"/>
      <c r="X12" s="4">
        <f t="shared" ref="X12:X115" si="2">+P12-T12</f>
        <v>-3731462.0499899983</v>
      </c>
      <c r="Y12" s="4"/>
      <c r="Z12" s="13">
        <f t="shared" ref="Z12:Z115" si="3">IF(T12=0,0,X12/T12)</f>
        <v>-0.24339327939493152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381611.15129000001</v>
      </c>
      <c r="I13" s="2"/>
      <c r="J13" s="19"/>
      <c r="K13" s="2"/>
      <c r="L13" s="2">
        <f t="shared" si="0"/>
        <v>-381611.15129000001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6553987.6999899996</v>
      </c>
      <c r="U13" s="2"/>
      <c r="V13" s="19"/>
      <c r="W13" s="2"/>
      <c r="X13" s="2">
        <f t="shared" si="2"/>
        <v>-6553987.6999899996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--15904.07</f>
        <v>15904.07</v>
      </c>
      <c r="E14" s="2"/>
      <c r="F14" s="19"/>
      <c r="G14" s="2"/>
      <c r="H14" s="2"/>
      <c r="I14" s="2"/>
      <c r="J14" s="19"/>
      <c r="K14" s="2"/>
      <c r="L14" s="2">
        <f t="shared" si="0"/>
        <v>15904.07</v>
      </c>
      <c r="M14" s="2"/>
      <c r="N14" s="19">
        <f t="shared" si="1"/>
        <v>0</v>
      </c>
      <c r="O14" s="11"/>
      <c r="P14" s="2">
        <f>--2451163.71</f>
        <v>2451163.71</v>
      </c>
      <c r="Q14" s="2"/>
      <c r="R14" s="19"/>
      <c r="S14" s="2"/>
      <c r="T14" s="2"/>
      <c r="U14" s="2"/>
      <c r="V14" s="19"/>
      <c r="W14" s="2"/>
      <c r="X14" s="2">
        <f t="shared" si="2"/>
        <v>2451163.71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--15376.45</f>
        <v>15376.45</v>
      </c>
      <c r="E15" s="2"/>
      <c r="F15" s="19"/>
      <c r="G15" s="2"/>
      <c r="H15" s="2"/>
      <c r="I15" s="2"/>
      <c r="J15" s="19"/>
      <c r="K15" s="2"/>
      <c r="L15" s="2">
        <f t="shared" si="0"/>
        <v>15376.45</v>
      </c>
      <c r="M15" s="2"/>
      <c r="N15" s="19">
        <f t="shared" si="1"/>
        <v>0</v>
      </c>
      <c r="O15" s="11"/>
      <c r="P15" s="2">
        <f>--1271803.19</f>
        <v>1271803.19</v>
      </c>
      <c r="Q15" s="2"/>
      <c r="R15" s="19"/>
      <c r="S15" s="2"/>
      <c r="T15" s="2"/>
      <c r="U15" s="2"/>
      <c r="V15" s="19"/>
      <c r="W15" s="2"/>
      <c r="X15" s="2">
        <f t="shared" si="2"/>
        <v>1271803.19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--895</f>
        <v>895</v>
      </c>
      <c r="E16" s="2"/>
      <c r="F16" s="19"/>
      <c r="G16" s="2"/>
      <c r="H16" s="2"/>
      <c r="I16" s="2"/>
      <c r="J16" s="19"/>
      <c r="K16" s="2"/>
      <c r="L16" s="2">
        <f t="shared" si="0"/>
        <v>895</v>
      </c>
      <c r="M16" s="2"/>
      <c r="N16" s="19">
        <f t="shared" si="1"/>
        <v>0</v>
      </c>
      <c r="O16" s="11"/>
      <c r="P16" s="2">
        <f>--34659.88</f>
        <v>34659.879999999997</v>
      </c>
      <c r="Q16" s="2"/>
      <c r="R16" s="19"/>
      <c r="S16" s="2"/>
      <c r="T16" s="2"/>
      <c r="U16" s="2"/>
      <c r="V16" s="19"/>
      <c r="W16" s="2"/>
      <c r="X16" s="2">
        <f t="shared" si="2"/>
        <v>34659.879999999997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--64.99</f>
        <v>64.989999999999995</v>
      </c>
      <c r="E19" s="2"/>
      <c r="F19" s="19"/>
      <c r="G19" s="2"/>
      <c r="H19" s="2"/>
      <c r="I19" s="2"/>
      <c r="J19" s="19"/>
      <c r="K19" s="2"/>
      <c r="L19" s="2">
        <f t="shared" si="0"/>
        <v>64.989999999999995</v>
      </c>
      <c r="M19" s="2"/>
      <c r="N19" s="19">
        <f t="shared" si="1"/>
        <v>0</v>
      </c>
      <c r="O19" s="11"/>
      <c r="P19" s="2">
        <f>--2778.35</f>
        <v>2778.35</v>
      </c>
      <c r="Q19" s="2"/>
      <c r="R19" s="19"/>
      <c r="S19" s="2"/>
      <c r="T19" s="2"/>
      <c r="U19" s="2"/>
      <c r="V19" s="19"/>
      <c r="W19" s="2"/>
      <c r="X19" s="2">
        <f t="shared" si="2"/>
        <v>2778.35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--13.9</f>
        <v>13.9</v>
      </c>
      <c r="E20" s="2"/>
      <c r="F20" s="19"/>
      <c r="G20" s="2"/>
      <c r="H20" s="2"/>
      <c r="I20" s="2"/>
      <c r="J20" s="19"/>
      <c r="K20" s="2"/>
      <c r="L20" s="2">
        <f t="shared" si="0"/>
        <v>13.9</v>
      </c>
      <c r="M20" s="2"/>
      <c r="N20" s="19">
        <f t="shared" si="1"/>
        <v>0</v>
      </c>
      <c r="O20" s="11"/>
      <c r="P20" s="2">
        <f>--1233.88</f>
        <v>1233.8800000000001</v>
      </c>
      <c r="Q20" s="2"/>
      <c r="R20" s="19"/>
      <c r="S20" s="2"/>
      <c r="T20" s="2"/>
      <c r="U20" s="2"/>
      <c r="V20" s="19"/>
      <c r="W20" s="2"/>
      <c r="X20" s="2">
        <f t="shared" si="2"/>
        <v>1233.8800000000001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3" si="5"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--4179.3</f>
        <v>4179.3</v>
      </c>
      <c r="Q22" s="2"/>
      <c r="R22" s="19"/>
      <c r="S22" s="2"/>
      <c r="T22" s="2"/>
      <c r="U22" s="2"/>
      <c r="V22" s="19"/>
      <c r="W22" s="2"/>
      <c r="X22" s="2">
        <f t="shared" si="2"/>
        <v>4179.3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--3099.74</f>
        <v>3099.74</v>
      </c>
      <c r="E24" s="2"/>
      <c r="F24" s="19"/>
      <c r="G24" s="2"/>
      <c r="H24" s="2"/>
      <c r="I24" s="2"/>
      <c r="J24" s="19"/>
      <c r="K24" s="2"/>
      <c r="L24" s="2">
        <f t="shared" si="0"/>
        <v>3099.74</v>
      </c>
      <c r="M24" s="2"/>
      <c r="N24" s="19">
        <f t="shared" si="1"/>
        <v>0</v>
      </c>
      <c r="O24" s="11"/>
      <c r="P24" s="2">
        <f>--57819.85</f>
        <v>57819.85</v>
      </c>
      <c r="Q24" s="2"/>
      <c r="R24" s="19"/>
      <c r="S24" s="2"/>
      <c r="T24" s="2"/>
      <c r="U24" s="2"/>
      <c r="V24" s="19"/>
      <c r="W24" s="2"/>
      <c r="X24" s="2">
        <f t="shared" si="2"/>
        <v>57819.85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--2531.99</f>
        <v>2531.9899999999998</v>
      </c>
      <c r="E25" s="2"/>
      <c r="F25" s="19"/>
      <c r="G25" s="2"/>
      <c r="H25" s="2"/>
      <c r="I25" s="2"/>
      <c r="J25" s="19"/>
      <c r="K25" s="2"/>
      <c r="L25" s="2">
        <f t="shared" si="0"/>
        <v>2531.9899999999998</v>
      </c>
      <c r="M25" s="2"/>
      <c r="N25" s="19">
        <f t="shared" si="1"/>
        <v>0</v>
      </c>
      <c r="O25" s="11"/>
      <c r="P25" s="2">
        <f>--83341.48</f>
        <v>83341.48</v>
      </c>
      <c r="Q25" s="2"/>
      <c r="R25" s="19"/>
      <c r="S25" s="2"/>
      <c r="T25" s="2"/>
      <c r="U25" s="2"/>
      <c r="V25" s="19"/>
      <c r="W25" s="2"/>
      <c r="X25" s="2">
        <f t="shared" si="2"/>
        <v>83341.48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--4073.06</f>
        <v>4073.06</v>
      </c>
      <c r="E26" s="2"/>
      <c r="F26" s="19"/>
      <c r="G26" s="2"/>
      <c r="H26" s="2"/>
      <c r="I26" s="2"/>
      <c r="J26" s="19"/>
      <c r="K26" s="2"/>
      <c r="L26" s="2">
        <f t="shared" si="0"/>
        <v>4073.06</v>
      </c>
      <c r="M26" s="2"/>
      <c r="N26" s="19">
        <f t="shared" si="1"/>
        <v>0</v>
      </c>
      <c r="O26" s="11"/>
      <c r="P26" s="2">
        <f>--280850.13</f>
        <v>280850.13</v>
      </c>
      <c r="Q26" s="2"/>
      <c r="R26" s="19"/>
      <c r="S26" s="2"/>
      <c r="T26" s="2"/>
      <c r="U26" s="2"/>
      <c r="V26" s="19"/>
      <c r="W26" s="2"/>
      <c r="X26" s="2">
        <f t="shared" si="2"/>
        <v>280850.13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--386.59</f>
        <v>386.59</v>
      </c>
      <c r="E27" s="2"/>
      <c r="F27" s="19"/>
      <c r="G27" s="2"/>
      <c r="H27" s="2"/>
      <c r="I27" s="2"/>
      <c r="J27" s="19"/>
      <c r="K27" s="2"/>
      <c r="L27" s="2">
        <f t="shared" si="0"/>
        <v>386.59</v>
      </c>
      <c r="M27" s="2"/>
      <c r="N27" s="19">
        <f t="shared" si="1"/>
        <v>0</v>
      </c>
      <c r="O27" s="11"/>
      <c r="P27" s="2">
        <f>--293577.64</f>
        <v>293577.64</v>
      </c>
      <c r="Q27" s="2"/>
      <c r="R27" s="19"/>
      <c r="S27" s="2"/>
      <c r="T27" s="2"/>
      <c r="U27" s="2"/>
      <c r="V27" s="19"/>
      <c r="W27" s="2"/>
      <c r="X27" s="2">
        <f t="shared" si="2"/>
        <v>293577.64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--277654.52</f>
        <v>277654.52</v>
      </c>
      <c r="Q29" s="2"/>
      <c r="R29" s="19"/>
      <c r="S29" s="2"/>
      <c r="T29" s="2"/>
      <c r="U29" s="2"/>
      <c r="V29" s="19"/>
      <c r="W29" s="2"/>
      <c r="X29" s="2">
        <f t="shared" si="2"/>
        <v>277654.52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--10925.46</f>
        <v>10925.46</v>
      </c>
      <c r="Q31" s="2"/>
      <c r="R31" s="19"/>
      <c r="S31" s="2"/>
      <c r="T31" s="2"/>
      <c r="U31" s="2"/>
      <c r="V31" s="19"/>
      <c r="W31" s="2"/>
      <c r="X31" s="2">
        <f t="shared" si="2"/>
        <v>10925.46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--46364.3</f>
        <v>46364.3</v>
      </c>
      <c r="E34" s="2"/>
      <c r="F34" s="19"/>
      <c r="G34" s="2"/>
      <c r="H34" s="2"/>
      <c r="I34" s="2"/>
      <c r="J34" s="19"/>
      <c r="K34" s="2"/>
      <c r="L34" s="2">
        <f t="shared" si="0"/>
        <v>46364.3</v>
      </c>
      <c r="M34" s="2"/>
      <c r="N34" s="19">
        <f t="shared" si="1"/>
        <v>0</v>
      </c>
      <c r="O34" s="11"/>
      <c r="P34" s="2">
        <f>--1941274.42</f>
        <v>1941274.42</v>
      </c>
      <c r="Q34" s="2"/>
      <c r="R34" s="19"/>
      <c r="S34" s="2"/>
      <c r="T34" s="2"/>
      <c r="U34" s="2"/>
      <c r="V34" s="19"/>
      <c r="W34" s="2"/>
      <c r="X34" s="2">
        <f t="shared" si="2"/>
        <v>1941274.42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--29904.23</f>
        <v>29904.23</v>
      </c>
      <c r="E35" s="2"/>
      <c r="F35" s="19"/>
      <c r="G35" s="2"/>
      <c r="H35" s="2"/>
      <c r="I35" s="2"/>
      <c r="J35" s="19"/>
      <c r="K35" s="2"/>
      <c r="L35" s="2">
        <f t="shared" si="0"/>
        <v>29904.23</v>
      </c>
      <c r="M35" s="2"/>
      <c r="N35" s="19">
        <f t="shared" si="1"/>
        <v>0</v>
      </c>
      <c r="O35" s="11"/>
      <c r="P35" s="2">
        <f>--556536.79</f>
        <v>556536.79</v>
      </c>
      <c r="Q35" s="2"/>
      <c r="R35" s="19"/>
      <c r="S35" s="2"/>
      <c r="T35" s="2"/>
      <c r="U35" s="2"/>
      <c r="V35" s="19"/>
      <c r="W35" s="2"/>
      <c r="X35" s="2">
        <f t="shared" si="2"/>
        <v>556536.79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--2836.85</f>
        <v>2836.85</v>
      </c>
      <c r="E36" s="2"/>
      <c r="F36" s="19"/>
      <c r="G36" s="2"/>
      <c r="H36" s="2"/>
      <c r="I36" s="2"/>
      <c r="J36" s="19"/>
      <c r="K36" s="2"/>
      <c r="L36" s="2">
        <f t="shared" si="0"/>
        <v>2836.85</v>
      </c>
      <c r="M36" s="2"/>
      <c r="N36" s="19">
        <f t="shared" si="1"/>
        <v>0</v>
      </c>
      <c r="O36" s="11"/>
      <c r="P36" s="2">
        <f>--285558.05</f>
        <v>285558.05</v>
      </c>
      <c r="Q36" s="2"/>
      <c r="R36" s="19"/>
      <c r="S36" s="2"/>
      <c r="T36" s="2"/>
      <c r="U36" s="2"/>
      <c r="V36" s="19"/>
      <c r="W36" s="2"/>
      <c r="X36" s="2">
        <f t="shared" si="2"/>
        <v>285558.05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--54.96</f>
        <v>54.96</v>
      </c>
      <c r="E37" s="2"/>
      <c r="F37" s="19"/>
      <c r="G37" s="2"/>
      <c r="H37" s="2"/>
      <c r="I37" s="2"/>
      <c r="J37" s="19"/>
      <c r="K37" s="2"/>
      <c r="L37" s="2">
        <f t="shared" si="0"/>
        <v>54.96</v>
      </c>
      <c r="M37" s="2"/>
      <c r="N37" s="19">
        <f t="shared" si="1"/>
        <v>0</v>
      </c>
      <c r="O37" s="11"/>
      <c r="P37" s="2">
        <f>--77324.14</f>
        <v>77324.14</v>
      </c>
      <c r="Q37" s="2"/>
      <c r="R37" s="19"/>
      <c r="S37" s="2"/>
      <c r="T37" s="2"/>
      <c r="U37" s="2"/>
      <c r="V37" s="19"/>
      <c r="W37" s="2"/>
      <c r="X37" s="2">
        <f t="shared" si="2"/>
        <v>77324.14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--2524.8</f>
        <v>2524.8000000000002</v>
      </c>
      <c r="E38" s="2"/>
      <c r="F38" s="19"/>
      <c r="G38" s="2"/>
      <c r="H38" s="2"/>
      <c r="I38" s="2"/>
      <c r="J38" s="19"/>
      <c r="K38" s="2"/>
      <c r="L38" s="2">
        <f t="shared" si="0"/>
        <v>2524.8000000000002</v>
      </c>
      <c r="M38" s="2"/>
      <c r="N38" s="19">
        <f t="shared" si="1"/>
        <v>0</v>
      </c>
      <c r="O38" s="11"/>
      <c r="P38" s="2">
        <f>--73780.56</f>
        <v>73780.56</v>
      </c>
      <c r="Q38" s="2"/>
      <c r="R38" s="19"/>
      <c r="S38" s="2"/>
      <c r="T38" s="2"/>
      <c r="U38" s="2"/>
      <c r="V38" s="19"/>
      <c r="W38" s="2"/>
      <c r="X38" s="2">
        <f t="shared" si="2"/>
        <v>73780.56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--26263.53</f>
        <v>26263.53</v>
      </c>
      <c r="E39" s="2"/>
      <c r="F39" s="19"/>
      <c r="G39" s="2"/>
      <c r="H39" s="2"/>
      <c r="I39" s="2"/>
      <c r="J39" s="19"/>
      <c r="K39" s="2"/>
      <c r="L39" s="2">
        <f t="shared" si="0"/>
        <v>26263.53</v>
      </c>
      <c r="M39" s="2"/>
      <c r="N39" s="19">
        <f t="shared" si="1"/>
        <v>0</v>
      </c>
      <c r="O39" s="11"/>
      <c r="P39" s="2">
        <f>--123103.09</f>
        <v>123103.09</v>
      </c>
      <c r="Q39" s="2"/>
      <c r="R39" s="19"/>
      <c r="S39" s="2"/>
      <c r="T39" s="2"/>
      <c r="U39" s="2"/>
      <c r="V39" s="19"/>
      <c r="W39" s="2"/>
      <c r="X39" s="2">
        <f t="shared" si="2"/>
        <v>123103.09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5" si="7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7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--149404.53</f>
        <v>149404.53</v>
      </c>
      <c r="Q41" s="2"/>
      <c r="R41" s="19"/>
      <c r="S41" s="2"/>
      <c r="T41" s="2"/>
      <c r="U41" s="2"/>
      <c r="V41" s="19"/>
      <c r="W41" s="2"/>
      <c r="X41" s="2">
        <f t="shared" si="2"/>
        <v>149404.53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7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--3174.93</f>
        <v>3174.93</v>
      </c>
      <c r="Q42" s="2"/>
      <c r="R42" s="19"/>
      <c r="S42" s="2"/>
      <c r="T42" s="2"/>
      <c r="U42" s="2"/>
      <c r="V42" s="19"/>
      <c r="W42" s="2"/>
      <c r="X42" s="2">
        <f t="shared" si="2"/>
        <v>3174.93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7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--363.94</f>
        <v>363.94</v>
      </c>
      <c r="Q43" s="2"/>
      <c r="R43" s="19"/>
      <c r="S43" s="2"/>
      <c r="T43" s="2"/>
      <c r="U43" s="2"/>
      <c r="V43" s="19"/>
      <c r="W43" s="2"/>
      <c r="X43" s="2">
        <f t="shared" si="2"/>
        <v>363.94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7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--914.33</f>
        <v>914.33</v>
      </c>
      <c r="Q44" s="2"/>
      <c r="R44" s="19"/>
      <c r="S44" s="2"/>
      <c r="T44" s="2"/>
      <c r="U44" s="2"/>
      <c r="V44" s="19"/>
      <c r="W44" s="2"/>
      <c r="X44" s="2">
        <f t="shared" si="2"/>
        <v>914.33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7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--813.74</f>
        <v>813.74</v>
      </c>
      <c r="Q45" s="2"/>
      <c r="R45" s="19"/>
      <c r="S45" s="2"/>
      <c r="T45" s="2"/>
      <c r="U45" s="2"/>
      <c r="V45" s="19"/>
      <c r="W45" s="2"/>
      <c r="X45" s="2">
        <f t="shared" si="2"/>
        <v>813.74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--6332.23</f>
        <v>6332.23</v>
      </c>
      <c r="E46" s="2"/>
      <c r="F46" s="19"/>
      <c r="G46" s="2"/>
      <c r="H46" s="2"/>
      <c r="I46" s="2"/>
      <c r="J46" s="19"/>
      <c r="K46" s="2"/>
      <c r="L46" s="2">
        <f t="shared" si="0"/>
        <v>6332.23</v>
      </c>
      <c r="M46" s="2"/>
      <c r="N46" s="19">
        <f t="shared" si="1"/>
        <v>0</v>
      </c>
      <c r="O46" s="11"/>
      <c r="P46" s="2">
        <f>--41685.94</f>
        <v>41685.94</v>
      </c>
      <c r="Q46" s="2"/>
      <c r="R46" s="19"/>
      <c r="S46" s="2"/>
      <c r="T46" s="2"/>
      <c r="U46" s="2"/>
      <c r="V46" s="19"/>
      <c r="W46" s="2"/>
      <c r="X46" s="2">
        <f t="shared" si="2"/>
        <v>41685.94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--309.26</f>
        <v>309.26</v>
      </c>
      <c r="Q47" s="2"/>
      <c r="R47" s="19"/>
      <c r="S47" s="2"/>
      <c r="T47" s="2"/>
      <c r="U47" s="2"/>
      <c r="V47" s="19"/>
      <c r="W47" s="2"/>
      <c r="X47" s="2">
        <f t="shared" si="2"/>
        <v>309.26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-16200.52</f>
        <v>-16200.52</v>
      </c>
      <c r="E48" s="2"/>
      <c r="F48" s="19"/>
      <c r="G48" s="2"/>
      <c r="H48" s="2">
        <v>160255</v>
      </c>
      <c r="I48" s="2"/>
      <c r="J48" s="19"/>
      <c r="K48" s="2"/>
      <c r="L48" s="2">
        <f t="shared" si="0"/>
        <v>-176455.52</v>
      </c>
      <c r="M48" s="2"/>
      <c r="N48" s="19">
        <f t="shared" si="1"/>
        <v>-1.1010921344107827</v>
      </c>
      <c r="O48" s="11"/>
      <c r="P48" s="2">
        <f>--591246.5</f>
        <v>591246.5</v>
      </c>
      <c r="Q48" s="2"/>
      <c r="R48" s="19"/>
      <c r="S48" s="2"/>
      <c r="T48" s="2">
        <v>8777011</v>
      </c>
      <c r="U48" s="2"/>
      <c r="V48" s="19"/>
      <c r="W48" s="2"/>
      <c r="X48" s="2">
        <f t="shared" si="2"/>
        <v>-8185764.5</v>
      </c>
      <c r="Y48" s="2"/>
      <c r="Z48" s="19">
        <f t="shared" si="3"/>
        <v>-0.93263691933392812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--2671.34</f>
        <v>2671.34</v>
      </c>
      <c r="E49" s="2"/>
      <c r="F49" s="19"/>
      <c r="G49" s="2"/>
      <c r="H49" s="2"/>
      <c r="I49" s="2"/>
      <c r="J49" s="19"/>
      <c r="K49" s="2"/>
      <c r="L49" s="2">
        <f t="shared" si="0"/>
        <v>2671.34</v>
      </c>
      <c r="M49" s="2"/>
      <c r="N49" s="19">
        <f t="shared" si="1"/>
        <v>0</v>
      </c>
      <c r="O49" s="11"/>
      <c r="P49" s="2">
        <f>--153953.68</f>
        <v>153953.68</v>
      </c>
      <c r="Q49" s="2"/>
      <c r="R49" s="19"/>
      <c r="S49" s="2"/>
      <c r="T49" s="2"/>
      <c r="U49" s="2"/>
      <c r="V49" s="19"/>
      <c r="W49" s="2"/>
      <c r="X49" s="2">
        <f t="shared" si="2"/>
        <v>153953.68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--1718.15</f>
        <v>1718.15</v>
      </c>
      <c r="E50" s="2"/>
      <c r="F50" s="19"/>
      <c r="G50" s="2"/>
      <c r="H50" s="2"/>
      <c r="I50" s="2"/>
      <c r="J50" s="19"/>
      <c r="K50" s="2"/>
      <c r="L50" s="2">
        <f t="shared" si="0"/>
        <v>1718.15</v>
      </c>
      <c r="M50" s="2"/>
      <c r="N50" s="19">
        <f t="shared" si="1"/>
        <v>0</v>
      </c>
      <c r="O50" s="11"/>
      <c r="P50" s="2">
        <f>--71943.61</f>
        <v>71943.61</v>
      </c>
      <c r="Q50" s="2"/>
      <c r="R50" s="19"/>
      <c r="S50" s="2"/>
      <c r="T50" s="2"/>
      <c r="U50" s="2"/>
      <c r="V50" s="19"/>
      <c r="W50" s="2"/>
      <c r="X50" s="2">
        <f t="shared" si="2"/>
        <v>71943.61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/>
      <c r="U51" s="2"/>
      <c r="V51" s="19"/>
      <c r="W51" s="2"/>
      <c r="X51" s="2">
        <f t="shared" si="2"/>
        <v>664.97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--1836.93</f>
        <v>1836.93</v>
      </c>
      <c r="E52" s="2"/>
      <c r="F52" s="19"/>
      <c r="G52" s="2"/>
      <c r="H52" s="2"/>
      <c r="I52" s="2"/>
      <c r="J52" s="19"/>
      <c r="K52" s="2"/>
      <c r="L52" s="2">
        <f t="shared" si="0"/>
        <v>1836.93</v>
      </c>
      <c r="M52" s="2"/>
      <c r="N52" s="19">
        <f t="shared" si="1"/>
        <v>0</v>
      </c>
      <c r="O52" s="11"/>
      <c r="P52" s="2">
        <f>--533640.31</f>
        <v>533640.31000000006</v>
      </c>
      <c r="Q52" s="2"/>
      <c r="R52" s="19"/>
      <c r="S52" s="2"/>
      <c r="T52" s="2"/>
      <c r="U52" s="2"/>
      <c r="V52" s="19"/>
      <c r="W52" s="2"/>
      <c r="X52" s="2">
        <f t="shared" si="2"/>
        <v>533640.31000000006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--679.21</f>
        <v>679.21</v>
      </c>
      <c r="E53" s="2"/>
      <c r="F53" s="19"/>
      <c r="G53" s="2"/>
      <c r="H53" s="2"/>
      <c r="I53" s="2"/>
      <c r="J53" s="19"/>
      <c r="K53" s="2"/>
      <c r="L53" s="2">
        <f t="shared" si="0"/>
        <v>679.21</v>
      </c>
      <c r="M53" s="2"/>
      <c r="N53" s="19">
        <f t="shared" si="1"/>
        <v>0</v>
      </c>
      <c r="O53" s="11"/>
      <c r="P53" s="2">
        <f>--16342.67</f>
        <v>16342.67</v>
      </c>
      <c r="Q53" s="2"/>
      <c r="R53" s="19"/>
      <c r="S53" s="2"/>
      <c r="T53" s="2"/>
      <c r="U53" s="2"/>
      <c r="V53" s="19"/>
      <c r="W53" s="2"/>
      <c r="X53" s="2">
        <f t="shared" si="2"/>
        <v>16342.67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 t="shared" ref="D54:D55" si="8"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--8266.16</f>
        <v>8266.16</v>
      </c>
      <c r="Q54" s="2"/>
      <c r="R54" s="19"/>
      <c r="S54" s="2"/>
      <c r="T54" s="2"/>
      <c r="U54" s="2"/>
      <c r="V54" s="19"/>
      <c r="W54" s="2"/>
      <c r="X54" s="2">
        <f t="shared" si="2"/>
        <v>8266.16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"4114", " - ", "NON-TAXABLE SALES-REMAINDERS")</f>
        <v xml:space="preserve">          4114 - NON-TAXABLE SALES-REMAINDERS</v>
      </c>
      <c r="C55" s="11"/>
      <c r="D55" s="2">
        <f t="shared" si="8"/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--3.19</f>
        <v>3.19</v>
      </c>
      <c r="Q55" s="2"/>
      <c r="R55" s="19"/>
      <c r="S55" s="2"/>
      <c r="T55" s="2"/>
      <c r="U55" s="2"/>
      <c r="V55" s="19"/>
      <c r="W55" s="2"/>
      <c r="X55" s="2">
        <f t="shared" si="2"/>
        <v>3.19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>--10.09</f>
        <v>10.09</v>
      </c>
      <c r="E56" s="2"/>
      <c r="F56" s="19"/>
      <c r="G56" s="2"/>
      <c r="H56" s="2"/>
      <c r="I56" s="2"/>
      <c r="J56" s="19"/>
      <c r="K56" s="2"/>
      <c r="L56" s="2">
        <f t="shared" si="0"/>
        <v>10.09</v>
      </c>
      <c r="M56" s="2"/>
      <c r="N56" s="19">
        <f t="shared" si="1"/>
        <v>0</v>
      </c>
      <c r="O56" s="11"/>
      <c r="P56" s="2">
        <f>--126.03</f>
        <v>126.03</v>
      </c>
      <c r="Q56" s="2"/>
      <c r="R56" s="19"/>
      <c r="S56" s="2"/>
      <c r="T56" s="2"/>
      <c r="U56" s="2"/>
      <c r="V56" s="19"/>
      <c r="W56" s="2"/>
      <c r="X56" s="2">
        <f t="shared" si="2"/>
        <v>126.03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"4125", " - ", "NON-TAXABLE SALES-TEST FORMS")</f>
        <v xml:space="preserve">          4125 - NON-TAXABLE SALES-TEST FORMS</v>
      </c>
      <c r="C57" s="11"/>
      <c r="D57" s="2">
        <f>--185</f>
        <v>185</v>
      </c>
      <c r="E57" s="2"/>
      <c r="F57" s="19"/>
      <c r="G57" s="2"/>
      <c r="H57" s="2"/>
      <c r="I57" s="2"/>
      <c r="J57" s="19"/>
      <c r="K57" s="2"/>
      <c r="L57" s="2">
        <f t="shared" si="0"/>
        <v>185</v>
      </c>
      <c r="M57" s="2"/>
      <c r="N57" s="19">
        <f t="shared" si="1"/>
        <v>0</v>
      </c>
      <c r="O57" s="11"/>
      <c r="P57" s="2">
        <f>--452.61</f>
        <v>452.61</v>
      </c>
      <c r="Q57" s="2"/>
      <c r="R57" s="19"/>
      <c r="S57" s="2"/>
      <c r="T57" s="2"/>
      <c r="U57" s="2"/>
      <c r="V57" s="19"/>
      <c r="W57" s="2"/>
      <c r="X57" s="2">
        <f t="shared" si="2"/>
        <v>452.61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>--168.02</f>
        <v>168.02</v>
      </c>
      <c r="E58" s="2"/>
      <c r="F58" s="19"/>
      <c r="G58" s="2"/>
      <c r="H58" s="2"/>
      <c r="I58" s="2"/>
      <c r="J58" s="19"/>
      <c r="K58" s="2"/>
      <c r="L58" s="2">
        <f t="shared" si="0"/>
        <v>168.02</v>
      </c>
      <c r="M58" s="2"/>
      <c r="N58" s="19">
        <f t="shared" si="1"/>
        <v>0</v>
      </c>
      <c r="O58" s="11"/>
      <c r="P58" s="2">
        <f>--3301.44</f>
        <v>3301.44</v>
      </c>
      <c r="Q58" s="2"/>
      <c r="R58" s="19"/>
      <c r="S58" s="2"/>
      <c r="T58" s="2"/>
      <c r="U58" s="2"/>
      <c r="V58" s="19"/>
      <c r="W58" s="2"/>
      <c r="X58" s="2">
        <f t="shared" si="2"/>
        <v>3301.44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--97.62</f>
        <v>97.62</v>
      </c>
      <c r="E59" s="2"/>
      <c r="F59" s="19"/>
      <c r="G59" s="2"/>
      <c r="H59" s="2"/>
      <c r="I59" s="2"/>
      <c r="J59" s="19"/>
      <c r="K59" s="2"/>
      <c r="L59" s="2">
        <f t="shared" si="0"/>
        <v>97.62</v>
      </c>
      <c r="M59" s="2"/>
      <c r="N59" s="19">
        <f t="shared" si="1"/>
        <v>0</v>
      </c>
      <c r="O59" s="11"/>
      <c r="P59" s="2">
        <f>--6471.33</f>
        <v>6471.33</v>
      </c>
      <c r="Q59" s="2"/>
      <c r="R59" s="19"/>
      <c r="S59" s="2"/>
      <c r="T59" s="2"/>
      <c r="U59" s="2"/>
      <c r="V59" s="19"/>
      <c r="W59" s="2"/>
      <c r="X59" s="2">
        <f t="shared" si="2"/>
        <v>6471.33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"4128", " - ", "NON-TAXABLE SALES-ART/TECH")</f>
        <v xml:space="preserve">          4128 - NON-TAXABLE SALES-ART/TECH</v>
      </c>
      <c r="C60" s="11"/>
      <c r="D60" s="2">
        <f>--0.74</f>
        <v>0.74</v>
      </c>
      <c r="E60" s="2"/>
      <c r="F60" s="19"/>
      <c r="G60" s="2"/>
      <c r="H60" s="2"/>
      <c r="I60" s="2"/>
      <c r="J60" s="19"/>
      <c r="K60" s="2"/>
      <c r="L60" s="2">
        <f t="shared" si="0"/>
        <v>0.74</v>
      </c>
      <c r="M60" s="2"/>
      <c r="N60" s="19">
        <f t="shared" si="1"/>
        <v>0</v>
      </c>
      <c r="O60" s="11"/>
      <c r="P60" s="2">
        <f>--731.36</f>
        <v>731.36</v>
      </c>
      <c r="Q60" s="2"/>
      <c r="R60" s="19"/>
      <c r="S60" s="2"/>
      <c r="T60" s="2"/>
      <c r="U60" s="2"/>
      <c r="V60" s="19"/>
      <c r="W60" s="2"/>
      <c r="X60" s="2">
        <f t="shared" si="2"/>
        <v>731.36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"4131", " - ", "NON-TAXABLE SALES-FOOD")</f>
        <v xml:space="preserve">          4131 - NON-TAXABLE SALES-FOOD</v>
      </c>
      <c r="C61" s="11"/>
      <c r="D61" s="2">
        <f>--64.14</f>
        <v>64.14</v>
      </c>
      <c r="E61" s="2"/>
      <c r="F61" s="19"/>
      <c r="G61" s="2"/>
      <c r="H61" s="2"/>
      <c r="I61" s="2"/>
      <c r="J61" s="19"/>
      <c r="K61" s="2"/>
      <c r="L61" s="2">
        <f t="shared" si="0"/>
        <v>64.14</v>
      </c>
      <c r="M61" s="2"/>
      <c r="N61" s="19">
        <f t="shared" si="1"/>
        <v>0</v>
      </c>
      <c r="O61" s="11"/>
      <c r="P61" s="2">
        <f>--57960.32</f>
        <v>57960.32</v>
      </c>
      <c r="Q61" s="2"/>
      <c r="R61" s="19"/>
      <c r="S61" s="2"/>
      <c r="T61" s="2"/>
      <c r="U61" s="2"/>
      <c r="V61" s="19"/>
      <c r="W61" s="2"/>
      <c r="X61" s="2">
        <f t="shared" si="2"/>
        <v>57960.32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"4132", " - ", "NON-TAXABLE SALES-JUICE")</f>
        <v xml:space="preserve">          4132 - NON-TAXABLE SALES-JUICE</v>
      </c>
      <c r="C62" s="11"/>
      <c r="D62" s="2">
        <f>--114.48</f>
        <v>114.48</v>
      </c>
      <c r="E62" s="2"/>
      <c r="F62" s="19"/>
      <c r="G62" s="2"/>
      <c r="H62" s="2"/>
      <c r="I62" s="2"/>
      <c r="J62" s="19"/>
      <c r="K62" s="2"/>
      <c r="L62" s="2">
        <f t="shared" si="0"/>
        <v>114.48</v>
      </c>
      <c r="M62" s="2"/>
      <c r="N62" s="19">
        <f t="shared" si="1"/>
        <v>0</v>
      </c>
      <c r="O62" s="11"/>
      <c r="P62" s="2">
        <f>--1110092.26</f>
        <v>1110092.26</v>
      </c>
      <c r="Q62" s="2"/>
      <c r="R62" s="19"/>
      <c r="S62" s="2"/>
      <c r="T62" s="2"/>
      <c r="U62" s="2"/>
      <c r="V62" s="19"/>
      <c r="W62" s="2"/>
      <c r="X62" s="2">
        <f t="shared" si="2"/>
        <v>1110092.26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"4133", " - ", "NON-TAXABLE SALES-CANDY")</f>
        <v xml:space="preserve">          4133 - NON-TAXABLE SALES-CANDY</v>
      </c>
      <c r="C63" s="11"/>
      <c r="D63" s="2">
        <f>--13.47</f>
        <v>13.47</v>
      </c>
      <c r="E63" s="2"/>
      <c r="F63" s="19"/>
      <c r="G63" s="2"/>
      <c r="H63" s="2"/>
      <c r="I63" s="2"/>
      <c r="J63" s="19"/>
      <c r="K63" s="2"/>
      <c r="L63" s="2">
        <f t="shared" si="0"/>
        <v>13.47</v>
      </c>
      <c r="M63" s="2"/>
      <c r="N63" s="19">
        <f t="shared" si="1"/>
        <v>0</v>
      </c>
      <c r="O63" s="11"/>
      <c r="P63" s="2">
        <f>--18151.79</f>
        <v>18151.79</v>
      </c>
      <c r="Q63" s="2"/>
      <c r="R63" s="19"/>
      <c r="S63" s="2"/>
      <c r="T63" s="2"/>
      <c r="U63" s="2"/>
      <c r="V63" s="19"/>
      <c r="W63" s="2"/>
      <c r="X63" s="2">
        <f t="shared" si="2"/>
        <v>18151.79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"4134", " - ", "NON-TAXABLE SALES-SODA")</f>
        <v xml:space="preserve">          4134 - NON-TAXABLE SALES-SODA</v>
      </c>
      <c r="C64" s="11"/>
      <c r="D64" s="2">
        <f>--4.99</f>
        <v>4.99</v>
      </c>
      <c r="E64" s="2"/>
      <c r="F64" s="19"/>
      <c r="G64" s="2"/>
      <c r="H64" s="2"/>
      <c r="I64" s="2"/>
      <c r="J64" s="19"/>
      <c r="K64" s="2"/>
      <c r="L64" s="2">
        <f t="shared" si="0"/>
        <v>4.99</v>
      </c>
      <c r="M64" s="2"/>
      <c r="N64" s="19">
        <f t="shared" si="1"/>
        <v>0</v>
      </c>
      <c r="O64" s="11"/>
      <c r="P64" s="2">
        <f>--101.72</f>
        <v>101.72</v>
      </c>
      <c r="Q64" s="2"/>
      <c r="R64" s="19"/>
      <c r="S64" s="2"/>
      <c r="T64" s="2"/>
      <c r="U64" s="2"/>
      <c r="V64" s="19"/>
      <c r="W64" s="2"/>
      <c r="X64" s="2">
        <f t="shared" si="2"/>
        <v>101.72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 t="shared" ref="D65:D66" si="9">0</f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--161.4</f>
        <v>161.4</v>
      </c>
      <c r="Q65" s="2"/>
      <c r="R65" s="19"/>
      <c r="S65" s="2"/>
      <c r="T65" s="2"/>
      <c r="U65" s="2"/>
      <c r="V65" s="19"/>
      <c r="W65" s="2"/>
      <c r="X65" s="2">
        <f t="shared" si="2"/>
        <v>161.4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 t="shared" si="9"/>
        <v>0</v>
      </c>
      <c r="E66" s="2"/>
      <c r="F66" s="19"/>
      <c r="G66" s="2"/>
      <c r="H66" s="2"/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--10094.74</f>
        <v>10094.74</v>
      </c>
      <c r="Q66" s="2"/>
      <c r="R66" s="19"/>
      <c r="S66" s="2"/>
      <c r="T66" s="2"/>
      <c r="U66" s="2"/>
      <c r="V66" s="19"/>
      <c r="W66" s="2"/>
      <c r="X66" s="2">
        <f t="shared" si="2"/>
        <v>10094.74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--40740.37</f>
        <v>40740.370000000003</v>
      </c>
      <c r="E67" s="2"/>
      <c r="F67" s="19"/>
      <c r="G67" s="2"/>
      <c r="H67" s="2"/>
      <c r="I67" s="2"/>
      <c r="J67" s="19"/>
      <c r="K67" s="2"/>
      <c r="L67" s="2">
        <f t="shared" si="0"/>
        <v>40740.370000000003</v>
      </c>
      <c r="M67" s="2"/>
      <c r="N67" s="19">
        <f t="shared" si="1"/>
        <v>0</v>
      </c>
      <c r="O67" s="11"/>
      <c r="P67" s="2">
        <f>--176221.13</f>
        <v>176221.13</v>
      </c>
      <c r="Q67" s="2"/>
      <c r="R67" s="19"/>
      <c r="S67" s="2"/>
      <c r="T67" s="2"/>
      <c r="U67" s="2"/>
      <c r="V67" s="19"/>
      <c r="W67" s="2"/>
      <c r="X67" s="2">
        <f t="shared" si="2"/>
        <v>176221.13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--6641.14</f>
        <v>6641.14</v>
      </c>
      <c r="E68" s="2"/>
      <c r="F68" s="19"/>
      <c r="G68" s="2"/>
      <c r="H68" s="2"/>
      <c r="I68" s="2"/>
      <c r="J68" s="19"/>
      <c r="K68" s="2"/>
      <c r="L68" s="2">
        <f t="shared" si="0"/>
        <v>6641.14</v>
      </c>
      <c r="M68" s="2"/>
      <c r="N68" s="19">
        <f t="shared" si="1"/>
        <v>0</v>
      </c>
      <c r="O68" s="11"/>
      <c r="P68" s="2">
        <f>--23601.45</f>
        <v>23601.45</v>
      </c>
      <c r="Q68" s="2"/>
      <c r="R68" s="19"/>
      <c r="S68" s="2"/>
      <c r="T68" s="2"/>
      <c r="U68" s="2"/>
      <c r="V68" s="19"/>
      <c r="W68" s="2"/>
      <c r="X68" s="2">
        <f t="shared" si="2"/>
        <v>23601.45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--1018.52</f>
        <v>1018.52</v>
      </c>
      <c r="E69" s="2"/>
      <c r="F69" s="19"/>
      <c r="G69" s="2"/>
      <c r="H69" s="2"/>
      <c r="I69" s="2"/>
      <c r="J69" s="19"/>
      <c r="K69" s="2"/>
      <c r="L69" s="2">
        <f t="shared" si="0"/>
        <v>1018.52</v>
      </c>
      <c r="M69" s="2"/>
      <c r="N69" s="19">
        <f t="shared" si="1"/>
        <v>0</v>
      </c>
      <c r="O69" s="11"/>
      <c r="P69" s="2">
        <f>--16350.74</f>
        <v>16350.74</v>
      </c>
      <c r="Q69" s="2"/>
      <c r="R69" s="19"/>
      <c r="S69" s="2"/>
      <c r="T69" s="2"/>
      <c r="U69" s="2"/>
      <c r="V69" s="19"/>
      <c r="W69" s="2"/>
      <c r="X69" s="2">
        <f t="shared" si="2"/>
        <v>16350.74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"4143", " - ", "NON-TAXABLE SALES-CARDS")</f>
        <v xml:space="preserve">          4143 - NON-TAXABLE SALES-CARDS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--19.98</f>
        <v>19.98</v>
      </c>
      <c r="Q70" s="2"/>
      <c r="R70" s="19"/>
      <c r="S70" s="2"/>
      <c r="T70" s="2"/>
      <c r="U70" s="2"/>
      <c r="V70" s="19"/>
      <c r="W70" s="2"/>
      <c r="X70" s="2">
        <f t="shared" si="2"/>
        <v>19.98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"4144", " - ", "NON-TAXABLE SALES-ACCESSORIES")</f>
        <v xml:space="preserve">          4144 - NON-TAXABLE SALES-ACCESSORIES</v>
      </c>
      <c r="C71" s="11"/>
      <c r="D71" s="2">
        <f>--386.9</f>
        <v>386.9</v>
      </c>
      <c r="E71" s="2"/>
      <c r="F71" s="19"/>
      <c r="G71" s="2"/>
      <c r="H71" s="2"/>
      <c r="I71" s="2"/>
      <c r="J71" s="19"/>
      <c r="K71" s="2"/>
      <c r="L71" s="2">
        <f t="shared" si="0"/>
        <v>386.9</v>
      </c>
      <c r="M71" s="2"/>
      <c r="N71" s="19">
        <f t="shared" si="1"/>
        <v>0</v>
      </c>
      <c r="O71" s="11"/>
      <c r="P71" s="2">
        <f>--3710.92</f>
        <v>3710.92</v>
      </c>
      <c r="Q71" s="2"/>
      <c r="R71" s="19"/>
      <c r="S71" s="2"/>
      <c r="T71" s="2"/>
      <c r="U71" s="2"/>
      <c r="V71" s="19"/>
      <c r="W71" s="2"/>
      <c r="X71" s="2">
        <f t="shared" si="2"/>
        <v>3710.92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"4145", " - ", "NON-TAXABLE SALES-SPECIAL ORDE")</f>
        <v xml:space="preserve">          4145 - NON-TAXABLE SALES-SPECIAL ORDE</v>
      </c>
      <c r="C72" s="11"/>
      <c r="D72" s="2">
        <f>--19379.5</f>
        <v>19379.5</v>
      </c>
      <c r="E72" s="2"/>
      <c r="F72" s="19"/>
      <c r="G72" s="2"/>
      <c r="H72" s="2"/>
      <c r="I72" s="2"/>
      <c r="J72" s="19"/>
      <c r="K72" s="2"/>
      <c r="L72" s="2">
        <f t="shared" si="0"/>
        <v>19379.5</v>
      </c>
      <c r="M72" s="2"/>
      <c r="N72" s="19">
        <f t="shared" si="1"/>
        <v>0</v>
      </c>
      <c r="O72" s="11"/>
      <c r="P72" s="2">
        <f>--27208.18</f>
        <v>27208.18</v>
      </c>
      <c r="Q72" s="2"/>
      <c r="R72" s="19"/>
      <c r="S72" s="2"/>
      <c r="T72" s="2"/>
      <c r="U72" s="2"/>
      <c r="V72" s="19"/>
      <c r="W72" s="2"/>
      <c r="X72" s="2">
        <f t="shared" si="2"/>
        <v>27208.18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"4146", " - ", "NON-TAXABLE SALES-COIN OP MACH")</f>
        <v xml:space="preserve">          4146 - NON-TAXABLE SALES-COIN OP MACH</v>
      </c>
      <c r="C73" s="11"/>
      <c r="D73" s="2">
        <f t="shared" ref="D73:D79" si="10"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--205908.65</f>
        <v>205908.65</v>
      </c>
      <c r="Q73" s="2"/>
      <c r="R73" s="19"/>
      <c r="S73" s="2"/>
      <c r="T73" s="2"/>
      <c r="U73" s="2"/>
      <c r="V73" s="19"/>
      <c r="W73" s="2"/>
      <c r="X73" s="2">
        <f t="shared" si="2"/>
        <v>205908.65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"4147", " - ", "NON-TAXABLE SALES-MISC")</f>
        <v xml:space="preserve">          4147 - NON-TAXABLE SALES-MISC</v>
      </c>
      <c r="C74" s="11"/>
      <c r="D74" s="2">
        <f t="shared" si="10"/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--3446.37</f>
        <v>3446.37</v>
      </c>
      <c r="Q74" s="2"/>
      <c r="R74" s="19"/>
      <c r="S74" s="2"/>
      <c r="T74" s="2"/>
      <c r="U74" s="2"/>
      <c r="V74" s="19"/>
      <c r="W74" s="2"/>
      <c r="X74" s="2">
        <f t="shared" si="2"/>
        <v>3446.37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"4151", " - ", "NON-TAXABLE SALES-FOOD")</f>
        <v xml:space="preserve">          4151 - NON-TAXABLE SALES-FOOD</v>
      </c>
      <c r="C75" s="11"/>
      <c r="D75" s="2">
        <f t="shared" si="10"/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--828068.07</f>
        <v>828068.07</v>
      </c>
      <c r="Q75" s="2"/>
      <c r="R75" s="19"/>
      <c r="S75" s="2"/>
      <c r="T75" s="2"/>
      <c r="U75" s="2"/>
      <c r="V75" s="19"/>
      <c r="W75" s="2"/>
      <c r="X75" s="2">
        <f t="shared" si="2"/>
        <v>828068.07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"4153", " - ", "NON-TAXABLE SALES-FOOD")</f>
        <v xml:space="preserve">          4153 - NON-TAXABLE SALES-FOOD</v>
      </c>
      <c r="C76" s="11"/>
      <c r="D76" s="2">
        <f t="shared" si="10"/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--12812.5</f>
        <v>12812.5</v>
      </c>
      <c r="Q76" s="2"/>
      <c r="R76" s="19"/>
      <c r="S76" s="2"/>
      <c r="T76" s="2"/>
      <c r="U76" s="2"/>
      <c r="V76" s="19"/>
      <c r="W76" s="2"/>
      <c r="X76" s="2">
        <f t="shared" si="2"/>
        <v>12812.5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"4186", " - ", "NON-TAXABLE SALES-COMPUTER SUP")</f>
        <v xml:space="preserve">          4186 - NON-TAXABLE SALES-COMPUTER SUP</v>
      </c>
      <c r="C77" s="11"/>
      <c r="D77" s="2">
        <f t="shared" si="10"/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-30.97</f>
        <v>-30.97</v>
      </c>
      <c r="Q77" s="2"/>
      <c r="R77" s="19"/>
      <c r="S77" s="2"/>
      <c r="T77" s="2"/>
      <c r="U77" s="2"/>
      <c r="V77" s="19"/>
      <c r="W77" s="2"/>
      <c r="X77" s="2">
        <f t="shared" si="2"/>
        <v>-30.97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"4192", " - ", "NON-TAXABLE SALES-GRAD MERCH")</f>
        <v xml:space="preserve">          4192 - NON-TAXABLE SALES-GRAD MERCH</v>
      </c>
      <c r="C78" s="11"/>
      <c r="D78" s="2">
        <f t="shared" si="10"/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--119.4</f>
        <v>119.4</v>
      </c>
      <c r="Q78" s="2"/>
      <c r="R78" s="19"/>
      <c r="S78" s="2"/>
      <c r="T78" s="2"/>
      <c r="U78" s="2"/>
      <c r="V78" s="19"/>
      <c r="W78" s="2"/>
      <c r="X78" s="2">
        <f t="shared" si="2"/>
        <v>119.4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"4201", " - ", "SALES RETURN TAXABLE-NEW TEXT")</f>
        <v xml:space="preserve">          4201 - SALES RETURN TAXABLE-NEW TEXT</v>
      </c>
      <c r="C79" s="11"/>
      <c r="D79" s="2">
        <f t="shared" si="10"/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-121451.61</f>
        <v>-121451.61</v>
      </c>
      <c r="Q79" s="2"/>
      <c r="R79" s="19"/>
      <c r="S79" s="2"/>
      <c r="T79" s="2"/>
      <c r="U79" s="2"/>
      <c r="V79" s="19"/>
      <c r="W79" s="2"/>
      <c r="X79" s="2">
        <f t="shared" si="2"/>
        <v>-121451.61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"4202", " - ", "SALES RETURN TAXABLE-USED TEXT")</f>
        <v xml:space="preserve">          4202 - SALES RETURN TAXABLE-USED TEXT</v>
      </c>
      <c r="C80" s="11"/>
      <c r="D80" s="2">
        <f>-186.35</f>
        <v>-186.35</v>
      </c>
      <c r="E80" s="2"/>
      <c r="F80" s="19"/>
      <c r="G80" s="2"/>
      <c r="H80" s="2"/>
      <c r="I80" s="2"/>
      <c r="J80" s="19"/>
      <c r="K80" s="2"/>
      <c r="L80" s="2">
        <f t="shared" si="0"/>
        <v>-186.35</v>
      </c>
      <c r="M80" s="2"/>
      <c r="N80" s="19">
        <f t="shared" si="1"/>
        <v>0</v>
      </c>
      <c r="O80" s="11"/>
      <c r="P80" s="2">
        <f>-45799.46</f>
        <v>-45799.46</v>
      </c>
      <c r="Q80" s="2"/>
      <c r="R80" s="19"/>
      <c r="S80" s="2"/>
      <c r="T80" s="2"/>
      <c r="U80" s="2"/>
      <c r="V80" s="19"/>
      <c r="W80" s="2"/>
      <c r="X80" s="2">
        <f t="shared" si="2"/>
        <v>-45799.46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"4203", " - ", "SALES RETURN TAXABLE-RENTAL TE")</f>
        <v xml:space="preserve">          4203 - SALES RETURN TAXABLE-RENTAL TE</v>
      </c>
      <c r="C81" s="11"/>
      <c r="D81" s="2">
        <f t="shared" ref="D81:D82" si="11">0</f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-144.99</f>
        <v>-144.99</v>
      </c>
      <c r="Q81" s="2"/>
      <c r="R81" s="19"/>
      <c r="S81" s="2"/>
      <c r="T81" s="2"/>
      <c r="U81" s="2"/>
      <c r="V81" s="19"/>
      <c r="W81" s="2"/>
      <c r="X81" s="2">
        <f t="shared" si="2"/>
        <v>-144.99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"4204", " - ", "SALES RETURN TAXABLE-DIGITAL T")</f>
        <v xml:space="preserve">          4204 - SALES RETURN TAXABLE-DIGITAL T</v>
      </c>
      <c r="C82" s="11"/>
      <c r="D82" s="2">
        <f t="shared" si="11"/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-17255.33</f>
        <v>-17255.330000000002</v>
      </c>
      <c r="Q82" s="2"/>
      <c r="R82" s="19"/>
      <c r="S82" s="2"/>
      <c r="T82" s="2"/>
      <c r="U82" s="2"/>
      <c r="V82" s="19"/>
      <c r="W82" s="2"/>
      <c r="X82" s="2">
        <f t="shared" si="2"/>
        <v>-17255.330000000002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"4213", " - ", "NON-TAXABLE SALES-TRADE BOOKS")</f>
        <v xml:space="preserve">          4213 - NON-TAXABLE SALES-TRADE BOOKS</v>
      </c>
      <c r="C83" s="11"/>
      <c r="D83" s="2">
        <f>-100.7</f>
        <v>-100.7</v>
      </c>
      <c r="E83" s="2"/>
      <c r="F83" s="19"/>
      <c r="G83" s="2"/>
      <c r="H83" s="2"/>
      <c r="I83" s="2"/>
      <c r="J83" s="19"/>
      <c r="K83" s="2"/>
      <c r="L83" s="2">
        <f t="shared" si="0"/>
        <v>-100.7</v>
      </c>
      <c r="M83" s="2"/>
      <c r="N83" s="19">
        <f t="shared" si="1"/>
        <v>0</v>
      </c>
      <c r="O83" s="11"/>
      <c r="P83" s="2">
        <f>-2869.37</f>
        <v>-2869.37</v>
      </c>
      <c r="Q83" s="2"/>
      <c r="R83" s="19"/>
      <c r="S83" s="2"/>
      <c r="T83" s="2"/>
      <c r="U83" s="2"/>
      <c r="V83" s="19"/>
      <c r="W83" s="2"/>
      <c r="X83" s="2">
        <f t="shared" si="2"/>
        <v>-2869.37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"4214", " - ", "SALES RETURN TAXABLE-REMAINDER")</f>
        <v xml:space="preserve">          4214 - SALES RETURN TAXABLE-REMAINDER</v>
      </c>
      <c r="C84" s="11"/>
      <c r="D84" s="2">
        <f t="shared" ref="D84:D88" si="12">0</f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-11.94</f>
        <v>-11.94</v>
      </c>
      <c r="Q84" s="2"/>
      <c r="R84" s="19"/>
      <c r="S84" s="2"/>
      <c r="T84" s="2"/>
      <c r="U84" s="2"/>
      <c r="V84" s="19"/>
      <c r="W84" s="2"/>
      <c r="X84" s="2">
        <f t="shared" si="2"/>
        <v>-11.94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"4217", " - ", "NON-TAXABLE SALES-DORM/HOUSEWA")</f>
        <v xml:space="preserve">          4217 - NON-TAXABLE SALES-DORM/HOUSEWA</v>
      </c>
      <c r="C85" s="11"/>
      <c r="D85" s="2">
        <f t="shared" si="12"/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-2.98</f>
        <v>-2.98</v>
      </c>
      <c r="Q85" s="2"/>
      <c r="R85" s="19"/>
      <c r="S85" s="2"/>
      <c r="T85" s="2"/>
      <c r="U85" s="2"/>
      <c r="V85" s="19"/>
      <c r="W85" s="2"/>
      <c r="X85" s="2">
        <f t="shared" si="2"/>
        <v>-2.98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"4218", " - ", "SALES RETURN TAXABLE-STUDY GUI")</f>
        <v xml:space="preserve">          4218 - SALES RETURN TAXABLE-STUDY GUI</v>
      </c>
      <c r="C86" s="11"/>
      <c r="D86" s="2">
        <f t="shared" si="12"/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-39.25</f>
        <v>-39.25</v>
      </c>
      <c r="Q86" s="2"/>
      <c r="R86" s="19"/>
      <c r="S86" s="2"/>
      <c r="T86" s="2"/>
      <c r="U86" s="2"/>
      <c r="V86" s="19"/>
      <c r="W86" s="2"/>
      <c r="X86" s="2">
        <f t="shared" si="2"/>
        <v>-39.25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"4225", " - ", "SALES RETURN TAXABLE-TEST FORM")</f>
        <v xml:space="preserve">          4225 - SALES RETURN TAXABLE-TEST FORM</v>
      </c>
      <c r="C87" s="11"/>
      <c r="D87" s="2">
        <f t="shared" si="12"/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-205.91</f>
        <v>-205.91</v>
      </c>
      <c r="Q87" s="2"/>
      <c r="R87" s="19"/>
      <c r="S87" s="2"/>
      <c r="T87" s="2"/>
      <c r="U87" s="2"/>
      <c r="V87" s="19"/>
      <c r="W87" s="2"/>
      <c r="X87" s="2">
        <f t="shared" si="2"/>
        <v>-205.91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"4226", " - ", "SALES RETURN TAXABLE-WRITING I")</f>
        <v xml:space="preserve">          4226 - SALES RETURN TAXABLE-WRITING I</v>
      </c>
      <c r="C88" s="11"/>
      <c r="D88" s="2">
        <f t="shared" si="12"/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-924.44</f>
        <v>-924.44</v>
      </c>
      <c r="Q88" s="2"/>
      <c r="R88" s="19"/>
      <c r="S88" s="2"/>
      <c r="T88" s="2"/>
      <c r="U88" s="2"/>
      <c r="V88" s="19"/>
      <c r="W88" s="2"/>
      <c r="X88" s="2">
        <f t="shared" si="2"/>
        <v>-924.44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"4227", " - ", "SALES RETURN TAXABLE-SCHOOL SU")</f>
        <v xml:space="preserve">          4227 - SALES RETURN TAXABLE-SCHOOL SU</v>
      </c>
      <c r="C89" s="11"/>
      <c r="D89" s="2">
        <f>-81.87</f>
        <v>-81.87</v>
      </c>
      <c r="E89" s="2"/>
      <c r="F89" s="19"/>
      <c r="G89" s="2"/>
      <c r="H89" s="2"/>
      <c r="I89" s="2"/>
      <c r="J89" s="19"/>
      <c r="K89" s="2"/>
      <c r="L89" s="2">
        <f t="shared" si="0"/>
        <v>-81.87</v>
      </c>
      <c r="M89" s="2"/>
      <c r="N89" s="19">
        <f t="shared" si="1"/>
        <v>0</v>
      </c>
      <c r="O89" s="11"/>
      <c r="P89" s="2">
        <f>-8728.9</f>
        <v>-8728.9</v>
      </c>
      <c r="Q89" s="2"/>
      <c r="R89" s="19"/>
      <c r="S89" s="2"/>
      <c r="T89" s="2"/>
      <c r="U89" s="2"/>
      <c r="V89" s="19"/>
      <c r="W89" s="2"/>
      <c r="X89" s="2">
        <f t="shared" si="2"/>
        <v>-8728.9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"4228", " - ", "SALES RETURN TAXABLE-ART/TECH")</f>
        <v xml:space="preserve">          4228 - SALES RETURN TAXABLE-ART/TECH</v>
      </c>
      <c r="C90" s="11"/>
      <c r="D90" s="2">
        <f t="shared" ref="D90:D91" si="13">0</f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-4739.1</f>
        <v>-4739.1000000000004</v>
      </c>
      <c r="Q90" s="2"/>
      <c r="R90" s="19"/>
      <c r="S90" s="2"/>
      <c r="T90" s="2"/>
      <c r="U90" s="2"/>
      <c r="V90" s="19"/>
      <c r="W90" s="2"/>
      <c r="X90" s="2">
        <f t="shared" si="2"/>
        <v>-4739.1000000000004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"4233", " - ", "SALES RETURN TAXABLE-CANDY")</f>
        <v xml:space="preserve">          4233 - SALES RETURN TAXABLE-CANDY</v>
      </c>
      <c r="C91" s="11"/>
      <c r="D91" s="2">
        <f t="shared" si="13"/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-8.25</f>
        <v>-8.25</v>
      </c>
      <c r="Q91" s="2"/>
      <c r="R91" s="19"/>
      <c r="S91" s="2"/>
      <c r="T91" s="2"/>
      <c r="U91" s="2"/>
      <c r="V91" s="19"/>
      <c r="W91" s="2"/>
      <c r="X91" s="2">
        <f t="shared" si="2"/>
        <v>-8.25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"4240", " - ", "SALES RETURN TAXABLE-LOGO CLOT")</f>
        <v xml:space="preserve">          4240 - SALES RETURN TAXABLE-LOGO CLOT</v>
      </c>
      <c r="C92" s="11"/>
      <c r="D92" s="2">
        <f>-2702.34</f>
        <v>-2702.34</v>
      </c>
      <c r="E92" s="2"/>
      <c r="F92" s="19"/>
      <c r="G92" s="2"/>
      <c r="H92" s="2"/>
      <c r="I92" s="2"/>
      <c r="J92" s="19"/>
      <c r="K92" s="2"/>
      <c r="L92" s="2">
        <f t="shared" si="0"/>
        <v>-2702.34</v>
      </c>
      <c r="M92" s="2"/>
      <c r="N92" s="19">
        <f t="shared" si="1"/>
        <v>0</v>
      </c>
      <c r="O92" s="11"/>
      <c r="P92" s="2">
        <f>-80387.11</f>
        <v>-80387.11</v>
      </c>
      <c r="Q92" s="2"/>
      <c r="R92" s="19"/>
      <c r="S92" s="2"/>
      <c r="T92" s="2"/>
      <c r="U92" s="2"/>
      <c r="V92" s="19"/>
      <c r="W92" s="2"/>
      <c r="X92" s="2">
        <f t="shared" si="2"/>
        <v>-80387.11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"4241", " - ", "SALES RETURN TAXABLE-LOGO GIFT")</f>
        <v xml:space="preserve">          4241 - SALES RETURN TAXABLE-LOGO GIFT</v>
      </c>
      <c r="C93" s="11"/>
      <c r="D93" s="2">
        <f>-525.51</f>
        <v>-525.51</v>
      </c>
      <c r="E93" s="2"/>
      <c r="F93" s="19"/>
      <c r="G93" s="2"/>
      <c r="H93" s="2"/>
      <c r="I93" s="2"/>
      <c r="J93" s="19"/>
      <c r="K93" s="2"/>
      <c r="L93" s="2">
        <f t="shared" si="0"/>
        <v>-525.51</v>
      </c>
      <c r="M93" s="2"/>
      <c r="N93" s="19">
        <f t="shared" si="1"/>
        <v>0</v>
      </c>
      <c r="O93" s="11"/>
      <c r="P93" s="2">
        <f>-7990.78</f>
        <v>-7990.78</v>
      </c>
      <c r="Q93" s="2"/>
      <c r="R93" s="19"/>
      <c r="S93" s="2"/>
      <c r="T93" s="2"/>
      <c r="U93" s="2"/>
      <c r="V93" s="19"/>
      <c r="W93" s="2"/>
      <c r="X93" s="2">
        <f t="shared" si="2"/>
        <v>-7990.78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"4242", " - ", "SALES RETURN TAXABLE-EVERYDAY")</f>
        <v xml:space="preserve">          4242 - SALES RETURN TAXABLE-EVERYDAY</v>
      </c>
      <c r="C94" s="11"/>
      <c r="D94" s="2">
        <f>-51.44</f>
        <v>-51.44</v>
      </c>
      <c r="E94" s="2"/>
      <c r="F94" s="19"/>
      <c r="G94" s="2"/>
      <c r="H94" s="2"/>
      <c r="I94" s="2"/>
      <c r="J94" s="19"/>
      <c r="K94" s="2"/>
      <c r="L94" s="2">
        <f t="shared" si="0"/>
        <v>-51.44</v>
      </c>
      <c r="M94" s="2"/>
      <c r="N94" s="19">
        <f t="shared" si="1"/>
        <v>0</v>
      </c>
      <c r="O94" s="11"/>
      <c r="P94" s="2">
        <f>-4232.85</f>
        <v>-4232.8500000000004</v>
      </c>
      <c r="Q94" s="2"/>
      <c r="R94" s="19"/>
      <c r="S94" s="2"/>
      <c r="T94" s="2"/>
      <c r="U94" s="2"/>
      <c r="V94" s="19"/>
      <c r="W94" s="2"/>
      <c r="X94" s="2">
        <f t="shared" si="2"/>
        <v>-4232.8500000000004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"4243", " - ", "SALES RETURN TAXABLE-CARDS")</f>
        <v xml:space="preserve">          4243 - SALES RETURN TAXABLE-CARDS</v>
      </c>
      <c r="C95" s="11"/>
      <c r="D95" s="2">
        <f>-19.99</f>
        <v>-19.989999999999998</v>
      </c>
      <c r="E95" s="2"/>
      <c r="F95" s="19"/>
      <c r="G95" s="2"/>
      <c r="H95" s="2"/>
      <c r="I95" s="2"/>
      <c r="J95" s="19"/>
      <c r="K95" s="2"/>
      <c r="L95" s="2">
        <f t="shared" si="0"/>
        <v>-19.989999999999998</v>
      </c>
      <c r="M95" s="2"/>
      <c r="N95" s="19">
        <f t="shared" si="1"/>
        <v>0</v>
      </c>
      <c r="O95" s="11"/>
      <c r="P95" s="2">
        <f>-3026.3</f>
        <v>-3026.3</v>
      </c>
      <c r="Q95" s="2"/>
      <c r="R95" s="19"/>
      <c r="S95" s="2"/>
      <c r="T95" s="2"/>
      <c r="U95" s="2"/>
      <c r="V95" s="19"/>
      <c r="W95" s="2"/>
      <c r="X95" s="2">
        <f t="shared" si="2"/>
        <v>-3026.3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"4244", " - ", "SALES RETURN TAXABLE-ACCESSORI")</f>
        <v xml:space="preserve">          4244 - SALES RETURN TAXABLE-ACCESSORI</v>
      </c>
      <c r="C96" s="11"/>
      <c r="D96" s="2">
        <f>0</f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-2726.41</f>
        <v>-2726.41</v>
      </c>
      <c r="Q96" s="2"/>
      <c r="R96" s="19"/>
      <c r="S96" s="2"/>
      <c r="T96" s="2"/>
      <c r="U96" s="2"/>
      <c r="V96" s="19"/>
      <c r="W96" s="2"/>
      <c r="X96" s="2">
        <f t="shared" si="2"/>
        <v>-2726.41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"4245", " - ", "SALES RETURN TAXABLE-SPECIAL O")</f>
        <v xml:space="preserve">          4245 - SALES RETURN TAXABLE-SPECIAL O</v>
      </c>
      <c r="C97" s="11"/>
      <c r="D97" s="2">
        <f>-2187.5</f>
        <v>-2187.5</v>
      </c>
      <c r="E97" s="2"/>
      <c r="F97" s="19"/>
      <c r="G97" s="2"/>
      <c r="H97" s="2"/>
      <c r="I97" s="2"/>
      <c r="J97" s="19"/>
      <c r="K97" s="2"/>
      <c r="L97" s="2">
        <f t="shared" si="0"/>
        <v>-2187.5</v>
      </c>
      <c r="M97" s="2"/>
      <c r="N97" s="19">
        <f t="shared" si="1"/>
        <v>0</v>
      </c>
      <c r="O97" s="11"/>
      <c r="P97" s="2">
        <f>-4097.53</f>
        <v>-4097.53</v>
      </c>
      <c r="Q97" s="2"/>
      <c r="R97" s="19"/>
      <c r="S97" s="2"/>
      <c r="T97" s="2"/>
      <c r="U97" s="2"/>
      <c r="V97" s="19"/>
      <c r="W97" s="2"/>
      <c r="X97" s="2">
        <f t="shared" si="2"/>
        <v>-4097.53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"4281", " - ", "SALES RETURN TAXABLE-ELECTRONI")</f>
        <v xml:space="preserve">          4281 - SALES RETURN TAXABLE-ELECTRONI</v>
      </c>
      <c r="C98" s="11"/>
      <c r="D98" s="2">
        <f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-54.97</f>
        <v>-54.97</v>
      </c>
      <c r="Q98" s="2"/>
      <c r="R98" s="19"/>
      <c r="S98" s="2"/>
      <c r="T98" s="2"/>
      <c r="U98" s="2"/>
      <c r="V98" s="19"/>
      <c r="W98" s="2"/>
      <c r="X98" s="2">
        <f t="shared" si="2"/>
        <v>-54.97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"4292", " - ", "SALES RETURN TAXABLE-GRAD MERC")</f>
        <v xml:space="preserve">          4292 - SALES RETURN TAXABLE-GRAD MERC</v>
      </c>
      <c r="C99" s="11"/>
      <c r="D99" s="2">
        <f>-214.68</f>
        <v>-214.68</v>
      </c>
      <c r="E99" s="2"/>
      <c r="F99" s="19"/>
      <c r="G99" s="2"/>
      <c r="H99" s="2"/>
      <c r="I99" s="2"/>
      <c r="J99" s="19"/>
      <c r="K99" s="2"/>
      <c r="L99" s="2">
        <f t="shared" si="0"/>
        <v>-214.68</v>
      </c>
      <c r="M99" s="2"/>
      <c r="N99" s="19">
        <f t="shared" si="1"/>
        <v>0</v>
      </c>
      <c r="O99" s="11"/>
      <c r="P99" s="2">
        <f>-793.52</f>
        <v>-793.52</v>
      </c>
      <c r="Q99" s="2"/>
      <c r="R99" s="19"/>
      <c r="S99" s="2"/>
      <c r="T99" s="2"/>
      <c r="U99" s="2"/>
      <c r="V99" s="19"/>
      <c r="W99" s="2"/>
      <c r="X99" s="2">
        <f t="shared" si="2"/>
        <v>-793.52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"4295", " - ", "SALES RETURN TAXABLE-CUSTOMER")</f>
        <v xml:space="preserve">          4295 - SALES RETURN TAXABLE-CUSTOMER</v>
      </c>
      <c r="C100" s="11"/>
      <c r="D100" s="2">
        <f>0</f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--0.99</f>
        <v>0.99</v>
      </c>
      <c r="Q100" s="2"/>
      <c r="R100" s="19"/>
      <c r="S100" s="2"/>
      <c r="T100" s="2"/>
      <c r="U100" s="2"/>
      <c r="V100" s="19"/>
      <c r="W100" s="2"/>
      <c r="X100" s="2">
        <f t="shared" si="2"/>
        <v>0.99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"4301", " - ", "SALES RETURN NON TAXABLE-NEW T")</f>
        <v xml:space="preserve">          4301 - SALES RETURN NON TAXABLE-NEW T</v>
      </c>
      <c r="C101" s="11"/>
      <c r="D101" s="2">
        <f>-253.49</f>
        <v>-253.49</v>
      </c>
      <c r="E101" s="2"/>
      <c r="F101" s="19"/>
      <c r="G101" s="2"/>
      <c r="H101" s="2"/>
      <c r="I101" s="2"/>
      <c r="J101" s="19"/>
      <c r="K101" s="2"/>
      <c r="L101" s="2">
        <f t="shared" si="0"/>
        <v>-253.49</v>
      </c>
      <c r="M101" s="2"/>
      <c r="N101" s="19">
        <f t="shared" si="1"/>
        <v>0</v>
      </c>
      <c r="O101" s="11"/>
      <c r="P101" s="2">
        <f>-21543.36</f>
        <v>-21543.360000000001</v>
      </c>
      <c r="Q101" s="2"/>
      <c r="R101" s="19"/>
      <c r="S101" s="2"/>
      <c r="T101" s="2"/>
      <c r="U101" s="2"/>
      <c r="V101" s="19"/>
      <c r="W101" s="2"/>
      <c r="X101" s="2">
        <f t="shared" si="2"/>
        <v>-21543.360000000001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"4302", " - ", "SALES RETURN NON TAXABLE-TEXT")</f>
        <v xml:space="preserve">          4302 - SALES RETURN NON TAXABLE-TEXT</v>
      </c>
      <c r="C102" s="11"/>
      <c r="D102" s="2">
        <f>-95.75</f>
        <v>-95.75</v>
      </c>
      <c r="E102" s="2"/>
      <c r="F102" s="19"/>
      <c r="G102" s="2"/>
      <c r="H102" s="2"/>
      <c r="I102" s="2"/>
      <c r="J102" s="19"/>
      <c r="K102" s="2"/>
      <c r="L102" s="2">
        <f t="shared" si="0"/>
        <v>-95.75</v>
      </c>
      <c r="M102" s="2"/>
      <c r="N102" s="19">
        <f t="shared" si="1"/>
        <v>0</v>
      </c>
      <c r="O102" s="11"/>
      <c r="P102" s="2">
        <f>-1475.62</f>
        <v>-1475.62</v>
      </c>
      <c r="Q102" s="2"/>
      <c r="R102" s="19"/>
      <c r="S102" s="2"/>
      <c r="T102" s="2"/>
      <c r="U102" s="2"/>
      <c r="V102" s="19"/>
      <c r="W102" s="2"/>
      <c r="X102" s="2">
        <f t="shared" si="2"/>
        <v>-1475.62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"4303", " - ", "SALES RETURN NON-TAXABLE-RENTA")</f>
        <v xml:space="preserve">          4303 - SALES RETURN NON-TAXABLE-RENTA</v>
      </c>
      <c r="C103" s="11"/>
      <c r="D103" s="2">
        <f>0</f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-184.99</f>
        <v>-184.99</v>
      </c>
      <c r="Q103" s="2"/>
      <c r="R103" s="19"/>
      <c r="S103" s="2"/>
      <c r="T103" s="2"/>
      <c r="U103" s="2"/>
      <c r="V103" s="19"/>
      <c r="W103" s="2"/>
      <c r="X103" s="2">
        <f t="shared" si="2"/>
        <v>-184.99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"4304", " - ", "SALES RETURN NON TAXABLE-DIGIT")</f>
        <v xml:space="preserve">          4304 - SALES RETURN NON TAXABLE-DIGIT</v>
      </c>
      <c r="C104" s="11"/>
      <c r="D104" s="2">
        <f>-398.87</f>
        <v>-398.87</v>
      </c>
      <c r="E104" s="2"/>
      <c r="F104" s="19"/>
      <c r="G104" s="2"/>
      <c r="H104" s="2"/>
      <c r="I104" s="2"/>
      <c r="J104" s="19"/>
      <c r="K104" s="2"/>
      <c r="L104" s="2">
        <f t="shared" si="0"/>
        <v>-398.87</v>
      </c>
      <c r="M104" s="2"/>
      <c r="N104" s="19">
        <f t="shared" si="1"/>
        <v>0</v>
      </c>
      <c r="O104" s="11"/>
      <c r="P104" s="2">
        <f>-19873.2</f>
        <v>-19873.2</v>
      </c>
      <c r="Q104" s="2"/>
      <c r="R104" s="19"/>
      <c r="S104" s="2"/>
      <c r="T104" s="2"/>
      <c r="U104" s="2"/>
      <c r="V104" s="19"/>
      <c r="W104" s="2"/>
      <c r="X104" s="2">
        <f t="shared" si="2"/>
        <v>-19873.2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"4311", " - ", "SALES RETURN NON TAXABLE-NO VA")</f>
        <v xml:space="preserve">          4311 - SALES RETURN NON TAXABLE-NO VA</v>
      </c>
      <c r="C105" s="11"/>
      <c r="D105" s="2">
        <f>-70.37</f>
        <v>-70.37</v>
      </c>
      <c r="E105" s="2"/>
      <c r="F105" s="19"/>
      <c r="G105" s="2"/>
      <c r="H105" s="2"/>
      <c r="I105" s="2"/>
      <c r="J105" s="19"/>
      <c r="K105" s="2"/>
      <c r="L105" s="2">
        <f t="shared" si="0"/>
        <v>-70.37</v>
      </c>
      <c r="M105" s="2"/>
      <c r="N105" s="19">
        <f t="shared" si="1"/>
        <v>0</v>
      </c>
      <c r="O105" s="11"/>
      <c r="P105" s="2">
        <f>-1011.65</f>
        <v>-1011.65</v>
      </c>
      <c r="Q105" s="2"/>
      <c r="R105" s="19"/>
      <c r="S105" s="2"/>
      <c r="T105" s="2"/>
      <c r="U105" s="2"/>
      <c r="V105" s="19"/>
      <c r="W105" s="2"/>
      <c r="X105" s="2">
        <f t="shared" si="2"/>
        <v>-1011.65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"4313", " - ", "SALES RETURN NON TAXABLE-TRADE")</f>
        <v xml:space="preserve">          4313 - SALES RETURN NON TAXABLE-TRADE</v>
      </c>
      <c r="C106" s="11"/>
      <c r="D106" s="2">
        <f>0</f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-2481.44</f>
        <v>-2481.44</v>
      </c>
      <c r="Q106" s="2"/>
      <c r="R106" s="19"/>
      <c r="S106" s="2"/>
      <c r="T106" s="2"/>
      <c r="U106" s="2"/>
      <c r="V106" s="19"/>
      <c r="W106" s="2"/>
      <c r="X106" s="2">
        <f t="shared" si="2"/>
        <v>-2481.44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"4326", " - ", "SALES RETURN NON TAXABLE-WRITI")</f>
        <v xml:space="preserve">          4326 - SALES RETURN NON TAXABLE-WRITI</v>
      </c>
      <c r="C107" s="11"/>
      <c r="D107" s="2">
        <f>-2.98</f>
        <v>-2.98</v>
      </c>
      <c r="E107" s="2"/>
      <c r="F107" s="19"/>
      <c r="G107" s="2"/>
      <c r="H107" s="2"/>
      <c r="I107" s="2"/>
      <c r="J107" s="19"/>
      <c r="K107" s="2"/>
      <c r="L107" s="2">
        <f t="shared" si="0"/>
        <v>-2.98</v>
      </c>
      <c r="M107" s="2"/>
      <c r="N107" s="19">
        <f t="shared" si="1"/>
        <v>0</v>
      </c>
      <c r="O107" s="11"/>
      <c r="P107" s="2">
        <f>-2.98</f>
        <v>-2.98</v>
      </c>
      <c r="Q107" s="2"/>
      <c r="R107" s="19"/>
      <c r="S107" s="2"/>
      <c r="T107" s="2"/>
      <c r="U107" s="2"/>
      <c r="V107" s="19"/>
      <c r="W107" s="2"/>
      <c r="X107" s="2">
        <f t="shared" si="2"/>
        <v>-2.98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"4327", " - ", "SALES RETURN NON TAXABLE-SCHOO")</f>
        <v xml:space="preserve">          4327 - SALES RETURN NON TAXABLE-SCHOO</v>
      </c>
      <c r="C108" s="11"/>
      <c r="D108" s="2">
        <f t="shared" ref="D108:D110" si="14">0</f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-21.87</f>
        <v>-21.87</v>
      </c>
      <c r="Q108" s="2"/>
      <c r="R108" s="19"/>
      <c r="S108" s="2"/>
      <c r="T108" s="2"/>
      <c r="U108" s="2"/>
      <c r="V108" s="19"/>
      <c r="W108" s="2"/>
      <c r="X108" s="2">
        <f t="shared" si="2"/>
        <v>-21.87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"4331", " - ", "SALES RETURN NON TAXABLE-FOOD")</f>
        <v xml:space="preserve">          4331 - SALES RETURN NON TAXABLE-FOOD</v>
      </c>
      <c r="C109" s="11"/>
      <c r="D109" s="2">
        <f t="shared" si="14"/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-12.57</f>
        <v>-12.57</v>
      </c>
      <c r="Q109" s="2"/>
      <c r="R109" s="19"/>
      <c r="S109" s="2"/>
      <c r="T109" s="2"/>
      <c r="U109" s="2"/>
      <c r="V109" s="19"/>
      <c r="W109" s="2"/>
      <c r="X109" s="2">
        <f t="shared" si="2"/>
        <v>-12.57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"4332", " - ", "SALES RETURN NON TAXABLE-JUICE")</f>
        <v xml:space="preserve">          4332 - SALES RETURN NON TAXABLE-JUICE</v>
      </c>
      <c r="C110" s="11"/>
      <c r="D110" s="2">
        <f t="shared" si="14"/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-2.79</f>
        <v>-2.79</v>
      </c>
      <c r="Q110" s="2"/>
      <c r="R110" s="19"/>
      <c r="S110" s="2"/>
      <c r="T110" s="2"/>
      <c r="U110" s="2"/>
      <c r="V110" s="19"/>
      <c r="W110" s="2"/>
      <c r="X110" s="2">
        <f t="shared" si="2"/>
        <v>-2.79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"4340", " - ", "SALES RETURN NON TAXABLE-LOGO")</f>
        <v xml:space="preserve">          4340 - SALES RETURN NON TAXABLE-LOGO</v>
      </c>
      <c r="C111" s="11"/>
      <c r="D111" s="2">
        <f>-1045.65</f>
        <v>-1045.6500000000001</v>
      </c>
      <c r="E111" s="2"/>
      <c r="F111" s="19"/>
      <c r="G111" s="2"/>
      <c r="H111" s="2"/>
      <c r="I111" s="2"/>
      <c r="J111" s="19"/>
      <c r="K111" s="2"/>
      <c r="L111" s="2">
        <f t="shared" si="0"/>
        <v>-1045.6500000000001</v>
      </c>
      <c r="M111" s="2"/>
      <c r="N111" s="19">
        <f t="shared" si="1"/>
        <v>0</v>
      </c>
      <c r="O111" s="11"/>
      <c r="P111" s="2">
        <f>-2664.48</f>
        <v>-2664.48</v>
      </c>
      <c r="Q111" s="2"/>
      <c r="R111" s="19"/>
      <c r="S111" s="2"/>
      <c r="T111" s="2"/>
      <c r="U111" s="2"/>
      <c r="V111" s="19"/>
      <c r="W111" s="2"/>
      <c r="X111" s="2">
        <f t="shared" si="2"/>
        <v>-2664.48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"4341", " - ", "SALES RETURN NON TAXABLE-LOGO")</f>
        <v xml:space="preserve">          4341 - SALES RETURN NON TAXABLE-LOGO</v>
      </c>
      <c r="C112" s="11"/>
      <c r="D112" s="2">
        <f>-9.9</f>
        <v>-9.9</v>
      </c>
      <c r="E112" s="2"/>
      <c r="F112" s="19"/>
      <c r="G112" s="2"/>
      <c r="H112" s="2"/>
      <c r="I112" s="2"/>
      <c r="J112" s="19"/>
      <c r="K112" s="2"/>
      <c r="L112" s="2">
        <f t="shared" si="0"/>
        <v>-9.9</v>
      </c>
      <c r="M112" s="2"/>
      <c r="N112" s="19">
        <f t="shared" si="1"/>
        <v>0</v>
      </c>
      <c r="O112" s="11"/>
      <c r="P112" s="2">
        <f>-295.35</f>
        <v>-295.35000000000002</v>
      </c>
      <c r="Q112" s="2"/>
      <c r="R112" s="19"/>
      <c r="S112" s="2"/>
      <c r="T112" s="2"/>
      <c r="U112" s="2"/>
      <c r="V112" s="19"/>
      <c r="W112" s="2"/>
      <c r="X112" s="2">
        <f t="shared" si="2"/>
        <v>-295.35000000000002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"4342", " - ", "SALES RETURN NON TAXABLE-EVERY")</f>
        <v xml:space="preserve">          4342 - SALES RETURN NON TAXABLE-EVERY</v>
      </c>
      <c r="C113" s="11"/>
      <c r="D113" s="2">
        <f>-36.8</f>
        <v>-36.799999999999997</v>
      </c>
      <c r="E113" s="2"/>
      <c r="F113" s="19"/>
      <c r="G113" s="2"/>
      <c r="H113" s="2"/>
      <c r="I113" s="2"/>
      <c r="J113" s="19"/>
      <c r="K113" s="2"/>
      <c r="L113" s="2">
        <f t="shared" si="0"/>
        <v>-36.799999999999997</v>
      </c>
      <c r="M113" s="2"/>
      <c r="N113" s="19">
        <f t="shared" si="1"/>
        <v>0</v>
      </c>
      <c r="O113" s="11"/>
      <c r="P113" s="2">
        <f>-186.02</f>
        <v>-186.02</v>
      </c>
      <c r="Q113" s="2"/>
      <c r="R113" s="19"/>
      <c r="S113" s="2"/>
      <c r="T113" s="2"/>
      <c r="U113" s="2"/>
      <c r="V113" s="19"/>
      <c r="W113" s="2"/>
      <c r="X113" s="2">
        <f t="shared" si="2"/>
        <v>-186.02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"4346", " - ", "SALES RETURN NON TAXABLE-COIN-")</f>
        <v xml:space="preserve">          4346 - SALES RETURN NON TAXABLE-COIN-</v>
      </c>
      <c r="C114" s="11"/>
      <c r="D114" s="2">
        <f t="shared" ref="D114:D115" si="15">0</f>
        <v>0</v>
      </c>
      <c r="E114" s="2"/>
      <c r="F114" s="19"/>
      <c r="G114" s="2"/>
      <c r="H114" s="2"/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-8.15</f>
        <v>-8.15</v>
      </c>
      <c r="Q114" s="2"/>
      <c r="R114" s="19"/>
      <c r="S114" s="2"/>
      <c r="T114" s="2"/>
      <c r="U114" s="2"/>
      <c r="V114" s="19"/>
      <c r="W114" s="2"/>
      <c r="X114" s="2">
        <f t="shared" si="2"/>
        <v>-8.15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"4347", " - ", "SALES RETURN NON TAXABLE-MISC")</f>
        <v xml:space="preserve">          4347 - SALES RETURN NON TAXABLE-MISC</v>
      </c>
      <c r="C115" s="11"/>
      <c r="D115" s="2">
        <f t="shared" si="15"/>
        <v>0</v>
      </c>
      <c r="E115" s="2"/>
      <c r="F115" s="19"/>
      <c r="G115" s="2"/>
      <c r="H115" s="2"/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-84</f>
        <v>-84</v>
      </c>
      <c r="Q115" s="2"/>
      <c r="R115" s="19"/>
      <c r="S115" s="2"/>
      <c r="T115" s="2"/>
      <c r="U115" s="2"/>
      <c r="V115" s="19"/>
      <c r="W115" s="2"/>
      <c r="X115" s="2">
        <f t="shared" si="2"/>
        <v>-84</v>
      </c>
      <c r="Y115" s="2"/>
      <c r="Z115" s="19">
        <f t="shared" si="3"/>
        <v>0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collapsed="1" x14ac:dyDescent="0.25">
      <c r="A117" s="10"/>
      <c r="B117" s="28" t="s">
        <v>8</v>
      </c>
      <c r="C117" s="10"/>
      <c r="D117" s="4">
        <f>SUM(OSRRefD16x_0)</f>
        <v>267671.94999999995</v>
      </c>
      <c r="E117" s="4"/>
      <c r="F117" s="13">
        <f t="shared" ref="F117:F170" si="16">IF(D$12=0,0,D117/D$12)</f>
        <v>1.2858174556025841</v>
      </c>
      <c r="G117" s="4"/>
      <c r="H117" s="4">
        <f>SUM(OSRRefH16x_0)</f>
        <v>244786.06070999999</v>
      </c>
      <c r="I117" s="4"/>
      <c r="J117" s="13">
        <f t="shared" ref="J117:J170" si="17">IF(H$12=0,0,H117/H$12)</f>
        <v>0.45174635862979667</v>
      </c>
      <c r="K117" s="4"/>
      <c r="L117" s="4">
        <f t="shared" ref="L117:L170" si="18">+D117-H117</f>
        <v>22885.889289999963</v>
      </c>
      <c r="M117" s="4"/>
      <c r="N117" s="13">
        <f t="shared" ref="N117:N170" si="19">IF(H117=0,0,L117/H117)</f>
        <v>9.349343350523974E-2</v>
      </c>
      <c r="O117" s="10"/>
      <c r="P117" s="4">
        <f>SUM(OSRRefP16x_0)</f>
        <v>6748711.3300000001</v>
      </c>
      <c r="Q117" s="4"/>
      <c r="R117" s="13">
        <f t="shared" ref="R117:R170" si="20">IF(P$12=0,0,P117/P$12)</f>
        <v>0.58180869922937817</v>
      </c>
      <c r="S117" s="4"/>
      <c r="T117" s="4">
        <f>SUM(OSRRefT16x_0)</f>
        <v>8169449.9750100002</v>
      </c>
      <c r="U117" s="4"/>
      <c r="V117" s="13">
        <f t="shared" ref="V117:V170" si="21">IF(T$12=0,0,T117/T$12)</f>
        <v>0.53287135005857955</v>
      </c>
      <c r="W117" s="4"/>
      <c r="X117" s="4">
        <f t="shared" ref="X117:X170" si="22">+P117-T117</f>
        <v>-1420738.6450100001</v>
      </c>
      <c r="Y117" s="4"/>
      <c r="Z117" s="13">
        <f t="shared" ref="Z117:Z170" si="23">IF(T117=0,0,X117/T117)</f>
        <v>-0.17390872694685433</v>
      </c>
    </row>
    <row r="118" spans="1:26" s="24" customFormat="1" hidden="1" outlineLevel="1" x14ac:dyDescent="0.25">
      <c r="A118" s="44"/>
      <c r="B118" s="11" t="str">
        <f>CONCATENATE("          ", "5000", " - ", "PURCHASES @ COST")</f>
        <v xml:space="preserve">          5000 - PURCHASES @ COST</v>
      </c>
      <c r="C118" s="11"/>
      <c r="D118" s="2"/>
      <c r="E118" s="2"/>
      <c r="F118" s="19">
        <f t="shared" si="16"/>
        <v>0</v>
      </c>
      <c r="G118" s="2"/>
      <c r="H118" s="2">
        <v>244786.06070999999</v>
      </c>
      <c r="I118" s="2"/>
      <c r="J118" s="19">
        <f t="shared" si="17"/>
        <v>0.45174635862979667</v>
      </c>
      <c r="K118" s="2"/>
      <c r="L118" s="2">
        <f t="shared" si="18"/>
        <v>-244786.06070999999</v>
      </c>
      <c r="M118" s="2"/>
      <c r="N118" s="19">
        <f t="shared" si="19"/>
        <v>-1</v>
      </c>
      <c r="O118" s="11"/>
      <c r="P118" s="2">
        <v>0</v>
      </c>
      <c r="Q118" s="2"/>
      <c r="R118" s="19">
        <f t="shared" si="20"/>
        <v>0</v>
      </c>
      <c r="S118" s="2"/>
      <c r="T118" s="2">
        <v>8169449.9750100002</v>
      </c>
      <c r="U118" s="2"/>
      <c r="V118" s="19">
        <f t="shared" si="21"/>
        <v>0.53287135005857955</v>
      </c>
      <c r="W118" s="2"/>
      <c r="X118" s="2">
        <f t="shared" si="22"/>
        <v>-8169449.9750100002</v>
      </c>
      <c r="Y118" s="2"/>
      <c r="Z118" s="19">
        <f t="shared" si="23"/>
        <v>-1</v>
      </c>
    </row>
    <row r="119" spans="1:26" s="24" customFormat="1" hidden="1" outlineLevel="1" x14ac:dyDescent="0.25">
      <c r="A119" s="44"/>
      <c r="B119" s="11" t="str">
        <f>CONCATENATE("          ", "5001", " - ", "PURCHASES @ COST-NEW TEXT")</f>
        <v xml:space="preserve">          5001 - PURCHASES @ COST-NEW TEXT</v>
      </c>
      <c r="C119" s="11"/>
      <c r="D119" s="2">
        <v>21388.809999999998</v>
      </c>
      <c r="E119" s="2"/>
      <c r="F119" s="19">
        <f t="shared" si="16"/>
        <v>0.10274556318869836</v>
      </c>
      <c r="G119" s="2"/>
      <c r="H119" s="2"/>
      <c r="I119" s="2"/>
      <c r="J119" s="19">
        <f t="shared" si="17"/>
        <v>0</v>
      </c>
      <c r="K119" s="2"/>
      <c r="L119" s="2">
        <f t="shared" si="18"/>
        <v>21388.809999999998</v>
      </c>
      <c r="M119" s="2"/>
      <c r="N119" s="19">
        <f t="shared" si="19"/>
        <v>0</v>
      </c>
      <c r="O119" s="11"/>
      <c r="P119" s="2">
        <v>1662669.27</v>
      </c>
      <c r="Q119" s="2"/>
      <c r="R119" s="19">
        <f t="shared" si="20"/>
        <v>0.14333928329800999</v>
      </c>
      <c r="S119" s="2"/>
      <c r="T119" s="2"/>
      <c r="U119" s="2"/>
      <c r="V119" s="19">
        <f t="shared" si="21"/>
        <v>0</v>
      </c>
      <c r="W119" s="2"/>
      <c r="X119" s="2">
        <f t="shared" si="22"/>
        <v>1662669.27</v>
      </c>
      <c r="Y119" s="2"/>
      <c r="Z119" s="19">
        <f t="shared" si="23"/>
        <v>0</v>
      </c>
    </row>
    <row r="120" spans="1:26" s="24" customFormat="1" hidden="1" outlineLevel="1" x14ac:dyDescent="0.25">
      <c r="A120" s="44"/>
      <c r="B120" s="11" t="str">
        <f>CONCATENATE("          ", "5002", " - ", "PURCHASES @ COST-USED TEXT")</f>
        <v xml:space="preserve">          5002 - PURCHASES @ COST-USED TEXT</v>
      </c>
      <c r="C120" s="11"/>
      <c r="D120" s="2">
        <v>121021.81</v>
      </c>
      <c r="E120" s="2"/>
      <c r="F120" s="19">
        <f t="shared" si="16"/>
        <v>0.58135324155788226</v>
      </c>
      <c r="G120" s="2"/>
      <c r="H120" s="2"/>
      <c r="I120" s="2"/>
      <c r="J120" s="19">
        <f t="shared" si="17"/>
        <v>0</v>
      </c>
      <c r="K120" s="2"/>
      <c r="L120" s="2">
        <f t="shared" si="18"/>
        <v>121021.81</v>
      </c>
      <c r="M120" s="2"/>
      <c r="N120" s="19">
        <f t="shared" si="19"/>
        <v>0</v>
      </c>
      <c r="O120" s="11"/>
      <c r="P120" s="2">
        <v>731343.19</v>
      </c>
      <c r="Q120" s="2"/>
      <c r="R120" s="19">
        <f t="shared" si="20"/>
        <v>6.304934516500707E-2</v>
      </c>
      <c r="S120" s="2"/>
      <c r="T120" s="2"/>
      <c r="U120" s="2"/>
      <c r="V120" s="19">
        <f t="shared" si="21"/>
        <v>0</v>
      </c>
      <c r="W120" s="2"/>
      <c r="X120" s="2">
        <f t="shared" si="22"/>
        <v>731343.19</v>
      </c>
      <c r="Y120" s="2"/>
      <c r="Z120" s="19">
        <f t="shared" si="23"/>
        <v>0</v>
      </c>
    </row>
    <row r="121" spans="1:26" s="24" customFormat="1" hidden="1" outlineLevel="1" x14ac:dyDescent="0.25">
      <c r="A121" s="44"/>
      <c r="B121" s="11" t="str">
        <f>CONCATENATE("          ", "5003", " - ", "PURCHASES @ COST-RENTAL TEXT")</f>
        <v xml:space="preserve">          5003 - PURCHASES @ COST-RENTAL TEXT</v>
      </c>
      <c r="C121" s="11"/>
      <c r="D121" s="2">
        <v>24656.6</v>
      </c>
      <c r="E121" s="2"/>
      <c r="F121" s="19">
        <f t="shared" si="16"/>
        <v>0.11844306688022663</v>
      </c>
      <c r="G121" s="2"/>
      <c r="H121" s="2"/>
      <c r="I121" s="2"/>
      <c r="J121" s="19">
        <f t="shared" si="17"/>
        <v>0</v>
      </c>
      <c r="K121" s="2"/>
      <c r="L121" s="2">
        <f t="shared" si="18"/>
        <v>24656.6</v>
      </c>
      <c r="M121" s="2"/>
      <c r="N121" s="19">
        <f t="shared" si="19"/>
        <v>0</v>
      </c>
      <c r="O121" s="11"/>
      <c r="P121" s="2">
        <v>24578.2</v>
      </c>
      <c r="Q121" s="2"/>
      <c r="R121" s="19">
        <f t="shared" si="20"/>
        <v>2.1188949818956773E-3</v>
      </c>
      <c r="S121" s="2"/>
      <c r="T121" s="2"/>
      <c r="U121" s="2"/>
      <c r="V121" s="19">
        <f t="shared" si="21"/>
        <v>0</v>
      </c>
      <c r="W121" s="2"/>
      <c r="X121" s="2">
        <f t="shared" si="22"/>
        <v>24578.2</v>
      </c>
      <c r="Y121" s="2"/>
      <c r="Z121" s="19">
        <f t="shared" si="23"/>
        <v>0</v>
      </c>
    </row>
    <row r="122" spans="1:26" s="24" customFormat="1" hidden="1" outlineLevel="1" x14ac:dyDescent="0.25">
      <c r="A122" s="44"/>
      <c r="B122" s="11" t="str">
        <f>CONCATENATE("          ", "5004", " - ", "PURCHASES @ COST-DIGITAL TEXT")</f>
        <v xml:space="preserve">          5004 - PURCHASES @ COST-DIGITAL TEXT</v>
      </c>
      <c r="C122" s="11"/>
      <c r="D122" s="2">
        <v>5038.95</v>
      </c>
      <c r="E122" s="2"/>
      <c r="F122" s="19">
        <f t="shared" si="16"/>
        <v>2.4205636294384381E-2</v>
      </c>
      <c r="G122" s="2"/>
      <c r="H122" s="2"/>
      <c r="I122" s="2"/>
      <c r="J122" s="19">
        <f t="shared" si="17"/>
        <v>0</v>
      </c>
      <c r="K122" s="2"/>
      <c r="L122" s="2">
        <f t="shared" si="18"/>
        <v>5038.95</v>
      </c>
      <c r="M122" s="2"/>
      <c r="N122" s="19">
        <f t="shared" si="19"/>
        <v>0</v>
      </c>
      <c r="O122" s="11"/>
      <c r="P122" s="2">
        <v>451308.6</v>
      </c>
      <c r="Q122" s="2"/>
      <c r="R122" s="19">
        <f t="shared" si="20"/>
        <v>3.8907467911660068E-2</v>
      </c>
      <c r="S122" s="2"/>
      <c r="T122" s="2"/>
      <c r="U122" s="2"/>
      <c r="V122" s="19">
        <f t="shared" si="21"/>
        <v>0</v>
      </c>
      <c r="W122" s="2"/>
      <c r="X122" s="2">
        <f t="shared" si="22"/>
        <v>451308.6</v>
      </c>
      <c r="Y122" s="2"/>
      <c r="Z122" s="19">
        <f t="shared" si="23"/>
        <v>0</v>
      </c>
    </row>
    <row r="123" spans="1:26" s="24" customFormat="1" hidden="1" outlineLevel="1" x14ac:dyDescent="0.25">
      <c r="A123" s="44"/>
      <c r="B123" s="11" t="str">
        <f>CONCATENATE("          ", "5011", " - ", "PURCHASES @ COST-NO VALUE TEXT")</f>
        <v xml:space="preserve">          5011 - PURCHASES @ COST-NO VALUE TEXT</v>
      </c>
      <c r="C123" s="11"/>
      <c r="D123" s="2">
        <v>99</v>
      </c>
      <c r="E123" s="2"/>
      <c r="F123" s="19">
        <f t="shared" si="16"/>
        <v>4.7556693222676428E-4</v>
      </c>
      <c r="G123" s="2"/>
      <c r="H123" s="2"/>
      <c r="I123" s="2"/>
      <c r="J123" s="19">
        <f t="shared" si="17"/>
        <v>0</v>
      </c>
      <c r="K123" s="2"/>
      <c r="L123" s="2">
        <f t="shared" si="18"/>
        <v>99</v>
      </c>
      <c r="M123" s="2"/>
      <c r="N123" s="19">
        <f t="shared" si="19"/>
        <v>0</v>
      </c>
      <c r="O123" s="11"/>
      <c r="P123" s="2">
        <v>6462</v>
      </c>
      <c r="Q123" s="2"/>
      <c r="R123" s="19">
        <f t="shared" si="20"/>
        <v>5.5709121794964098E-4</v>
      </c>
      <c r="S123" s="2"/>
      <c r="T123" s="2"/>
      <c r="U123" s="2"/>
      <c r="V123" s="19">
        <f t="shared" si="21"/>
        <v>0</v>
      </c>
      <c r="W123" s="2"/>
      <c r="X123" s="2">
        <f t="shared" si="22"/>
        <v>6462</v>
      </c>
      <c r="Y123" s="2"/>
      <c r="Z123" s="19">
        <f t="shared" si="23"/>
        <v>0</v>
      </c>
    </row>
    <row r="124" spans="1:26" s="24" customFormat="1" hidden="1" outlineLevel="1" x14ac:dyDescent="0.25">
      <c r="A124" s="44"/>
      <c r="B124" s="11" t="str">
        <f>CONCATENATE("          ", "5013", " - ", "PURCHASES @ COST-TRADE BOOKS")</f>
        <v xml:space="preserve">          5013 - PURCHASES @ COST-TRADE BOOKS</v>
      </c>
      <c r="C124" s="11"/>
      <c r="D124" s="2">
        <v>-420.76</v>
      </c>
      <c r="E124" s="2"/>
      <c r="F124" s="19">
        <f t="shared" si="16"/>
        <v>-2.0212074990276093E-3</v>
      </c>
      <c r="G124" s="2"/>
      <c r="H124" s="2"/>
      <c r="I124" s="2"/>
      <c r="J124" s="19">
        <f t="shared" si="17"/>
        <v>0</v>
      </c>
      <c r="K124" s="2"/>
      <c r="L124" s="2">
        <f t="shared" si="18"/>
        <v>-420.76</v>
      </c>
      <c r="M124" s="2"/>
      <c r="N124" s="19">
        <f t="shared" si="19"/>
        <v>0</v>
      </c>
      <c r="O124" s="11"/>
      <c r="P124" s="2">
        <v>2777.09</v>
      </c>
      <c r="Q124" s="2"/>
      <c r="R124" s="19">
        <f t="shared" si="20"/>
        <v>2.3941387348433435E-4</v>
      </c>
      <c r="S124" s="2"/>
      <c r="T124" s="2"/>
      <c r="U124" s="2"/>
      <c r="V124" s="19">
        <f t="shared" si="21"/>
        <v>0</v>
      </c>
      <c r="W124" s="2"/>
      <c r="X124" s="2">
        <f t="shared" si="22"/>
        <v>2777.09</v>
      </c>
      <c r="Y124" s="2"/>
      <c r="Z124" s="19">
        <f t="shared" si="23"/>
        <v>0</v>
      </c>
    </row>
    <row r="125" spans="1:26" s="24" customFormat="1" hidden="1" outlineLevel="1" x14ac:dyDescent="0.25">
      <c r="A125" s="44"/>
      <c r="B125" s="11" t="str">
        <f>CONCATENATE("          ", "5014", " - ", "PURCHASES @ COST-REMAINDERS")</f>
        <v xml:space="preserve">          5014 - PURCHASES @ COST-REMAINDERS</v>
      </c>
      <c r="C125" s="11"/>
      <c r="D125" s="2">
        <v>132</v>
      </c>
      <c r="E125" s="2"/>
      <c r="F125" s="19">
        <f t="shared" si="16"/>
        <v>6.3408924296901904E-4</v>
      </c>
      <c r="G125" s="2"/>
      <c r="H125" s="2"/>
      <c r="I125" s="2"/>
      <c r="J125" s="19">
        <f t="shared" si="17"/>
        <v>0</v>
      </c>
      <c r="K125" s="2"/>
      <c r="L125" s="2">
        <f t="shared" si="18"/>
        <v>132</v>
      </c>
      <c r="M125" s="2"/>
      <c r="N125" s="19">
        <f t="shared" si="19"/>
        <v>0</v>
      </c>
      <c r="O125" s="11"/>
      <c r="P125" s="2">
        <v>747.07</v>
      </c>
      <c r="Q125" s="2"/>
      <c r="R125" s="19">
        <f t="shared" si="20"/>
        <v>6.4405158804338959E-5</v>
      </c>
      <c r="S125" s="2"/>
      <c r="T125" s="2"/>
      <c r="U125" s="2"/>
      <c r="V125" s="19">
        <f t="shared" si="21"/>
        <v>0</v>
      </c>
      <c r="W125" s="2"/>
      <c r="X125" s="2">
        <f t="shared" si="22"/>
        <v>747.07</v>
      </c>
      <c r="Y125" s="2"/>
      <c r="Z125" s="19">
        <f t="shared" si="23"/>
        <v>0</v>
      </c>
    </row>
    <row r="126" spans="1:26" s="24" customFormat="1" hidden="1" outlineLevel="1" x14ac:dyDescent="0.25">
      <c r="A126" s="44"/>
      <c r="B126" s="11" t="str">
        <f>CONCATENATE("          ", "5017", " - ", "PURCHASES @ COST-DORM/HOUSEWAR")</f>
        <v xml:space="preserve">          5017 - PURCHASES @ COST-DORM/HOUSEWAR</v>
      </c>
      <c r="C126" s="11"/>
      <c r="D126" s="2"/>
      <c r="E126" s="2"/>
      <c r="F126" s="19">
        <f t="shared" si="16"/>
        <v>0</v>
      </c>
      <c r="G126" s="2"/>
      <c r="H126" s="2"/>
      <c r="I126" s="2"/>
      <c r="J126" s="19">
        <f t="shared" si="17"/>
        <v>0</v>
      </c>
      <c r="K126" s="2"/>
      <c r="L126" s="2">
        <f t="shared" si="18"/>
        <v>0</v>
      </c>
      <c r="M126" s="2"/>
      <c r="N126" s="19">
        <f t="shared" si="19"/>
        <v>0</v>
      </c>
      <c r="O126" s="11"/>
      <c r="P126" s="2">
        <v>14.46</v>
      </c>
      <c r="Q126" s="2"/>
      <c r="R126" s="19">
        <f t="shared" si="20"/>
        <v>1.2466015183459933E-6</v>
      </c>
      <c r="S126" s="2"/>
      <c r="T126" s="2"/>
      <c r="U126" s="2"/>
      <c r="V126" s="19">
        <f t="shared" si="21"/>
        <v>0</v>
      </c>
      <c r="W126" s="2"/>
      <c r="X126" s="2">
        <f t="shared" si="22"/>
        <v>14.46</v>
      </c>
      <c r="Y126" s="2"/>
      <c r="Z126" s="19">
        <f t="shared" si="23"/>
        <v>0</v>
      </c>
    </row>
    <row r="127" spans="1:26" s="24" customFormat="1" hidden="1" outlineLevel="1" x14ac:dyDescent="0.25">
      <c r="A127" s="44"/>
      <c r="B127" s="11" t="str">
        <f>CONCATENATE("          ", "5018", " - ", "PURCHASES @ COST-STUDY GUIDES")</f>
        <v xml:space="preserve">          5018 - PURCHASES @ COST-STUDY GUIDES</v>
      </c>
      <c r="C127" s="11"/>
      <c r="D127" s="2">
        <v>-249.38</v>
      </c>
      <c r="E127" s="2"/>
      <c r="F127" s="19">
        <f t="shared" si="16"/>
        <v>-1.197948298572833E-3</v>
      </c>
      <c r="G127" s="2"/>
      <c r="H127" s="2"/>
      <c r="I127" s="2"/>
      <c r="J127" s="19">
        <f t="shared" si="17"/>
        <v>0</v>
      </c>
      <c r="K127" s="2"/>
      <c r="L127" s="2">
        <f t="shared" si="18"/>
        <v>-249.38</v>
      </c>
      <c r="M127" s="2"/>
      <c r="N127" s="19">
        <f t="shared" si="19"/>
        <v>0</v>
      </c>
      <c r="O127" s="11"/>
      <c r="P127" s="2">
        <v>-454.52</v>
      </c>
      <c r="Q127" s="2"/>
      <c r="R127" s="19">
        <f t="shared" si="20"/>
        <v>-3.9184323797968252E-5</v>
      </c>
      <c r="S127" s="2"/>
      <c r="T127" s="2"/>
      <c r="U127" s="2"/>
      <c r="V127" s="19">
        <f t="shared" si="21"/>
        <v>0</v>
      </c>
      <c r="W127" s="2"/>
      <c r="X127" s="2">
        <f t="shared" si="22"/>
        <v>-454.52</v>
      </c>
      <c r="Y127" s="2"/>
      <c r="Z127" s="19">
        <f t="shared" si="23"/>
        <v>0</v>
      </c>
    </row>
    <row r="128" spans="1:26" s="24" customFormat="1" hidden="1" outlineLevel="1" x14ac:dyDescent="0.25">
      <c r="A128" s="44"/>
      <c r="B128" s="11" t="str">
        <f>CONCATENATE("          ", "5025", " - ", "PURCHASES @ COST-TEST FORMS")</f>
        <v xml:space="preserve">          5025 - PURCHASES @ COST-TEST FORMS</v>
      </c>
      <c r="C128" s="11"/>
      <c r="D128" s="2"/>
      <c r="E128" s="2"/>
      <c r="F128" s="19">
        <f t="shared" si="16"/>
        <v>0</v>
      </c>
      <c r="G128" s="2"/>
      <c r="H128" s="2"/>
      <c r="I128" s="2"/>
      <c r="J128" s="19">
        <f t="shared" si="17"/>
        <v>0</v>
      </c>
      <c r="K128" s="2"/>
      <c r="L128" s="2">
        <f t="shared" si="18"/>
        <v>0</v>
      </c>
      <c r="M128" s="2"/>
      <c r="N128" s="19">
        <f t="shared" si="19"/>
        <v>0</v>
      </c>
      <c r="O128" s="11"/>
      <c r="P128" s="2">
        <v>26400.390000000003</v>
      </c>
      <c r="Q128" s="2"/>
      <c r="R128" s="19">
        <f t="shared" si="20"/>
        <v>2.2759866015855039E-3</v>
      </c>
      <c r="S128" s="2"/>
      <c r="T128" s="2"/>
      <c r="U128" s="2"/>
      <c r="V128" s="19">
        <f t="shared" si="21"/>
        <v>0</v>
      </c>
      <c r="W128" s="2"/>
      <c r="X128" s="2">
        <f t="shared" si="22"/>
        <v>26400.390000000003</v>
      </c>
      <c r="Y128" s="2"/>
      <c r="Z128" s="19">
        <f t="shared" si="23"/>
        <v>0</v>
      </c>
    </row>
    <row r="129" spans="1:26" s="24" customFormat="1" hidden="1" outlineLevel="1" x14ac:dyDescent="0.25">
      <c r="A129" s="44"/>
      <c r="B129" s="11" t="str">
        <f>CONCATENATE("          ", "5026", " - ", "PURCHASES @ COST-WRITING INSTR")</f>
        <v xml:space="preserve">          5026 - PURCHASES @ COST-WRITING INSTR</v>
      </c>
      <c r="C129" s="11"/>
      <c r="D129" s="2"/>
      <c r="E129" s="2"/>
      <c r="F129" s="19">
        <f t="shared" si="16"/>
        <v>0</v>
      </c>
      <c r="G129" s="2"/>
      <c r="H129" s="2"/>
      <c r="I129" s="2"/>
      <c r="J129" s="19">
        <f t="shared" si="17"/>
        <v>0</v>
      </c>
      <c r="K129" s="2"/>
      <c r="L129" s="2">
        <f t="shared" si="18"/>
        <v>0</v>
      </c>
      <c r="M129" s="2"/>
      <c r="N129" s="19">
        <f t="shared" si="19"/>
        <v>0</v>
      </c>
      <c r="O129" s="11"/>
      <c r="P129" s="2">
        <v>44186.57</v>
      </c>
      <c r="Q129" s="2"/>
      <c r="R129" s="19">
        <f t="shared" si="20"/>
        <v>3.8093392290803265E-3</v>
      </c>
      <c r="S129" s="2"/>
      <c r="T129" s="2"/>
      <c r="U129" s="2"/>
      <c r="V129" s="19">
        <f t="shared" si="21"/>
        <v>0</v>
      </c>
      <c r="W129" s="2"/>
      <c r="X129" s="2">
        <f t="shared" si="22"/>
        <v>44186.57</v>
      </c>
      <c r="Y129" s="2"/>
      <c r="Z129" s="19">
        <f t="shared" si="23"/>
        <v>0</v>
      </c>
    </row>
    <row r="130" spans="1:26" s="24" customFormat="1" hidden="1" outlineLevel="1" x14ac:dyDescent="0.25">
      <c r="A130" s="44"/>
      <c r="B130" s="11" t="str">
        <f>CONCATENATE("          ", "5027", " - ", "PURCHASES @ COST-SCHOOL SUPPLI")</f>
        <v xml:space="preserve">          5027 - PURCHASES @ COST-SCHOOL SUPPLI</v>
      </c>
      <c r="C130" s="11"/>
      <c r="D130" s="2">
        <v>11947.58</v>
      </c>
      <c r="E130" s="2"/>
      <c r="F130" s="19">
        <f t="shared" si="16"/>
        <v>5.7392666344786306E-2</v>
      </c>
      <c r="G130" s="2"/>
      <c r="H130" s="2"/>
      <c r="I130" s="2"/>
      <c r="J130" s="19">
        <f t="shared" si="17"/>
        <v>0</v>
      </c>
      <c r="K130" s="2"/>
      <c r="L130" s="2">
        <f t="shared" si="18"/>
        <v>11947.58</v>
      </c>
      <c r="M130" s="2"/>
      <c r="N130" s="19">
        <f t="shared" si="19"/>
        <v>0</v>
      </c>
      <c r="O130" s="11"/>
      <c r="P130" s="2">
        <v>153162.12</v>
      </c>
      <c r="Q130" s="2"/>
      <c r="R130" s="19">
        <f t="shared" si="20"/>
        <v>1.3204158460933004E-2</v>
      </c>
      <c r="S130" s="2"/>
      <c r="T130" s="2"/>
      <c r="U130" s="2"/>
      <c r="V130" s="19">
        <f t="shared" si="21"/>
        <v>0</v>
      </c>
      <c r="W130" s="2"/>
      <c r="X130" s="2">
        <f t="shared" si="22"/>
        <v>153162.12</v>
      </c>
      <c r="Y130" s="2"/>
      <c r="Z130" s="19">
        <f t="shared" si="23"/>
        <v>0</v>
      </c>
    </row>
    <row r="131" spans="1:26" s="24" customFormat="1" hidden="1" outlineLevel="1" x14ac:dyDescent="0.25">
      <c r="A131" s="44"/>
      <c r="B131" s="11" t="str">
        <f>CONCATENATE("          ", "5028", " - ", "PURCHASES @ COST-ART/TECH")</f>
        <v xml:space="preserve">          5028 - PURCHASES @ COST-ART/TECH</v>
      </c>
      <c r="C131" s="11"/>
      <c r="D131" s="2">
        <v>-1073.3800000000001</v>
      </c>
      <c r="E131" s="2"/>
      <c r="F131" s="19">
        <f t="shared" si="16"/>
        <v>-5.1562023607430738E-3</v>
      </c>
      <c r="G131" s="2"/>
      <c r="H131" s="2"/>
      <c r="I131" s="2"/>
      <c r="J131" s="19">
        <f t="shared" si="17"/>
        <v>0</v>
      </c>
      <c r="K131" s="2"/>
      <c r="L131" s="2">
        <f t="shared" si="18"/>
        <v>-1073.3800000000001</v>
      </c>
      <c r="M131" s="2"/>
      <c r="N131" s="19">
        <f t="shared" si="19"/>
        <v>0</v>
      </c>
      <c r="O131" s="11"/>
      <c r="P131" s="2">
        <v>158554.31</v>
      </c>
      <c r="Q131" s="2"/>
      <c r="R131" s="19">
        <f t="shared" si="20"/>
        <v>1.3669020994903271E-2</v>
      </c>
      <c r="S131" s="2"/>
      <c r="T131" s="2"/>
      <c r="U131" s="2"/>
      <c r="V131" s="19">
        <f t="shared" si="21"/>
        <v>0</v>
      </c>
      <c r="W131" s="2"/>
      <c r="X131" s="2">
        <f t="shared" si="22"/>
        <v>158554.31</v>
      </c>
      <c r="Y131" s="2"/>
      <c r="Z131" s="19">
        <f t="shared" si="23"/>
        <v>0</v>
      </c>
    </row>
    <row r="132" spans="1:26" s="24" customFormat="1" hidden="1" outlineLevel="1" x14ac:dyDescent="0.25">
      <c r="A132" s="44"/>
      <c r="B132" s="11" t="str">
        <f>CONCATENATE("          ", "5031", " - ", "PURCHASES @ COST-FOOD")</f>
        <v xml:space="preserve">          5031 - PURCHASES @ COST-FOOD</v>
      </c>
      <c r="C132" s="11"/>
      <c r="D132" s="2"/>
      <c r="E132" s="2"/>
      <c r="F132" s="19">
        <f t="shared" si="16"/>
        <v>0</v>
      </c>
      <c r="G132" s="2"/>
      <c r="H132" s="2"/>
      <c r="I132" s="2"/>
      <c r="J132" s="19">
        <f t="shared" si="17"/>
        <v>0</v>
      </c>
      <c r="K132" s="2"/>
      <c r="L132" s="2">
        <f t="shared" si="18"/>
        <v>0</v>
      </c>
      <c r="M132" s="2"/>
      <c r="N132" s="19">
        <f t="shared" si="19"/>
        <v>0</v>
      </c>
      <c r="O132" s="11"/>
      <c r="P132" s="2">
        <v>33239.879999999997</v>
      </c>
      <c r="Q132" s="2"/>
      <c r="R132" s="19">
        <f t="shared" si="20"/>
        <v>2.8656213608325458E-3</v>
      </c>
      <c r="S132" s="2"/>
      <c r="T132" s="2"/>
      <c r="U132" s="2"/>
      <c r="V132" s="19">
        <f t="shared" si="21"/>
        <v>0</v>
      </c>
      <c r="W132" s="2"/>
      <c r="X132" s="2">
        <f t="shared" si="22"/>
        <v>33239.879999999997</v>
      </c>
      <c r="Y132" s="2"/>
      <c r="Z132" s="19">
        <f t="shared" si="23"/>
        <v>0</v>
      </c>
    </row>
    <row r="133" spans="1:26" s="24" customFormat="1" hidden="1" outlineLevel="1" x14ac:dyDescent="0.25">
      <c r="A133" s="44"/>
      <c r="B133" s="11" t="str">
        <f>CONCATENATE("          ", "5032", " - ", "PURCHASES @ COST-JUICE")</f>
        <v xml:space="preserve">          5032 - PURCHASES @ COST-JUICE</v>
      </c>
      <c r="C133" s="11"/>
      <c r="D133" s="2"/>
      <c r="E133" s="2"/>
      <c r="F133" s="19">
        <f t="shared" si="16"/>
        <v>0</v>
      </c>
      <c r="G133" s="2"/>
      <c r="H133" s="2"/>
      <c r="I133" s="2"/>
      <c r="J133" s="19">
        <f t="shared" si="17"/>
        <v>0</v>
      </c>
      <c r="K133" s="2"/>
      <c r="L133" s="2">
        <f t="shared" si="18"/>
        <v>0</v>
      </c>
      <c r="M133" s="2"/>
      <c r="N133" s="19">
        <f t="shared" si="19"/>
        <v>0</v>
      </c>
      <c r="O133" s="11"/>
      <c r="P133" s="2">
        <v>7802.45</v>
      </c>
      <c r="Q133" s="2"/>
      <c r="R133" s="19">
        <f t="shared" si="20"/>
        <v>6.7265186838303564E-4</v>
      </c>
      <c r="S133" s="2"/>
      <c r="T133" s="2"/>
      <c r="U133" s="2"/>
      <c r="V133" s="19">
        <f t="shared" si="21"/>
        <v>0</v>
      </c>
      <c r="W133" s="2"/>
      <c r="X133" s="2">
        <f t="shared" si="22"/>
        <v>7802.45</v>
      </c>
      <c r="Y133" s="2"/>
      <c r="Z133" s="19">
        <f t="shared" si="23"/>
        <v>0</v>
      </c>
    </row>
    <row r="134" spans="1:26" s="24" customFormat="1" hidden="1" outlineLevel="1" x14ac:dyDescent="0.25">
      <c r="A134" s="44"/>
      <c r="B134" s="11" t="str">
        <f>CONCATENATE("          ", "5033", " - ", "PURCHASES @ COST-CANDY")</f>
        <v xml:space="preserve">          5033 - PURCHASES @ COST-CANDY</v>
      </c>
      <c r="C134" s="11"/>
      <c r="D134" s="2"/>
      <c r="E134" s="2"/>
      <c r="F134" s="19">
        <f t="shared" si="16"/>
        <v>0</v>
      </c>
      <c r="G134" s="2"/>
      <c r="H134" s="2"/>
      <c r="I134" s="2"/>
      <c r="J134" s="19">
        <f t="shared" si="17"/>
        <v>0</v>
      </c>
      <c r="K134" s="2"/>
      <c r="L134" s="2">
        <f t="shared" si="18"/>
        <v>0</v>
      </c>
      <c r="M134" s="2"/>
      <c r="N134" s="19">
        <f t="shared" si="19"/>
        <v>0</v>
      </c>
      <c r="O134" s="11"/>
      <c r="P134" s="2">
        <v>9998.41</v>
      </c>
      <c r="Q134" s="2"/>
      <c r="R134" s="19">
        <f t="shared" si="20"/>
        <v>8.6196632690496288E-4</v>
      </c>
      <c r="S134" s="2"/>
      <c r="T134" s="2"/>
      <c r="U134" s="2"/>
      <c r="V134" s="19">
        <f t="shared" si="21"/>
        <v>0</v>
      </c>
      <c r="W134" s="2"/>
      <c r="X134" s="2">
        <f t="shared" si="22"/>
        <v>9998.41</v>
      </c>
      <c r="Y134" s="2"/>
      <c r="Z134" s="19">
        <f t="shared" si="23"/>
        <v>0</v>
      </c>
    </row>
    <row r="135" spans="1:26" s="24" customFormat="1" hidden="1" outlineLevel="1" x14ac:dyDescent="0.25">
      <c r="A135" s="44"/>
      <c r="B135" s="11" t="str">
        <f>CONCATENATE("          ", "5034", " - ", "PURCHASES @ COST-SODA")</f>
        <v xml:space="preserve">          5034 - PURCHASES @ COST-SODA</v>
      </c>
      <c r="C135" s="11"/>
      <c r="D135" s="2"/>
      <c r="E135" s="2"/>
      <c r="F135" s="19">
        <f t="shared" si="16"/>
        <v>0</v>
      </c>
      <c r="G135" s="2"/>
      <c r="H135" s="2"/>
      <c r="I135" s="2"/>
      <c r="J135" s="19">
        <f t="shared" si="17"/>
        <v>0</v>
      </c>
      <c r="K135" s="2"/>
      <c r="L135" s="2">
        <f t="shared" si="18"/>
        <v>0</v>
      </c>
      <c r="M135" s="2"/>
      <c r="N135" s="19">
        <f t="shared" si="19"/>
        <v>0</v>
      </c>
      <c r="O135" s="11"/>
      <c r="P135" s="2">
        <v>4033.88</v>
      </c>
      <c r="Q135" s="2"/>
      <c r="R135" s="19">
        <f t="shared" si="20"/>
        <v>3.4776216686207027E-4</v>
      </c>
      <c r="S135" s="2"/>
      <c r="T135" s="2"/>
      <c r="U135" s="2"/>
      <c r="V135" s="19">
        <f t="shared" si="21"/>
        <v>0</v>
      </c>
      <c r="W135" s="2"/>
      <c r="X135" s="2">
        <f t="shared" si="22"/>
        <v>4033.88</v>
      </c>
      <c r="Y135" s="2"/>
      <c r="Z135" s="19">
        <f t="shared" si="23"/>
        <v>0</v>
      </c>
    </row>
    <row r="136" spans="1:26" s="24" customFormat="1" hidden="1" outlineLevel="1" x14ac:dyDescent="0.25">
      <c r="A136" s="44"/>
      <c r="B136" s="11" t="str">
        <f>CONCATENATE("          ", "5035", " - ", "PURCHASES @ COST-HEALTH &amp; BEAU")</f>
        <v xml:space="preserve">          5035 - PURCHASES @ COST-HEALTH &amp; BEAU</v>
      </c>
      <c r="C136" s="11"/>
      <c r="D136" s="2"/>
      <c r="E136" s="2"/>
      <c r="F136" s="19">
        <f t="shared" si="16"/>
        <v>0</v>
      </c>
      <c r="G136" s="2"/>
      <c r="H136" s="2"/>
      <c r="I136" s="2"/>
      <c r="J136" s="19">
        <f t="shared" si="17"/>
        <v>0</v>
      </c>
      <c r="K136" s="2"/>
      <c r="L136" s="2">
        <f t="shared" si="18"/>
        <v>0</v>
      </c>
      <c r="M136" s="2"/>
      <c r="N136" s="19">
        <f t="shared" si="19"/>
        <v>0</v>
      </c>
      <c r="O136" s="11"/>
      <c r="P136" s="2">
        <v>1117.6500000000001</v>
      </c>
      <c r="Q136" s="2"/>
      <c r="R136" s="19">
        <f t="shared" si="20"/>
        <v>9.6352986651410762E-5</v>
      </c>
      <c r="S136" s="2"/>
      <c r="T136" s="2"/>
      <c r="U136" s="2"/>
      <c r="V136" s="19">
        <f t="shared" si="21"/>
        <v>0</v>
      </c>
      <c r="W136" s="2"/>
      <c r="X136" s="2">
        <f t="shared" si="22"/>
        <v>1117.6500000000001</v>
      </c>
      <c r="Y136" s="2"/>
      <c r="Z136" s="19">
        <f t="shared" si="23"/>
        <v>0</v>
      </c>
    </row>
    <row r="137" spans="1:26" s="24" customFormat="1" hidden="1" outlineLevel="1" x14ac:dyDescent="0.25">
      <c r="A137" s="44"/>
      <c r="B137" s="11" t="str">
        <f>CONCATENATE("          ", "5037", " - ", "PURCHASES @ COST-WATER")</f>
        <v xml:space="preserve">          5037 - PURCHASES @ COST-WATER</v>
      </c>
      <c r="C137" s="11"/>
      <c r="D137" s="2"/>
      <c r="E137" s="2"/>
      <c r="F137" s="19">
        <f t="shared" si="16"/>
        <v>0</v>
      </c>
      <c r="G137" s="2"/>
      <c r="H137" s="2"/>
      <c r="I137" s="2"/>
      <c r="J137" s="19">
        <f t="shared" si="17"/>
        <v>0</v>
      </c>
      <c r="K137" s="2"/>
      <c r="L137" s="2">
        <f t="shared" si="18"/>
        <v>0</v>
      </c>
      <c r="M137" s="2"/>
      <c r="N137" s="19">
        <f t="shared" si="19"/>
        <v>0</v>
      </c>
      <c r="O137" s="11"/>
      <c r="P137" s="2">
        <v>5693.57</v>
      </c>
      <c r="Q137" s="2"/>
      <c r="R137" s="19">
        <f t="shared" si="20"/>
        <v>4.9084460628002742E-4</v>
      </c>
      <c r="S137" s="2"/>
      <c r="T137" s="2"/>
      <c r="U137" s="2"/>
      <c r="V137" s="19">
        <f t="shared" si="21"/>
        <v>0</v>
      </c>
      <c r="W137" s="2"/>
      <c r="X137" s="2">
        <f t="shared" si="22"/>
        <v>5693.57</v>
      </c>
      <c r="Y137" s="2"/>
      <c r="Z137" s="19">
        <f t="shared" si="23"/>
        <v>0</v>
      </c>
    </row>
    <row r="138" spans="1:26" s="24" customFormat="1" hidden="1" outlineLevel="1" x14ac:dyDescent="0.25">
      <c r="A138" s="44"/>
      <c r="B138" s="11" t="str">
        <f>CONCATENATE("          ", "5040", " - ", "PURCHASES @ COST-LOGO CLOTHING")</f>
        <v xml:space="preserve">          5040 - PURCHASES @ COST-LOGO CLOTHING</v>
      </c>
      <c r="C138" s="11"/>
      <c r="D138" s="2">
        <v>6472.18</v>
      </c>
      <c r="E138" s="2"/>
      <c r="F138" s="19">
        <f t="shared" si="16"/>
        <v>3.1090452398175955E-2</v>
      </c>
      <c r="G138" s="2"/>
      <c r="H138" s="2"/>
      <c r="I138" s="2"/>
      <c r="J138" s="19">
        <f t="shared" si="17"/>
        <v>0</v>
      </c>
      <c r="K138" s="2"/>
      <c r="L138" s="2">
        <f t="shared" si="18"/>
        <v>6472.18</v>
      </c>
      <c r="M138" s="2"/>
      <c r="N138" s="19">
        <f t="shared" si="19"/>
        <v>0</v>
      </c>
      <c r="O138" s="11"/>
      <c r="P138" s="2">
        <v>982941.51</v>
      </c>
      <c r="Q138" s="2"/>
      <c r="R138" s="19">
        <f t="shared" si="20"/>
        <v>8.47397219094954E-2</v>
      </c>
      <c r="S138" s="2"/>
      <c r="T138" s="2"/>
      <c r="U138" s="2"/>
      <c r="V138" s="19">
        <f t="shared" si="21"/>
        <v>0</v>
      </c>
      <c r="W138" s="2"/>
      <c r="X138" s="2">
        <f t="shared" si="22"/>
        <v>982941.51</v>
      </c>
      <c r="Y138" s="2"/>
      <c r="Z138" s="19">
        <f t="shared" si="23"/>
        <v>0</v>
      </c>
    </row>
    <row r="139" spans="1:26" s="24" customFormat="1" hidden="1" outlineLevel="1" x14ac:dyDescent="0.25">
      <c r="A139" s="44"/>
      <c r="B139" s="11" t="str">
        <f>CONCATENATE("          ", "5041", " - ", "PURCHASES @ COST-LOGO GIFTS")</f>
        <v xml:space="preserve">          5041 - PURCHASES @ COST-LOGO GIFTS</v>
      </c>
      <c r="C139" s="11"/>
      <c r="D139" s="2">
        <v>13093.79</v>
      </c>
      <c r="E139" s="2"/>
      <c r="F139" s="19">
        <f t="shared" si="16"/>
        <v>6.2898722641631155E-2</v>
      </c>
      <c r="G139" s="2"/>
      <c r="H139" s="2"/>
      <c r="I139" s="2"/>
      <c r="J139" s="19">
        <f t="shared" si="17"/>
        <v>0</v>
      </c>
      <c r="K139" s="2"/>
      <c r="L139" s="2">
        <f t="shared" si="18"/>
        <v>13093.79</v>
      </c>
      <c r="M139" s="2"/>
      <c r="N139" s="19">
        <f t="shared" si="19"/>
        <v>0</v>
      </c>
      <c r="O139" s="11"/>
      <c r="P139" s="2">
        <v>162844.62999999998</v>
      </c>
      <c r="Q139" s="2"/>
      <c r="R139" s="19">
        <f t="shared" si="20"/>
        <v>1.4038890941389451E-2</v>
      </c>
      <c r="S139" s="2"/>
      <c r="T139" s="2"/>
      <c r="U139" s="2"/>
      <c r="V139" s="19">
        <f t="shared" si="21"/>
        <v>0</v>
      </c>
      <c r="W139" s="2"/>
      <c r="X139" s="2">
        <f t="shared" si="22"/>
        <v>162844.62999999998</v>
      </c>
      <c r="Y139" s="2"/>
      <c r="Z139" s="19">
        <f t="shared" si="23"/>
        <v>0</v>
      </c>
    </row>
    <row r="140" spans="1:26" s="24" customFormat="1" hidden="1" outlineLevel="1" x14ac:dyDescent="0.25">
      <c r="A140" s="44"/>
      <c r="B140" s="11" t="str">
        <f>CONCATENATE("          ", "5042", " - ", "PURCHASES @ COST-EVERYDAY GIFT")</f>
        <v xml:space="preserve">          5042 - PURCHASES @ COST-EVERYDAY GIFT</v>
      </c>
      <c r="C140" s="11"/>
      <c r="D140" s="2">
        <v>-836.65</v>
      </c>
      <c r="E140" s="2"/>
      <c r="F140" s="19">
        <f t="shared" si="16"/>
        <v>-4.019020947954771E-3</v>
      </c>
      <c r="G140" s="2"/>
      <c r="H140" s="2"/>
      <c r="I140" s="2"/>
      <c r="J140" s="19">
        <f t="shared" si="17"/>
        <v>0</v>
      </c>
      <c r="K140" s="2"/>
      <c r="L140" s="2">
        <f t="shared" si="18"/>
        <v>-836.65</v>
      </c>
      <c r="M140" s="2"/>
      <c r="N140" s="19">
        <f t="shared" si="19"/>
        <v>0</v>
      </c>
      <c r="O140" s="11"/>
      <c r="P140" s="2">
        <v>125778.54999999999</v>
      </c>
      <c r="Q140" s="2"/>
      <c r="R140" s="19">
        <f t="shared" si="20"/>
        <v>1.0843411577133985E-2</v>
      </c>
      <c r="S140" s="2"/>
      <c r="T140" s="2"/>
      <c r="U140" s="2"/>
      <c r="V140" s="19">
        <f t="shared" si="21"/>
        <v>0</v>
      </c>
      <c r="W140" s="2"/>
      <c r="X140" s="2">
        <f t="shared" si="22"/>
        <v>125778.54999999999</v>
      </c>
      <c r="Y140" s="2"/>
      <c r="Z140" s="19">
        <f t="shared" si="23"/>
        <v>0</v>
      </c>
    </row>
    <row r="141" spans="1:26" s="24" customFormat="1" hidden="1" outlineLevel="1" x14ac:dyDescent="0.25">
      <c r="A141" s="44"/>
      <c r="B141" s="11" t="str">
        <f>CONCATENATE("          ", "5043", " - ", "PURCHASES @ COST-CARDS")</f>
        <v xml:space="preserve">          5043 - PURCHASES @ COST-CARDS</v>
      </c>
      <c r="C141" s="11"/>
      <c r="D141" s="2">
        <v>0</v>
      </c>
      <c r="E141" s="2"/>
      <c r="F141" s="19">
        <f t="shared" si="16"/>
        <v>0</v>
      </c>
      <c r="G141" s="2"/>
      <c r="H141" s="2"/>
      <c r="I141" s="2"/>
      <c r="J141" s="19">
        <f t="shared" si="17"/>
        <v>0</v>
      </c>
      <c r="K141" s="2"/>
      <c r="L141" s="2">
        <f t="shared" si="18"/>
        <v>0</v>
      </c>
      <c r="M141" s="2"/>
      <c r="N141" s="19">
        <f t="shared" si="19"/>
        <v>0</v>
      </c>
      <c r="O141" s="11"/>
      <c r="P141" s="2">
        <v>30914.659999999996</v>
      </c>
      <c r="Q141" s="2"/>
      <c r="R141" s="19">
        <f t="shared" si="20"/>
        <v>2.6651633537448233E-3</v>
      </c>
      <c r="S141" s="2"/>
      <c r="T141" s="2"/>
      <c r="U141" s="2"/>
      <c r="V141" s="19">
        <f t="shared" si="21"/>
        <v>0</v>
      </c>
      <c r="W141" s="2"/>
      <c r="X141" s="2">
        <f t="shared" si="22"/>
        <v>30914.659999999996</v>
      </c>
      <c r="Y141" s="2"/>
      <c r="Z141" s="19">
        <f t="shared" si="23"/>
        <v>0</v>
      </c>
    </row>
    <row r="142" spans="1:26" s="24" customFormat="1" hidden="1" outlineLevel="1" x14ac:dyDescent="0.25">
      <c r="A142" s="44"/>
      <c r="B142" s="11" t="str">
        <f>CONCATENATE("          ", "5044", " - ", "PURCHASES @ COST-ACCESSORIES")</f>
        <v xml:space="preserve">          5044 - PURCHASES @ COST-ACCESSORIES</v>
      </c>
      <c r="C142" s="11"/>
      <c r="D142" s="2">
        <v>0</v>
      </c>
      <c r="E142" s="2"/>
      <c r="F142" s="19">
        <f t="shared" si="16"/>
        <v>0</v>
      </c>
      <c r="G142" s="2"/>
      <c r="H142" s="2"/>
      <c r="I142" s="2"/>
      <c r="J142" s="19">
        <f t="shared" si="17"/>
        <v>0</v>
      </c>
      <c r="K142" s="2"/>
      <c r="L142" s="2">
        <f t="shared" si="18"/>
        <v>0</v>
      </c>
      <c r="M142" s="2"/>
      <c r="N142" s="19">
        <f t="shared" si="19"/>
        <v>0</v>
      </c>
      <c r="O142" s="11"/>
      <c r="P142" s="2">
        <v>37869.03</v>
      </c>
      <c r="Q142" s="2"/>
      <c r="R142" s="19">
        <f t="shared" si="20"/>
        <v>3.2647019568665262E-3</v>
      </c>
      <c r="S142" s="2"/>
      <c r="T142" s="2"/>
      <c r="U142" s="2"/>
      <c r="V142" s="19">
        <f t="shared" si="21"/>
        <v>0</v>
      </c>
      <c r="W142" s="2"/>
      <c r="X142" s="2">
        <f t="shared" si="22"/>
        <v>37869.03</v>
      </c>
      <c r="Y142" s="2"/>
      <c r="Z142" s="19">
        <f t="shared" si="23"/>
        <v>0</v>
      </c>
    </row>
    <row r="143" spans="1:26" s="24" customFormat="1" hidden="1" outlineLevel="1" x14ac:dyDescent="0.25">
      <c r="A143" s="44"/>
      <c r="B143" s="11" t="str">
        <f>CONCATENATE("          ", "5045", " - ", "PURCHASES @ COST-SPECIAL ORDER")</f>
        <v xml:space="preserve">          5045 - PURCHASES @ COST-SPECIAL ORDER</v>
      </c>
      <c r="C143" s="11"/>
      <c r="D143" s="2">
        <v>52772.409999999996</v>
      </c>
      <c r="E143" s="2"/>
      <c r="F143" s="19">
        <f t="shared" si="16"/>
        <v>0.25350316292841429</v>
      </c>
      <c r="G143" s="2"/>
      <c r="H143" s="2"/>
      <c r="I143" s="2"/>
      <c r="J143" s="19">
        <f t="shared" si="17"/>
        <v>0</v>
      </c>
      <c r="K143" s="2"/>
      <c r="L143" s="2">
        <f t="shared" si="18"/>
        <v>52772.409999999996</v>
      </c>
      <c r="M143" s="2"/>
      <c r="N143" s="19">
        <f t="shared" si="19"/>
        <v>0</v>
      </c>
      <c r="O143" s="11"/>
      <c r="P143" s="2">
        <v>131614.81</v>
      </c>
      <c r="Q143" s="2"/>
      <c r="R143" s="19">
        <f t="shared" si="20"/>
        <v>1.1346557536847816E-2</v>
      </c>
      <c r="S143" s="2"/>
      <c r="T143" s="2"/>
      <c r="U143" s="2"/>
      <c r="V143" s="19">
        <f t="shared" si="21"/>
        <v>0</v>
      </c>
      <c r="W143" s="2"/>
      <c r="X143" s="2">
        <f t="shared" si="22"/>
        <v>131614.81</v>
      </c>
      <c r="Y143" s="2"/>
      <c r="Z143" s="19">
        <f t="shared" si="23"/>
        <v>0</v>
      </c>
    </row>
    <row r="144" spans="1:26" s="24" customFormat="1" hidden="1" outlineLevel="1" x14ac:dyDescent="0.25">
      <c r="A144" s="44"/>
      <c r="B144" s="11" t="str">
        <f>CONCATENATE("          ", "5053", " - ", "PURCHASES @ COST-FOOD")</f>
        <v xml:space="preserve">          5053 - PURCHASES @ COST-FOOD</v>
      </c>
      <c r="C144" s="11"/>
      <c r="D144" s="2">
        <v>-2889.94</v>
      </c>
      <c r="E144" s="2"/>
      <c r="F144" s="19">
        <f t="shared" si="16"/>
        <v>-1.3882423233529447E-2</v>
      </c>
      <c r="G144" s="2"/>
      <c r="H144" s="2"/>
      <c r="I144" s="2"/>
      <c r="J144" s="19">
        <f t="shared" si="17"/>
        <v>0</v>
      </c>
      <c r="K144" s="2"/>
      <c r="L144" s="2">
        <f t="shared" si="18"/>
        <v>-2889.94</v>
      </c>
      <c r="M144" s="2"/>
      <c r="N144" s="19">
        <f t="shared" si="19"/>
        <v>0</v>
      </c>
      <c r="O144" s="11"/>
      <c r="P144" s="2">
        <v>1155614.0999999999</v>
      </c>
      <c r="Q144" s="2"/>
      <c r="R144" s="19">
        <f t="shared" si="20"/>
        <v>9.9625884625313854E-2</v>
      </c>
      <c r="S144" s="2"/>
      <c r="T144" s="2"/>
      <c r="U144" s="2"/>
      <c r="V144" s="19">
        <f t="shared" si="21"/>
        <v>0</v>
      </c>
      <c r="W144" s="2"/>
      <c r="X144" s="2">
        <f t="shared" si="22"/>
        <v>1155614.0999999999</v>
      </c>
      <c r="Y144" s="2"/>
      <c r="Z144" s="19">
        <f t="shared" si="23"/>
        <v>0</v>
      </c>
    </row>
    <row r="145" spans="1:26" s="24" customFormat="1" hidden="1" outlineLevel="1" x14ac:dyDescent="0.25">
      <c r="A145" s="44"/>
      <c r="B145" s="11" t="str">
        <f>CONCATENATE("          ", "5059", " - ", "PURCHASES @ COST-FOOD")</f>
        <v xml:space="preserve">          5059 - PURCHASES @ COST-FOOD</v>
      </c>
      <c r="C145" s="11"/>
      <c r="D145" s="2">
        <v>6479</v>
      </c>
      <c r="E145" s="2"/>
      <c r="F145" s="19">
        <f t="shared" si="16"/>
        <v>3.1123213675729351E-2</v>
      </c>
      <c r="G145" s="2"/>
      <c r="H145" s="2"/>
      <c r="I145" s="2"/>
      <c r="J145" s="19">
        <f t="shared" si="17"/>
        <v>0</v>
      </c>
      <c r="K145" s="2"/>
      <c r="L145" s="2">
        <f t="shared" si="18"/>
        <v>6479</v>
      </c>
      <c r="M145" s="2"/>
      <c r="N145" s="19">
        <f t="shared" si="19"/>
        <v>0</v>
      </c>
      <c r="O145" s="11"/>
      <c r="P145" s="2">
        <v>80305.799999999988</v>
      </c>
      <c r="Q145" s="2"/>
      <c r="R145" s="19">
        <f t="shared" si="20"/>
        <v>6.9231903327793675E-3</v>
      </c>
      <c r="S145" s="2"/>
      <c r="T145" s="2"/>
      <c r="U145" s="2"/>
      <c r="V145" s="19">
        <f t="shared" si="21"/>
        <v>0</v>
      </c>
      <c r="W145" s="2"/>
      <c r="X145" s="2">
        <f t="shared" si="22"/>
        <v>80305.799999999988</v>
      </c>
      <c r="Y145" s="2"/>
      <c r="Z145" s="19">
        <f t="shared" si="23"/>
        <v>0</v>
      </c>
    </row>
    <row r="146" spans="1:26" s="24" customFormat="1" hidden="1" outlineLevel="1" x14ac:dyDescent="0.25">
      <c r="A146" s="44"/>
      <c r="B146" s="11" t="str">
        <f>CONCATENATE("          ", "5081", " - ", "PURCHASES @ COST-ELECTRONICS")</f>
        <v xml:space="preserve">          5081 - PURCHASES @ COST-ELECTRONICS</v>
      </c>
      <c r="C146" s="11"/>
      <c r="D146" s="2"/>
      <c r="E146" s="2"/>
      <c r="F146" s="19">
        <f t="shared" si="16"/>
        <v>0</v>
      </c>
      <c r="G146" s="2"/>
      <c r="H146" s="2"/>
      <c r="I146" s="2"/>
      <c r="J146" s="19">
        <f t="shared" si="17"/>
        <v>0</v>
      </c>
      <c r="K146" s="2"/>
      <c r="L146" s="2">
        <f t="shared" si="18"/>
        <v>0</v>
      </c>
      <c r="M146" s="2"/>
      <c r="N146" s="19">
        <f t="shared" si="19"/>
        <v>0</v>
      </c>
      <c r="O146" s="11"/>
      <c r="P146" s="2">
        <v>2008.03</v>
      </c>
      <c r="Q146" s="2"/>
      <c r="R146" s="19">
        <f t="shared" si="20"/>
        <v>1.7311294930043604E-4</v>
      </c>
      <c r="S146" s="2"/>
      <c r="T146" s="2"/>
      <c r="U146" s="2"/>
      <c r="V146" s="19">
        <f t="shared" si="21"/>
        <v>0</v>
      </c>
      <c r="W146" s="2"/>
      <c r="X146" s="2">
        <f t="shared" si="22"/>
        <v>2008.03</v>
      </c>
      <c r="Y146" s="2"/>
      <c r="Z146" s="19">
        <f t="shared" si="23"/>
        <v>0</v>
      </c>
    </row>
    <row r="147" spans="1:26" s="24" customFormat="1" hidden="1" outlineLevel="1" x14ac:dyDescent="0.25">
      <c r="A147" s="44"/>
      <c r="B147" s="11" t="str">
        <f>CONCATENATE("          ", "5082", " - ", "PURCHASES @ COST-COMPUTER HARD")</f>
        <v xml:space="preserve">          5082 - PURCHASES @ COST-COMPUTER HARD</v>
      </c>
      <c r="C147" s="11"/>
      <c r="D147" s="2"/>
      <c r="E147" s="2"/>
      <c r="F147" s="19">
        <f t="shared" si="16"/>
        <v>0</v>
      </c>
      <c r="G147" s="2"/>
      <c r="H147" s="2"/>
      <c r="I147" s="2"/>
      <c r="J147" s="19">
        <f t="shared" si="17"/>
        <v>0</v>
      </c>
      <c r="K147" s="2"/>
      <c r="L147" s="2">
        <f t="shared" si="18"/>
        <v>0</v>
      </c>
      <c r="M147" s="2"/>
      <c r="N147" s="19">
        <f t="shared" si="19"/>
        <v>0</v>
      </c>
      <c r="O147" s="11"/>
      <c r="P147" s="2">
        <v>349.6</v>
      </c>
      <c r="Q147" s="2"/>
      <c r="R147" s="19">
        <f t="shared" si="20"/>
        <v>3.0139134911048361E-5</v>
      </c>
      <c r="S147" s="2"/>
      <c r="T147" s="2"/>
      <c r="U147" s="2"/>
      <c r="V147" s="19">
        <f t="shared" si="21"/>
        <v>0</v>
      </c>
      <c r="W147" s="2"/>
      <c r="X147" s="2">
        <f t="shared" si="22"/>
        <v>349.6</v>
      </c>
      <c r="Y147" s="2"/>
      <c r="Z147" s="19">
        <f t="shared" si="23"/>
        <v>0</v>
      </c>
    </row>
    <row r="148" spans="1:26" s="24" customFormat="1" hidden="1" outlineLevel="1" x14ac:dyDescent="0.25">
      <c r="A148" s="44"/>
      <c r="B148" s="11" t="str">
        <f>CONCATENATE("          ", "5083", " - ", "PURCHASES @ COST-COMPUTER EQUI")</f>
        <v xml:space="preserve">          5083 - PURCHASES @ COST-COMPUTER EQUI</v>
      </c>
      <c r="C148" s="11"/>
      <c r="D148" s="2"/>
      <c r="E148" s="2"/>
      <c r="F148" s="19">
        <f t="shared" si="16"/>
        <v>0</v>
      </c>
      <c r="G148" s="2"/>
      <c r="H148" s="2"/>
      <c r="I148" s="2"/>
      <c r="J148" s="19">
        <f t="shared" si="17"/>
        <v>0</v>
      </c>
      <c r="K148" s="2"/>
      <c r="L148" s="2">
        <f t="shared" si="18"/>
        <v>0</v>
      </c>
      <c r="M148" s="2"/>
      <c r="N148" s="19">
        <f t="shared" si="19"/>
        <v>0</v>
      </c>
      <c r="O148" s="11"/>
      <c r="P148" s="2">
        <v>395.06</v>
      </c>
      <c r="Q148" s="2"/>
      <c r="R148" s="19">
        <f t="shared" si="20"/>
        <v>3.4058256973566258E-5</v>
      </c>
      <c r="S148" s="2"/>
      <c r="T148" s="2"/>
      <c r="U148" s="2"/>
      <c r="V148" s="19">
        <f t="shared" si="21"/>
        <v>0</v>
      </c>
      <c r="W148" s="2"/>
      <c r="X148" s="2">
        <f t="shared" si="22"/>
        <v>395.06</v>
      </c>
      <c r="Y148" s="2"/>
      <c r="Z148" s="19">
        <f t="shared" si="23"/>
        <v>0</v>
      </c>
    </row>
    <row r="149" spans="1:26" s="24" customFormat="1" hidden="1" outlineLevel="1" x14ac:dyDescent="0.25">
      <c r="A149" s="44"/>
      <c r="B149" s="11" t="str">
        <f>CONCATENATE("          ", "5086", " - ", "PURCHASES @ COST-COMPUTER SUPP")</f>
        <v xml:space="preserve">          5086 - PURCHASES @ COST-COMPUTER SUPP</v>
      </c>
      <c r="C149" s="11"/>
      <c r="D149" s="2"/>
      <c r="E149" s="2"/>
      <c r="F149" s="19">
        <f t="shared" si="16"/>
        <v>0</v>
      </c>
      <c r="G149" s="2"/>
      <c r="H149" s="2"/>
      <c r="I149" s="2"/>
      <c r="J149" s="19">
        <f t="shared" si="17"/>
        <v>0</v>
      </c>
      <c r="K149" s="2"/>
      <c r="L149" s="2">
        <f t="shared" si="18"/>
        <v>0</v>
      </c>
      <c r="M149" s="2"/>
      <c r="N149" s="19">
        <f t="shared" si="19"/>
        <v>0</v>
      </c>
      <c r="O149" s="11"/>
      <c r="P149" s="2">
        <v>426.22</v>
      </c>
      <c r="Q149" s="2"/>
      <c r="R149" s="19">
        <f t="shared" si="20"/>
        <v>3.6744571172159705E-5</v>
      </c>
      <c r="S149" s="2"/>
      <c r="T149" s="2"/>
      <c r="U149" s="2"/>
      <c r="V149" s="19">
        <f t="shared" si="21"/>
        <v>0</v>
      </c>
      <c r="W149" s="2"/>
      <c r="X149" s="2">
        <f t="shared" si="22"/>
        <v>426.22</v>
      </c>
      <c r="Y149" s="2"/>
      <c r="Z149" s="19">
        <f t="shared" si="23"/>
        <v>0</v>
      </c>
    </row>
    <row r="150" spans="1:26" s="24" customFormat="1" hidden="1" outlineLevel="1" x14ac:dyDescent="0.25">
      <c r="A150" s="44"/>
      <c r="B150" s="11" t="str">
        <f>CONCATENATE("          ", "5092", " - ", "PURCHASES @ COST-GRAD MERCH")</f>
        <v xml:space="preserve">          5092 - PURCHASES @ COST-GRAD MERCH</v>
      </c>
      <c r="C150" s="11"/>
      <c r="D150" s="2">
        <v>9354.1</v>
      </c>
      <c r="E150" s="2"/>
      <c r="F150" s="19">
        <f t="shared" si="16"/>
        <v>4.4934349906488646E-2</v>
      </c>
      <c r="G150" s="2"/>
      <c r="H150" s="2"/>
      <c r="I150" s="2"/>
      <c r="J150" s="19">
        <f t="shared" si="17"/>
        <v>0</v>
      </c>
      <c r="K150" s="2"/>
      <c r="L150" s="2">
        <f t="shared" si="18"/>
        <v>9354.1</v>
      </c>
      <c r="M150" s="2"/>
      <c r="N150" s="19">
        <f t="shared" si="19"/>
        <v>0</v>
      </c>
      <c r="O150" s="11"/>
      <c r="P150" s="2">
        <v>13839.98</v>
      </c>
      <c r="Q150" s="2"/>
      <c r="R150" s="19">
        <f t="shared" si="20"/>
        <v>1.1931493832557526E-3</v>
      </c>
      <c r="S150" s="2"/>
      <c r="T150" s="2"/>
      <c r="U150" s="2"/>
      <c r="V150" s="19">
        <f t="shared" si="21"/>
        <v>0</v>
      </c>
      <c r="W150" s="2"/>
      <c r="X150" s="2">
        <f t="shared" si="22"/>
        <v>13839.98</v>
      </c>
      <c r="Y150" s="2"/>
      <c r="Z150" s="19">
        <f t="shared" si="23"/>
        <v>0</v>
      </c>
    </row>
    <row r="151" spans="1:26" s="24" customFormat="1" hidden="1" outlineLevel="1" x14ac:dyDescent="0.25">
      <c r="A151" s="44"/>
      <c r="B151" s="11" t="str">
        <f>CONCATENATE("          ", "5095", " - ", "PURCHASES @ COST-CUSTOMER SERV")</f>
        <v xml:space="preserve">          5095 - PURCHASES @ COST-CUSTOMER SERV</v>
      </c>
      <c r="C151" s="11"/>
      <c r="D151" s="2">
        <v>0</v>
      </c>
      <c r="E151" s="2"/>
      <c r="F151" s="19">
        <f t="shared" si="16"/>
        <v>0</v>
      </c>
      <c r="G151" s="2"/>
      <c r="H151" s="2"/>
      <c r="I151" s="2"/>
      <c r="J151" s="19">
        <f t="shared" si="17"/>
        <v>0</v>
      </c>
      <c r="K151" s="2"/>
      <c r="L151" s="2">
        <f t="shared" si="18"/>
        <v>0</v>
      </c>
      <c r="M151" s="2"/>
      <c r="N151" s="19">
        <f t="shared" si="19"/>
        <v>0</v>
      </c>
      <c r="O151" s="11"/>
      <c r="P151" s="2">
        <v>0</v>
      </c>
      <c r="Q151" s="2"/>
      <c r="R151" s="19">
        <f t="shared" si="20"/>
        <v>0</v>
      </c>
      <c r="S151" s="2"/>
      <c r="T151" s="2"/>
      <c r="U151" s="2"/>
      <c r="V151" s="19">
        <f t="shared" si="21"/>
        <v>0</v>
      </c>
      <c r="W151" s="2"/>
      <c r="X151" s="2">
        <f t="shared" si="22"/>
        <v>0</v>
      </c>
      <c r="Y151" s="2"/>
      <c r="Z151" s="19">
        <f t="shared" si="23"/>
        <v>0</v>
      </c>
    </row>
    <row r="152" spans="1:26" s="24" customFormat="1" hidden="1" outlineLevel="1" x14ac:dyDescent="0.25">
      <c r="A152" s="44"/>
      <c r="B152" s="11" t="str">
        <f>CONCATENATE("          ", "5200", " - ", "PURCHASES OFFSET")</f>
        <v xml:space="preserve">          5200 - PURCHASES OFFSET</v>
      </c>
      <c r="C152" s="11"/>
      <c r="D152" s="2">
        <v>-303919</v>
      </c>
      <c r="E152" s="2"/>
      <c r="F152" s="19">
        <f t="shared" si="16"/>
        <v>-1.4599376411659188</v>
      </c>
      <c r="G152" s="2"/>
      <c r="H152" s="2"/>
      <c r="I152" s="2"/>
      <c r="J152" s="19">
        <f t="shared" si="17"/>
        <v>0</v>
      </c>
      <c r="K152" s="2"/>
      <c r="L152" s="2">
        <f t="shared" si="18"/>
        <v>-303919</v>
      </c>
      <c r="M152" s="2"/>
      <c r="N152" s="19">
        <f t="shared" si="19"/>
        <v>0</v>
      </c>
      <c r="O152" s="11"/>
      <c r="P152" s="2">
        <v>-3777245</v>
      </c>
      <c r="Q152" s="2"/>
      <c r="R152" s="19">
        <f t="shared" si="20"/>
        <v>-0.32563757622163292</v>
      </c>
      <c r="S152" s="2"/>
      <c r="T152" s="2"/>
      <c r="U152" s="2"/>
      <c r="V152" s="19">
        <f t="shared" si="21"/>
        <v>0</v>
      </c>
      <c r="W152" s="2"/>
      <c r="X152" s="2">
        <f t="shared" si="22"/>
        <v>-3777245</v>
      </c>
      <c r="Y152" s="2"/>
      <c r="Z152" s="19">
        <f t="shared" si="23"/>
        <v>0</v>
      </c>
    </row>
    <row r="153" spans="1:26" s="24" customFormat="1" hidden="1" outlineLevel="1" x14ac:dyDescent="0.25">
      <c r="A153" s="44"/>
      <c r="B153" s="11" t="str">
        <f>CONCATENATE("          ", "5300", " - ", "COG$ OFFSET")</f>
        <v xml:space="preserve">          5300 - COG$ OFFSET</v>
      </c>
      <c r="C153" s="11"/>
      <c r="D153" s="2">
        <v>300761.52999999997</v>
      </c>
      <c r="E153" s="2"/>
      <c r="F153" s="19">
        <f t="shared" si="16"/>
        <v>1.4447700823629082</v>
      </c>
      <c r="G153" s="2"/>
      <c r="H153" s="2"/>
      <c r="I153" s="2"/>
      <c r="J153" s="19">
        <f t="shared" si="17"/>
        <v>0</v>
      </c>
      <c r="K153" s="2"/>
      <c r="L153" s="2">
        <f t="shared" si="18"/>
        <v>300761.52999999997</v>
      </c>
      <c r="M153" s="2"/>
      <c r="N153" s="19">
        <f t="shared" si="19"/>
        <v>0</v>
      </c>
      <c r="O153" s="11"/>
      <c r="P153" s="2">
        <v>4336696</v>
      </c>
      <c r="Q153" s="2"/>
      <c r="R153" s="19">
        <f t="shared" si="20"/>
        <v>0.37386803722026252</v>
      </c>
      <c r="S153" s="2"/>
      <c r="T153" s="2"/>
      <c r="U153" s="2"/>
      <c r="V153" s="19">
        <f t="shared" si="21"/>
        <v>0</v>
      </c>
      <c r="W153" s="2"/>
      <c r="X153" s="2">
        <f t="shared" si="22"/>
        <v>4336696</v>
      </c>
      <c r="Y153" s="2"/>
      <c r="Z153" s="19">
        <f t="shared" si="23"/>
        <v>0</v>
      </c>
    </row>
    <row r="154" spans="1:26" s="24" customFormat="1" hidden="1" outlineLevel="1" x14ac:dyDescent="0.25">
      <c r="A154" s="44"/>
      <c r="B154" s="11" t="str">
        <f>CONCATENATE("          ", "5500", " - ", "FREIGHT-IN")</f>
        <v xml:space="preserve">          5500 - FREIGHT-IN</v>
      </c>
      <c r="C154" s="11"/>
      <c r="D154" s="2">
        <v>83.13</v>
      </c>
      <c r="E154" s="2"/>
      <c r="F154" s="19">
        <f t="shared" si="16"/>
        <v>3.9933211187889809E-4</v>
      </c>
      <c r="G154" s="2"/>
      <c r="H154" s="2"/>
      <c r="I154" s="2"/>
      <c r="J154" s="19">
        <f t="shared" si="17"/>
        <v>0</v>
      </c>
      <c r="K154" s="2"/>
      <c r="L154" s="2">
        <f t="shared" si="18"/>
        <v>83.13</v>
      </c>
      <c r="M154" s="2"/>
      <c r="N154" s="19">
        <f t="shared" si="19"/>
        <v>0</v>
      </c>
      <c r="O154" s="11"/>
      <c r="P154" s="2">
        <v>239.61</v>
      </c>
      <c r="Q154" s="2"/>
      <c r="R154" s="19">
        <f t="shared" si="20"/>
        <v>2.065685959964616E-5</v>
      </c>
      <c r="S154" s="2"/>
      <c r="T154" s="2"/>
      <c r="U154" s="2"/>
      <c r="V154" s="19">
        <f t="shared" si="21"/>
        <v>0</v>
      </c>
      <c r="W154" s="2"/>
      <c r="X154" s="2">
        <f t="shared" si="22"/>
        <v>239.61</v>
      </c>
      <c r="Y154" s="2"/>
      <c r="Z154" s="19">
        <f t="shared" si="23"/>
        <v>0</v>
      </c>
    </row>
    <row r="155" spans="1:26" s="24" customFormat="1" hidden="1" outlineLevel="1" x14ac:dyDescent="0.25">
      <c r="A155" s="44"/>
      <c r="B155" s="11" t="str">
        <f>CONCATENATE("          ", "5501", " - ", "FREIGHT-IN-NEW TEXT")</f>
        <v xml:space="preserve">          5501 - FREIGHT-IN-NEW TEXT</v>
      </c>
      <c r="C155" s="11"/>
      <c r="D155" s="2">
        <v>2483.06</v>
      </c>
      <c r="E155" s="2"/>
      <c r="F155" s="19">
        <f t="shared" si="16"/>
        <v>1.1927891179141305E-2</v>
      </c>
      <c r="G155" s="2"/>
      <c r="H155" s="2"/>
      <c r="I155" s="2"/>
      <c r="J155" s="19">
        <f t="shared" si="17"/>
        <v>0</v>
      </c>
      <c r="K155" s="2"/>
      <c r="L155" s="2">
        <f t="shared" si="18"/>
        <v>2483.06</v>
      </c>
      <c r="M155" s="2"/>
      <c r="N155" s="19">
        <f t="shared" si="19"/>
        <v>0</v>
      </c>
      <c r="O155" s="11"/>
      <c r="P155" s="2">
        <v>72230.790000000008</v>
      </c>
      <c r="Q155" s="2"/>
      <c r="R155" s="19">
        <f t="shared" si="20"/>
        <v>6.2270409740892534E-3</v>
      </c>
      <c r="S155" s="2"/>
      <c r="T155" s="2"/>
      <c r="U155" s="2"/>
      <c r="V155" s="19">
        <f t="shared" si="21"/>
        <v>0</v>
      </c>
      <c r="W155" s="2"/>
      <c r="X155" s="2">
        <f t="shared" si="22"/>
        <v>72230.790000000008</v>
      </c>
      <c r="Y155" s="2"/>
      <c r="Z155" s="19">
        <f t="shared" si="23"/>
        <v>0</v>
      </c>
    </row>
    <row r="156" spans="1:26" s="24" customFormat="1" hidden="1" outlineLevel="1" x14ac:dyDescent="0.25">
      <c r="A156" s="44"/>
      <c r="B156" s="11" t="str">
        <f>CONCATENATE("          ", "5502", " - ", "FREIGHT-IN-USED TEXT")</f>
        <v xml:space="preserve">          5502 - FREIGHT-IN-USED TEXT</v>
      </c>
      <c r="C156" s="11"/>
      <c r="D156" s="2">
        <v>519.36</v>
      </c>
      <c r="E156" s="2"/>
      <c r="F156" s="19">
        <f t="shared" si="16"/>
        <v>2.4948529486999221E-3</v>
      </c>
      <c r="G156" s="2"/>
      <c r="H156" s="2"/>
      <c r="I156" s="2"/>
      <c r="J156" s="19">
        <f t="shared" si="17"/>
        <v>0</v>
      </c>
      <c r="K156" s="2"/>
      <c r="L156" s="2">
        <f t="shared" si="18"/>
        <v>519.36</v>
      </c>
      <c r="M156" s="2"/>
      <c r="N156" s="19">
        <f t="shared" si="19"/>
        <v>0</v>
      </c>
      <c r="O156" s="11"/>
      <c r="P156" s="2">
        <v>16200.12</v>
      </c>
      <c r="Q156" s="2"/>
      <c r="R156" s="19">
        <f t="shared" si="20"/>
        <v>1.3966178554209747E-3</v>
      </c>
      <c r="S156" s="2"/>
      <c r="T156" s="2"/>
      <c r="U156" s="2"/>
      <c r="V156" s="19">
        <f t="shared" si="21"/>
        <v>0</v>
      </c>
      <c r="W156" s="2"/>
      <c r="X156" s="2">
        <f t="shared" si="22"/>
        <v>16200.12</v>
      </c>
      <c r="Y156" s="2"/>
      <c r="Z156" s="19">
        <f t="shared" si="23"/>
        <v>0</v>
      </c>
    </row>
    <row r="157" spans="1:26" s="24" customFormat="1" hidden="1" outlineLevel="1" x14ac:dyDescent="0.25">
      <c r="A157" s="44"/>
      <c r="B157" s="11" t="str">
        <f>CONCATENATE("          ", "5504", " - ", "FREIGHT-IN-DIGITAL TEXT")</f>
        <v xml:space="preserve">          5504 - FREIGHT-IN-DIGITAL TEXT</v>
      </c>
      <c r="C157" s="11"/>
      <c r="D157" s="2"/>
      <c r="E157" s="2"/>
      <c r="F157" s="19">
        <f t="shared" si="16"/>
        <v>0</v>
      </c>
      <c r="G157" s="2"/>
      <c r="H157" s="2"/>
      <c r="I157" s="2"/>
      <c r="J157" s="19">
        <f t="shared" si="17"/>
        <v>0</v>
      </c>
      <c r="K157" s="2"/>
      <c r="L157" s="2">
        <f t="shared" si="18"/>
        <v>0</v>
      </c>
      <c r="M157" s="2"/>
      <c r="N157" s="19">
        <f t="shared" si="19"/>
        <v>0</v>
      </c>
      <c r="O157" s="11"/>
      <c r="P157" s="2">
        <v>118.75</v>
      </c>
      <c r="Q157" s="2"/>
      <c r="R157" s="19">
        <f t="shared" si="20"/>
        <v>1.0237477890981099E-5</v>
      </c>
      <c r="S157" s="2"/>
      <c r="T157" s="2"/>
      <c r="U157" s="2"/>
      <c r="V157" s="19">
        <f t="shared" si="21"/>
        <v>0</v>
      </c>
      <c r="W157" s="2"/>
      <c r="X157" s="2">
        <f t="shared" si="22"/>
        <v>118.75</v>
      </c>
      <c r="Y157" s="2"/>
      <c r="Z157" s="19">
        <f t="shared" si="23"/>
        <v>0</v>
      </c>
    </row>
    <row r="158" spans="1:26" s="24" customFormat="1" hidden="1" outlineLevel="1" x14ac:dyDescent="0.25">
      <c r="A158" s="44"/>
      <c r="B158" s="11" t="str">
        <f>CONCATENATE("          ", "5513", " - ", "FREIGHT-IN-TRADE BOOKS")</f>
        <v xml:space="preserve">          5513 - FREIGHT-IN-TRADE BOOKS</v>
      </c>
      <c r="C158" s="11"/>
      <c r="D158" s="2"/>
      <c r="E158" s="2"/>
      <c r="F158" s="19">
        <f t="shared" si="16"/>
        <v>0</v>
      </c>
      <c r="G158" s="2"/>
      <c r="H158" s="2"/>
      <c r="I158" s="2"/>
      <c r="J158" s="19">
        <f t="shared" si="17"/>
        <v>0</v>
      </c>
      <c r="K158" s="2"/>
      <c r="L158" s="2">
        <f t="shared" si="18"/>
        <v>0</v>
      </c>
      <c r="M158" s="2"/>
      <c r="N158" s="19">
        <f t="shared" si="19"/>
        <v>0</v>
      </c>
      <c r="O158" s="11"/>
      <c r="P158" s="2">
        <v>30.24</v>
      </c>
      <c r="Q158" s="2"/>
      <c r="R158" s="19">
        <f t="shared" si="20"/>
        <v>2.6070006856696291E-6</v>
      </c>
      <c r="S158" s="2"/>
      <c r="T158" s="2"/>
      <c r="U158" s="2"/>
      <c r="V158" s="19">
        <f t="shared" si="21"/>
        <v>0</v>
      </c>
      <c r="W158" s="2"/>
      <c r="X158" s="2">
        <f t="shared" si="22"/>
        <v>30.24</v>
      </c>
      <c r="Y158" s="2"/>
      <c r="Z158" s="19">
        <f t="shared" si="23"/>
        <v>0</v>
      </c>
    </row>
    <row r="159" spans="1:26" s="24" customFormat="1" hidden="1" outlineLevel="1" x14ac:dyDescent="0.25">
      <c r="A159" s="44"/>
      <c r="B159" s="11" t="str">
        <f>CONCATENATE("          ", "5518", " - ", "FREIGHT-IN-STUDY GUIDES")</f>
        <v xml:space="preserve">          5518 - FREIGHT-IN-STUDY GUIDES</v>
      </c>
      <c r="C159" s="11"/>
      <c r="D159" s="2"/>
      <c r="E159" s="2"/>
      <c r="F159" s="19">
        <f t="shared" si="16"/>
        <v>0</v>
      </c>
      <c r="G159" s="2"/>
      <c r="H159" s="2"/>
      <c r="I159" s="2"/>
      <c r="J159" s="19">
        <f t="shared" si="17"/>
        <v>0</v>
      </c>
      <c r="K159" s="2"/>
      <c r="L159" s="2">
        <f t="shared" si="18"/>
        <v>0</v>
      </c>
      <c r="M159" s="2"/>
      <c r="N159" s="19">
        <f t="shared" si="19"/>
        <v>0</v>
      </c>
      <c r="O159" s="11"/>
      <c r="P159" s="2">
        <v>21.13</v>
      </c>
      <c r="Q159" s="2"/>
      <c r="R159" s="19">
        <f t="shared" si="20"/>
        <v>1.8216244870436265E-6</v>
      </c>
      <c r="S159" s="2"/>
      <c r="T159" s="2"/>
      <c r="U159" s="2"/>
      <c r="V159" s="19">
        <f t="shared" si="21"/>
        <v>0</v>
      </c>
      <c r="W159" s="2"/>
      <c r="X159" s="2">
        <f t="shared" si="22"/>
        <v>21.13</v>
      </c>
      <c r="Y159" s="2"/>
      <c r="Z159" s="19">
        <f t="shared" si="23"/>
        <v>0</v>
      </c>
    </row>
    <row r="160" spans="1:26" s="24" customFormat="1" hidden="1" outlineLevel="1" x14ac:dyDescent="0.25">
      <c r="A160" s="44"/>
      <c r="B160" s="11" t="str">
        <f>CONCATENATE("          ", "5525", " - ", "FREIGHT-IN-TEST FORMS")</f>
        <v xml:space="preserve">          5525 - FREIGHT-IN-TEST FORMS</v>
      </c>
      <c r="C160" s="11"/>
      <c r="D160" s="2"/>
      <c r="E160" s="2"/>
      <c r="F160" s="19">
        <f t="shared" si="16"/>
        <v>0</v>
      </c>
      <c r="G160" s="2"/>
      <c r="H160" s="2"/>
      <c r="I160" s="2"/>
      <c r="J160" s="19">
        <f t="shared" si="17"/>
        <v>0</v>
      </c>
      <c r="K160" s="2"/>
      <c r="L160" s="2">
        <f t="shared" si="18"/>
        <v>0</v>
      </c>
      <c r="M160" s="2"/>
      <c r="N160" s="19">
        <f t="shared" si="19"/>
        <v>0</v>
      </c>
      <c r="O160" s="11"/>
      <c r="P160" s="2">
        <v>1614.32</v>
      </c>
      <c r="Q160" s="2"/>
      <c r="R160" s="19">
        <f t="shared" si="20"/>
        <v>1.3917107628605145E-4</v>
      </c>
      <c r="S160" s="2"/>
      <c r="T160" s="2"/>
      <c r="U160" s="2"/>
      <c r="V160" s="19">
        <f t="shared" si="21"/>
        <v>0</v>
      </c>
      <c r="W160" s="2"/>
      <c r="X160" s="2">
        <f t="shared" si="22"/>
        <v>1614.32</v>
      </c>
      <c r="Y160" s="2"/>
      <c r="Z160" s="19">
        <f t="shared" si="23"/>
        <v>0</v>
      </c>
    </row>
    <row r="161" spans="1:26" s="24" customFormat="1" hidden="1" outlineLevel="1" x14ac:dyDescent="0.25">
      <c r="A161" s="44"/>
      <c r="B161" s="11" t="str">
        <f>CONCATENATE("          ", "5526", " - ", "FREIGHT-IN-WRITING INSTRUMENTS")</f>
        <v xml:space="preserve">          5526 - FREIGHT-IN-WRITING INSTRUMENTS</v>
      </c>
      <c r="C161" s="11"/>
      <c r="D161" s="2"/>
      <c r="E161" s="2"/>
      <c r="F161" s="19">
        <f t="shared" si="16"/>
        <v>0</v>
      </c>
      <c r="G161" s="2"/>
      <c r="H161" s="2"/>
      <c r="I161" s="2"/>
      <c r="J161" s="19">
        <f t="shared" si="17"/>
        <v>0</v>
      </c>
      <c r="K161" s="2"/>
      <c r="L161" s="2">
        <f t="shared" si="18"/>
        <v>0</v>
      </c>
      <c r="M161" s="2"/>
      <c r="N161" s="19">
        <f t="shared" si="19"/>
        <v>0</v>
      </c>
      <c r="O161" s="11"/>
      <c r="P161" s="2">
        <v>274.5</v>
      </c>
      <c r="Q161" s="2"/>
      <c r="R161" s="19">
        <f t="shared" si="20"/>
        <v>2.3664738366941576E-5</v>
      </c>
      <c r="S161" s="2"/>
      <c r="T161" s="2"/>
      <c r="U161" s="2"/>
      <c r="V161" s="19">
        <f t="shared" si="21"/>
        <v>0</v>
      </c>
      <c r="W161" s="2"/>
      <c r="X161" s="2">
        <f t="shared" si="22"/>
        <v>274.5</v>
      </c>
      <c r="Y161" s="2"/>
      <c r="Z161" s="19">
        <f t="shared" si="23"/>
        <v>0</v>
      </c>
    </row>
    <row r="162" spans="1:26" s="24" customFormat="1" hidden="1" outlineLevel="1" x14ac:dyDescent="0.25">
      <c r="A162" s="44"/>
      <c r="B162" s="11" t="str">
        <f>CONCATENATE("          ", "5527", " - ", "FREIGHT-IN-SCHOOL SUPPLIES")</f>
        <v xml:space="preserve">          5527 - FREIGHT-IN-SCHOOL SUPPLIES</v>
      </c>
      <c r="C162" s="11"/>
      <c r="D162" s="2"/>
      <c r="E162" s="2"/>
      <c r="F162" s="19">
        <f t="shared" si="16"/>
        <v>0</v>
      </c>
      <c r="G162" s="2"/>
      <c r="H162" s="2"/>
      <c r="I162" s="2"/>
      <c r="J162" s="19">
        <f t="shared" si="17"/>
        <v>0</v>
      </c>
      <c r="K162" s="2"/>
      <c r="L162" s="2">
        <f t="shared" si="18"/>
        <v>0</v>
      </c>
      <c r="M162" s="2"/>
      <c r="N162" s="19">
        <f t="shared" si="19"/>
        <v>0</v>
      </c>
      <c r="O162" s="11"/>
      <c r="P162" s="2">
        <v>1808</v>
      </c>
      <c r="Q162" s="2"/>
      <c r="R162" s="19">
        <f t="shared" si="20"/>
        <v>1.5586829496331645E-4</v>
      </c>
      <c r="S162" s="2"/>
      <c r="T162" s="2"/>
      <c r="U162" s="2"/>
      <c r="V162" s="19">
        <f t="shared" si="21"/>
        <v>0</v>
      </c>
      <c r="W162" s="2"/>
      <c r="X162" s="2">
        <f t="shared" si="22"/>
        <v>1808</v>
      </c>
      <c r="Y162" s="2"/>
      <c r="Z162" s="19">
        <f t="shared" si="23"/>
        <v>0</v>
      </c>
    </row>
    <row r="163" spans="1:26" s="24" customFormat="1" hidden="1" outlineLevel="1" x14ac:dyDescent="0.25">
      <c r="A163" s="44"/>
      <c r="B163" s="11" t="str">
        <f>CONCATENATE("          ", "5528", " - ", "FREIGHT-IN-ART/TECH")</f>
        <v xml:space="preserve">          5528 - FREIGHT-IN-ART/TECH</v>
      </c>
      <c r="C163" s="11"/>
      <c r="D163" s="2">
        <v>13.33</v>
      </c>
      <c r="E163" s="2"/>
      <c r="F163" s="19">
        <f t="shared" si="16"/>
        <v>6.4033406127098668E-5</v>
      </c>
      <c r="G163" s="2"/>
      <c r="H163" s="2"/>
      <c r="I163" s="2"/>
      <c r="J163" s="19">
        <f t="shared" si="17"/>
        <v>0</v>
      </c>
      <c r="K163" s="2"/>
      <c r="L163" s="2">
        <f t="shared" si="18"/>
        <v>13.33</v>
      </c>
      <c r="M163" s="2"/>
      <c r="N163" s="19">
        <f t="shared" si="19"/>
        <v>0</v>
      </c>
      <c r="O163" s="11"/>
      <c r="P163" s="2">
        <v>2837.7</v>
      </c>
      <c r="Q163" s="2"/>
      <c r="R163" s="19">
        <f t="shared" si="20"/>
        <v>2.446390821998911E-4</v>
      </c>
      <c r="S163" s="2"/>
      <c r="T163" s="2"/>
      <c r="U163" s="2"/>
      <c r="V163" s="19">
        <f t="shared" si="21"/>
        <v>0</v>
      </c>
      <c r="W163" s="2"/>
      <c r="X163" s="2">
        <f t="shared" si="22"/>
        <v>2837.7</v>
      </c>
      <c r="Y163" s="2"/>
      <c r="Z163" s="19">
        <f t="shared" si="23"/>
        <v>0</v>
      </c>
    </row>
    <row r="164" spans="1:26" s="24" customFormat="1" hidden="1" outlineLevel="1" x14ac:dyDescent="0.25">
      <c r="A164" s="44"/>
      <c r="B164" s="11" t="str">
        <f>CONCATENATE("          ", "5540", " - ", "FREIGHT-IN-LOGO CLOTHING")</f>
        <v xml:space="preserve">          5540 - FREIGHT-IN-LOGO CLOTHING</v>
      </c>
      <c r="C164" s="11"/>
      <c r="D164" s="2">
        <v>29.98</v>
      </c>
      <c r="E164" s="2"/>
      <c r="F164" s="19">
        <f t="shared" si="16"/>
        <v>1.4401511745614539E-4</v>
      </c>
      <c r="G164" s="2"/>
      <c r="H164" s="2"/>
      <c r="I164" s="2"/>
      <c r="J164" s="19">
        <f t="shared" si="17"/>
        <v>0</v>
      </c>
      <c r="K164" s="2"/>
      <c r="L164" s="2">
        <f t="shared" si="18"/>
        <v>29.98</v>
      </c>
      <c r="M164" s="2"/>
      <c r="N164" s="19">
        <f t="shared" si="19"/>
        <v>0</v>
      </c>
      <c r="O164" s="11"/>
      <c r="P164" s="2">
        <v>32548.979999999996</v>
      </c>
      <c r="Q164" s="2"/>
      <c r="R164" s="19">
        <f t="shared" si="20"/>
        <v>2.8060586368335661E-3</v>
      </c>
      <c r="S164" s="2"/>
      <c r="T164" s="2"/>
      <c r="U164" s="2"/>
      <c r="V164" s="19">
        <f t="shared" si="21"/>
        <v>0</v>
      </c>
      <c r="W164" s="2"/>
      <c r="X164" s="2">
        <f t="shared" si="22"/>
        <v>32548.979999999996</v>
      </c>
      <c r="Y164" s="2"/>
      <c r="Z164" s="19">
        <f t="shared" si="23"/>
        <v>0</v>
      </c>
    </row>
    <row r="165" spans="1:26" s="24" customFormat="1" hidden="1" outlineLevel="1" x14ac:dyDescent="0.25">
      <c r="A165" s="44"/>
      <c r="B165" s="11" t="str">
        <f>CONCATENATE("          ", "5541", " - ", "FREIGHT-IN-LOGO GIFTS")</f>
        <v xml:space="preserve">          5541 - FREIGHT-IN-LOGO GIFTS</v>
      </c>
      <c r="C165" s="11"/>
      <c r="D165" s="2">
        <v>348.31</v>
      </c>
      <c r="E165" s="2"/>
      <c r="F165" s="19">
        <f t="shared" si="16"/>
        <v>1.6731789713525685E-3</v>
      </c>
      <c r="G165" s="2"/>
      <c r="H165" s="2"/>
      <c r="I165" s="2"/>
      <c r="J165" s="19">
        <f t="shared" si="17"/>
        <v>0</v>
      </c>
      <c r="K165" s="2"/>
      <c r="L165" s="2">
        <f t="shared" si="18"/>
        <v>348.31</v>
      </c>
      <c r="M165" s="2"/>
      <c r="N165" s="19">
        <f t="shared" si="19"/>
        <v>0</v>
      </c>
      <c r="O165" s="11"/>
      <c r="P165" s="2">
        <v>5574.41</v>
      </c>
      <c r="Q165" s="2"/>
      <c r="R165" s="19">
        <f t="shared" si="20"/>
        <v>4.8057178214959119E-4</v>
      </c>
      <c r="S165" s="2"/>
      <c r="T165" s="2"/>
      <c r="U165" s="2"/>
      <c r="V165" s="19">
        <f t="shared" si="21"/>
        <v>0</v>
      </c>
      <c r="W165" s="2"/>
      <c r="X165" s="2">
        <f t="shared" si="22"/>
        <v>5574.41</v>
      </c>
      <c r="Y165" s="2"/>
      <c r="Z165" s="19">
        <f t="shared" si="23"/>
        <v>0</v>
      </c>
    </row>
    <row r="166" spans="1:26" s="24" customFormat="1" hidden="1" outlineLevel="1" x14ac:dyDescent="0.25">
      <c r="A166" s="44"/>
      <c r="B166" s="11" t="str">
        <f>CONCATENATE("          ", "5542", " - ", "FREIGHT-IN-EVERYDAY GIFTS")</f>
        <v xml:space="preserve">          5542 - FREIGHT-IN-EVERYDAY GIFTS</v>
      </c>
      <c r="C166" s="11"/>
      <c r="D166" s="2"/>
      <c r="E166" s="2"/>
      <c r="F166" s="19">
        <f t="shared" si="16"/>
        <v>0</v>
      </c>
      <c r="G166" s="2"/>
      <c r="H166" s="2"/>
      <c r="I166" s="2"/>
      <c r="J166" s="19">
        <f t="shared" si="17"/>
        <v>0</v>
      </c>
      <c r="K166" s="2"/>
      <c r="L166" s="2">
        <f t="shared" si="18"/>
        <v>0</v>
      </c>
      <c r="M166" s="2"/>
      <c r="N166" s="19">
        <f t="shared" si="19"/>
        <v>0</v>
      </c>
      <c r="O166" s="11"/>
      <c r="P166" s="2">
        <v>2223.5100000000002</v>
      </c>
      <c r="Q166" s="2"/>
      <c r="R166" s="19">
        <f t="shared" si="20"/>
        <v>1.9168955339263484E-4</v>
      </c>
      <c r="S166" s="2"/>
      <c r="T166" s="2"/>
      <c r="U166" s="2"/>
      <c r="V166" s="19">
        <f t="shared" si="21"/>
        <v>0</v>
      </c>
      <c r="W166" s="2"/>
      <c r="X166" s="2">
        <f t="shared" si="22"/>
        <v>2223.5100000000002</v>
      </c>
      <c r="Y166" s="2"/>
      <c r="Z166" s="19">
        <f t="shared" si="23"/>
        <v>0</v>
      </c>
    </row>
    <row r="167" spans="1:26" s="24" customFormat="1" hidden="1" outlineLevel="1" x14ac:dyDescent="0.25">
      <c r="A167" s="44"/>
      <c r="B167" s="11" t="str">
        <f>CONCATENATE("          ", "5543", " - ", "FREIGHT-IN-CARDS")</f>
        <v xml:space="preserve">          5543 - FREIGHT-IN-CARDS</v>
      </c>
      <c r="C167" s="11"/>
      <c r="D167" s="2"/>
      <c r="E167" s="2"/>
      <c r="F167" s="19">
        <f t="shared" si="16"/>
        <v>0</v>
      </c>
      <c r="G167" s="2"/>
      <c r="H167" s="2"/>
      <c r="I167" s="2"/>
      <c r="J167" s="19">
        <f t="shared" si="17"/>
        <v>0</v>
      </c>
      <c r="K167" s="2"/>
      <c r="L167" s="2">
        <f t="shared" si="18"/>
        <v>0</v>
      </c>
      <c r="M167" s="2"/>
      <c r="N167" s="19">
        <f t="shared" si="19"/>
        <v>0</v>
      </c>
      <c r="O167" s="11"/>
      <c r="P167" s="2">
        <v>2926.76</v>
      </c>
      <c r="Q167" s="2"/>
      <c r="R167" s="19">
        <f t="shared" si="20"/>
        <v>2.523169750922766E-4</v>
      </c>
      <c r="S167" s="2"/>
      <c r="T167" s="2"/>
      <c r="U167" s="2"/>
      <c r="V167" s="19">
        <f t="shared" si="21"/>
        <v>0</v>
      </c>
      <c r="W167" s="2"/>
      <c r="X167" s="2">
        <f t="shared" si="22"/>
        <v>2926.76</v>
      </c>
      <c r="Y167" s="2"/>
      <c r="Z167" s="19">
        <f t="shared" si="23"/>
        <v>0</v>
      </c>
    </row>
    <row r="168" spans="1:26" s="24" customFormat="1" hidden="1" outlineLevel="1" x14ac:dyDescent="0.25">
      <c r="A168" s="44"/>
      <c r="B168" s="11" t="str">
        <f>CONCATENATE("          ", "5544", " - ", "FREIGHT-IN-ACCESSORIES")</f>
        <v xml:space="preserve">          5544 - FREIGHT-IN-ACCESSORIES</v>
      </c>
      <c r="C168" s="11"/>
      <c r="D168" s="2"/>
      <c r="E168" s="2"/>
      <c r="F168" s="19">
        <f t="shared" si="16"/>
        <v>0</v>
      </c>
      <c r="G168" s="2"/>
      <c r="H168" s="2"/>
      <c r="I168" s="2"/>
      <c r="J168" s="19">
        <f t="shared" si="17"/>
        <v>0</v>
      </c>
      <c r="K168" s="2"/>
      <c r="L168" s="2">
        <f t="shared" si="18"/>
        <v>0</v>
      </c>
      <c r="M168" s="2"/>
      <c r="N168" s="19">
        <f t="shared" si="19"/>
        <v>0</v>
      </c>
      <c r="O168" s="11"/>
      <c r="P168" s="2">
        <v>483.44</v>
      </c>
      <c r="Q168" s="2"/>
      <c r="R168" s="19">
        <f t="shared" si="20"/>
        <v>4.1677526834660235E-5</v>
      </c>
      <c r="S168" s="2"/>
      <c r="T168" s="2"/>
      <c r="U168" s="2"/>
      <c r="V168" s="19">
        <f t="shared" si="21"/>
        <v>0</v>
      </c>
      <c r="W168" s="2"/>
      <c r="X168" s="2">
        <f t="shared" si="22"/>
        <v>483.44</v>
      </c>
      <c r="Y168" s="2"/>
      <c r="Z168" s="19">
        <f t="shared" si="23"/>
        <v>0</v>
      </c>
    </row>
    <row r="169" spans="1:26" s="24" customFormat="1" hidden="1" outlineLevel="1" x14ac:dyDescent="0.25">
      <c r="A169" s="44"/>
      <c r="B169" s="11" t="str">
        <f>CONCATENATE("          ", "5545", " - ", "FREIGHT-IN-SPECIAL ORDERS")</f>
        <v xml:space="preserve">          5545 - FREIGHT-IN-SPECIAL ORDERS</v>
      </c>
      <c r="C169" s="11"/>
      <c r="D169" s="2">
        <v>355.3</v>
      </c>
      <c r="E169" s="2"/>
      <c r="F169" s="19">
        <f t="shared" si="16"/>
        <v>1.7067568789916096E-3</v>
      </c>
      <c r="G169" s="2"/>
      <c r="H169" s="2"/>
      <c r="I169" s="2"/>
      <c r="J169" s="19">
        <f t="shared" si="17"/>
        <v>0</v>
      </c>
      <c r="K169" s="2"/>
      <c r="L169" s="2">
        <f t="shared" si="18"/>
        <v>355.3</v>
      </c>
      <c r="M169" s="2"/>
      <c r="N169" s="19">
        <f t="shared" si="19"/>
        <v>0</v>
      </c>
      <c r="O169" s="11"/>
      <c r="P169" s="2">
        <v>1420.62</v>
      </c>
      <c r="Q169" s="2"/>
      <c r="R169" s="19">
        <f t="shared" si="20"/>
        <v>1.2247213340198373E-4</v>
      </c>
      <c r="S169" s="2"/>
      <c r="T169" s="2"/>
      <c r="U169" s="2"/>
      <c r="V169" s="19">
        <f t="shared" si="21"/>
        <v>0</v>
      </c>
      <c r="W169" s="2"/>
      <c r="X169" s="2">
        <f t="shared" si="22"/>
        <v>1420.62</v>
      </c>
      <c r="Y169" s="2"/>
      <c r="Z169" s="19">
        <f t="shared" si="23"/>
        <v>0</v>
      </c>
    </row>
    <row r="170" spans="1:26" s="24" customFormat="1" hidden="1" outlineLevel="1" x14ac:dyDescent="0.25">
      <c r="A170" s="44"/>
      <c r="B170" s="11" t="str">
        <f>CONCATENATE("          ", "5592", " - ", "FREIGHT-IN-GRAD MERCH")</f>
        <v xml:space="preserve">          5592 - FREIGHT-IN-GRAD MERCH</v>
      </c>
      <c r="C170" s="11"/>
      <c r="D170" s="2">
        <v>10.83</v>
      </c>
      <c r="E170" s="2"/>
      <c r="F170" s="19">
        <f t="shared" si="16"/>
        <v>5.2024140161776339E-5</v>
      </c>
      <c r="G170" s="2"/>
      <c r="H170" s="2"/>
      <c r="I170" s="2"/>
      <c r="J170" s="19">
        <f t="shared" si="17"/>
        <v>0</v>
      </c>
      <c r="K170" s="2"/>
      <c r="L170" s="2">
        <f t="shared" si="18"/>
        <v>10.83</v>
      </c>
      <c r="M170" s="2"/>
      <c r="N170" s="19">
        <f t="shared" si="19"/>
        <v>0</v>
      </c>
      <c r="O170" s="11"/>
      <c r="P170" s="2">
        <v>170.88</v>
      </c>
      <c r="Q170" s="2"/>
      <c r="R170" s="19">
        <f t="shared" si="20"/>
        <v>1.4731622922196635E-5</v>
      </c>
      <c r="S170" s="2"/>
      <c r="T170" s="2"/>
      <c r="U170" s="2"/>
      <c r="V170" s="19">
        <f t="shared" si="21"/>
        <v>0</v>
      </c>
      <c r="W170" s="2"/>
      <c r="X170" s="2">
        <f t="shared" si="22"/>
        <v>170.88</v>
      </c>
      <c r="Y170" s="2"/>
      <c r="Z170" s="19">
        <f t="shared" si="23"/>
        <v>0</v>
      </c>
    </row>
    <row r="171" spans="1:26" x14ac:dyDescent="0.25">
      <c r="A171" s="9"/>
      <c r="B171" s="10"/>
      <c r="C171" s="10"/>
      <c r="D171" s="3"/>
      <c r="E171" s="3"/>
      <c r="F171" s="8"/>
      <c r="G171" s="3"/>
      <c r="H171" s="3"/>
      <c r="I171" s="3"/>
      <c r="J171" s="8"/>
      <c r="K171" s="3"/>
      <c r="L171" s="3"/>
      <c r="M171" s="3"/>
      <c r="N171" s="8"/>
      <c r="O171" s="10"/>
      <c r="P171" s="3"/>
      <c r="Q171" s="3"/>
      <c r="R171" s="8"/>
      <c r="S171" s="3"/>
      <c r="T171" s="3"/>
      <c r="U171" s="3"/>
      <c r="V171" s="8"/>
      <c r="W171" s="3"/>
      <c r="X171" s="3"/>
      <c r="Y171" s="3"/>
      <c r="Z171" s="8"/>
    </row>
    <row r="172" spans="1:26" s="23" customFormat="1" x14ac:dyDescent="0.25">
      <c r="A172" s="10"/>
      <c r="B172" s="29" t="s">
        <v>6</v>
      </c>
      <c r="C172" s="29"/>
      <c r="D172" s="22">
        <f>D12-D117</f>
        <v>-59499.359999999928</v>
      </c>
      <c r="E172" s="14"/>
      <c r="F172" s="20">
        <f>IF(D$12=0,0,D172/D$12)</f>
        <v>-0.28581745560258398</v>
      </c>
      <c r="G172" s="14"/>
      <c r="H172" s="22">
        <f>H12-H117</f>
        <v>297080.09057999996</v>
      </c>
      <c r="I172" s="14"/>
      <c r="J172" s="20">
        <f>IF(H$12=0,0,H172/H$12)</f>
        <v>0.54825364137020327</v>
      </c>
      <c r="K172" s="15"/>
      <c r="L172" s="22">
        <f>+D172-H172</f>
        <v>-356579.45057999989</v>
      </c>
      <c r="M172" s="15"/>
      <c r="N172" s="20">
        <f>IF(H172=0,0,L172/H172)</f>
        <v>-1.2002805367530258</v>
      </c>
      <c r="O172" s="28"/>
      <c r="P172" s="22">
        <f>P12-P117</f>
        <v>4850825.3200000022</v>
      </c>
      <c r="Q172" s="14"/>
      <c r="R172" s="20">
        <f>IF(P$12=0,0,P172/P$12)</f>
        <v>0.41819130077062183</v>
      </c>
      <c r="S172" s="14"/>
      <c r="T172" s="22">
        <f>T12-T117</f>
        <v>7161548.7249800004</v>
      </c>
      <c r="U172" s="14"/>
      <c r="V172" s="20">
        <f>IF(T$12=0,0,T172/T$12)</f>
        <v>0.46712864994142039</v>
      </c>
      <c r="W172" s="15"/>
      <c r="X172" s="22">
        <f>+P172-T172</f>
        <v>-2310723.4049799982</v>
      </c>
      <c r="Y172" s="15"/>
      <c r="Z172" s="20">
        <f>IF(T172=0,0,X172/T172)</f>
        <v>-0.32265694107756715</v>
      </c>
    </row>
    <row r="173" spans="1:26" x14ac:dyDescent="0.25">
      <c r="A173" s="9"/>
      <c r="B173" s="10"/>
      <c r="C173" s="9"/>
      <c r="D173" s="1"/>
      <c r="E173" s="1"/>
      <c r="F173" s="5"/>
      <c r="G173" s="1"/>
      <c r="H173" s="1"/>
      <c r="I173" s="1"/>
      <c r="J173" s="5"/>
      <c r="K173" s="1"/>
      <c r="L173" s="1"/>
      <c r="M173" s="1"/>
      <c r="N173" s="5"/>
      <c r="O173" s="36"/>
      <c r="P173" s="1"/>
      <c r="Q173" s="1"/>
      <c r="R173" s="5"/>
      <c r="S173" s="1"/>
      <c r="T173" s="1"/>
      <c r="U173" s="1"/>
      <c r="V173" s="5"/>
      <c r="W173" s="1"/>
      <c r="X173" s="1"/>
      <c r="Y173" s="1"/>
      <c r="Z173" s="5"/>
    </row>
    <row r="174" spans="1:26" s="23" customFormat="1" x14ac:dyDescent="0.25">
      <c r="A174" s="10"/>
      <c r="B174" s="28" t="s">
        <v>9</v>
      </c>
      <c r="C174" s="10"/>
      <c r="D174" s="21">
        <f>SUM(OSRRefD22x_0)</f>
        <v>336077.55999999994</v>
      </c>
      <c r="E174" s="21"/>
      <c r="F174" s="32">
        <f t="shared" ref="F174:F185" si="24">IF(D$12=0,0,D174/D$12)</f>
        <v>1.614417921206629</v>
      </c>
      <c r="G174" s="21"/>
      <c r="H174" s="21">
        <f>SUM(OSRRefH22x_0)</f>
        <v>501324.84216838382</v>
      </c>
      <c r="I174" s="21"/>
      <c r="J174" s="32">
        <f t="shared" ref="J174:J185" si="25">IF(H$12=0,0,H174/H$12)</f>
        <v>0.92518206013588233</v>
      </c>
      <c r="K174" s="4"/>
      <c r="L174" s="21">
        <f t="shared" ref="L174:L185" si="26">+D174-H174</f>
        <v>-165247.28216838388</v>
      </c>
      <c r="M174" s="4"/>
      <c r="N174" s="32">
        <f t="shared" ref="N174:N185" si="27">IF(H174=0,0,L174/H174)</f>
        <v>-0.32962117227951176</v>
      </c>
      <c r="O174" s="10"/>
      <c r="P174" s="21">
        <f>SUM(OSRRefP22x_0)</f>
        <v>5262656.1099999985</v>
      </c>
      <c r="Q174" s="21"/>
      <c r="R174" s="32">
        <f t="shared" ref="R174:R185" si="28">IF(P$12=0,0,P174/P$12)</f>
        <v>0.45369537325441334</v>
      </c>
      <c r="S174" s="21"/>
      <c r="T174" s="21">
        <f>SUM(OSRRefT22x_0)</f>
        <v>6188697.9568496263</v>
      </c>
      <c r="U174" s="21"/>
      <c r="V174" s="32">
        <f t="shared" ref="V174:V185" si="29">IF(T$12=0,0,T174/T$12)</f>
        <v>0.40367219891902167</v>
      </c>
      <c r="W174" s="4"/>
      <c r="X174" s="21">
        <f t="shared" ref="X174:X185" si="30">+P174-T174</f>
        <v>-926041.84684962779</v>
      </c>
      <c r="Y174" s="4"/>
      <c r="Z174" s="32">
        <f t="shared" ref="Z174:Z185" si="31">IF(T174=0,0,X174/T174)</f>
        <v>-0.14963435819721793</v>
      </c>
    </row>
    <row r="175" spans="1:26" s="26" customFormat="1" outlineLevel="1" collapsed="1" x14ac:dyDescent="0.25">
      <c r="A175" s="25"/>
      <c r="B175" s="12" t="str">
        <f>CONCATENATE("     ","*Benefits                                         ")</f>
        <v xml:space="preserve">     *Benefits                                         </v>
      </c>
      <c r="C175" s="12"/>
      <c r="D175" s="1">
        <f>SUM(OSRRefD22_0x_0)</f>
        <v>38655.93</v>
      </c>
      <c r="E175" s="1"/>
      <c r="F175" s="5">
        <f t="shared" si="24"/>
        <v>0.18569173780275297</v>
      </c>
      <c r="G175" s="1"/>
      <c r="H175" s="1">
        <f>SUM(OSRRefH22_0x_0)</f>
        <v>61321.443933473653</v>
      </c>
      <c r="I175" s="1"/>
      <c r="J175" s="5">
        <f t="shared" si="25"/>
        <v>0.11316714245296194</v>
      </c>
      <c r="K175" s="1"/>
      <c r="L175" s="1">
        <f t="shared" si="26"/>
        <v>-22665.513933473652</v>
      </c>
      <c r="M175" s="1"/>
      <c r="N175" s="5">
        <f t="shared" si="27"/>
        <v>-0.36961807288919996</v>
      </c>
      <c r="O175" s="12"/>
      <c r="P175" s="1">
        <f>SUM(OSRRefP22_0x_0)</f>
        <v>661169.06999999995</v>
      </c>
      <c r="Q175" s="1"/>
      <c r="R175" s="5">
        <f t="shared" si="28"/>
        <v>5.6999610411162402E-2</v>
      </c>
      <c r="S175" s="1"/>
      <c r="T175" s="1">
        <f>SUM(OSRRefT22_0x_0)</f>
        <v>746316.87641064078</v>
      </c>
      <c r="U175" s="1"/>
      <c r="V175" s="5">
        <f t="shared" si="29"/>
        <v>4.8680251757579729E-2</v>
      </c>
      <c r="W175" s="1"/>
      <c r="X175" s="1">
        <f t="shared" si="30"/>
        <v>-85147.806410640827</v>
      </c>
      <c r="Y175" s="1"/>
      <c r="Z175" s="5">
        <f t="shared" si="31"/>
        <v>-0.11409068868997482</v>
      </c>
    </row>
    <row r="176" spans="1:26" s="24" customFormat="1" hidden="1" outlineLevel="2" x14ac:dyDescent="0.25">
      <c r="A176" s="27"/>
      <c r="B176" s="11" t="str">
        <f>CONCATENATE("          ", "6111", " - ", "F.I.C.A.")</f>
        <v xml:space="preserve">          6111 - F.I.C.A.</v>
      </c>
      <c r="C176" s="11"/>
      <c r="D176" s="6">
        <v>8618.73</v>
      </c>
      <c r="E176" s="2"/>
      <c r="F176" s="7">
        <f t="shared" si="24"/>
        <v>4.1401848341321011E-2</v>
      </c>
      <c r="G176" s="2"/>
      <c r="H176" s="6">
        <v>14076.260104240941</v>
      </c>
      <c r="I176" s="2"/>
      <c r="J176" s="7">
        <f t="shared" si="25"/>
        <v>2.597737480137877E-2</v>
      </c>
      <c r="K176" s="2"/>
      <c r="L176" s="6">
        <f t="shared" si="26"/>
        <v>-5457.530104240941</v>
      </c>
      <c r="M176" s="2"/>
      <c r="N176" s="7">
        <f t="shared" si="27"/>
        <v>-0.38771165521420559</v>
      </c>
      <c r="O176" s="11"/>
      <c r="P176" s="6">
        <v>131514.45000000001</v>
      </c>
      <c r="Q176" s="2"/>
      <c r="R176" s="7">
        <f t="shared" si="28"/>
        <v>1.1337905467111912E-2</v>
      </c>
      <c r="S176" s="2"/>
      <c r="T176" s="6">
        <v>133805.0205068106</v>
      </c>
      <c r="U176" s="2"/>
      <c r="V176" s="7">
        <f t="shared" si="29"/>
        <v>8.7277432556887424E-3</v>
      </c>
      <c r="W176" s="2"/>
      <c r="X176" s="6">
        <f t="shared" si="30"/>
        <v>-2290.570506810589</v>
      </c>
      <c r="Y176" s="2"/>
      <c r="Z176" s="7">
        <f t="shared" si="31"/>
        <v>-1.7118718700797928E-2</v>
      </c>
    </row>
    <row r="177" spans="1:26" s="24" customFormat="1" hidden="1" outlineLevel="2" x14ac:dyDescent="0.25">
      <c r="A177" s="27"/>
      <c r="B177" s="11" t="str">
        <f>CONCATENATE("          ", "6112", " - ", "COMPENSATION INSURANCE")</f>
        <v xml:space="preserve">          6112 - COMPENSATION INSURANCE</v>
      </c>
      <c r="C177" s="11"/>
      <c r="D177" s="6">
        <v>1960.5</v>
      </c>
      <c r="E177" s="2"/>
      <c r="F177" s="7">
        <f t="shared" si="24"/>
        <v>9.4176663700057707E-3</v>
      </c>
      <c r="G177" s="2"/>
      <c r="H177" s="6">
        <v>3492.2366894384618</v>
      </c>
      <c r="I177" s="2"/>
      <c r="J177" s="7">
        <f t="shared" si="25"/>
        <v>6.4448326973822372E-3</v>
      </c>
      <c r="K177" s="2"/>
      <c r="L177" s="6">
        <f t="shared" si="26"/>
        <v>-1531.7366894384618</v>
      </c>
      <c r="M177" s="2"/>
      <c r="N177" s="7">
        <f t="shared" si="27"/>
        <v>-0.43861193431444051</v>
      </c>
      <c r="O177" s="11"/>
      <c r="P177" s="6">
        <v>37538.579999999994</v>
      </c>
      <c r="Q177" s="2"/>
      <c r="R177" s="7">
        <f t="shared" si="28"/>
        <v>3.2362137499690547E-3</v>
      </c>
      <c r="S177" s="2"/>
      <c r="T177" s="6">
        <v>55291.894989699984</v>
      </c>
      <c r="U177" s="2"/>
      <c r="V177" s="7">
        <f t="shared" si="29"/>
        <v>3.6065422789277289E-3</v>
      </c>
      <c r="W177" s="2"/>
      <c r="X177" s="6">
        <f t="shared" si="30"/>
        <v>-17753.314989699989</v>
      </c>
      <c r="Y177" s="2"/>
      <c r="Z177" s="7">
        <f t="shared" si="31"/>
        <v>-0.32108349683090359</v>
      </c>
    </row>
    <row r="178" spans="1:26" s="24" customFormat="1" hidden="1" outlineLevel="2" x14ac:dyDescent="0.25">
      <c r="A178" s="27"/>
      <c r="B178" s="11" t="str">
        <f>CONCATENATE("          ", "6113", " - ", "GROUP INSURANCE")</f>
        <v xml:space="preserve">          6113 - GROUP INSURANCE</v>
      </c>
      <c r="C178" s="11"/>
      <c r="D178" s="6">
        <v>18033.84</v>
      </c>
      <c r="E178" s="2"/>
      <c r="F178" s="7">
        <f t="shared" si="24"/>
        <v>8.6629272374427385E-2</v>
      </c>
      <c r="G178" s="2"/>
      <c r="H178" s="6">
        <v>24508.81923076923</v>
      </c>
      <c r="I178" s="2"/>
      <c r="J178" s="7">
        <f t="shared" si="25"/>
        <v>4.5230393469719458E-2</v>
      </c>
      <c r="K178" s="2"/>
      <c r="L178" s="6">
        <f t="shared" si="26"/>
        <v>-6474.9792307692296</v>
      </c>
      <c r="M178" s="2"/>
      <c r="N178" s="7">
        <f t="shared" si="27"/>
        <v>-0.26418976654086679</v>
      </c>
      <c r="O178" s="11"/>
      <c r="P178" s="6">
        <v>268001.19</v>
      </c>
      <c r="Q178" s="2"/>
      <c r="R178" s="7">
        <f t="shared" si="28"/>
        <v>2.3104473746371579E-2</v>
      </c>
      <c r="S178" s="2"/>
      <c r="T178" s="6">
        <v>295992.60000000003</v>
      </c>
      <c r="U178" s="2"/>
      <c r="V178" s="7">
        <f t="shared" si="29"/>
        <v>1.9306804846327009E-2</v>
      </c>
      <c r="W178" s="2"/>
      <c r="X178" s="6">
        <f t="shared" si="30"/>
        <v>-27991.410000000033</v>
      </c>
      <c r="Y178" s="2"/>
      <c r="Z178" s="7">
        <f t="shared" si="31"/>
        <v>-9.4567938522787498E-2</v>
      </c>
    </row>
    <row r="179" spans="1:26" s="24" customFormat="1" hidden="1" outlineLevel="2" x14ac:dyDescent="0.25">
      <c r="A179" s="27"/>
      <c r="B179" s="11" t="str">
        <f>CONCATENATE("          ", "6114", " - ", "STATE UNEMPLOYMENT INSURANCE")</f>
        <v xml:space="preserve">          6114 - STATE UNEMPLOYMENT INSURANCE</v>
      </c>
      <c r="C179" s="11"/>
      <c r="D179" s="6">
        <v>-6505.67</v>
      </c>
      <c r="E179" s="2"/>
      <c r="F179" s="7">
        <f t="shared" si="24"/>
        <v>-3.125132852504741E-2</v>
      </c>
      <c r="G179" s="2"/>
      <c r="H179" s="6">
        <v>491.94962113849795</v>
      </c>
      <c r="I179" s="2"/>
      <c r="J179" s="7">
        <f t="shared" si="25"/>
        <v>9.0788033164155462E-4</v>
      </c>
      <c r="K179" s="2"/>
      <c r="L179" s="6">
        <f t="shared" si="26"/>
        <v>-6997.6196211384977</v>
      </c>
      <c r="M179" s="2"/>
      <c r="N179" s="7">
        <f t="shared" si="27"/>
        <v>-14.224260616248074</v>
      </c>
      <c r="O179" s="11"/>
      <c r="P179" s="6">
        <v>0</v>
      </c>
      <c r="Q179" s="2"/>
      <c r="R179" s="7">
        <f t="shared" si="28"/>
        <v>0</v>
      </c>
      <c r="S179" s="2"/>
      <c r="T179" s="6">
        <v>7782.7733462205333</v>
      </c>
      <c r="U179" s="2"/>
      <c r="V179" s="7">
        <f t="shared" si="29"/>
        <v>5.0764946879981211E-4</v>
      </c>
      <c r="W179" s="2"/>
      <c r="X179" s="6">
        <f t="shared" si="30"/>
        <v>-7782.7733462205333</v>
      </c>
      <c r="Y179" s="2"/>
      <c r="Z179" s="7">
        <f t="shared" si="31"/>
        <v>-1</v>
      </c>
    </row>
    <row r="180" spans="1:26" s="24" customFormat="1" hidden="1" outlineLevel="2" x14ac:dyDescent="0.25">
      <c r="A180" s="27"/>
      <c r="B180" s="11" t="str">
        <f>CONCATENATE("          ", "6115", " - ", "P.E.R.S.")</f>
        <v xml:space="preserve">          6115 - P.E.R.S.</v>
      </c>
      <c r="C180" s="11"/>
      <c r="D180" s="6">
        <v>5948.8</v>
      </c>
      <c r="E180" s="2"/>
      <c r="F180" s="7">
        <f t="shared" si="24"/>
        <v>2.8576288549803791E-2</v>
      </c>
      <c r="G180" s="2"/>
      <c r="H180" s="6">
        <v>7602.123374384606</v>
      </c>
      <c r="I180" s="2"/>
      <c r="J180" s="7">
        <f t="shared" si="25"/>
        <v>1.4029522523757061E-2</v>
      </c>
      <c r="K180" s="2"/>
      <c r="L180" s="6">
        <f t="shared" si="26"/>
        <v>-1653.3233743846058</v>
      </c>
      <c r="M180" s="2"/>
      <c r="N180" s="7">
        <f t="shared" si="27"/>
        <v>-0.21748178672757237</v>
      </c>
      <c r="O180" s="11"/>
      <c r="P180" s="6">
        <v>97099.62</v>
      </c>
      <c r="Q180" s="2"/>
      <c r="R180" s="7">
        <f t="shared" si="28"/>
        <v>8.3709912671382416E-3</v>
      </c>
      <c r="S180" s="2"/>
      <c r="T180" s="6">
        <v>98213.492744999909</v>
      </c>
      <c r="U180" s="2"/>
      <c r="V180" s="7">
        <f t="shared" si="29"/>
        <v>6.4062031878630299E-3</v>
      </c>
      <c r="W180" s="2"/>
      <c r="X180" s="6">
        <f t="shared" si="30"/>
        <v>-1113.8727449999133</v>
      </c>
      <c r="Y180" s="2"/>
      <c r="Z180" s="7">
        <f t="shared" si="31"/>
        <v>-1.1341341335777116E-2</v>
      </c>
    </row>
    <row r="181" spans="1:26" s="24" customFormat="1" hidden="1" outlineLevel="2" x14ac:dyDescent="0.25">
      <c r="A181" s="27"/>
      <c r="B181" s="11" t="str">
        <f>CONCATENATE("          ", "6116", " - ", "EDUCATIONAL BENEFITS")</f>
        <v xml:space="preserve">          6116 - EDUCATIONAL BENEFITS</v>
      </c>
      <c r="C181" s="11"/>
      <c r="D181" s="6"/>
      <c r="E181" s="2"/>
      <c r="F181" s="7">
        <f t="shared" si="24"/>
        <v>0</v>
      </c>
      <c r="G181" s="2"/>
      <c r="H181" s="6">
        <v>0</v>
      </c>
      <c r="I181" s="2"/>
      <c r="J181" s="7">
        <f t="shared" si="25"/>
        <v>0</v>
      </c>
      <c r="K181" s="2"/>
      <c r="L181" s="6">
        <f t="shared" si="26"/>
        <v>0</v>
      </c>
      <c r="M181" s="2"/>
      <c r="N181" s="7">
        <f t="shared" si="27"/>
        <v>0</v>
      </c>
      <c r="O181" s="11"/>
      <c r="P181" s="6"/>
      <c r="Q181" s="2"/>
      <c r="R181" s="7">
        <f t="shared" si="28"/>
        <v>0</v>
      </c>
      <c r="S181" s="2"/>
      <c r="T181" s="6">
        <v>0</v>
      </c>
      <c r="U181" s="2"/>
      <c r="V181" s="7">
        <f t="shared" si="29"/>
        <v>0</v>
      </c>
      <c r="W181" s="2"/>
      <c r="X181" s="6">
        <f t="shared" si="30"/>
        <v>0</v>
      </c>
      <c r="Y181" s="2"/>
      <c r="Z181" s="7">
        <f t="shared" si="31"/>
        <v>0</v>
      </c>
    </row>
    <row r="182" spans="1:26" s="24" customFormat="1" hidden="1" outlineLevel="2" x14ac:dyDescent="0.25">
      <c r="A182" s="27"/>
      <c r="B182" s="11" t="str">
        <f>CONCATENATE("          ", "6117", " - ", "RETIREMENT STAFF HOURLY")</f>
        <v xml:space="preserve">          6117 - RETIREMENT STAFF HOURLY</v>
      </c>
      <c r="C182" s="11"/>
      <c r="D182" s="6">
        <v>220.92</v>
      </c>
      <c r="E182" s="2"/>
      <c r="F182" s="7">
        <f t="shared" si="24"/>
        <v>1.0612348148236036E-3</v>
      </c>
      <c r="G182" s="2"/>
      <c r="H182" s="6"/>
      <c r="I182" s="2"/>
      <c r="J182" s="7">
        <f t="shared" si="25"/>
        <v>0</v>
      </c>
      <c r="K182" s="2"/>
      <c r="L182" s="6">
        <f t="shared" si="26"/>
        <v>220.92</v>
      </c>
      <c r="M182" s="2"/>
      <c r="N182" s="7">
        <f t="shared" si="27"/>
        <v>0</v>
      </c>
      <c r="O182" s="11"/>
      <c r="P182" s="6">
        <v>2056.84</v>
      </c>
      <c r="Q182" s="2"/>
      <c r="R182" s="7">
        <f t="shared" si="28"/>
        <v>1.7732087600240477E-4</v>
      </c>
      <c r="S182" s="2"/>
      <c r="T182" s="6"/>
      <c r="U182" s="2"/>
      <c r="V182" s="7">
        <f t="shared" si="29"/>
        <v>0</v>
      </c>
      <c r="W182" s="2"/>
      <c r="X182" s="6">
        <f t="shared" si="30"/>
        <v>2056.84</v>
      </c>
      <c r="Y182" s="2"/>
      <c r="Z182" s="7">
        <f t="shared" si="31"/>
        <v>0</v>
      </c>
    </row>
    <row r="183" spans="1:26" s="24" customFormat="1" hidden="1" outlineLevel="2" x14ac:dyDescent="0.25">
      <c r="A183" s="27"/>
      <c r="B183" s="11" t="str">
        <f>CONCATENATE("          ", "6118", " - ", "VACATION")</f>
        <v xml:space="preserve">          6118 - VACATION</v>
      </c>
      <c r="C183" s="11"/>
      <c r="D183" s="6">
        <v>5988.23</v>
      </c>
      <c r="E183" s="2"/>
      <c r="F183" s="7">
        <f t="shared" si="24"/>
        <v>2.8765698692608851E-2</v>
      </c>
      <c r="G183" s="2"/>
      <c r="H183" s="6">
        <v>5060.2427466307654</v>
      </c>
      <c r="I183" s="2"/>
      <c r="J183" s="7">
        <f t="shared" si="25"/>
        <v>9.3385474154162231E-3</v>
      </c>
      <c r="K183" s="2"/>
      <c r="L183" s="6">
        <f t="shared" si="26"/>
        <v>927.98725336923417</v>
      </c>
      <c r="M183" s="2"/>
      <c r="N183" s="7">
        <f t="shared" si="27"/>
        <v>0.18338789260398841</v>
      </c>
      <c r="O183" s="11"/>
      <c r="P183" s="6">
        <v>81728.850000000006</v>
      </c>
      <c r="Q183" s="2"/>
      <c r="R183" s="7">
        <f t="shared" si="28"/>
        <v>7.0458719573078801E-3</v>
      </c>
      <c r="S183" s="2"/>
      <c r="T183" s="6">
        <v>65477.046646199968</v>
      </c>
      <c r="U183" s="2"/>
      <c r="V183" s="7">
        <f t="shared" si="29"/>
        <v>4.2708924530952229E-3</v>
      </c>
      <c r="W183" s="2"/>
      <c r="X183" s="6">
        <f t="shared" si="30"/>
        <v>16251.803353800038</v>
      </c>
      <c r="Y183" s="2"/>
      <c r="Z183" s="7">
        <f t="shared" si="31"/>
        <v>0.24820611475675391</v>
      </c>
    </row>
    <row r="184" spans="1:26" s="24" customFormat="1" hidden="1" outlineLevel="2" x14ac:dyDescent="0.25">
      <c r="A184" s="27"/>
      <c r="B184" s="11" t="str">
        <f>CONCATENATE("          ", "6119", " - ", "SICK LEAVE")</f>
        <v xml:space="preserve">          6119 - SICK LEAVE</v>
      </c>
      <c r="C184" s="11"/>
      <c r="D184" s="6">
        <v>3497.96</v>
      </c>
      <c r="E184" s="2"/>
      <c r="F184" s="7">
        <f t="shared" si="24"/>
        <v>1.6803172790423558E-2</v>
      </c>
      <c r="G184" s="2"/>
      <c r="H184" s="6">
        <v>4539.8121668711447</v>
      </c>
      <c r="I184" s="2"/>
      <c r="J184" s="7">
        <f t="shared" si="25"/>
        <v>8.3781062095563425E-3</v>
      </c>
      <c r="K184" s="2"/>
      <c r="L184" s="6">
        <f t="shared" si="26"/>
        <v>-1041.8521668711446</v>
      </c>
      <c r="M184" s="2"/>
      <c r="N184" s="7">
        <f t="shared" si="27"/>
        <v>-0.22949235091133582</v>
      </c>
      <c r="O184" s="11"/>
      <c r="P184" s="6">
        <v>18414.009999999998</v>
      </c>
      <c r="Q184" s="2"/>
      <c r="R184" s="7">
        <f t="shared" si="28"/>
        <v>1.5874780653415148E-3</v>
      </c>
      <c r="S184" s="2"/>
      <c r="T184" s="6">
        <v>71029.048176709723</v>
      </c>
      <c r="U184" s="2"/>
      <c r="V184" s="7">
        <f t="shared" si="29"/>
        <v>4.6330346487313996E-3</v>
      </c>
      <c r="W184" s="2"/>
      <c r="X184" s="6">
        <f t="shared" si="30"/>
        <v>-52615.038176709728</v>
      </c>
      <c r="Y184" s="2"/>
      <c r="Z184" s="7">
        <f t="shared" si="31"/>
        <v>-0.74075381167732002</v>
      </c>
    </row>
    <row r="185" spans="1:26" s="24" customFormat="1" hidden="1" outlineLevel="2" x14ac:dyDescent="0.25">
      <c r="A185" s="27"/>
      <c r="B185" s="11" t="str">
        <f>CONCATENATE("          ", "6156", " - ", "EMPLOYEE MEALS")</f>
        <v xml:space="preserve">          6156 - EMPLOYEE MEALS</v>
      </c>
      <c r="C185" s="11"/>
      <c r="D185" s="6">
        <v>892.62</v>
      </c>
      <c r="E185" s="2"/>
      <c r="F185" s="7">
        <f t="shared" si="24"/>
        <v>4.2878843943864077E-3</v>
      </c>
      <c r="G185" s="2"/>
      <c r="H185" s="6">
        <v>1550</v>
      </c>
      <c r="I185" s="2"/>
      <c r="J185" s="7">
        <f t="shared" si="25"/>
        <v>2.8604850041102853E-3</v>
      </c>
      <c r="K185" s="2"/>
      <c r="L185" s="6">
        <f t="shared" si="26"/>
        <v>-657.38</v>
      </c>
      <c r="M185" s="2"/>
      <c r="N185" s="7">
        <f t="shared" si="27"/>
        <v>-0.42411612903225804</v>
      </c>
      <c r="O185" s="11"/>
      <c r="P185" s="6">
        <v>24815.53</v>
      </c>
      <c r="Q185" s="2"/>
      <c r="R185" s="7">
        <f t="shared" si="28"/>
        <v>2.1393552819198164E-3</v>
      </c>
      <c r="S185" s="2"/>
      <c r="T185" s="6">
        <v>18725</v>
      </c>
      <c r="U185" s="2"/>
      <c r="V185" s="7">
        <f t="shared" si="29"/>
        <v>1.2213816181467821E-3</v>
      </c>
      <c r="W185" s="2"/>
      <c r="X185" s="6">
        <f t="shared" si="30"/>
        <v>6090.5299999999988</v>
      </c>
      <c r="Y185" s="2"/>
      <c r="Z185" s="7">
        <f t="shared" si="31"/>
        <v>0.32526194926568752</v>
      </c>
    </row>
    <row r="186" spans="1:26" s="26" customFormat="1" outlineLevel="1" collapsed="1" x14ac:dyDescent="0.25">
      <c r="A186" s="25"/>
      <c r="B186" s="12" t="str">
        <f>CONCATENATE("     ","*Payroll                                          ")</f>
        <v xml:space="preserve">     *Payroll                                          </v>
      </c>
      <c r="C186" s="12"/>
      <c r="D186" s="1">
        <f>SUM(OSRRefD22_1x_0)</f>
        <v>108044.88999999998</v>
      </c>
      <c r="E186" s="1"/>
      <c r="F186" s="5">
        <f t="shared" ref="F186:F196" si="32">IF(D$12=0,0,D186/D$12)</f>
        <v>0.51901592808159791</v>
      </c>
      <c r="G186" s="1"/>
      <c r="H186" s="1">
        <f>SUM(OSRRefH22_1x_0)</f>
        <v>180839.39556629921</v>
      </c>
      <c r="I186" s="1"/>
      <c r="J186" s="5">
        <f t="shared" ref="J186:J196" si="33">IF(H$12=0,0,H186/H$12)</f>
        <v>0.33373443817404319</v>
      </c>
      <c r="K186" s="1"/>
      <c r="L186" s="1">
        <f t="shared" ref="L186:L196" si="34">+D186-H186</f>
        <v>-72794.505566299224</v>
      </c>
      <c r="M186" s="1"/>
      <c r="N186" s="5">
        <f t="shared" ref="N186:N196" si="35">IF(H186=0,0,L186/H186)</f>
        <v>-0.40253676660631921</v>
      </c>
      <c r="O186" s="12"/>
      <c r="P186" s="1">
        <f>SUM(OSRRefP22_1x_0)</f>
        <v>2410795.2400000002</v>
      </c>
      <c r="Q186" s="1"/>
      <c r="R186" s="5">
        <f t="shared" ref="R186:R196" si="36">IF(P$12=0,0,P186/P$12)</f>
        <v>0.20783547763522087</v>
      </c>
      <c r="S186" s="1"/>
      <c r="T186" s="1">
        <f>SUM(OSRRefT22_1x_0)</f>
        <v>2881933.5777703747</v>
      </c>
      <c r="U186" s="1"/>
      <c r="V186" s="5">
        <f t="shared" ref="V186:V196" si="37">IF(T$12=0,0,T186/T$12)</f>
        <v>0.18798081156788921</v>
      </c>
      <c r="W186" s="1"/>
      <c r="X186" s="1">
        <f t="shared" ref="X186:X196" si="38">+P186-T186</f>
        <v>-471138.33777037449</v>
      </c>
      <c r="Y186" s="1"/>
      <c r="Z186" s="5">
        <f t="shared" ref="Z186:Z196" si="39">IF(T186=0,0,X186/T186)</f>
        <v>-0.16347994325909257</v>
      </c>
    </row>
    <row r="187" spans="1:26" s="24" customFormat="1" hidden="1" outlineLevel="2" x14ac:dyDescent="0.25">
      <c r="A187" s="27"/>
      <c r="B187" s="11" t="str">
        <f>CONCATENATE("          ", "6001", " - ", "ADMINISTRATIVE SALARIES")</f>
        <v xml:space="preserve">          6001 - ADMINISTRATIVE SALARIES</v>
      </c>
      <c r="C187" s="11"/>
      <c r="D187" s="6"/>
      <c r="E187" s="2"/>
      <c r="F187" s="7">
        <f t="shared" si="32"/>
        <v>0</v>
      </c>
      <c r="G187" s="2"/>
      <c r="H187" s="6">
        <v>37696.332694153847</v>
      </c>
      <c r="I187" s="2"/>
      <c r="J187" s="7">
        <f t="shared" si="33"/>
        <v>6.9567609278438289E-2</v>
      </c>
      <c r="K187" s="2"/>
      <c r="L187" s="6">
        <f t="shared" si="34"/>
        <v>-37696.332694153847</v>
      </c>
      <c r="M187" s="2"/>
      <c r="N187" s="7">
        <f t="shared" si="35"/>
        <v>-1</v>
      </c>
      <c r="O187" s="11"/>
      <c r="P187" s="6">
        <v>93238.31</v>
      </c>
      <c r="Q187" s="2"/>
      <c r="R187" s="7">
        <f t="shared" si="36"/>
        <v>8.0381064186731965E-3</v>
      </c>
      <c r="S187" s="2"/>
      <c r="T187" s="6">
        <v>487536.69937400002</v>
      </c>
      <c r="U187" s="2"/>
      <c r="V187" s="7">
        <f t="shared" si="37"/>
        <v>3.180071363350373E-2</v>
      </c>
      <c r="W187" s="2"/>
      <c r="X187" s="6">
        <f t="shared" si="38"/>
        <v>-394298.38937400002</v>
      </c>
      <c r="Y187" s="2"/>
      <c r="Z187" s="7">
        <f t="shared" si="39"/>
        <v>-0.80875632517568719</v>
      </c>
    </row>
    <row r="188" spans="1:26" s="24" customFormat="1" hidden="1" outlineLevel="2" x14ac:dyDescent="0.25">
      <c r="A188" s="27"/>
      <c r="B188" s="11" t="str">
        <f>CONCATENATE("          ", "6002", " - ", "STAFF SALARIES")</f>
        <v xml:space="preserve">          6002 - STAFF SALARIES</v>
      </c>
      <c r="C188" s="11"/>
      <c r="D188" s="6">
        <v>56674.03</v>
      </c>
      <c r="E188" s="2"/>
      <c r="F188" s="7">
        <f t="shared" si="32"/>
        <v>0.27224539983866269</v>
      </c>
      <c r="G188" s="2"/>
      <c r="H188" s="6">
        <v>43309.186545646182</v>
      </c>
      <c r="I188" s="2"/>
      <c r="J188" s="7">
        <f t="shared" si="33"/>
        <v>7.9925986228410212E-2</v>
      </c>
      <c r="K188" s="2"/>
      <c r="L188" s="6">
        <f t="shared" si="34"/>
        <v>13364.843454353817</v>
      </c>
      <c r="M188" s="2"/>
      <c r="N188" s="7">
        <f t="shared" si="35"/>
        <v>0.30859142182843347</v>
      </c>
      <c r="O188" s="11"/>
      <c r="P188" s="6">
        <v>829005.01</v>
      </c>
      <c r="Q188" s="2"/>
      <c r="R188" s="7">
        <f t="shared" si="36"/>
        <v>7.1468803885368984E-2</v>
      </c>
      <c r="S188" s="2"/>
      <c r="T188" s="6">
        <v>559005.85709340021</v>
      </c>
      <c r="U188" s="2"/>
      <c r="V188" s="7">
        <f t="shared" si="37"/>
        <v>3.6462455449413407E-2</v>
      </c>
      <c r="W188" s="2"/>
      <c r="X188" s="6">
        <f t="shared" si="38"/>
        <v>269999.1529065998</v>
      </c>
      <c r="Y188" s="2"/>
      <c r="Z188" s="7">
        <f t="shared" si="39"/>
        <v>0.48299879058599493</v>
      </c>
    </row>
    <row r="189" spans="1:26" s="24" customFormat="1" hidden="1" outlineLevel="2" x14ac:dyDescent="0.25">
      <c r="A189" s="27"/>
      <c r="B189" s="11" t="str">
        <f>CONCATENATE("          ", "6003", " - ", "STAFF HOURLY-9 MONTH")</f>
        <v xml:space="preserve">          6003 - STAFF HOURLY-9 MONTH</v>
      </c>
      <c r="C189" s="11"/>
      <c r="D189" s="6"/>
      <c r="E189" s="2"/>
      <c r="F189" s="7">
        <f t="shared" si="32"/>
        <v>0</v>
      </c>
      <c r="G189" s="2"/>
      <c r="H189" s="6">
        <v>0</v>
      </c>
      <c r="I189" s="2"/>
      <c r="J189" s="7">
        <f t="shared" si="33"/>
        <v>0</v>
      </c>
      <c r="K189" s="2"/>
      <c r="L189" s="6">
        <f t="shared" si="34"/>
        <v>0</v>
      </c>
      <c r="M189" s="2"/>
      <c r="N189" s="7">
        <f t="shared" si="35"/>
        <v>0</v>
      </c>
      <c r="O189" s="11"/>
      <c r="P189" s="6"/>
      <c r="Q189" s="2"/>
      <c r="R189" s="7">
        <f t="shared" si="36"/>
        <v>0</v>
      </c>
      <c r="S189" s="2"/>
      <c r="T189" s="6">
        <v>0</v>
      </c>
      <c r="U189" s="2"/>
      <c r="V189" s="7">
        <f t="shared" si="37"/>
        <v>0</v>
      </c>
      <c r="W189" s="2"/>
      <c r="X189" s="6">
        <f t="shared" si="38"/>
        <v>0</v>
      </c>
      <c r="Y189" s="2"/>
      <c r="Z189" s="7">
        <f t="shared" si="39"/>
        <v>0</v>
      </c>
    </row>
    <row r="190" spans="1:26" s="24" customFormat="1" hidden="1" outlineLevel="2" x14ac:dyDescent="0.25">
      <c r="A190" s="27"/>
      <c r="B190" s="11" t="str">
        <f>CONCATENATE("          ", "6004", " - ", "STAFF HOURLY")</f>
        <v xml:space="preserve">          6004 - STAFF HOURLY</v>
      </c>
      <c r="C190" s="11"/>
      <c r="D190" s="6">
        <v>18264.34</v>
      </c>
      <c r="E190" s="2"/>
      <c r="F190" s="7">
        <f t="shared" si="32"/>
        <v>8.7736526696430103E-2</v>
      </c>
      <c r="G190" s="2"/>
      <c r="H190" s="6">
        <v>23246.512381999997</v>
      </c>
      <c r="I190" s="2"/>
      <c r="J190" s="7">
        <f t="shared" si="33"/>
        <v>4.2900838752629074E-2</v>
      </c>
      <c r="K190" s="2"/>
      <c r="L190" s="6">
        <f t="shared" si="34"/>
        <v>-4982.172381999997</v>
      </c>
      <c r="M190" s="2"/>
      <c r="N190" s="7">
        <f t="shared" si="35"/>
        <v>-0.21431913312973958</v>
      </c>
      <c r="O190" s="11"/>
      <c r="P190" s="6">
        <v>77737.62</v>
      </c>
      <c r="Q190" s="2"/>
      <c r="R190" s="7">
        <f t="shared" si="36"/>
        <v>6.7017866614525485E-3</v>
      </c>
      <c r="S190" s="2"/>
      <c r="T190" s="6">
        <v>299268.96721600002</v>
      </c>
      <c r="U190" s="2"/>
      <c r="V190" s="7">
        <f t="shared" si="37"/>
        <v>1.9520513508111851E-2</v>
      </c>
      <c r="W190" s="2"/>
      <c r="X190" s="6">
        <f t="shared" si="38"/>
        <v>-221531.34721600002</v>
      </c>
      <c r="Y190" s="2"/>
      <c r="Z190" s="7">
        <f t="shared" si="39"/>
        <v>-0.74024162704483765</v>
      </c>
    </row>
    <row r="191" spans="1:26" s="24" customFormat="1" hidden="1" outlineLevel="2" x14ac:dyDescent="0.25">
      <c r="A191" s="27"/>
      <c r="B191" s="11" t="str">
        <f>CONCATENATE("          ", "6005", " - ", "TEMPORARY WAGES-HOURLY")</f>
        <v xml:space="preserve">          6005 - TEMPORARY WAGES-HOURLY</v>
      </c>
      <c r="C191" s="11"/>
      <c r="D191" s="6">
        <v>13347.48</v>
      </c>
      <c r="E191" s="2"/>
      <c r="F191" s="7">
        <f t="shared" si="32"/>
        <v>6.4117374914728201E-2</v>
      </c>
      <c r="G191" s="2"/>
      <c r="H191" s="6">
        <v>3713.36</v>
      </c>
      <c r="I191" s="2"/>
      <c r="J191" s="7">
        <f t="shared" si="33"/>
        <v>6.8529100612019162E-3</v>
      </c>
      <c r="K191" s="2"/>
      <c r="L191" s="6">
        <f t="shared" si="34"/>
        <v>9634.119999999999</v>
      </c>
      <c r="M191" s="2"/>
      <c r="N191" s="7">
        <f t="shared" si="35"/>
        <v>2.5944481547708809</v>
      </c>
      <c r="O191" s="11"/>
      <c r="P191" s="6">
        <v>268982.92000000004</v>
      </c>
      <c r="Q191" s="2"/>
      <c r="R191" s="7">
        <f t="shared" si="36"/>
        <v>2.3189109023591902E-2</v>
      </c>
      <c r="S191" s="2"/>
      <c r="T191" s="6">
        <v>56099.689599999998</v>
      </c>
      <c r="U191" s="2"/>
      <c r="V191" s="7">
        <f t="shared" si="37"/>
        <v>3.65923255867451E-3</v>
      </c>
      <c r="W191" s="2"/>
      <c r="X191" s="6">
        <f t="shared" si="38"/>
        <v>212883.23040000006</v>
      </c>
      <c r="Y191" s="2"/>
      <c r="Z191" s="7">
        <f t="shared" si="39"/>
        <v>3.7947309854634215</v>
      </c>
    </row>
    <row r="192" spans="1:26" s="24" customFormat="1" hidden="1" outlineLevel="2" x14ac:dyDescent="0.25">
      <c r="A192" s="27"/>
      <c r="B192" s="11" t="str">
        <f>CONCATENATE("          ", "6006", " - ", "TEMPORARY PART TIME")</f>
        <v xml:space="preserve">          6006 - TEMPORARY PART TIME</v>
      </c>
      <c r="C192" s="11"/>
      <c r="D192" s="6">
        <v>2246.59</v>
      </c>
      <c r="E192" s="2"/>
      <c r="F192" s="7">
        <f t="shared" si="32"/>
        <v>1.0791958730013398E-2</v>
      </c>
      <c r="G192" s="2"/>
      <c r="H192" s="6">
        <v>0</v>
      </c>
      <c r="I192" s="2"/>
      <c r="J192" s="7">
        <f t="shared" si="33"/>
        <v>0</v>
      </c>
      <c r="K192" s="2"/>
      <c r="L192" s="6">
        <f t="shared" si="34"/>
        <v>2246.59</v>
      </c>
      <c r="M192" s="2"/>
      <c r="N192" s="7">
        <f t="shared" si="35"/>
        <v>0</v>
      </c>
      <c r="O192" s="11"/>
      <c r="P192" s="6">
        <v>59117.58</v>
      </c>
      <c r="Q192" s="2"/>
      <c r="R192" s="7">
        <f t="shared" si="36"/>
        <v>5.096546679733107E-3</v>
      </c>
      <c r="S192" s="2"/>
      <c r="T192" s="6">
        <v>0</v>
      </c>
      <c r="U192" s="2"/>
      <c r="V192" s="7">
        <f t="shared" si="37"/>
        <v>0</v>
      </c>
      <c r="W192" s="2"/>
      <c r="X192" s="6">
        <f t="shared" si="38"/>
        <v>59117.58</v>
      </c>
      <c r="Y192" s="2"/>
      <c r="Z192" s="7">
        <f t="shared" si="39"/>
        <v>0</v>
      </c>
    </row>
    <row r="193" spans="1:26" s="24" customFormat="1" hidden="1" outlineLevel="2" x14ac:dyDescent="0.25">
      <c r="A193" s="27"/>
      <c r="B193" s="11" t="str">
        <f>CONCATENATE("          ", "6007", " - ", "STUDENT HOURLY")</f>
        <v xml:space="preserve">          6007 - STUDENT HOURLY</v>
      </c>
      <c r="C193" s="11"/>
      <c r="D193" s="6">
        <v>17512.449999999997</v>
      </c>
      <c r="E193" s="2"/>
      <c r="F193" s="7">
        <f t="shared" si="32"/>
        <v>8.4124667901763608E-2</v>
      </c>
      <c r="G193" s="2"/>
      <c r="H193" s="6">
        <v>71354.244222499197</v>
      </c>
      <c r="I193" s="2"/>
      <c r="J193" s="7">
        <f t="shared" si="33"/>
        <v>0.13168241650198834</v>
      </c>
      <c r="K193" s="2"/>
      <c r="L193" s="6">
        <f t="shared" si="34"/>
        <v>-53841.7942224992</v>
      </c>
      <c r="M193" s="2"/>
      <c r="N193" s="7">
        <f t="shared" si="35"/>
        <v>-0.75457031055655099</v>
      </c>
      <c r="O193" s="11"/>
      <c r="P193" s="6">
        <v>1056396.99</v>
      </c>
      <c r="Q193" s="2"/>
      <c r="R193" s="7">
        <f t="shared" si="36"/>
        <v>9.1072343825044061E-2</v>
      </c>
      <c r="S193" s="2"/>
      <c r="T193" s="6">
        <v>293722.23967369919</v>
      </c>
      <c r="U193" s="2"/>
      <c r="V193" s="7">
        <f t="shared" si="37"/>
        <v>1.9158715320606659E-2</v>
      </c>
      <c r="W193" s="2"/>
      <c r="X193" s="6">
        <f t="shared" si="38"/>
        <v>762674.75032630074</v>
      </c>
      <c r="Y193" s="2"/>
      <c r="Z193" s="7">
        <f t="shared" si="39"/>
        <v>2.5965849612667005</v>
      </c>
    </row>
    <row r="194" spans="1:26" s="24" customFormat="1" hidden="1" outlineLevel="2" x14ac:dyDescent="0.25">
      <c r="A194" s="27"/>
      <c r="B194" s="11" t="str">
        <f>CONCATENATE("          ", "6008", " - ", "STUDENT HOURLY-FICA EXEMPT")</f>
        <v xml:space="preserve">          6008 - STUDENT HOURLY-FICA EXEMPT</v>
      </c>
      <c r="C194" s="11"/>
      <c r="D194" s="6"/>
      <c r="E194" s="2"/>
      <c r="F194" s="7">
        <f t="shared" si="32"/>
        <v>0</v>
      </c>
      <c r="G194" s="2"/>
      <c r="H194" s="6">
        <v>1519.759722</v>
      </c>
      <c r="I194" s="2"/>
      <c r="J194" s="7">
        <f t="shared" si="33"/>
        <v>2.8046773513753652E-3</v>
      </c>
      <c r="K194" s="2"/>
      <c r="L194" s="6">
        <f t="shared" si="34"/>
        <v>-1519.759722</v>
      </c>
      <c r="M194" s="2"/>
      <c r="N194" s="7">
        <f t="shared" si="35"/>
        <v>-1</v>
      </c>
      <c r="O194" s="11"/>
      <c r="P194" s="6">
        <v>26316.809999999998</v>
      </c>
      <c r="Q194" s="2"/>
      <c r="R194" s="7">
        <f t="shared" si="36"/>
        <v>2.2687811413570551E-3</v>
      </c>
      <c r="S194" s="2"/>
      <c r="T194" s="6">
        <v>1186300.1248132752</v>
      </c>
      <c r="U194" s="2"/>
      <c r="V194" s="7">
        <f t="shared" si="37"/>
        <v>7.7379181097579047E-2</v>
      </c>
      <c r="W194" s="2"/>
      <c r="X194" s="6">
        <f t="shared" si="38"/>
        <v>-1159983.3148132751</v>
      </c>
      <c r="Y194" s="2"/>
      <c r="Z194" s="7">
        <f t="shared" si="39"/>
        <v>-0.97781606066665272</v>
      </c>
    </row>
    <row r="195" spans="1:26" s="24" customFormat="1" hidden="1" outlineLevel="2" x14ac:dyDescent="0.25">
      <c r="A195" s="27"/>
      <c r="B195" s="11" t="str">
        <f>CONCATENATE("          ", "6009", " - ", "TEMPORARY-SEASONAL")</f>
        <v xml:space="preserve">          6009 - TEMPORARY-SEASONAL</v>
      </c>
      <c r="C195" s="11"/>
      <c r="D195" s="6"/>
      <c r="E195" s="2"/>
      <c r="F195" s="7">
        <f t="shared" si="32"/>
        <v>0</v>
      </c>
      <c r="G195" s="2"/>
      <c r="H195" s="6">
        <v>0</v>
      </c>
      <c r="I195" s="2"/>
      <c r="J195" s="7">
        <f t="shared" si="33"/>
        <v>0</v>
      </c>
      <c r="K195" s="2"/>
      <c r="L195" s="6">
        <f t="shared" si="34"/>
        <v>0</v>
      </c>
      <c r="M195" s="2"/>
      <c r="N195" s="7">
        <f t="shared" si="35"/>
        <v>0</v>
      </c>
      <c r="O195" s="11"/>
      <c r="P195" s="6"/>
      <c r="Q195" s="2"/>
      <c r="R195" s="7">
        <f t="shared" si="36"/>
        <v>0</v>
      </c>
      <c r="S195" s="2"/>
      <c r="T195" s="6">
        <v>0</v>
      </c>
      <c r="U195" s="2"/>
      <c r="V195" s="7">
        <f t="shared" si="37"/>
        <v>0</v>
      </c>
      <c r="W195" s="2"/>
      <c r="X195" s="6">
        <f t="shared" si="38"/>
        <v>0</v>
      </c>
      <c r="Y195" s="2"/>
      <c r="Z195" s="7">
        <f t="shared" si="39"/>
        <v>0</v>
      </c>
    </row>
    <row r="196" spans="1:26" s="24" customFormat="1" hidden="1" outlineLevel="2" x14ac:dyDescent="0.25">
      <c r="A196" s="27"/>
      <c r="B196" s="11" t="str">
        <f>CONCATENATE("          ", "6010", " - ", "GRATUITY")</f>
        <v xml:space="preserve">          6010 - GRATUITY</v>
      </c>
      <c r="C196" s="11"/>
      <c r="D196" s="6"/>
      <c r="E196" s="2"/>
      <c r="F196" s="7">
        <f t="shared" si="32"/>
        <v>0</v>
      </c>
      <c r="G196" s="2"/>
      <c r="H196" s="6">
        <v>0</v>
      </c>
      <c r="I196" s="2"/>
      <c r="J196" s="7">
        <f t="shared" si="33"/>
        <v>0</v>
      </c>
      <c r="K196" s="2"/>
      <c r="L196" s="6">
        <f t="shared" si="34"/>
        <v>0</v>
      </c>
      <c r="M196" s="2"/>
      <c r="N196" s="7">
        <f t="shared" si="35"/>
        <v>0</v>
      </c>
      <c r="O196" s="11"/>
      <c r="P196" s="6"/>
      <c r="Q196" s="2"/>
      <c r="R196" s="7">
        <f t="shared" si="36"/>
        <v>0</v>
      </c>
      <c r="S196" s="2"/>
      <c r="T196" s="6">
        <v>0</v>
      </c>
      <c r="U196" s="2"/>
      <c r="V196" s="7">
        <f t="shared" si="37"/>
        <v>0</v>
      </c>
      <c r="W196" s="2"/>
      <c r="X196" s="6">
        <f t="shared" si="38"/>
        <v>0</v>
      </c>
      <c r="Y196" s="2"/>
      <c r="Z196" s="7">
        <f t="shared" si="39"/>
        <v>0</v>
      </c>
    </row>
    <row r="197" spans="1:26" s="26" customFormat="1" outlineLevel="1" collapsed="1" x14ac:dyDescent="0.25">
      <c r="A197" s="25"/>
      <c r="B197" s="12" t="str">
        <f>CONCATENATE("     ","Advertising/Promo                                 ")</f>
        <v xml:space="preserve">     Advertising/Promo                                 </v>
      </c>
      <c r="C197" s="12"/>
      <c r="D197" s="1">
        <f>SUM(OSRRefD22_2x_0)</f>
        <v>-2415.19</v>
      </c>
      <c r="E197" s="1"/>
      <c r="F197" s="5">
        <f t="shared" ref="F197:F201" si="40">IF(D$12=0,0,D197/D$12)</f>
        <v>-1.1601863626714736E-2</v>
      </c>
      <c r="G197" s="1"/>
      <c r="H197" s="1">
        <f>SUM(OSRRefH22_2x_0)</f>
        <v>2795</v>
      </c>
      <c r="I197" s="1"/>
      <c r="J197" s="5">
        <f t="shared" ref="J197:J201" si="41">IF(H$12=0,0,H197/H$12)</f>
        <v>5.1581003783795149E-3</v>
      </c>
      <c r="K197" s="1"/>
      <c r="L197" s="1">
        <f t="shared" ref="L197:L201" si="42">+D197-H197</f>
        <v>-5210.1900000000005</v>
      </c>
      <c r="M197" s="1"/>
      <c r="N197" s="5">
        <f t="shared" ref="N197:N201" si="43">IF(H197=0,0,L197/H197)</f>
        <v>-1.8641109123434707</v>
      </c>
      <c r="O197" s="12"/>
      <c r="P197" s="1">
        <f>SUM(OSRRefP22_2x_0)</f>
        <v>46663.49</v>
      </c>
      <c r="Q197" s="1"/>
      <c r="R197" s="5">
        <f t="shared" ref="R197:R201" si="44">IF(P$12=0,0,P197/P$12)</f>
        <v>4.0228753447664641E-3</v>
      </c>
      <c r="S197" s="1"/>
      <c r="T197" s="1">
        <f>SUM(OSRRefT22_2x_0)</f>
        <v>72690</v>
      </c>
      <c r="U197" s="1"/>
      <c r="V197" s="5">
        <f t="shared" ref="V197:V201" si="45">IF(T$12=0,0,T197/T$12)</f>
        <v>4.7413740893505786E-3</v>
      </c>
      <c r="W197" s="1"/>
      <c r="X197" s="1">
        <f t="shared" ref="X197:X201" si="46">+P197-T197</f>
        <v>-26026.510000000002</v>
      </c>
      <c r="Y197" s="1"/>
      <c r="Z197" s="5">
        <f t="shared" ref="Z197:Z201" si="47">IF(T197=0,0,X197/T197)</f>
        <v>-0.35804801210620446</v>
      </c>
    </row>
    <row r="198" spans="1:26" s="24" customFormat="1" hidden="1" outlineLevel="2" x14ac:dyDescent="0.25">
      <c r="A198" s="27"/>
      <c r="B198" s="11" t="str">
        <f>CONCATENATE("          ", "6362", " - ", "ADVERTISING EXPENSE")</f>
        <v xml:space="preserve">          6362 - ADVERTISING EXPENSE</v>
      </c>
      <c r="C198" s="11"/>
      <c r="D198" s="6">
        <v>-2415.19</v>
      </c>
      <c r="E198" s="2"/>
      <c r="F198" s="7">
        <f t="shared" si="40"/>
        <v>-1.1601863626714736E-2</v>
      </c>
      <c r="G198" s="2"/>
      <c r="H198" s="6">
        <v>2795</v>
      </c>
      <c r="I198" s="2"/>
      <c r="J198" s="7">
        <f t="shared" si="41"/>
        <v>5.1581003783795149E-3</v>
      </c>
      <c r="K198" s="2"/>
      <c r="L198" s="6">
        <f t="shared" si="42"/>
        <v>-5210.1900000000005</v>
      </c>
      <c r="M198" s="2"/>
      <c r="N198" s="7">
        <f t="shared" si="43"/>
        <v>-1.8641109123434707</v>
      </c>
      <c r="O198" s="11"/>
      <c r="P198" s="6">
        <v>46663.49</v>
      </c>
      <c r="Q198" s="2"/>
      <c r="R198" s="7">
        <f t="shared" si="44"/>
        <v>4.0228753447664641E-3</v>
      </c>
      <c r="S198" s="2"/>
      <c r="T198" s="6">
        <v>72690</v>
      </c>
      <c r="U198" s="2"/>
      <c r="V198" s="7">
        <f t="shared" si="45"/>
        <v>4.7413740893505786E-3</v>
      </c>
      <c r="W198" s="2"/>
      <c r="X198" s="6">
        <f t="shared" si="46"/>
        <v>-26026.510000000002</v>
      </c>
      <c r="Y198" s="2"/>
      <c r="Z198" s="7">
        <f t="shared" si="47"/>
        <v>-0.35804801210620446</v>
      </c>
    </row>
    <row r="199" spans="1:26" s="26" customFormat="1" outlineLevel="1" collapsed="1" x14ac:dyDescent="0.25">
      <c r="A199" s="25"/>
      <c r="B199" s="12" t="str">
        <f>CONCATENATE("     ","Bad Debts/Over/Short                              ")</f>
        <v xml:space="preserve">     Bad Debts/Over/Short                              </v>
      </c>
      <c r="C199" s="12"/>
      <c r="D199" s="1">
        <f>SUM(OSRRefD22_3x_0)</f>
        <v>0</v>
      </c>
      <c r="E199" s="1"/>
      <c r="F199" s="5">
        <f t="shared" si="40"/>
        <v>0</v>
      </c>
      <c r="G199" s="1"/>
      <c r="H199" s="1">
        <f>SUM(OSRRefH22_3x_0)</f>
        <v>145</v>
      </c>
      <c r="I199" s="1"/>
      <c r="J199" s="5">
        <f t="shared" si="41"/>
        <v>2.6759375844902667E-4</v>
      </c>
      <c r="K199" s="1"/>
      <c r="L199" s="1">
        <f t="shared" si="42"/>
        <v>-145</v>
      </c>
      <c r="M199" s="1"/>
      <c r="N199" s="5">
        <f t="shared" si="43"/>
        <v>-1</v>
      </c>
      <c r="O199" s="12"/>
      <c r="P199" s="1">
        <f>SUM(OSRRefP22_3x_0)</f>
        <v>-459.84</v>
      </c>
      <c r="Q199" s="1"/>
      <c r="R199" s="5">
        <f t="shared" si="44"/>
        <v>-3.9642962807484202E-5</v>
      </c>
      <c r="S199" s="1"/>
      <c r="T199" s="1">
        <f>SUM(OSRRefT22_3x_0)</f>
        <v>1740</v>
      </c>
      <c r="U199" s="1"/>
      <c r="V199" s="5">
        <f t="shared" si="45"/>
        <v>1.1349554155275839E-4</v>
      </c>
      <c r="W199" s="1"/>
      <c r="X199" s="1">
        <f t="shared" si="46"/>
        <v>-2199.84</v>
      </c>
      <c r="Y199" s="1"/>
      <c r="Z199" s="5">
        <f t="shared" si="47"/>
        <v>-1.2642758620689656</v>
      </c>
    </row>
    <row r="200" spans="1:26" s="24" customFormat="1" hidden="1" outlineLevel="2" x14ac:dyDescent="0.25">
      <c r="A200" s="27"/>
      <c r="B200" s="11" t="str">
        <f>CONCATENATE("          ", "6272", " - ", "CASH (OVER/SHORT)")</f>
        <v xml:space="preserve">          6272 - CASH (OVER/SHORT)</v>
      </c>
      <c r="C200" s="11"/>
      <c r="D200" s="6"/>
      <c r="E200" s="2"/>
      <c r="F200" s="7">
        <f t="shared" si="40"/>
        <v>0</v>
      </c>
      <c r="G200" s="2"/>
      <c r="H200" s="6">
        <v>135</v>
      </c>
      <c r="I200" s="2"/>
      <c r="J200" s="7">
        <f t="shared" si="41"/>
        <v>2.4913901648702485E-4</v>
      </c>
      <c r="K200" s="2"/>
      <c r="L200" s="6">
        <f t="shared" si="42"/>
        <v>-135</v>
      </c>
      <c r="M200" s="2"/>
      <c r="N200" s="7">
        <f t="shared" si="43"/>
        <v>-1</v>
      </c>
      <c r="O200" s="11"/>
      <c r="P200" s="6">
        <v>-504.64</v>
      </c>
      <c r="Q200" s="2"/>
      <c r="R200" s="7">
        <f t="shared" si="44"/>
        <v>-4.3505186045513282E-5</v>
      </c>
      <c r="S200" s="2"/>
      <c r="T200" s="6">
        <v>1620</v>
      </c>
      <c r="U200" s="2"/>
      <c r="V200" s="7">
        <f t="shared" si="45"/>
        <v>1.0566826282498196E-4</v>
      </c>
      <c r="W200" s="2"/>
      <c r="X200" s="6">
        <f t="shared" si="46"/>
        <v>-2124.64</v>
      </c>
      <c r="Y200" s="2"/>
      <c r="Z200" s="7">
        <f t="shared" si="47"/>
        <v>-1.3115061728395061</v>
      </c>
    </row>
    <row r="201" spans="1:26" s="24" customFormat="1" hidden="1" outlineLevel="2" x14ac:dyDescent="0.25">
      <c r="A201" s="27"/>
      <c r="B201" s="11" t="str">
        <f>CONCATENATE("          ", "6342", " - ", "BAD DEBT")</f>
        <v xml:space="preserve">          6342 - BAD DEBT</v>
      </c>
      <c r="C201" s="11"/>
      <c r="D201" s="6"/>
      <c r="E201" s="2"/>
      <c r="F201" s="7">
        <f t="shared" si="40"/>
        <v>0</v>
      </c>
      <c r="G201" s="2"/>
      <c r="H201" s="6">
        <v>10</v>
      </c>
      <c r="I201" s="2"/>
      <c r="J201" s="7">
        <f t="shared" si="41"/>
        <v>1.8454741962001841E-5</v>
      </c>
      <c r="K201" s="2"/>
      <c r="L201" s="6">
        <f t="shared" si="42"/>
        <v>-10</v>
      </c>
      <c r="M201" s="2"/>
      <c r="N201" s="7">
        <f t="shared" si="43"/>
        <v>-1</v>
      </c>
      <c r="O201" s="11"/>
      <c r="P201" s="6">
        <v>44.8</v>
      </c>
      <c r="Q201" s="2"/>
      <c r="R201" s="7">
        <f t="shared" si="44"/>
        <v>3.8622232380290802E-6</v>
      </c>
      <c r="S201" s="2"/>
      <c r="T201" s="6">
        <v>120</v>
      </c>
      <c r="U201" s="2"/>
      <c r="V201" s="7">
        <f t="shared" si="45"/>
        <v>7.8272787277764412E-6</v>
      </c>
      <c r="W201" s="2"/>
      <c r="X201" s="6">
        <f t="shared" si="46"/>
        <v>-75.2</v>
      </c>
      <c r="Y201" s="2"/>
      <c r="Z201" s="7">
        <f t="shared" si="47"/>
        <v>-0.62666666666666671</v>
      </c>
    </row>
    <row r="202" spans="1:26" s="26" customFormat="1" outlineLevel="1" collapsed="1" x14ac:dyDescent="0.25">
      <c r="A202" s="25"/>
      <c r="B202" s="12" t="str">
        <f>CONCATENATE("     ","Bank/card Fees                                    ")</f>
        <v xml:space="preserve">     Bank/card Fees                                    </v>
      </c>
      <c r="C202" s="12"/>
      <c r="D202" s="1">
        <f>SUM(OSRRefD22_4x_0)</f>
        <v>3763.6</v>
      </c>
      <c r="E202" s="1"/>
      <c r="F202" s="5">
        <f t="shared" ref="F202:F208" si="48">IF(D$12=0,0,D202/D$12)</f>
        <v>1.8079229354834848E-2</v>
      </c>
      <c r="G202" s="1"/>
      <c r="H202" s="1">
        <f>SUM(OSRRefH22_4x_0)</f>
        <v>12275</v>
      </c>
      <c r="I202" s="1"/>
      <c r="J202" s="5">
        <f t="shared" ref="J202:J208" si="49">IF(H$12=0,0,H202/H$12)</f>
        <v>2.265319575835726E-2</v>
      </c>
      <c r="K202" s="1"/>
      <c r="L202" s="1">
        <f t="shared" ref="L202:L208" si="50">+D202-H202</f>
        <v>-8511.4</v>
      </c>
      <c r="M202" s="1"/>
      <c r="N202" s="5">
        <f t="shared" ref="N202:N208" si="51">IF(H202=0,0,L202/H202)</f>
        <v>-0.69339307535641548</v>
      </c>
      <c r="O202" s="12"/>
      <c r="P202" s="1">
        <f>SUM(OSRRefP22_4x_0)</f>
        <v>238229.26</v>
      </c>
      <c r="Q202" s="1"/>
      <c r="R202" s="5">
        <f t="shared" ref="R202:R208" si="52">IF(P$12=0,0,P202/P$12)</f>
        <v>2.0537825534608742E-2</v>
      </c>
      <c r="S202" s="1"/>
      <c r="T202" s="1">
        <f>SUM(OSRRefT22_4x_0)</f>
        <v>297043</v>
      </c>
      <c r="U202" s="1"/>
      <c r="V202" s="5">
        <f t="shared" ref="V202:V208" si="53">IF(T$12=0,0,T202/T$12)</f>
        <v>1.9375319626124144E-2</v>
      </c>
      <c r="W202" s="1"/>
      <c r="X202" s="1">
        <f t="shared" ref="X202:X208" si="54">+P202-T202</f>
        <v>-58813.739999999991</v>
      </c>
      <c r="Y202" s="1"/>
      <c r="Z202" s="5">
        <f t="shared" ref="Z202:Z208" si="55">IF(T202=0,0,X202/T202)</f>
        <v>-0.19799739431664773</v>
      </c>
    </row>
    <row r="203" spans="1:26" s="24" customFormat="1" hidden="1" outlineLevel="2" x14ac:dyDescent="0.25">
      <c r="A203" s="27"/>
      <c r="B203" s="11" t="str">
        <f>CONCATENATE("          ", "6381", " - ", "BANK/CREDIT CARD FEES")</f>
        <v xml:space="preserve">          6381 - BANK/CREDIT CARD FEES</v>
      </c>
      <c r="C203" s="11"/>
      <c r="D203" s="6">
        <v>3763.6</v>
      </c>
      <c r="E203" s="2"/>
      <c r="F203" s="7">
        <f t="shared" si="48"/>
        <v>1.8079229354834848E-2</v>
      </c>
      <c r="G203" s="2"/>
      <c r="H203" s="6">
        <v>12275</v>
      </c>
      <c r="I203" s="2"/>
      <c r="J203" s="7">
        <f t="shared" si="49"/>
        <v>2.265319575835726E-2</v>
      </c>
      <c r="K203" s="2"/>
      <c r="L203" s="6">
        <f t="shared" si="50"/>
        <v>-8511.4</v>
      </c>
      <c r="M203" s="2"/>
      <c r="N203" s="7">
        <f t="shared" si="51"/>
        <v>-0.69339307535641548</v>
      </c>
      <c r="O203" s="11"/>
      <c r="P203" s="6">
        <v>238229.26</v>
      </c>
      <c r="Q203" s="2"/>
      <c r="R203" s="7">
        <f t="shared" si="52"/>
        <v>2.0537825534608742E-2</v>
      </c>
      <c r="S203" s="2"/>
      <c r="T203" s="6">
        <v>297043</v>
      </c>
      <c r="U203" s="2"/>
      <c r="V203" s="7">
        <f t="shared" si="53"/>
        <v>1.9375319626124144E-2</v>
      </c>
      <c r="W203" s="2"/>
      <c r="X203" s="6">
        <f t="shared" si="54"/>
        <v>-58813.739999999991</v>
      </c>
      <c r="Y203" s="2"/>
      <c r="Z203" s="7">
        <f t="shared" si="55"/>
        <v>-0.19799739431664773</v>
      </c>
    </row>
    <row r="204" spans="1:26" s="26" customFormat="1" outlineLevel="1" collapsed="1" x14ac:dyDescent="0.25">
      <c r="A204" s="25"/>
      <c r="B204" s="12" t="str">
        <f>CONCATENATE("     ","Depreciation                                      ")</f>
        <v xml:space="preserve">     Depreciation                                      </v>
      </c>
      <c r="C204" s="12"/>
      <c r="D204" s="1">
        <f>SUM(OSRRefD22_5x_0)</f>
        <v>39339.910000000003</v>
      </c>
      <c r="E204" s="1"/>
      <c r="F204" s="5">
        <f t="shared" si="48"/>
        <v>0.18897737689673746</v>
      </c>
      <c r="G204" s="1"/>
      <c r="H204" s="1">
        <f>SUM(OSRRefH22_5x_0)</f>
        <v>40505</v>
      </c>
      <c r="I204" s="1"/>
      <c r="J204" s="5">
        <f t="shared" si="49"/>
        <v>7.4750932317088459E-2</v>
      </c>
      <c r="K204" s="1"/>
      <c r="L204" s="1">
        <f t="shared" si="50"/>
        <v>-1165.0899999999965</v>
      </c>
      <c r="M204" s="1"/>
      <c r="N204" s="5">
        <f t="shared" si="51"/>
        <v>-2.8764103197136071E-2</v>
      </c>
      <c r="O204" s="12"/>
      <c r="P204" s="1">
        <f>SUM(OSRRefP22_5x_0)</f>
        <v>463091.29000000004</v>
      </c>
      <c r="Q204" s="1"/>
      <c r="R204" s="5">
        <f t="shared" si="52"/>
        <v>3.9923257624260355E-2</v>
      </c>
      <c r="S204" s="1"/>
      <c r="T204" s="1">
        <f>SUM(OSRRefT22_5x_0)</f>
        <v>477723</v>
      </c>
      <c r="U204" s="1"/>
      <c r="V204" s="5">
        <f t="shared" si="53"/>
        <v>3.1160592297246204E-2</v>
      </c>
      <c r="W204" s="1"/>
      <c r="X204" s="1">
        <f t="shared" si="54"/>
        <v>-14631.709999999963</v>
      </c>
      <c r="Y204" s="1"/>
      <c r="Z204" s="5">
        <f t="shared" si="55"/>
        <v>-3.0628020840528847E-2</v>
      </c>
    </row>
    <row r="205" spans="1:26" s="24" customFormat="1" hidden="1" outlineLevel="2" x14ac:dyDescent="0.25">
      <c r="A205" s="27"/>
      <c r="B205" s="11" t="str">
        <f>CONCATENATE("          ", "6321", " - ", "BUILDING DEPRECIATION")</f>
        <v xml:space="preserve">          6321 - BUILDING DEPRECIATION</v>
      </c>
      <c r="C205" s="11"/>
      <c r="D205" s="6">
        <v>21476.73</v>
      </c>
      <c r="E205" s="2"/>
      <c r="F205" s="7">
        <f t="shared" si="48"/>
        <v>0.10316790505416681</v>
      </c>
      <c r="G205" s="2"/>
      <c r="H205" s="6">
        <v>21478</v>
      </c>
      <c r="I205" s="2"/>
      <c r="J205" s="7">
        <f t="shared" si="49"/>
        <v>3.9637094785987551E-2</v>
      </c>
      <c r="K205" s="2"/>
      <c r="L205" s="6">
        <f t="shared" si="50"/>
        <v>-1.2700000000004366</v>
      </c>
      <c r="M205" s="2"/>
      <c r="N205" s="7">
        <f t="shared" si="51"/>
        <v>-5.9130272837342235E-5</v>
      </c>
      <c r="O205" s="11"/>
      <c r="P205" s="6">
        <v>257724.06</v>
      </c>
      <c r="Q205" s="2"/>
      <c r="R205" s="7">
        <f t="shared" si="52"/>
        <v>2.2218478873464308E-2</v>
      </c>
      <c r="S205" s="2"/>
      <c r="T205" s="6">
        <v>257904</v>
      </c>
      <c r="U205" s="2"/>
      <c r="V205" s="7">
        <f t="shared" si="53"/>
        <v>1.6822387441737127E-2</v>
      </c>
      <c r="W205" s="2"/>
      <c r="X205" s="6">
        <f t="shared" si="54"/>
        <v>-179.94000000000233</v>
      </c>
      <c r="Y205" s="2"/>
      <c r="Z205" s="7">
        <f t="shared" si="55"/>
        <v>-6.9770147031454469E-4</v>
      </c>
    </row>
    <row r="206" spans="1:26" s="24" customFormat="1" hidden="1" outlineLevel="2" x14ac:dyDescent="0.25">
      <c r="A206" s="27"/>
      <c r="B206" s="11" t="str">
        <f>CONCATENATE("          ", "6322", " - ", "EQUIPMENT DEPRECIATION EXPENSE")</f>
        <v xml:space="preserve">          6322 - EQUIPMENT DEPRECIATION EXPENSE</v>
      </c>
      <c r="C206" s="11"/>
      <c r="D206" s="6">
        <v>17863.18</v>
      </c>
      <c r="E206" s="2"/>
      <c r="F206" s="7">
        <f t="shared" si="48"/>
        <v>8.5809471842570623E-2</v>
      </c>
      <c r="G206" s="2"/>
      <c r="H206" s="6">
        <v>16224</v>
      </c>
      <c r="I206" s="2"/>
      <c r="J206" s="7">
        <f t="shared" si="49"/>
        <v>2.9940973359151787E-2</v>
      </c>
      <c r="K206" s="2"/>
      <c r="L206" s="6">
        <f t="shared" si="50"/>
        <v>1639.1800000000003</v>
      </c>
      <c r="M206" s="2"/>
      <c r="N206" s="7">
        <f t="shared" si="51"/>
        <v>0.10103427021696254</v>
      </c>
      <c r="O206" s="11"/>
      <c r="P206" s="6">
        <v>205367.23</v>
      </c>
      <c r="Q206" s="2"/>
      <c r="R206" s="7">
        <f t="shared" si="52"/>
        <v>1.7704778750796048E-2</v>
      </c>
      <c r="S206" s="2"/>
      <c r="T206" s="6">
        <v>194688</v>
      </c>
      <c r="U206" s="2"/>
      <c r="V206" s="7">
        <f t="shared" si="53"/>
        <v>1.2698977007944498E-2</v>
      </c>
      <c r="W206" s="2"/>
      <c r="X206" s="6">
        <f t="shared" si="54"/>
        <v>10679.23000000001</v>
      </c>
      <c r="Y206" s="2"/>
      <c r="Z206" s="7">
        <f t="shared" si="55"/>
        <v>5.4853046926364286E-2</v>
      </c>
    </row>
    <row r="207" spans="1:26" s="24" customFormat="1" hidden="1" outlineLevel="2" x14ac:dyDescent="0.25">
      <c r="A207" s="27"/>
      <c r="B207" s="11" t="str">
        <f>CONCATENATE("          ", "6324", " - ", "FURNITURE + FIXT DEPRECIATION")</f>
        <v xml:space="preserve">          6324 - FURNITURE + FIXT DEPRECIATION</v>
      </c>
      <c r="C207" s="11"/>
      <c r="D207" s="6"/>
      <c r="E207" s="2"/>
      <c r="F207" s="7">
        <f t="shared" si="48"/>
        <v>0</v>
      </c>
      <c r="G207" s="2"/>
      <c r="H207" s="6">
        <v>2470</v>
      </c>
      <c r="I207" s="2"/>
      <c r="J207" s="7">
        <f t="shared" si="49"/>
        <v>4.5583212646144551E-3</v>
      </c>
      <c r="K207" s="2"/>
      <c r="L207" s="6">
        <f t="shared" si="50"/>
        <v>-2470</v>
      </c>
      <c r="M207" s="2"/>
      <c r="N207" s="7">
        <f t="shared" si="51"/>
        <v>-1</v>
      </c>
      <c r="O207" s="11"/>
      <c r="P207" s="6"/>
      <c r="Q207" s="2"/>
      <c r="R207" s="7">
        <f t="shared" si="52"/>
        <v>0</v>
      </c>
      <c r="S207" s="2"/>
      <c r="T207" s="6">
        <v>22134</v>
      </c>
      <c r="U207" s="2"/>
      <c r="V207" s="7">
        <f t="shared" si="53"/>
        <v>1.4437415613383646E-3</v>
      </c>
      <c r="W207" s="2"/>
      <c r="X207" s="6">
        <f t="shared" si="54"/>
        <v>-22134</v>
      </c>
      <c r="Y207" s="2"/>
      <c r="Z207" s="7">
        <f t="shared" si="55"/>
        <v>-1</v>
      </c>
    </row>
    <row r="208" spans="1:26" s="24" customFormat="1" hidden="1" outlineLevel="2" x14ac:dyDescent="0.25">
      <c r="A208" s="27"/>
      <c r="B208" s="11" t="str">
        <f>CONCATENATE("          ", "6326", " - ", "VEHICLES DEPRECIATION EXPENSE")</f>
        <v xml:space="preserve">          6326 - VEHICLES DEPRECIATION EXPENSE</v>
      </c>
      <c r="C208" s="11"/>
      <c r="D208" s="6"/>
      <c r="E208" s="2"/>
      <c r="F208" s="7">
        <f t="shared" si="48"/>
        <v>0</v>
      </c>
      <c r="G208" s="2"/>
      <c r="H208" s="6">
        <v>333</v>
      </c>
      <c r="I208" s="2"/>
      <c r="J208" s="7">
        <f t="shared" si="49"/>
        <v>6.1454290733466133E-4</v>
      </c>
      <c r="K208" s="2"/>
      <c r="L208" s="6">
        <f t="shared" si="50"/>
        <v>-333</v>
      </c>
      <c r="M208" s="2"/>
      <c r="N208" s="7">
        <f t="shared" si="51"/>
        <v>-1</v>
      </c>
      <c r="O208" s="11"/>
      <c r="P208" s="6"/>
      <c r="Q208" s="2"/>
      <c r="R208" s="7">
        <f t="shared" si="52"/>
        <v>0</v>
      </c>
      <c r="S208" s="2"/>
      <c r="T208" s="6">
        <v>2997</v>
      </c>
      <c r="U208" s="2"/>
      <c r="V208" s="7">
        <f t="shared" si="53"/>
        <v>1.9548628622621662E-4</v>
      </c>
      <c r="W208" s="2"/>
      <c r="X208" s="6">
        <f t="shared" si="54"/>
        <v>-2997</v>
      </c>
      <c r="Y208" s="2"/>
      <c r="Z208" s="7">
        <f t="shared" si="55"/>
        <v>-1</v>
      </c>
    </row>
    <row r="209" spans="1:26" s="26" customFormat="1" outlineLevel="1" collapsed="1" x14ac:dyDescent="0.25">
      <c r="A209" s="25"/>
      <c r="B209" s="12" t="str">
        <f>CONCATENATE("     ","Discounts and Markdowns                           ")</f>
        <v xml:space="preserve">     Discounts and Markdowns                           </v>
      </c>
      <c r="C209" s="12"/>
      <c r="D209" s="1">
        <f>SUM(OSRRefD22_6x_0)</f>
        <v>39907.229999999996</v>
      </c>
      <c r="E209" s="1"/>
      <c r="F209" s="5">
        <f t="shared" ref="F209:F211" si="56">IF(D$12=0,0,D209/D$12)</f>
        <v>0.1917026156037161</v>
      </c>
      <c r="G209" s="1"/>
      <c r="H209" s="1">
        <f>SUM(OSRRefH22_6x_0)</f>
        <v>41225</v>
      </c>
      <c r="I209" s="1"/>
      <c r="J209" s="5">
        <f t="shared" ref="J209:J211" si="57">IF(H$12=0,0,H209/H$12)</f>
        <v>7.6079673738352588E-2</v>
      </c>
      <c r="K209" s="1"/>
      <c r="L209" s="1">
        <f t="shared" ref="L209:L211" si="58">+D209-H209</f>
        <v>-1317.7700000000041</v>
      </c>
      <c r="M209" s="1"/>
      <c r="N209" s="5">
        <f t="shared" ref="N209:N211" si="59">IF(H209=0,0,L209/H209)</f>
        <v>-3.1965312310491309E-2</v>
      </c>
      <c r="O209" s="12"/>
      <c r="P209" s="1">
        <f>SUM(OSRRefP22_6x_0)</f>
        <v>387445.38</v>
      </c>
      <c r="Q209" s="1"/>
      <c r="R209" s="5">
        <f t="shared" ref="R209:R211" si="60">IF(P$12=0,0,P209/P$12)</f>
        <v>3.3401797993370702E-2</v>
      </c>
      <c r="S209" s="1"/>
      <c r="T209" s="1">
        <f>SUM(OSRRefT22_6x_0)</f>
        <v>369500</v>
      </c>
      <c r="U209" s="1"/>
      <c r="V209" s="5">
        <f t="shared" ref="V209:V211" si="61">IF(T$12=0,0,T209/T$12)</f>
        <v>2.4101495749278289E-2</v>
      </c>
      <c r="W209" s="1"/>
      <c r="X209" s="1">
        <f t="shared" ref="X209:X211" si="62">+P209-T209</f>
        <v>17945.380000000005</v>
      </c>
      <c r="Y209" s="1"/>
      <c r="Z209" s="5">
        <f t="shared" ref="Z209:Z211" si="63">IF(T209=0,0,X209/T209)</f>
        <v>4.856665764546686E-2</v>
      </c>
    </row>
    <row r="210" spans="1:26" s="24" customFormat="1" hidden="1" outlineLevel="2" x14ac:dyDescent="0.25">
      <c r="A210" s="27"/>
      <c r="B210" s="11" t="str">
        <f>CONCATENATE("          ", "6382", " - ", "DISCOUNTS/MARK DOWNS")</f>
        <v xml:space="preserve">          6382 - DISCOUNTS/MARK DOWNS</v>
      </c>
      <c r="C210" s="11"/>
      <c r="D210" s="6">
        <v>39910.089999999997</v>
      </c>
      <c r="E210" s="2"/>
      <c r="F210" s="7">
        <f t="shared" si="56"/>
        <v>0.19171635420398042</v>
      </c>
      <c r="G210" s="2"/>
      <c r="H210" s="6">
        <v>41225</v>
      </c>
      <c r="I210" s="2"/>
      <c r="J210" s="7">
        <f t="shared" si="57"/>
        <v>7.6079673738352588E-2</v>
      </c>
      <c r="K210" s="2"/>
      <c r="L210" s="6">
        <f t="shared" si="58"/>
        <v>-1314.9100000000035</v>
      </c>
      <c r="M210" s="2"/>
      <c r="N210" s="7">
        <f t="shared" si="59"/>
        <v>-3.1895936931473703E-2</v>
      </c>
      <c r="O210" s="11"/>
      <c r="P210" s="6">
        <v>390679.86</v>
      </c>
      <c r="Q210" s="2"/>
      <c r="R210" s="7">
        <f t="shared" si="60"/>
        <v>3.3680643614329188E-2</v>
      </c>
      <c r="S210" s="2"/>
      <c r="T210" s="6">
        <v>369500</v>
      </c>
      <c r="U210" s="2"/>
      <c r="V210" s="7">
        <f t="shared" si="61"/>
        <v>2.4101495749278289E-2</v>
      </c>
      <c r="W210" s="2"/>
      <c r="X210" s="6">
        <f t="shared" si="62"/>
        <v>21179.859999999986</v>
      </c>
      <c r="Y210" s="2"/>
      <c r="Z210" s="7">
        <f t="shared" si="63"/>
        <v>5.7320324763193466E-2</v>
      </c>
    </row>
    <row r="211" spans="1:26" s="24" customFormat="1" hidden="1" outlineLevel="2" x14ac:dyDescent="0.25">
      <c r="A211" s="27"/>
      <c r="B211" s="11" t="str">
        <f>CONCATENATE("          ", "9175", " - ", "EARNED DISCOUNTS")</f>
        <v xml:space="preserve">          9175 - EARNED DISCOUNTS</v>
      </c>
      <c r="C211" s="11"/>
      <c r="D211" s="6">
        <v>-2.86</v>
      </c>
      <c r="E211" s="2"/>
      <c r="F211" s="7">
        <f t="shared" si="56"/>
        <v>-1.3738600264328745E-5</v>
      </c>
      <c r="G211" s="2"/>
      <c r="H211" s="6"/>
      <c r="I211" s="2"/>
      <c r="J211" s="7">
        <f t="shared" si="57"/>
        <v>0</v>
      </c>
      <c r="K211" s="2"/>
      <c r="L211" s="6">
        <f t="shared" si="58"/>
        <v>-2.86</v>
      </c>
      <c r="M211" s="2"/>
      <c r="N211" s="7">
        <f t="shared" si="59"/>
        <v>0</v>
      </c>
      <c r="O211" s="11"/>
      <c r="P211" s="6">
        <v>-3234.48</v>
      </c>
      <c r="Q211" s="2"/>
      <c r="R211" s="7">
        <f t="shared" si="60"/>
        <v>-2.7884562095848884E-4</v>
      </c>
      <c r="S211" s="2"/>
      <c r="T211" s="6"/>
      <c r="U211" s="2"/>
      <c r="V211" s="7">
        <f t="shared" si="61"/>
        <v>0</v>
      </c>
      <c r="W211" s="2"/>
      <c r="X211" s="6">
        <f t="shared" si="62"/>
        <v>-3234.48</v>
      </c>
      <c r="Y211" s="2"/>
      <c r="Z211" s="7">
        <f t="shared" si="63"/>
        <v>0</v>
      </c>
    </row>
    <row r="212" spans="1:26" s="26" customFormat="1" outlineLevel="1" collapsed="1" x14ac:dyDescent="0.25">
      <c r="A212" s="25"/>
      <c r="B212" s="12" t="str">
        <f>CONCATENATE("     ","Donations                                         ")</f>
        <v xml:space="preserve">     Donations                                         </v>
      </c>
      <c r="C212" s="12"/>
      <c r="D212" s="1">
        <f>SUM(OSRRefD22_7x_0)</f>
        <v>0</v>
      </c>
      <c r="E212" s="1"/>
      <c r="F212" s="5">
        <f t="shared" ref="F212:F214" si="64">IF(D$12=0,0,D212/D$12)</f>
        <v>0</v>
      </c>
      <c r="G212" s="1"/>
      <c r="H212" s="1">
        <f>SUM(OSRRefH22_7x_0)</f>
        <v>1025</v>
      </c>
      <c r="I212" s="1"/>
      <c r="J212" s="5">
        <f t="shared" ref="J212:J214" si="65">IF(H$12=0,0,H212/H$12)</f>
        <v>1.8916110511051887E-3</v>
      </c>
      <c r="K212" s="1"/>
      <c r="L212" s="1">
        <f t="shared" ref="L212:L214" si="66">+D212-H212</f>
        <v>-1025</v>
      </c>
      <c r="M212" s="1"/>
      <c r="N212" s="5">
        <f t="shared" ref="N212:N214" si="67">IF(H212=0,0,L212/H212)</f>
        <v>-1</v>
      </c>
      <c r="O212" s="12"/>
      <c r="P212" s="1">
        <f>SUM(OSRRefP22_7x_0)</f>
        <v>10985.64</v>
      </c>
      <c r="Q212" s="1"/>
      <c r="R212" s="5">
        <f t="shared" ref="R212:R214" si="68">IF(P$12=0,0,P212/P$12)</f>
        <v>9.4707576099602197E-4</v>
      </c>
      <c r="S212" s="1"/>
      <c r="T212" s="1">
        <f>SUM(OSRRefT22_7x_0)</f>
        <v>12400</v>
      </c>
      <c r="U212" s="1"/>
      <c r="V212" s="5">
        <f t="shared" ref="V212:V214" si="69">IF(T$12=0,0,T212/T$12)</f>
        <v>8.0881880187023221E-4</v>
      </c>
      <c r="W212" s="1"/>
      <c r="X212" s="1">
        <f t="shared" ref="X212:X214" si="70">+P212-T212</f>
        <v>-1414.3600000000006</v>
      </c>
      <c r="Y212" s="1"/>
      <c r="Z212" s="5">
        <f t="shared" ref="Z212:Z214" si="71">IF(T212=0,0,X212/T212)</f>
        <v>-0.11406129032258069</v>
      </c>
    </row>
    <row r="213" spans="1:26" s="24" customFormat="1" hidden="1" outlineLevel="2" x14ac:dyDescent="0.25">
      <c r="A213" s="27"/>
      <c r="B213" s="11" t="str">
        <f>CONCATENATE("          ", "6395", " - ", "DONATION-OFF CAMPUS")</f>
        <v xml:space="preserve">          6395 - DONATION-OFF CAMPUS</v>
      </c>
      <c r="C213" s="11"/>
      <c r="D213" s="6"/>
      <c r="E213" s="2"/>
      <c r="F213" s="7">
        <f t="shared" si="64"/>
        <v>0</v>
      </c>
      <c r="G213" s="2"/>
      <c r="H213" s="6">
        <v>1025</v>
      </c>
      <c r="I213" s="2"/>
      <c r="J213" s="7">
        <f t="shared" si="65"/>
        <v>1.8916110511051887E-3</v>
      </c>
      <c r="K213" s="2"/>
      <c r="L213" s="6">
        <f t="shared" si="66"/>
        <v>-1025</v>
      </c>
      <c r="M213" s="2"/>
      <c r="N213" s="7">
        <f t="shared" si="67"/>
        <v>-1</v>
      </c>
      <c r="O213" s="11"/>
      <c r="P213" s="6"/>
      <c r="Q213" s="2"/>
      <c r="R213" s="7">
        <f t="shared" si="68"/>
        <v>0</v>
      </c>
      <c r="S213" s="2"/>
      <c r="T213" s="6">
        <v>12400</v>
      </c>
      <c r="U213" s="2"/>
      <c r="V213" s="7">
        <f t="shared" si="69"/>
        <v>8.0881880187023221E-4</v>
      </c>
      <c r="W213" s="2"/>
      <c r="X213" s="6">
        <f t="shared" si="70"/>
        <v>-12400</v>
      </c>
      <c r="Y213" s="2"/>
      <c r="Z213" s="7">
        <f t="shared" si="71"/>
        <v>-1</v>
      </c>
    </row>
    <row r="214" spans="1:26" s="24" customFormat="1" hidden="1" outlineLevel="2" x14ac:dyDescent="0.25">
      <c r="A214" s="27"/>
      <c r="B214" s="11" t="str">
        <f>CONCATENATE("          ", "6399", " - ", "DONATION-ON CAMPUS")</f>
        <v xml:space="preserve">          6399 - DONATION-ON CAMPUS</v>
      </c>
      <c r="C214" s="11"/>
      <c r="D214" s="6"/>
      <c r="E214" s="2"/>
      <c r="F214" s="7">
        <f t="shared" si="64"/>
        <v>0</v>
      </c>
      <c r="G214" s="2"/>
      <c r="H214" s="6"/>
      <c r="I214" s="2"/>
      <c r="J214" s="7">
        <f t="shared" si="65"/>
        <v>0</v>
      </c>
      <c r="K214" s="2"/>
      <c r="L214" s="6">
        <f t="shared" si="66"/>
        <v>0</v>
      </c>
      <c r="M214" s="2"/>
      <c r="N214" s="7">
        <f t="shared" si="67"/>
        <v>0</v>
      </c>
      <c r="O214" s="11"/>
      <c r="P214" s="6">
        <v>10985.64</v>
      </c>
      <c r="Q214" s="2"/>
      <c r="R214" s="7">
        <f t="shared" si="68"/>
        <v>9.4707576099602197E-4</v>
      </c>
      <c r="S214" s="2"/>
      <c r="T214" s="6"/>
      <c r="U214" s="2"/>
      <c r="V214" s="7">
        <f t="shared" si="69"/>
        <v>0</v>
      </c>
      <c r="W214" s="2"/>
      <c r="X214" s="6">
        <f t="shared" si="70"/>
        <v>10985.64</v>
      </c>
      <c r="Y214" s="2"/>
      <c r="Z214" s="7">
        <f t="shared" si="71"/>
        <v>0</v>
      </c>
    </row>
    <row r="215" spans="1:26" s="26" customFormat="1" outlineLevel="1" collapsed="1" x14ac:dyDescent="0.25">
      <c r="A215" s="25"/>
      <c r="B215" s="12" t="str">
        <f>CONCATENATE("     ","Employees' Appreciation                           ")</f>
        <v xml:space="preserve">     Employees' Appreciation                           </v>
      </c>
      <c r="C215" s="12"/>
      <c r="D215" s="1">
        <f>SUM(OSRRefD22_8x_0)</f>
        <v>57</v>
      </c>
      <c r="E215" s="1"/>
      <c r="F215" s="5">
        <f t="shared" ref="F215:F221" si="72">IF(D$12=0,0,D215/D$12)</f>
        <v>2.7381126400934916E-4</v>
      </c>
      <c r="G215" s="1"/>
      <c r="H215" s="1">
        <f>SUM(OSRRefH22_8x_0)</f>
        <v>875</v>
      </c>
      <c r="I215" s="1"/>
      <c r="J215" s="5">
        <f t="shared" ref="J215:J221" si="73">IF(H$12=0,0,H215/H$12)</f>
        <v>1.614789921675161E-3</v>
      </c>
      <c r="K215" s="1"/>
      <c r="L215" s="1">
        <f t="shared" ref="L215:L221" si="74">+D215-H215</f>
        <v>-818</v>
      </c>
      <c r="M215" s="1"/>
      <c r="N215" s="5">
        <f t="shared" ref="N215:N221" si="75">IF(H215=0,0,L215/H215)</f>
        <v>-0.93485714285714283</v>
      </c>
      <c r="O215" s="12"/>
      <c r="P215" s="1">
        <f>SUM(OSRRefP22_8x_0)</f>
        <v>1775.11</v>
      </c>
      <c r="Q215" s="1"/>
      <c r="R215" s="5">
        <f t="shared" ref="R215:R221" si="76">IF(P$12=0,0,P215/P$12)</f>
        <v>1.5303283687629018E-4</v>
      </c>
      <c r="S215" s="1"/>
      <c r="T215" s="1">
        <f>SUM(OSRRefT22_8x_0)</f>
        <v>9075</v>
      </c>
      <c r="U215" s="1"/>
      <c r="V215" s="5">
        <f t="shared" ref="V215:V221" si="77">IF(T$12=0,0,T215/T$12)</f>
        <v>5.9193795378809338E-4</v>
      </c>
      <c r="W215" s="1"/>
      <c r="X215" s="1">
        <f t="shared" ref="X215:X221" si="78">+P215-T215</f>
        <v>-7299.89</v>
      </c>
      <c r="Y215" s="1"/>
      <c r="Z215" s="5">
        <f t="shared" ref="Z215:Z221" si="79">IF(T215=0,0,X215/T215)</f>
        <v>-0.80439559228650137</v>
      </c>
    </row>
    <row r="216" spans="1:26" s="24" customFormat="1" hidden="1" outlineLevel="2" x14ac:dyDescent="0.25">
      <c r="A216" s="27"/>
      <c r="B216" s="11" t="str">
        <f>CONCATENATE("          ", "6277", " - ", "EMPLOYEE APPRECIATION")</f>
        <v xml:space="preserve">          6277 - EMPLOYEE APPRECIATION</v>
      </c>
      <c r="C216" s="11"/>
      <c r="D216" s="6">
        <v>57</v>
      </c>
      <c r="E216" s="2"/>
      <c r="F216" s="7">
        <f t="shared" si="72"/>
        <v>2.7381126400934916E-4</v>
      </c>
      <c r="G216" s="2"/>
      <c r="H216" s="6">
        <v>875</v>
      </c>
      <c r="I216" s="2"/>
      <c r="J216" s="7">
        <f t="shared" si="73"/>
        <v>1.614789921675161E-3</v>
      </c>
      <c r="K216" s="2"/>
      <c r="L216" s="6">
        <f t="shared" si="74"/>
        <v>-818</v>
      </c>
      <c r="M216" s="2"/>
      <c r="N216" s="7">
        <f t="shared" si="75"/>
        <v>-0.93485714285714283</v>
      </c>
      <c r="O216" s="11"/>
      <c r="P216" s="6">
        <v>1775.11</v>
      </c>
      <c r="Q216" s="2"/>
      <c r="R216" s="7">
        <f t="shared" si="76"/>
        <v>1.5303283687629018E-4</v>
      </c>
      <c r="S216" s="2"/>
      <c r="T216" s="6">
        <v>9075</v>
      </c>
      <c r="U216" s="2"/>
      <c r="V216" s="7">
        <f t="shared" si="77"/>
        <v>5.9193795378809338E-4</v>
      </c>
      <c r="W216" s="2"/>
      <c r="X216" s="6">
        <f t="shared" si="78"/>
        <v>-7299.89</v>
      </c>
      <c r="Y216" s="2"/>
      <c r="Z216" s="7">
        <f t="shared" si="79"/>
        <v>-0.80439559228650137</v>
      </c>
    </row>
    <row r="217" spans="1:26" s="26" customFormat="1" outlineLevel="1" collapsed="1" x14ac:dyDescent="0.25">
      <c r="A217" s="25"/>
      <c r="B217" s="12" t="str">
        <f>CONCATENATE("     ","Equipment Rental                                  ")</f>
        <v xml:space="preserve">     Equipment Rental                                  </v>
      </c>
      <c r="C217" s="12"/>
      <c r="D217" s="1">
        <f>SUM(OSRRefD22_9x_0)</f>
        <v>1424.43</v>
      </c>
      <c r="E217" s="1"/>
      <c r="F217" s="5">
        <f t="shared" si="72"/>
        <v>6.8425434875936351E-3</v>
      </c>
      <c r="G217" s="1"/>
      <c r="H217" s="1">
        <f>SUM(OSRRefH22_9x_0)</f>
        <v>3305</v>
      </c>
      <c r="I217" s="1"/>
      <c r="J217" s="5">
        <f t="shared" si="73"/>
        <v>6.0992922184416086E-3</v>
      </c>
      <c r="K217" s="1"/>
      <c r="L217" s="1">
        <f t="shared" si="74"/>
        <v>-1880.57</v>
      </c>
      <c r="M217" s="1"/>
      <c r="N217" s="5">
        <f t="shared" si="75"/>
        <v>-0.56900756429652044</v>
      </c>
      <c r="O217" s="12"/>
      <c r="P217" s="1">
        <f>SUM(OSRRefP22_9x_0)</f>
        <v>20862.18</v>
      </c>
      <c r="Q217" s="1"/>
      <c r="R217" s="5">
        <f t="shared" si="76"/>
        <v>1.7985356337487839E-3</v>
      </c>
      <c r="S217" s="1"/>
      <c r="T217" s="1">
        <f>SUM(OSRRefT22_9x_0)</f>
        <v>39660</v>
      </c>
      <c r="U217" s="1"/>
      <c r="V217" s="5">
        <f t="shared" si="77"/>
        <v>2.5869156195301138E-3</v>
      </c>
      <c r="W217" s="1"/>
      <c r="X217" s="1">
        <f t="shared" si="78"/>
        <v>-18797.82</v>
      </c>
      <c r="Y217" s="1"/>
      <c r="Z217" s="5">
        <f t="shared" si="79"/>
        <v>-0.47397428139183057</v>
      </c>
    </row>
    <row r="218" spans="1:26" s="24" customFormat="1" hidden="1" outlineLevel="2" x14ac:dyDescent="0.25">
      <c r="A218" s="27"/>
      <c r="B218" s="11" t="str">
        <f>CONCATENATE("          ", "6351", " - ", "EQUIPMENT RENTAL")</f>
        <v xml:space="preserve">          6351 - EQUIPMENT RENTAL</v>
      </c>
      <c r="C218" s="11"/>
      <c r="D218" s="6">
        <v>1424.43</v>
      </c>
      <c r="E218" s="2"/>
      <c r="F218" s="7">
        <f t="shared" si="72"/>
        <v>6.8425434875936351E-3</v>
      </c>
      <c r="G218" s="2"/>
      <c r="H218" s="6">
        <v>3305</v>
      </c>
      <c r="I218" s="2"/>
      <c r="J218" s="7">
        <f t="shared" si="73"/>
        <v>6.0992922184416086E-3</v>
      </c>
      <c r="K218" s="2"/>
      <c r="L218" s="6">
        <f t="shared" si="74"/>
        <v>-1880.57</v>
      </c>
      <c r="M218" s="2"/>
      <c r="N218" s="7">
        <f t="shared" si="75"/>
        <v>-0.56900756429652044</v>
      </c>
      <c r="O218" s="11"/>
      <c r="P218" s="6">
        <v>20862.18</v>
      </c>
      <c r="Q218" s="2"/>
      <c r="R218" s="7">
        <f t="shared" si="76"/>
        <v>1.7985356337487839E-3</v>
      </c>
      <c r="S218" s="2"/>
      <c r="T218" s="6">
        <v>39660</v>
      </c>
      <c r="U218" s="2"/>
      <c r="V218" s="7">
        <f t="shared" si="77"/>
        <v>2.5869156195301138E-3</v>
      </c>
      <c r="W218" s="2"/>
      <c r="X218" s="6">
        <f t="shared" si="78"/>
        <v>-18797.82</v>
      </c>
      <c r="Y218" s="2"/>
      <c r="Z218" s="7">
        <f t="shared" si="79"/>
        <v>-0.47397428139183057</v>
      </c>
    </row>
    <row r="219" spans="1:26" s="26" customFormat="1" outlineLevel="1" collapsed="1" x14ac:dyDescent="0.25">
      <c r="A219" s="25"/>
      <c r="B219" s="12" t="str">
        <f>CONCATENATE("     ","Freight out/Postage                               ")</f>
        <v xml:space="preserve">     Freight out/Postage                               </v>
      </c>
      <c r="C219" s="12"/>
      <c r="D219" s="1">
        <f>SUM(OSRRefD22_10x_0)</f>
        <v>25658.549999999996</v>
      </c>
      <c r="E219" s="1"/>
      <c r="F219" s="5">
        <f t="shared" si="72"/>
        <v>0.12325614049380849</v>
      </c>
      <c r="G219" s="1"/>
      <c r="H219" s="1">
        <f>SUM(OSRRefH22_10x_0)</f>
        <v>-210</v>
      </c>
      <c r="I219" s="1"/>
      <c r="J219" s="5">
        <f t="shared" si="73"/>
        <v>-3.8754958120203864E-4</v>
      </c>
      <c r="K219" s="1"/>
      <c r="L219" s="1">
        <f t="shared" si="74"/>
        <v>25868.549999999996</v>
      </c>
      <c r="M219" s="1"/>
      <c r="N219" s="5">
        <f t="shared" si="75"/>
        <v>-123.18357142857141</v>
      </c>
      <c r="O219" s="12"/>
      <c r="P219" s="1">
        <f>SUM(OSRRefP22_10x_0)</f>
        <v>41982.1</v>
      </c>
      <c r="Q219" s="1"/>
      <c r="R219" s="5">
        <f t="shared" si="76"/>
        <v>3.6192911205638538E-3</v>
      </c>
      <c r="S219" s="1"/>
      <c r="T219" s="1">
        <f>SUM(OSRRefT22_10x_0)</f>
        <v>-54720</v>
      </c>
      <c r="U219" s="1"/>
      <c r="V219" s="5">
        <f t="shared" si="77"/>
        <v>-3.5692390998660569E-3</v>
      </c>
      <c r="W219" s="1"/>
      <c r="X219" s="1">
        <f t="shared" si="78"/>
        <v>96702.1</v>
      </c>
      <c r="Y219" s="1"/>
      <c r="Z219" s="5">
        <f t="shared" si="79"/>
        <v>-1.7672167397660821</v>
      </c>
    </row>
    <row r="220" spans="1:26" s="24" customFormat="1" hidden="1" outlineLevel="2" x14ac:dyDescent="0.25">
      <c r="A220" s="27"/>
      <c r="B220" s="11" t="str">
        <f>CONCATENATE("          ", "6305", " - ", "FREIGHT OUT")</f>
        <v xml:space="preserve">          6305 - FREIGHT OUT</v>
      </c>
      <c r="C220" s="11"/>
      <c r="D220" s="6">
        <v>32756.979999999996</v>
      </c>
      <c r="E220" s="2"/>
      <c r="F220" s="7">
        <f t="shared" si="72"/>
        <v>0.1573549140162977</v>
      </c>
      <c r="G220" s="2"/>
      <c r="H220" s="6">
        <v>-250</v>
      </c>
      <c r="I220" s="2"/>
      <c r="J220" s="7">
        <f t="shared" si="73"/>
        <v>-4.6136854905004602E-4</v>
      </c>
      <c r="K220" s="2"/>
      <c r="L220" s="6">
        <f t="shared" si="74"/>
        <v>33006.979999999996</v>
      </c>
      <c r="M220" s="2"/>
      <c r="N220" s="7">
        <f t="shared" si="75"/>
        <v>-132.02791999999999</v>
      </c>
      <c r="O220" s="11"/>
      <c r="P220" s="6">
        <v>102999.35</v>
      </c>
      <c r="Q220" s="2"/>
      <c r="R220" s="7">
        <f t="shared" si="76"/>
        <v>8.8796089971404143E-3</v>
      </c>
      <c r="S220" s="2"/>
      <c r="T220" s="6">
        <v>-55200</v>
      </c>
      <c r="U220" s="2"/>
      <c r="V220" s="7">
        <f t="shared" si="77"/>
        <v>-3.6005482147771629E-3</v>
      </c>
      <c r="W220" s="2"/>
      <c r="X220" s="6">
        <f t="shared" si="78"/>
        <v>158199.35</v>
      </c>
      <c r="Y220" s="2"/>
      <c r="Z220" s="7">
        <f t="shared" si="79"/>
        <v>-2.8659302536231883</v>
      </c>
    </row>
    <row r="221" spans="1:26" s="24" customFormat="1" hidden="1" outlineLevel="2" x14ac:dyDescent="0.25">
      <c r="A221" s="27"/>
      <c r="B221" s="11" t="str">
        <f>CONCATENATE("          ", "6307", " - ", "POSTAGE")</f>
        <v xml:space="preserve">          6307 - POSTAGE</v>
      </c>
      <c r="C221" s="11"/>
      <c r="D221" s="6">
        <v>-7098.43</v>
      </c>
      <c r="E221" s="2"/>
      <c r="F221" s="7">
        <f t="shared" si="72"/>
        <v>-3.4098773522489197E-2</v>
      </c>
      <c r="G221" s="2"/>
      <c r="H221" s="6">
        <v>40</v>
      </c>
      <c r="I221" s="2"/>
      <c r="J221" s="7">
        <f t="shared" si="73"/>
        <v>7.3818967848007363E-5</v>
      </c>
      <c r="K221" s="2"/>
      <c r="L221" s="6">
        <f t="shared" si="74"/>
        <v>-7138.43</v>
      </c>
      <c r="M221" s="2"/>
      <c r="N221" s="7">
        <f t="shared" si="75"/>
        <v>-178.46075000000002</v>
      </c>
      <c r="O221" s="11"/>
      <c r="P221" s="6">
        <v>-61017.250000000007</v>
      </c>
      <c r="Q221" s="2"/>
      <c r="R221" s="7">
        <f t="shared" si="76"/>
        <v>-5.2603178765765609E-3</v>
      </c>
      <c r="S221" s="2"/>
      <c r="T221" s="6">
        <v>480</v>
      </c>
      <c r="U221" s="2"/>
      <c r="V221" s="7">
        <f t="shared" si="77"/>
        <v>3.1309114911105765E-5</v>
      </c>
      <c r="W221" s="2"/>
      <c r="X221" s="6">
        <f t="shared" si="78"/>
        <v>-61497.250000000007</v>
      </c>
      <c r="Y221" s="2"/>
      <c r="Z221" s="7">
        <f t="shared" si="79"/>
        <v>-128.11927083333336</v>
      </c>
    </row>
    <row r="222" spans="1:26" s="26" customFormat="1" outlineLevel="1" collapsed="1" x14ac:dyDescent="0.25">
      <c r="A222" s="25"/>
      <c r="B222" s="12" t="str">
        <f>CONCATENATE("     ","General                                           ")</f>
        <v xml:space="preserve">     General                                           </v>
      </c>
      <c r="C222" s="12"/>
      <c r="D222" s="1">
        <f>SUM(OSRRefD22_11x_0)</f>
        <v>-1613.24</v>
      </c>
      <c r="E222" s="1"/>
      <c r="F222" s="5">
        <f t="shared" ref="F222:F262" si="80">IF(D$12=0,0,D222/D$12)</f>
        <v>-7.7495312903586386E-3</v>
      </c>
      <c r="G222" s="1"/>
      <c r="H222" s="1">
        <f>SUM(OSRRefH22_11x_0)</f>
        <v>1620</v>
      </c>
      <c r="I222" s="1"/>
      <c r="J222" s="5">
        <f t="shared" ref="J222:J262" si="81">IF(H$12=0,0,H222/H$12)</f>
        <v>2.9896681978442982E-3</v>
      </c>
      <c r="K222" s="1"/>
      <c r="L222" s="1">
        <f t="shared" ref="L222:L262" si="82">+D222-H222</f>
        <v>-3233.24</v>
      </c>
      <c r="M222" s="1"/>
      <c r="N222" s="5">
        <f t="shared" ref="N222:N262" si="83">IF(H222=0,0,L222/H222)</f>
        <v>-1.9958271604938271</v>
      </c>
      <c r="O222" s="12"/>
      <c r="P222" s="1">
        <f>SUM(OSRRefP22_11x_0)</f>
        <v>7597.27</v>
      </c>
      <c r="Q222" s="1"/>
      <c r="R222" s="5">
        <f t="shared" ref="R222:R262" si="84">IF(P$12=0,0,P222/P$12)</f>
        <v>6.5496323079422309E-4</v>
      </c>
      <c r="S222" s="1"/>
      <c r="T222" s="1">
        <f>SUM(OSRRefT22_11x_0)</f>
        <v>46891</v>
      </c>
      <c r="U222" s="1"/>
      <c r="V222" s="5">
        <f t="shared" ref="V222:V262" si="85">IF(T$12=0,0,T222/T$12)</f>
        <v>3.0585743902013757E-3</v>
      </c>
      <c r="W222" s="1"/>
      <c r="X222" s="1">
        <f t="shared" ref="X222:X262" si="86">+P222-T222</f>
        <v>-39293.729999999996</v>
      </c>
      <c r="Y222" s="1"/>
      <c r="Z222" s="5">
        <f t="shared" ref="Z222:Z262" si="87">IF(T222=0,0,X222/T222)</f>
        <v>-0.83798020942185059</v>
      </c>
    </row>
    <row r="223" spans="1:26" s="24" customFormat="1" hidden="1" outlineLevel="2" x14ac:dyDescent="0.25">
      <c r="A223" s="27"/>
      <c r="B223" s="11" t="str">
        <f>CONCATENATE("          ", "6279", " - ", "GENERAL EXPENSE")</f>
        <v xml:space="preserve">          6279 - GENERAL EXPENSE</v>
      </c>
      <c r="C223" s="11"/>
      <c r="D223" s="6">
        <v>-1613.24</v>
      </c>
      <c r="E223" s="2"/>
      <c r="F223" s="7">
        <f t="shared" si="80"/>
        <v>-7.7495312903586386E-3</v>
      </c>
      <c r="G223" s="2"/>
      <c r="H223" s="6">
        <v>1620</v>
      </c>
      <c r="I223" s="2"/>
      <c r="J223" s="7">
        <f t="shared" si="81"/>
        <v>2.9896681978442982E-3</v>
      </c>
      <c r="K223" s="2"/>
      <c r="L223" s="6">
        <f t="shared" si="82"/>
        <v>-3233.24</v>
      </c>
      <c r="M223" s="2"/>
      <c r="N223" s="7">
        <f t="shared" si="83"/>
        <v>-1.9958271604938271</v>
      </c>
      <c r="O223" s="11"/>
      <c r="P223" s="6">
        <v>7597.27</v>
      </c>
      <c r="Q223" s="2"/>
      <c r="R223" s="7">
        <f t="shared" si="84"/>
        <v>6.5496323079422309E-4</v>
      </c>
      <c r="S223" s="2"/>
      <c r="T223" s="6">
        <v>46891</v>
      </c>
      <c r="U223" s="2"/>
      <c r="V223" s="7">
        <f t="shared" si="85"/>
        <v>3.0585743902013757E-3</v>
      </c>
      <c r="W223" s="2"/>
      <c r="X223" s="6">
        <f t="shared" si="86"/>
        <v>-39293.729999999996</v>
      </c>
      <c r="Y223" s="2"/>
      <c r="Z223" s="7">
        <f t="shared" si="87"/>
        <v>-0.83798020942185059</v>
      </c>
    </row>
    <row r="224" spans="1:26" s="26" customFormat="1" outlineLevel="1" collapsed="1" x14ac:dyDescent="0.25">
      <c r="A224" s="25"/>
      <c r="B224" s="12" t="str">
        <f>CONCATENATE("     ","Insurance                                         ")</f>
        <v xml:space="preserve">     Insurance                                         </v>
      </c>
      <c r="C224" s="12"/>
      <c r="D224" s="1">
        <f>SUM(OSRRefD22_12x_0)</f>
        <v>4288.28</v>
      </c>
      <c r="E224" s="1"/>
      <c r="F224" s="5">
        <f t="shared" si="80"/>
        <v>2.0599638021508975E-2</v>
      </c>
      <c r="G224" s="1"/>
      <c r="H224" s="1">
        <f>SUM(OSRRefH22_12x_0)</f>
        <v>4045</v>
      </c>
      <c r="I224" s="1"/>
      <c r="J224" s="5">
        <f t="shared" si="81"/>
        <v>7.4649431236297444E-3</v>
      </c>
      <c r="K224" s="1"/>
      <c r="L224" s="1">
        <f t="shared" si="82"/>
        <v>243.27999999999975</v>
      </c>
      <c r="M224" s="1"/>
      <c r="N224" s="5">
        <f t="shared" si="83"/>
        <v>6.0143386897404137E-2</v>
      </c>
      <c r="O224" s="12"/>
      <c r="P224" s="1">
        <f>SUM(OSRRefP22_12x_0)</f>
        <v>51459.360000000001</v>
      </c>
      <c r="Q224" s="1"/>
      <c r="R224" s="5">
        <f t="shared" si="84"/>
        <v>4.4363289287076817E-3</v>
      </c>
      <c r="S224" s="1"/>
      <c r="T224" s="1">
        <f>SUM(OSRRefT22_12x_0)</f>
        <v>48540</v>
      </c>
      <c r="U224" s="1"/>
      <c r="V224" s="5">
        <f t="shared" si="85"/>
        <v>3.1661342453855705E-3</v>
      </c>
      <c r="W224" s="1"/>
      <c r="X224" s="1">
        <f t="shared" si="86"/>
        <v>2919.3600000000006</v>
      </c>
      <c r="Y224" s="1"/>
      <c r="Z224" s="5">
        <f t="shared" si="87"/>
        <v>6.0143386897404214E-2</v>
      </c>
    </row>
    <row r="225" spans="1:26" s="24" customFormat="1" hidden="1" outlineLevel="2" x14ac:dyDescent="0.25">
      <c r="A225" s="27"/>
      <c r="B225" s="11" t="str">
        <f>CONCATENATE("          ", "6314", " - ", "LIABILITY INSURANCE")</f>
        <v xml:space="preserve">          6314 - LIABILITY INSURANCE</v>
      </c>
      <c r="C225" s="11"/>
      <c r="D225" s="6">
        <v>4288.28</v>
      </c>
      <c r="E225" s="2"/>
      <c r="F225" s="7">
        <f t="shared" si="80"/>
        <v>2.0599638021508975E-2</v>
      </c>
      <c r="G225" s="2"/>
      <c r="H225" s="6">
        <v>4045</v>
      </c>
      <c r="I225" s="2"/>
      <c r="J225" s="7">
        <f t="shared" si="81"/>
        <v>7.4649431236297444E-3</v>
      </c>
      <c r="K225" s="2"/>
      <c r="L225" s="6">
        <f t="shared" si="82"/>
        <v>243.27999999999975</v>
      </c>
      <c r="M225" s="2"/>
      <c r="N225" s="7">
        <f t="shared" si="83"/>
        <v>6.0143386897404137E-2</v>
      </c>
      <c r="O225" s="11"/>
      <c r="P225" s="6">
        <v>51459.360000000001</v>
      </c>
      <c r="Q225" s="2"/>
      <c r="R225" s="7">
        <f t="shared" si="84"/>
        <v>4.4363289287076817E-3</v>
      </c>
      <c r="S225" s="2"/>
      <c r="T225" s="6">
        <v>48540</v>
      </c>
      <c r="U225" s="2"/>
      <c r="V225" s="7">
        <f t="shared" si="85"/>
        <v>3.1661342453855705E-3</v>
      </c>
      <c r="W225" s="2"/>
      <c r="X225" s="6">
        <f t="shared" si="86"/>
        <v>2919.3600000000006</v>
      </c>
      <c r="Y225" s="2"/>
      <c r="Z225" s="7">
        <f t="shared" si="87"/>
        <v>6.0143386897404214E-2</v>
      </c>
    </row>
    <row r="226" spans="1:26" s="26" customFormat="1" outlineLevel="1" collapsed="1" x14ac:dyDescent="0.25">
      <c r="A226" s="25"/>
      <c r="B226" s="12" t="str">
        <f>CONCATENATE("     ","Interest                                          ")</f>
        <v xml:space="preserve">     Interest                                          </v>
      </c>
      <c r="C226" s="12"/>
      <c r="D226" s="1">
        <f>SUM(OSRRefD22_13x_0)</f>
        <v>4175</v>
      </c>
      <c r="E226" s="1"/>
      <c r="F226" s="5">
        <f t="shared" si="80"/>
        <v>2.0055474162088291E-2</v>
      </c>
      <c r="G226" s="1"/>
      <c r="H226" s="1">
        <f>SUM(OSRRefH22_13x_0)</f>
        <v>4044</v>
      </c>
      <c r="I226" s="1"/>
      <c r="J226" s="5">
        <f t="shared" si="81"/>
        <v>7.4630976494335444E-3</v>
      </c>
      <c r="K226" s="1"/>
      <c r="L226" s="1">
        <f t="shared" si="82"/>
        <v>131</v>
      </c>
      <c r="M226" s="1"/>
      <c r="N226" s="5">
        <f t="shared" si="83"/>
        <v>3.2393669634025714E-2</v>
      </c>
      <c r="O226" s="12"/>
      <c r="P226" s="1">
        <f>SUM(OSRRefP22_13x_0)</f>
        <v>48843.77</v>
      </c>
      <c r="Q226" s="1"/>
      <c r="R226" s="5">
        <f t="shared" si="84"/>
        <v>4.2108380251550809E-3</v>
      </c>
      <c r="S226" s="1"/>
      <c r="T226" s="1">
        <f>SUM(OSRRefT22_13x_0)</f>
        <v>49840</v>
      </c>
      <c r="U226" s="1"/>
      <c r="V226" s="5">
        <f t="shared" si="85"/>
        <v>3.2509297649364818E-3</v>
      </c>
      <c r="W226" s="1"/>
      <c r="X226" s="1">
        <f t="shared" si="86"/>
        <v>-996.2300000000032</v>
      </c>
      <c r="Y226" s="1"/>
      <c r="Z226" s="5">
        <f t="shared" si="87"/>
        <v>-1.998856340288931E-2</v>
      </c>
    </row>
    <row r="227" spans="1:26" s="24" customFormat="1" hidden="1" outlineLevel="2" x14ac:dyDescent="0.25">
      <c r="A227" s="27"/>
      <c r="B227" s="11" t="str">
        <f>CONCATENATE("          ", "6401", " - ", "INTEREST EXPENSE")</f>
        <v xml:space="preserve">          6401 - INTEREST EXPENSE</v>
      </c>
      <c r="C227" s="11"/>
      <c r="D227" s="6">
        <v>4175</v>
      </c>
      <c r="E227" s="2"/>
      <c r="F227" s="7">
        <f t="shared" si="80"/>
        <v>2.0055474162088291E-2</v>
      </c>
      <c r="G227" s="2"/>
      <c r="H227" s="6">
        <v>4044</v>
      </c>
      <c r="I227" s="2"/>
      <c r="J227" s="7">
        <f t="shared" si="81"/>
        <v>7.4630976494335444E-3</v>
      </c>
      <c r="K227" s="2"/>
      <c r="L227" s="6">
        <f t="shared" si="82"/>
        <v>131</v>
      </c>
      <c r="M227" s="2"/>
      <c r="N227" s="7">
        <f t="shared" si="83"/>
        <v>3.2393669634025714E-2</v>
      </c>
      <c r="O227" s="11"/>
      <c r="P227" s="6">
        <v>48843.77</v>
      </c>
      <c r="Q227" s="2"/>
      <c r="R227" s="7">
        <f t="shared" si="84"/>
        <v>4.2108380251550809E-3</v>
      </c>
      <c r="S227" s="2"/>
      <c r="T227" s="6">
        <v>49840</v>
      </c>
      <c r="U227" s="2"/>
      <c r="V227" s="7">
        <f t="shared" si="85"/>
        <v>3.2509297649364818E-3</v>
      </c>
      <c r="W227" s="2"/>
      <c r="X227" s="6">
        <f t="shared" si="86"/>
        <v>-996.2300000000032</v>
      </c>
      <c r="Y227" s="2"/>
      <c r="Z227" s="7">
        <f t="shared" si="87"/>
        <v>-1.998856340288931E-2</v>
      </c>
    </row>
    <row r="228" spans="1:26" s="26" customFormat="1" outlineLevel="1" collapsed="1" x14ac:dyDescent="0.25">
      <c r="A228" s="25"/>
      <c r="B228" s="12" t="str">
        <f>CONCATENATE("     ","Inventory Adjustment                              ")</f>
        <v xml:space="preserve">     Inventory Adjustment                              </v>
      </c>
      <c r="C228" s="12"/>
      <c r="D228" s="1">
        <f>SUM(OSRRefD22_14x_0)</f>
        <v>-10114</v>
      </c>
      <c r="E228" s="1"/>
      <c r="F228" s="5">
        <f t="shared" si="80"/>
        <v>-4.8584686389308018E-2</v>
      </c>
      <c r="G228" s="1"/>
      <c r="H228" s="1">
        <f>SUM(OSRRefH22_14x_0)</f>
        <v>72050</v>
      </c>
      <c r="I228" s="1"/>
      <c r="J228" s="5">
        <f t="shared" si="81"/>
        <v>0.13296641583622326</v>
      </c>
      <c r="K228" s="1"/>
      <c r="L228" s="1">
        <f t="shared" si="82"/>
        <v>-82164</v>
      </c>
      <c r="M228" s="1"/>
      <c r="N228" s="5">
        <f t="shared" si="83"/>
        <v>-1.1403747397640527</v>
      </c>
      <c r="O228" s="12"/>
      <c r="P228" s="1">
        <f>SUM(OSRRefP22_14x_0)</f>
        <v>43236.000000000007</v>
      </c>
      <c r="Q228" s="1"/>
      <c r="R228" s="5">
        <f t="shared" si="84"/>
        <v>3.7273902660586015E-3</v>
      </c>
      <c r="S228" s="1"/>
      <c r="T228" s="1">
        <f>SUM(OSRRefT22_14x_0)</f>
        <v>125400</v>
      </c>
      <c r="U228" s="1"/>
      <c r="V228" s="5">
        <f t="shared" si="85"/>
        <v>8.1795062705263804E-3</v>
      </c>
      <c r="W228" s="1"/>
      <c r="X228" s="1">
        <f t="shared" si="86"/>
        <v>-82164</v>
      </c>
      <c r="Y228" s="1"/>
      <c r="Z228" s="5">
        <f t="shared" si="87"/>
        <v>-0.6552153110047847</v>
      </c>
    </row>
    <row r="229" spans="1:26" s="24" customFormat="1" hidden="1" outlineLevel="2" x14ac:dyDescent="0.25">
      <c r="A229" s="27"/>
      <c r="B229" s="11" t="str">
        <f>CONCATENATE("          ", "6408", " - ", "INVENTORY ADJUSTMENT")</f>
        <v xml:space="preserve">          6408 - INVENTORY ADJUSTMENT</v>
      </c>
      <c r="C229" s="11"/>
      <c r="D229" s="6">
        <v>-53350</v>
      </c>
      <c r="E229" s="2"/>
      <c r="F229" s="7">
        <f t="shared" si="80"/>
        <v>-0.25627773569997853</v>
      </c>
      <c r="G229" s="2"/>
      <c r="H229" s="6">
        <v>72050</v>
      </c>
      <c r="I229" s="2"/>
      <c r="J229" s="7">
        <f t="shared" si="81"/>
        <v>0.13296641583622326</v>
      </c>
      <c r="K229" s="2"/>
      <c r="L229" s="6">
        <f t="shared" si="82"/>
        <v>-125400</v>
      </c>
      <c r="M229" s="2"/>
      <c r="N229" s="7">
        <f t="shared" si="83"/>
        <v>-1.7404580152671756</v>
      </c>
      <c r="O229" s="11"/>
      <c r="P229" s="6">
        <v>0</v>
      </c>
      <c r="Q229" s="2"/>
      <c r="R229" s="7">
        <f t="shared" si="84"/>
        <v>0</v>
      </c>
      <c r="S229" s="2"/>
      <c r="T229" s="6">
        <v>125400</v>
      </c>
      <c r="U229" s="2"/>
      <c r="V229" s="7">
        <f t="shared" si="85"/>
        <v>8.1795062705263804E-3</v>
      </c>
      <c r="W229" s="2"/>
      <c r="X229" s="6">
        <f t="shared" si="86"/>
        <v>-125400</v>
      </c>
      <c r="Y229" s="2"/>
      <c r="Z229" s="7">
        <f t="shared" si="87"/>
        <v>-1</v>
      </c>
    </row>
    <row r="230" spans="1:26" s="24" customFormat="1" hidden="1" outlineLevel="2" x14ac:dyDescent="0.25">
      <c r="A230" s="27"/>
      <c r="B230" s="11" t="str">
        <f>CONCATENATE("          ", "7700", " - ", "INV. SHRINKAGE @ RETAIL-CONTRA")</f>
        <v xml:space="preserve">          7700 - INV. SHRINKAGE @ RETAIL-CONTRA</v>
      </c>
      <c r="C230" s="11"/>
      <c r="D230" s="6">
        <v>-99781</v>
      </c>
      <c r="E230" s="2"/>
      <c r="F230" s="7">
        <f t="shared" si="80"/>
        <v>-0.47931862691433097</v>
      </c>
      <c r="G230" s="2"/>
      <c r="H230" s="6"/>
      <c r="I230" s="2"/>
      <c r="J230" s="7">
        <f t="shared" si="81"/>
        <v>0</v>
      </c>
      <c r="K230" s="2"/>
      <c r="L230" s="6">
        <f t="shared" si="82"/>
        <v>-99781</v>
      </c>
      <c r="M230" s="2"/>
      <c r="N230" s="7">
        <f t="shared" si="83"/>
        <v>0</v>
      </c>
      <c r="O230" s="11"/>
      <c r="P230" s="6">
        <v>-99781</v>
      </c>
      <c r="Q230" s="2"/>
      <c r="R230" s="7">
        <f t="shared" si="84"/>
        <v>-8.6021539489682958E-3</v>
      </c>
      <c r="S230" s="2"/>
      <c r="T230" s="6"/>
      <c r="U230" s="2"/>
      <c r="V230" s="7">
        <f t="shared" si="85"/>
        <v>0</v>
      </c>
      <c r="W230" s="2"/>
      <c r="X230" s="6">
        <f t="shared" si="86"/>
        <v>-99781</v>
      </c>
      <c r="Y230" s="2"/>
      <c r="Z230" s="7">
        <f t="shared" si="87"/>
        <v>0</v>
      </c>
    </row>
    <row r="231" spans="1:26" s="24" customFormat="1" hidden="1" outlineLevel="2" x14ac:dyDescent="0.25">
      <c r="A231" s="27"/>
      <c r="B231" s="11" t="str">
        <f>CONCATENATE("          ", "7701", " - ", "INV. SHRINKAGE-NEW TEXT")</f>
        <v xml:space="preserve">          7701 - INV. SHRINKAGE-NEW TEXT</v>
      </c>
      <c r="C231" s="11"/>
      <c r="D231" s="6">
        <v>-4346</v>
      </c>
      <c r="E231" s="2"/>
      <c r="F231" s="7">
        <f t="shared" si="80"/>
        <v>-2.0876907954116338E-2</v>
      </c>
      <c r="G231" s="2"/>
      <c r="H231" s="6"/>
      <c r="I231" s="2"/>
      <c r="J231" s="7">
        <f t="shared" si="81"/>
        <v>0</v>
      </c>
      <c r="K231" s="2"/>
      <c r="L231" s="6">
        <f t="shared" si="82"/>
        <v>-4346</v>
      </c>
      <c r="M231" s="2"/>
      <c r="N231" s="7">
        <f t="shared" si="83"/>
        <v>0</v>
      </c>
      <c r="O231" s="11"/>
      <c r="P231" s="6">
        <v>-4346</v>
      </c>
      <c r="Q231" s="2"/>
      <c r="R231" s="7">
        <f t="shared" si="84"/>
        <v>-3.7467013822487465E-4</v>
      </c>
      <c r="S231" s="2"/>
      <c r="T231" s="6"/>
      <c r="U231" s="2"/>
      <c r="V231" s="7">
        <f t="shared" si="85"/>
        <v>0</v>
      </c>
      <c r="W231" s="2"/>
      <c r="X231" s="6">
        <f t="shared" si="86"/>
        <v>-4346</v>
      </c>
      <c r="Y231" s="2"/>
      <c r="Z231" s="7">
        <f t="shared" si="87"/>
        <v>0</v>
      </c>
    </row>
    <row r="232" spans="1:26" s="24" customFormat="1" hidden="1" outlineLevel="2" x14ac:dyDescent="0.25">
      <c r="A232" s="27"/>
      <c r="B232" s="11" t="str">
        <f>CONCATENATE("          ", "7702", " - ", "INV. SHRINKAGE-USED TEXT")</f>
        <v xml:space="preserve">          7702 - INV. SHRINKAGE-USED TEXT</v>
      </c>
      <c r="C232" s="11"/>
      <c r="D232" s="6">
        <v>-29494</v>
      </c>
      <c r="E232" s="2"/>
      <c r="F232" s="7">
        <f t="shared" si="80"/>
        <v>-0.14168051615248672</v>
      </c>
      <c r="G232" s="2"/>
      <c r="H232" s="6"/>
      <c r="I232" s="2"/>
      <c r="J232" s="7">
        <f t="shared" si="81"/>
        <v>0</v>
      </c>
      <c r="K232" s="2"/>
      <c r="L232" s="6">
        <f t="shared" si="82"/>
        <v>-29494</v>
      </c>
      <c r="M232" s="2"/>
      <c r="N232" s="7">
        <f t="shared" si="83"/>
        <v>0</v>
      </c>
      <c r="O232" s="11"/>
      <c r="P232" s="6">
        <v>-29494</v>
      </c>
      <c r="Q232" s="2"/>
      <c r="R232" s="7">
        <f t="shared" si="84"/>
        <v>-2.5426877719292341E-3</v>
      </c>
      <c r="S232" s="2"/>
      <c r="T232" s="6"/>
      <c r="U232" s="2"/>
      <c r="V232" s="7">
        <f t="shared" si="85"/>
        <v>0</v>
      </c>
      <c r="W232" s="2"/>
      <c r="X232" s="6">
        <f t="shared" si="86"/>
        <v>-29494</v>
      </c>
      <c r="Y232" s="2"/>
      <c r="Z232" s="7">
        <f t="shared" si="87"/>
        <v>0</v>
      </c>
    </row>
    <row r="233" spans="1:26" s="24" customFormat="1" hidden="1" outlineLevel="2" x14ac:dyDescent="0.25">
      <c r="A233" s="27"/>
      <c r="B233" s="11" t="str">
        <f>CONCATENATE("          ", "7703", " - ", "INV. SHRINKAGE-RENTAL TEXT")</f>
        <v xml:space="preserve">          7703 - INV. SHRINKAGE-RENTAL TEXT</v>
      </c>
      <c r="C233" s="11"/>
      <c r="D233" s="6">
        <v>526</v>
      </c>
      <c r="E233" s="2"/>
      <c r="F233" s="7">
        <f t="shared" si="80"/>
        <v>2.5267495591038184E-3</v>
      </c>
      <c r="G233" s="2"/>
      <c r="H233" s="6"/>
      <c r="I233" s="2"/>
      <c r="J233" s="7">
        <f t="shared" si="81"/>
        <v>0</v>
      </c>
      <c r="K233" s="2"/>
      <c r="L233" s="6">
        <f t="shared" si="82"/>
        <v>526</v>
      </c>
      <c r="M233" s="2"/>
      <c r="N233" s="7">
        <f t="shared" si="83"/>
        <v>0</v>
      </c>
      <c r="O233" s="11"/>
      <c r="P233" s="6">
        <v>526</v>
      </c>
      <c r="Q233" s="2"/>
      <c r="R233" s="7">
        <f t="shared" si="84"/>
        <v>4.5346638910787865E-5</v>
      </c>
      <c r="S233" s="2"/>
      <c r="T233" s="6"/>
      <c r="U233" s="2"/>
      <c r="V233" s="7">
        <f t="shared" si="85"/>
        <v>0</v>
      </c>
      <c r="W233" s="2"/>
      <c r="X233" s="6">
        <f t="shared" si="86"/>
        <v>526</v>
      </c>
      <c r="Y233" s="2"/>
      <c r="Z233" s="7">
        <f t="shared" si="87"/>
        <v>0</v>
      </c>
    </row>
    <row r="234" spans="1:26" s="24" customFormat="1" hidden="1" outlineLevel="2" x14ac:dyDescent="0.25">
      <c r="A234" s="27"/>
      <c r="B234" s="11" t="str">
        <f>CONCATENATE("          ", "7704", " - ", "INV. SHRINKAGE-DIGITAL TEXT")</f>
        <v xml:space="preserve">          7704 - INV. SHRINKAGE-DIGITAL TEXT</v>
      </c>
      <c r="C234" s="11"/>
      <c r="D234" s="6">
        <v>816</v>
      </c>
      <c r="E234" s="2"/>
      <c r="F234" s="7">
        <f t="shared" si="80"/>
        <v>3.9198244110812087E-3</v>
      </c>
      <c r="G234" s="2"/>
      <c r="H234" s="6"/>
      <c r="I234" s="2"/>
      <c r="J234" s="7">
        <f t="shared" si="81"/>
        <v>0</v>
      </c>
      <c r="K234" s="2"/>
      <c r="L234" s="6">
        <f t="shared" si="82"/>
        <v>816</v>
      </c>
      <c r="M234" s="2"/>
      <c r="N234" s="7">
        <f t="shared" si="83"/>
        <v>0</v>
      </c>
      <c r="O234" s="11"/>
      <c r="P234" s="6">
        <v>816</v>
      </c>
      <c r="Q234" s="2"/>
      <c r="R234" s="7">
        <f t="shared" si="84"/>
        <v>7.0347637549815386E-5</v>
      </c>
      <c r="S234" s="2"/>
      <c r="T234" s="6"/>
      <c r="U234" s="2"/>
      <c r="V234" s="7">
        <f t="shared" si="85"/>
        <v>0</v>
      </c>
      <c r="W234" s="2"/>
      <c r="X234" s="6">
        <f t="shared" si="86"/>
        <v>816</v>
      </c>
      <c r="Y234" s="2"/>
      <c r="Z234" s="7">
        <f t="shared" si="87"/>
        <v>0</v>
      </c>
    </row>
    <row r="235" spans="1:26" s="24" customFormat="1" hidden="1" outlineLevel="2" x14ac:dyDescent="0.25">
      <c r="A235" s="27"/>
      <c r="B235" s="11" t="str">
        <f>CONCATENATE("          ", "7711", " - ", "INV. SHRINKAGE-NO VALUE TEXT")</f>
        <v xml:space="preserve">          7711 - INV. SHRINKAGE-NO VALUE TEXT</v>
      </c>
      <c r="C235" s="11"/>
      <c r="D235" s="6">
        <v>-1126</v>
      </c>
      <c r="E235" s="2"/>
      <c r="F235" s="7">
        <f t="shared" si="80"/>
        <v>-5.4089733907811775E-3</v>
      </c>
      <c r="G235" s="2"/>
      <c r="H235" s="6"/>
      <c r="I235" s="2"/>
      <c r="J235" s="7">
        <f t="shared" si="81"/>
        <v>0</v>
      </c>
      <c r="K235" s="2"/>
      <c r="L235" s="6">
        <f t="shared" si="82"/>
        <v>-1126</v>
      </c>
      <c r="M235" s="2"/>
      <c r="N235" s="7">
        <f t="shared" si="83"/>
        <v>0</v>
      </c>
      <c r="O235" s="11"/>
      <c r="P235" s="6">
        <v>-1126</v>
      </c>
      <c r="Q235" s="2"/>
      <c r="R235" s="7">
        <f t="shared" si="84"/>
        <v>-9.7072842991534469E-5</v>
      </c>
      <c r="S235" s="2"/>
      <c r="T235" s="6"/>
      <c r="U235" s="2"/>
      <c r="V235" s="7">
        <f t="shared" si="85"/>
        <v>0</v>
      </c>
      <c r="W235" s="2"/>
      <c r="X235" s="6">
        <f t="shared" si="86"/>
        <v>-1126</v>
      </c>
      <c r="Y235" s="2"/>
      <c r="Z235" s="7">
        <f t="shared" si="87"/>
        <v>0</v>
      </c>
    </row>
    <row r="236" spans="1:26" s="24" customFormat="1" hidden="1" outlineLevel="2" x14ac:dyDescent="0.25">
      <c r="A236" s="27"/>
      <c r="B236" s="11" t="str">
        <f>CONCATENATE("          ", "7713", " - ", "INV. SHRINKAGE-TRADE BOOKS")</f>
        <v xml:space="preserve">          7713 - INV. SHRINKAGE-TRADE BOOKS</v>
      </c>
      <c r="C236" s="11"/>
      <c r="D236" s="6">
        <v>-385</v>
      </c>
      <c r="E236" s="2"/>
      <c r="F236" s="7">
        <f t="shared" si="80"/>
        <v>-1.8494269586596388E-3</v>
      </c>
      <c r="G236" s="2"/>
      <c r="H236" s="6"/>
      <c r="I236" s="2"/>
      <c r="J236" s="7">
        <f t="shared" si="81"/>
        <v>0</v>
      </c>
      <c r="K236" s="2"/>
      <c r="L236" s="6">
        <f t="shared" si="82"/>
        <v>-385</v>
      </c>
      <c r="M236" s="2"/>
      <c r="N236" s="7">
        <f t="shared" si="83"/>
        <v>0</v>
      </c>
      <c r="O236" s="11"/>
      <c r="P236" s="6">
        <v>-385</v>
      </c>
      <c r="Q236" s="2"/>
      <c r="R236" s="7">
        <f t="shared" si="84"/>
        <v>-3.3190980951812407E-5</v>
      </c>
      <c r="S236" s="2"/>
      <c r="T236" s="6"/>
      <c r="U236" s="2"/>
      <c r="V236" s="7">
        <f t="shared" si="85"/>
        <v>0</v>
      </c>
      <c r="W236" s="2"/>
      <c r="X236" s="6">
        <f t="shared" si="86"/>
        <v>-385</v>
      </c>
      <c r="Y236" s="2"/>
      <c r="Z236" s="7">
        <f t="shared" si="87"/>
        <v>0</v>
      </c>
    </row>
    <row r="237" spans="1:26" s="24" customFormat="1" hidden="1" outlineLevel="2" x14ac:dyDescent="0.25">
      <c r="A237" s="27"/>
      <c r="B237" s="11" t="str">
        <f>CONCATENATE("          ", "7714", " - ", "INV. SHRINKAGE-REMAINDERS")</f>
        <v xml:space="preserve">          7714 - INV. SHRINKAGE-REMAINDERS</v>
      </c>
      <c r="C237" s="11"/>
      <c r="D237" s="6">
        <v>204</v>
      </c>
      <c r="E237" s="2"/>
      <c r="F237" s="7">
        <f t="shared" si="80"/>
        <v>9.7995610277030218E-4</v>
      </c>
      <c r="G237" s="2"/>
      <c r="H237" s="6"/>
      <c r="I237" s="2"/>
      <c r="J237" s="7">
        <f t="shared" si="81"/>
        <v>0</v>
      </c>
      <c r="K237" s="2"/>
      <c r="L237" s="6">
        <f t="shared" si="82"/>
        <v>204</v>
      </c>
      <c r="M237" s="2"/>
      <c r="N237" s="7">
        <f t="shared" si="83"/>
        <v>0</v>
      </c>
      <c r="O237" s="11"/>
      <c r="P237" s="6">
        <v>204</v>
      </c>
      <c r="Q237" s="2"/>
      <c r="R237" s="7">
        <f t="shared" si="84"/>
        <v>1.7586909387453847E-5</v>
      </c>
      <c r="S237" s="2"/>
      <c r="T237" s="6"/>
      <c r="U237" s="2"/>
      <c r="V237" s="7">
        <f t="shared" si="85"/>
        <v>0</v>
      </c>
      <c r="W237" s="2"/>
      <c r="X237" s="6">
        <f t="shared" si="86"/>
        <v>204</v>
      </c>
      <c r="Y237" s="2"/>
      <c r="Z237" s="7">
        <f t="shared" si="87"/>
        <v>0</v>
      </c>
    </row>
    <row r="238" spans="1:26" s="24" customFormat="1" hidden="1" outlineLevel="2" x14ac:dyDescent="0.25">
      <c r="A238" s="27"/>
      <c r="B238" s="11" t="str">
        <f>CONCATENATE("          ", "7717", " - ", "INV. SHRINKAGE-DORM/HOUSEWARES")</f>
        <v xml:space="preserve">          7717 - INV. SHRINKAGE-DORM/HOUSEWARES</v>
      </c>
      <c r="C238" s="11"/>
      <c r="D238" s="6">
        <v>-254</v>
      </c>
      <c r="E238" s="2"/>
      <c r="F238" s="7">
        <f t="shared" si="80"/>
        <v>-1.2201414220767487E-3</v>
      </c>
      <c r="G238" s="2"/>
      <c r="H238" s="6"/>
      <c r="I238" s="2"/>
      <c r="J238" s="7">
        <f t="shared" si="81"/>
        <v>0</v>
      </c>
      <c r="K238" s="2"/>
      <c r="L238" s="6">
        <f t="shared" si="82"/>
        <v>-254</v>
      </c>
      <c r="M238" s="2"/>
      <c r="N238" s="7">
        <f t="shared" si="83"/>
        <v>0</v>
      </c>
      <c r="O238" s="11"/>
      <c r="P238" s="6">
        <v>-254</v>
      </c>
      <c r="Q238" s="2"/>
      <c r="R238" s="7">
        <f t="shared" si="84"/>
        <v>-2.1897426394182733E-5</v>
      </c>
      <c r="S238" s="2"/>
      <c r="T238" s="6"/>
      <c r="U238" s="2"/>
      <c r="V238" s="7">
        <f t="shared" si="85"/>
        <v>0</v>
      </c>
      <c r="W238" s="2"/>
      <c r="X238" s="6">
        <f t="shared" si="86"/>
        <v>-254</v>
      </c>
      <c r="Y238" s="2"/>
      <c r="Z238" s="7">
        <f t="shared" si="87"/>
        <v>0</v>
      </c>
    </row>
    <row r="239" spans="1:26" s="24" customFormat="1" hidden="1" outlineLevel="2" x14ac:dyDescent="0.25">
      <c r="A239" s="27"/>
      <c r="B239" s="11" t="str">
        <f>CONCATENATE("          ", "7718", " - ", "INV. SHRINKAGE-STUDY GUIDES")</f>
        <v xml:space="preserve">          7718 - INV. SHRINKAGE-STUDY GUIDES</v>
      </c>
      <c r="C239" s="11"/>
      <c r="D239" s="6">
        <v>458</v>
      </c>
      <c r="E239" s="2"/>
      <c r="F239" s="7">
        <f t="shared" si="80"/>
        <v>2.2000975248470511E-3</v>
      </c>
      <c r="G239" s="2"/>
      <c r="H239" s="6"/>
      <c r="I239" s="2"/>
      <c r="J239" s="7">
        <f t="shared" si="81"/>
        <v>0</v>
      </c>
      <c r="K239" s="2"/>
      <c r="L239" s="6">
        <f t="shared" si="82"/>
        <v>458</v>
      </c>
      <c r="M239" s="2"/>
      <c r="N239" s="7">
        <f t="shared" si="83"/>
        <v>0</v>
      </c>
      <c r="O239" s="11"/>
      <c r="P239" s="6">
        <v>458</v>
      </c>
      <c r="Q239" s="2"/>
      <c r="R239" s="7">
        <f t="shared" si="84"/>
        <v>3.9484335781636583E-5</v>
      </c>
      <c r="S239" s="2"/>
      <c r="T239" s="6"/>
      <c r="U239" s="2"/>
      <c r="V239" s="7">
        <f t="shared" si="85"/>
        <v>0</v>
      </c>
      <c r="W239" s="2"/>
      <c r="X239" s="6">
        <f t="shared" si="86"/>
        <v>458</v>
      </c>
      <c r="Y239" s="2"/>
      <c r="Z239" s="7">
        <f t="shared" si="87"/>
        <v>0</v>
      </c>
    </row>
    <row r="240" spans="1:26" s="24" customFormat="1" hidden="1" outlineLevel="2" x14ac:dyDescent="0.25">
      <c r="A240" s="27"/>
      <c r="B240" s="11" t="str">
        <f>CONCATENATE("          ", "7719", " - ", "INV. SHRINKAGE-BOOK RELATED")</f>
        <v xml:space="preserve">          7719 - INV. SHRINKAGE-BOOK RELATED</v>
      </c>
      <c r="C240" s="11"/>
      <c r="D240" s="6">
        <v>-43</v>
      </c>
      <c r="E240" s="2"/>
      <c r="F240" s="7">
        <f t="shared" si="80"/>
        <v>-2.0655937460354408E-4</v>
      </c>
      <c r="G240" s="2"/>
      <c r="H240" s="6"/>
      <c r="I240" s="2"/>
      <c r="J240" s="7">
        <f t="shared" si="81"/>
        <v>0</v>
      </c>
      <c r="K240" s="2"/>
      <c r="L240" s="6">
        <f t="shared" si="82"/>
        <v>-43</v>
      </c>
      <c r="M240" s="2"/>
      <c r="N240" s="7">
        <f t="shared" si="83"/>
        <v>0</v>
      </c>
      <c r="O240" s="11"/>
      <c r="P240" s="6">
        <v>-43</v>
      </c>
      <c r="Q240" s="2"/>
      <c r="R240" s="7">
        <f t="shared" si="84"/>
        <v>-3.7070446257868405E-6</v>
      </c>
      <c r="S240" s="2"/>
      <c r="T240" s="6"/>
      <c r="U240" s="2"/>
      <c r="V240" s="7">
        <f t="shared" si="85"/>
        <v>0</v>
      </c>
      <c r="W240" s="2"/>
      <c r="X240" s="6">
        <f t="shared" si="86"/>
        <v>-43</v>
      </c>
      <c r="Y240" s="2"/>
      <c r="Z240" s="7">
        <f t="shared" si="87"/>
        <v>0</v>
      </c>
    </row>
    <row r="241" spans="1:26" s="24" customFormat="1" hidden="1" outlineLevel="2" x14ac:dyDescent="0.25">
      <c r="A241" s="27"/>
      <c r="B241" s="11" t="str">
        <f>CONCATENATE("          ", "7725", " - ", "INV. SHRINKAGE-TEST FORMS")</f>
        <v xml:space="preserve">          7725 - INV. SHRINKAGE-TEST FORMS</v>
      </c>
      <c r="C241" s="11"/>
      <c r="D241" s="6">
        <v>3987</v>
      </c>
      <c r="E241" s="2"/>
      <c r="F241" s="7">
        <f t="shared" si="80"/>
        <v>1.9152377361496054E-2</v>
      </c>
      <c r="G241" s="2"/>
      <c r="H241" s="6"/>
      <c r="I241" s="2"/>
      <c r="J241" s="7">
        <f t="shared" si="81"/>
        <v>0</v>
      </c>
      <c r="K241" s="2"/>
      <c r="L241" s="6">
        <f t="shared" si="82"/>
        <v>3987</v>
      </c>
      <c r="M241" s="2"/>
      <c r="N241" s="7">
        <f t="shared" si="83"/>
        <v>0</v>
      </c>
      <c r="O241" s="11"/>
      <c r="P241" s="6">
        <v>3987</v>
      </c>
      <c r="Q241" s="2"/>
      <c r="R241" s="7">
        <f t="shared" si="84"/>
        <v>3.4372062611656126E-4</v>
      </c>
      <c r="S241" s="2"/>
      <c r="T241" s="6"/>
      <c r="U241" s="2"/>
      <c r="V241" s="7">
        <f t="shared" si="85"/>
        <v>0</v>
      </c>
      <c r="W241" s="2"/>
      <c r="X241" s="6">
        <f t="shared" si="86"/>
        <v>3987</v>
      </c>
      <c r="Y241" s="2"/>
      <c r="Z241" s="7">
        <f t="shared" si="87"/>
        <v>0</v>
      </c>
    </row>
    <row r="242" spans="1:26" s="24" customFormat="1" hidden="1" outlineLevel="2" x14ac:dyDescent="0.25">
      <c r="A242" s="27"/>
      <c r="B242" s="11" t="str">
        <f>CONCATENATE("          ", "7726", " - ", "INV. SHRINKAGE-WRITING INSTRUM")</f>
        <v xml:space="preserve">          7726 - INV. SHRINKAGE-WRITING INSTRUM</v>
      </c>
      <c r="C242" s="11"/>
      <c r="D242" s="6">
        <v>9153</v>
      </c>
      <c r="E242" s="2"/>
      <c r="F242" s="7">
        <f t="shared" si="80"/>
        <v>4.3968324552238112E-2</v>
      </c>
      <c r="G242" s="2"/>
      <c r="H242" s="6"/>
      <c r="I242" s="2"/>
      <c r="J242" s="7">
        <f t="shared" si="81"/>
        <v>0</v>
      </c>
      <c r="K242" s="2"/>
      <c r="L242" s="6">
        <f t="shared" si="82"/>
        <v>9153</v>
      </c>
      <c r="M242" s="2"/>
      <c r="N242" s="7">
        <f t="shared" si="83"/>
        <v>0</v>
      </c>
      <c r="O242" s="11"/>
      <c r="P242" s="6">
        <v>9153</v>
      </c>
      <c r="Q242" s="2"/>
      <c r="R242" s="7">
        <f t="shared" si="84"/>
        <v>7.8908324325178958E-4</v>
      </c>
      <c r="S242" s="2"/>
      <c r="T242" s="6"/>
      <c r="U242" s="2"/>
      <c r="V242" s="7">
        <f t="shared" si="85"/>
        <v>0</v>
      </c>
      <c r="W242" s="2"/>
      <c r="X242" s="6">
        <f t="shared" si="86"/>
        <v>9153</v>
      </c>
      <c r="Y242" s="2"/>
      <c r="Z242" s="7">
        <f t="shared" si="87"/>
        <v>0</v>
      </c>
    </row>
    <row r="243" spans="1:26" s="24" customFormat="1" hidden="1" outlineLevel="2" x14ac:dyDescent="0.25">
      <c r="A243" s="27"/>
      <c r="B243" s="11" t="str">
        <f>CONCATENATE("          ", "7727", " - ", "INV. SHRINKAGE-SCHOOL SUPPLIES")</f>
        <v xml:space="preserve">          7727 - INV. SHRINKAGE-SCHOOL SUPPLIES</v>
      </c>
      <c r="C243" s="11"/>
      <c r="D243" s="6">
        <v>9822</v>
      </c>
      <c r="E243" s="2"/>
      <c r="F243" s="7">
        <f t="shared" si="80"/>
        <v>4.718200412455837E-2</v>
      </c>
      <c r="G243" s="2"/>
      <c r="H243" s="6"/>
      <c r="I243" s="2"/>
      <c r="J243" s="7">
        <f t="shared" si="81"/>
        <v>0</v>
      </c>
      <c r="K243" s="2"/>
      <c r="L243" s="6">
        <f t="shared" si="82"/>
        <v>9822</v>
      </c>
      <c r="M243" s="2"/>
      <c r="N243" s="7">
        <f t="shared" si="83"/>
        <v>0</v>
      </c>
      <c r="O243" s="11"/>
      <c r="P243" s="6">
        <v>9822</v>
      </c>
      <c r="Q243" s="2"/>
      <c r="R243" s="7">
        <f t="shared" si="84"/>
        <v>8.4675796080182207E-4</v>
      </c>
      <c r="S243" s="2"/>
      <c r="T243" s="6"/>
      <c r="U243" s="2"/>
      <c r="V243" s="7">
        <f t="shared" si="85"/>
        <v>0</v>
      </c>
      <c r="W243" s="2"/>
      <c r="X243" s="6">
        <f t="shared" si="86"/>
        <v>9822</v>
      </c>
      <c r="Y243" s="2"/>
      <c r="Z243" s="7">
        <f t="shared" si="87"/>
        <v>0</v>
      </c>
    </row>
    <row r="244" spans="1:26" s="24" customFormat="1" hidden="1" outlineLevel="2" x14ac:dyDescent="0.25">
      <c r="A244" s="27"/>
      <c r="B244" s="11" t="str">
        <f>CONCATENATE("          ", "7728", " - ", "INV. SHRINKAGE-ART/TECH")</f>
        <v xml:space="preserve">          7728 - INV. SHRINKAGE-ART/TECH</v>
      </c>
      <c r="C244" s="11"/>
      <c r="D244" s="6">
        <v>8990</v>
      </c>
      <c r="E244" s="2"/>
      <c r="F244" s="7">
        <f t="shared" si="80"/>
        <v>4.3185320411299098E-2</v>
      </c>
      <c r="G244" s="2"/>
      <c r="H244" s="6"/>
      <c r="I244" s="2"/>
      <c r="J244" s="7">
        <f t="shared" si="81"/>
        <v>0</v>
      </c>
      <c r="K244" s="2"/>
      <c r="L244" s="6">
        <f t="shared" si="82"/>
        <v>8990</v>
      </c>
      <c r="M244" s="2"/>
      <c r="N244" s="7">
        <f t="shared" si="83"/>
        <v>0</v>
      </c>
      <c r="O244" s="11"/>
      <c r="P244" s="6">
        <v>8990</v>
      </c>
      <c r="Q244" s="2"/>
      <c r="R244" s="7">
        <f t="shared" si="84"/>
        <v>7.7503095780985336E-4</v>
      </c>
      <c r="S244" s="2"/>
      <c r="T244" s="6"/>
      <c r="U244" s="2"/>
      <c r="V244" s="7">
        <f t="shared" si="85"/>
        <v>0</v>
      </c>
      <c r="W244" s="2"/>
      <c r="X244" s="6">
        <f t="shared" si="86"/>
        <v>8990</v>
      </c>
      <c r="Y244" s="2"/>
      <c r="Z244" s="7">
        <f t="shared" si="87"/>
        <v>0</v>
      </c>
    </row>
    <row r="245" spans="1:26" s="24" customFormat="1" hidden="1" outlineLevel="2" x14ac:dyDescent="0.25">
      <c r="A245" s="27"/>
      <c r="B245" s="11" t="str">
        <f>CONCATENATE("          ", "7731", " - ", "INV. SHRINKAGE-FOOD")</f>
        <v xml:space="preserve">          7731 - INV. SHRINKAGE-FOOD</v>
      </c>
      <c r="C245" s="11"/>
      <c r="D245" s="6">
        <v>6964</v>
      </c>
      <c r="E245" s="2"/>
      <c r="F245" s="7">
        <f t="shared" si="80"/>
        <v>3.3453011273001883E-2</v>
      </c>
      <c r="G245" s="2"/>
      <c r="H245" s="6"/>
      <c r="I245" s="2"/>
      <c r="J245" s="7">
        <f t="shared" si="81"/>
        <v>0</v>
      </c>
      <c r="K245" s="2"/>
      <c r="L245" s="6">
        <f t="shared" si="82"/>
        <v>6964</v>
      </c>
      <c r="M245" s="2"/>
      <c r="N245" s="7">
        <f t="shared" si="83"/>
        <v>0</v>
      </c>
      <c r="O245" s="11"/>
      <c r="P245" s="6">
        <v>6964</v>
      </c>
      <c r="Q245" s="2"/>
      <c r="R245" s="7">
        <f t="shared" si="84"/>
        <v>6.0036880869719905E-4</v>
      </c>
      <c r="S245" s="2"/>
      <c r="T245" s="6"/>
      <c r="U245" s="2"/>
      <c r="V245" s="7">
        <f t="shared" si="85"/>
        <v>0</v>
      </c>
      <c r="W245" s="2"/>
      <c r="X245" s="6">
        <f t="shared" si="86"/>
        <v>6964</v>
      </c>
      <c r="Y245" s="2"/>
      <c r="Z245" s="7">
        <f t="shared" si="87"/>
        <v>0</v>
      </c>
    </row>
    <row r="246" spans="1:26" s="24" customFormat="1" hidden="1" outlineLevel="2" x14ac:dyDescent="0.25">
      <c r="A246" s="27"/>
      <c r="B246" s="11" t="str">
        <f>CONCATENATE("          ", "7732", " - ", "INV. SHRINKAGE-JUICE")</f>
        <v xml:space="preserve">          7732 - INV. SHRINKAGE-JUICE</v>
      </c>
      <c r="C246" s="11"/>
      <c r="D246" s="6">
        <v>-1942</v>
      </c>
      <c r="E246" s="2"/>
      <c r="F246" s="7">
        <f t="shared" si="80"/>
        <v>-9.328797801862387E-3</v>
      </c>
      <c r="G246" s="2"/>
      <c r="H246" s="6"/>
      <c r="I246" s="2"/>
      <c r="J246" s="7">
        <f t="shared" si="81"/>
        <v>0</v>
      </c>
      <c r="K246" s="2"/>
      <c r="L246" s="6">
        <f t="shared" si="82"/>
        <v>-1942</v>
      </c>
      <c r="M246" s="2"/>
      <c r="N246" s="7">
        <f t="shared" si="83"/>
        <v>0</v>
      </c>
      <c r="O246" s="11"/>
      <c r="P246" s="6">
        <v>-1942</v>
      </c>
      <c r="Q246" s="2"/>
      <c r="R246" s="7">
        <f t="shared" si="84"/>
        <v>-1.6742048054134987E-4</v>
      </c>
      <c r="S246" s="2"/>
      <c r="T246" s="6"/>
      <c r="U246" s="2"/>
      <c r="V246" s="7">
        <f t="shared" si="85"/>
        <v>0</v>
      </c>
      <c r="W246" s="2"/>
      <c r="X246" s="6">
        <f t="shared" si="86"/>
        <v>-1942</v>
      </c>
      <c r="Y246" s="2"/>
      <c r="Z246" s="7">
        <f t="shared" si="87"/>
        <v>0</v>
      </c>
    </row>
    <row r="247" spans="1:26" s="24" customFormat="1" hidden="1" outlineLevel="2" x14ac:dyDescent="0.25">
      <c r="A247" s="27"/>
      <c r="B247" s="11" t="str">
        <f>CONCATENATE("          ", "7733", " - ", "INV. SHRINKAGE-CANDY")</f>
        <v xml:space="preserve">          7733 - INV. SHRINKAGE-CANDY</v>
      </c>
      <c r="C247" s="11"/>
      <c r="D247" s="6">
        <v>2710</v>
      </c>
      <c r="E247" s="2"/>
      <c r="F247" s="7">
        <f t="shared" si="80"/>
        <v>1.3018044306409406E-2</v>
      </c>
      <c r="G247" s="2"/>
      <c r="H247" s="6"/>
      <c r="I247" s="2"/>
      <c r="J247" s="7">
        <f t="shared" si="81"/>
        <v>0</v>
      </c>
      <c r="K247" s="2"/>
      <c r="L247" s="6">
        <f t="shared" si="82"/>
        <v>2710</v>
      </c>
      <c r="M247" s="2"/>
      <c r="N247" s="7">
        <f t="shared" si="83"/>
        <v>0</v>
      </c>
      <c r="O247" s="11"/>
      <c r="P247" s="6">
        <v>2710</v>
      </c>
      <c r="Q247" s="2"/>
      <c r="R247" s="7">
        <f t="shared" si="84"/>
        <v>2.3363002176470554E-4</v>
      </c>
      <c r="S247" s="2"/>
      <c r="T247" s="6"/>
      <c r="U247" s="2"/>
      <c r="V247" s="7">
        <f t="shared" si="85"/>
        <v>0</v>
      </c>
      <c r="W247" s="2"/>
      <c r="X247" s="6">
        <f t="shared" si="86"/>
        <v>2710</v>
      </c>
      <c r="Y247" s="2"/>
      <c r="Z247" s="7">
        <f t="shared" si="87"/>
        <v>0</v>
      </c>
    </row>
    <row r="248" spans="1:26" s="24" customFormat="1" hidden="1" outlineLevel="2" x14ac:dyDescent="0.25">
      <c r="A248" s="27"/>
      <c r="B248" s="11" t="str">
        <f>CONCATENATE("          ", "7734", " - ", "INV. SHRINKAGE-SODA")</f>
        <v xml:space="preserve">          7734 - INV. SHRINKAGE-SODA</v>
      </c>
      <c r="C248" s="11"/>
      <c r="D248" s="6">
        <v>1253</v>
      </c>
      <c r="E248" s="2"/>
      <c r="F248" s="7">
        <f t="shared" si="80"/>
        <v>6.0190441018195522E-3</v>
      </c>
      <c r="G248" s="2"/>
      <c r="H248" s="6"/>
      <c r="I248" s="2"/>
      <c r="J248" s="7">
        <f t="shared" si="81"/>
        <v>0</v>
      </c>
      <c r="K248" s="2"/>
      <c r="L248" s="6">
        <f t="shared" si="82"/>
        <v>1253</v>
      </c>
      <c r="M248" s="2"/>
      <c r="N248" s="7">
        <f t="shared" si="83"/>
        <v>0</v>
      </c>
      <c r="O248" s="11"/>
      <c r="P248" s="6">
        <v>1253</v>
      </c>
      <c r="Q248" s="2"/>
      <c r="R248" s="7">
        <f t="shared" si="84"/>
        <v>1.0802155618862584E-4</v>
      </c>
      <c r="S248" s="2"/>
      <c r="T248" s="6"/>
      <c r="U248" s="2"/>
      <c r="V248" s="7">
        <f t="shared" si="85"/>
        <v>0</v>
      </c>
      <c r="W248" s="2"/>
      <c r="X248" s="6">
        <f t="shared" si="86"/>
        <v>1253</v>
      </c>
      <c r="Y248" s="2"/>
      <c r="Z248" s="7">
        <f t="shared" si="87"/>
        <v>0</v>
      </c>
    </row>
    <row r="249" spans="1:26" s="24" customFormat="1" hidden="1" outlineLevel="2" x14ac:dyDescent="0.25">
      <c r="A249" s="27"/>
      <c r="B249" s="11" t="str">
        <f>CONCATENATE("          ", "7735", " - ", "INV. SHRINKAGE-HEALTH/BEAUTY")</f>
        <v xml:space="preserve">          7735 - INV. SHRINKAGE-HEALTH/BEAUTY</v>
      </c>
      <c r="C249" s="11"/>
      <c r="D249" s="6">
        <v>369</v>
      </c>
      <c r="E249" s="2"/>
      <c r="F249" s="7">
        <f t="shared" si="80"/>
        <v>1.772567656481576E-3</v>
      </c>
      <c r="G249" s="2"/>
      <c r="H249" s="6"/>
      <c r="I249" s="2"/>
      <c r="J249" s="7">
        <f t="shared" si="81"/>
        <v>0</v>
      </c>
      <c r="K249" s="2"/>
      <c r="L249" s="6">
        <f t="shared" si="82"/>
        <v>369</v>
      </c>
      <c r="M249" s="2"/>
      <c r="N249" s="7">
        <f t="shared" si="83"/>
        <v>0</v>
      </c>
      <c r="O249" s="11"/>
      <c r="P249" s="6">
        <v>369</v>
      </c>
      <c r="Q249" s="2"/>
      <c r="R249" s="7">
        <f t="shared" si="84"/>
        <v>3.1811615509659169E-5</v>
      </c>
      <c r="S249" s="2"/>
      <c r="T249" s="6"/>
      <c r="U249" s="2"/>
      <c r="V249" s="7">
        <f t="shared" si="85"/>
        <v>0</v>
      </c>
      <c r="W249" s="2"/>
      <c r="X249" s="6">
        <f t="shared" si="86"/>
        <v>369</v>
      </c>
      <c r="Y249" s="2"/>
      <c r="Z249" s="7">
        <f t="shared" si="87"/>
        <v>0</v>
      </c>
    </row>
    <row r="250" spans="1:26" s="24" customFormat="1" hidden="1" outlineLevel="2" x14ac:dyDescent="0.25">
      <c r="A250" s="27"/>
      <c r="B250" s="11" t="str">
        <f>CONCATENATE("          ", "7737", " - ", "INV. SHRINKAGE-WATER")</f>
        <v xml:space="preserve">          7737 - INV. SHRINKAGE-WATER</v>
      </c>
      <c r="C250" s="11"/>
      <c r="D250" s="6">
        <v>763</v>
      </c>
      <c r="E250" s="2"/>
      <c r="F250" s="7">
        <f t="shared" si="80"/>
        <v>3.6652279726163751E-3</v>
      </c>
      <c r="G250" s="2"/>
      <c r="H250" s="6"/>
      <c r="I250" s="2"/>
      <c r="J250" s="7">
        <f t="shared" si="81"/>
        <v>0</v>
      </c>
      <c r="K250" s="2"/>
      <c r="L250" s="6">
        <f t="shared" si="82"/>
        <v>763</v>
      </c>
      <c r="M250" s="2"/>
      <c r="N250" s="7">
        <f t="shared" si="83"/>
        <v>0</v>
      </c>
      <c r="O250" s="11"/>
      <c r="P250" s="6">
        <v>763</v>
      </c>
      <c r="Q250" s="2"/>
      <c r="R250" s="7">
        <f t="shared" si="84"/>
        <v>6.5778489522682772E-5</v>
      </c>
      <c r="S250" s="2"/>
      <c r="T250" s="6"/>
      <c r="U250" s="2"/>
      <c r="V250" s="7">
        <f t="shared" si="85"/>
        <v>0</v>
      </c>
      <c r="W250" s="2"/>
      <c r="X250" s="6">
        <f t="shared" si="86"/>
        <v>763</v>
      </c>
      <c r="Y250" s="2"/>
      <c r="Z250" s="7">
        <f t="shared" si="87"/>
        <v>0</v>
      </c>
    </row>
    <row r="251" spans="1:26" s="24" customFormat="1" hidden="1" outlineLevel="2" x14ac:dyDescent="0.25">
      <c r="A251" s="27"/>
      <c r="B251" s="11" t="str">
        <f>CONCATENATE("          ", "7740", " - ", "INV. SHRINKAGE-LOGO CLOTHING")</f>
        <v xml:space="preserve">          7740 - INV. SHRINKAGE-LOGO CLOTHING</v>
      </c>
      <c r="C251" s="11"/>
      <c r="D251" s="6">
        <v>62007.000000000007</v>
      </c>
      <c r="E251" s="2"/>
      <c r="F251" s="7">
        <f t="shared" si="80"/>
        <v>0.29786342188469672</v>
      </c>
      <c r="G251" s="2"/>
      <c r="H251" s="6"/>
      <c r="I251" s="2"/>
      <c r="J251" s="7">
        <f t="shared" si="81"/>
        <v>0</v>
      </c>
      <c r="K251" s="2"/>
      <c r="L251" s="6">
        <f t="shared" si="82"/>
        <v>62007.000000000007</v>
      </c>
      <c r="M251" s="2"/>
      <c r="N251" s="7">
        <f t="shared" si="83"/>
        <v>0</v>
      </c>
      <c r="O251" s="11"/>
      <c r="P251" s="6">
        <v>62007.000000000007</v>
      </c>
      <c r="Q251" s="2"/>
      <c r="R251" s="7">
        <f t="shared" si="84"/>
        <v>5.3456445607247592E-3</v>
      </c>
      <c r="S251" s="2"/>
      <c r="T251" s="6"/>
      <c r="U251" s="2"/>
      <c r="V251" s="7">
        <f t="shared" si="85"/>
        <v>0</v>
      </c>
      <c r="W251" s="2"/>
      <c r="X251" s="6">
        <f t="shared" si="86"/>
        <v>62007.000000000007</v>
      </c>
      <c r="Y251" s="2"/>
      <c r="Z251" s="7">
        <f t="shared" si="87"/>
        <v>0</v>
      </c>
    </row>
    <row r="252" spans="1:26" s="24" customFormat="1" hidden="1" outlineLevel="2" x14ac:dyDescent="0.25">
      <c r="A252" s="27"/>
      <c r="B252" s="11" t="str">
        <f>CONCATENATE("          ", "7741", " - ", "INV. SHRINKAGE-LOGO GIFTS")</f>
        <v xml:space="preserve">          7741 - INV. SHRINKAGE-LOGO GIFTS</v>
      </c>
      <c r="C252" s="11"/>
      <c r="D252" s="6">
        <v>30707</v>
      </c>
      <c r="E252" s="2"/>
      <c r="F252" s="7">
        <f t="shared" si="80"/>
        <v>0.14750741199886111</v>
      </c>
      <c r="G252" s="2"/>
      <c r="H252" s="6"/>
      <c r="I252" s="2"/>
      <c r="J252" s="7">
        <f t="shared" si="81"/>
        <v>0</v>
      </c>
      <c r="K252" s="2"/>
      <c r="L252" s="6">
        <f t="shared" si="82"/>
        <v>30707</v>
      </c>
      <c r="M252" s="2"/>
      <c r="N252" s="7">
        <f t="shared" si="83"/>
        <v>0</v>
      </c>
      <c r="O252" s="11"/>
      <c r="P252" s="6">
        <v>30707</v>
      </c>
      <c r="Q252" s="2"/>
      <c r="R252" s="7">
        <f t="shared" si="84"/>
        <v>2.6472609145124768E-3</v>
      </c>
      <c r="S252" s="2"/>
      <c r="T252" s="6"/>
      <c r="U252" s="2"/>
      <c r="V252" s="7">
        <f t="shared" si="85"/>
        <v>0</v>
      </c>
      <c r="W252" s="2"/>
      <c r="X252" s="6">
        <f t="shared" si="86"/>
        <v>30707</v>
      </c>
      <c r="Y252" s="2"/>
      <c r="Z252" s="7">
        <f t="shared" si="87"/>
        <v>0</v>
      </c>
    </row>
    <row r="253" spans="1:26" s="24" customFormat="1" hidden="1" outlineLevel="2" x14ac:dyDescent="0.25">
      <c r="A253" s="27"/>
      <c r="B253" s="11" t="str">
        <f>CONCATENATE("          ", "7742", " - ", "INV. SHRINKAGE-EVERYDAY GIFTS")</f>
        <v xml:space="preserve">          7742 - INV. SHRINKAGE-EVERYDAY GIFTS</v>
      </c>
      <c r="C253" s="11"/>
      <c r="D253" s="6">
        <v>26197</v>
      </c>
      <c r="E253" s="2"/>
      <c r="F253" s="7">
        <f t="shared" si="80"/>
        <v>0.12584269619741964</v>
      </c>
      <c r="G253" s="2"/>
      <c r="H253" s="6"/>
      <c r="I253" s="2"/>
      <c r="J253" s="7">
        <f t="shared" si="81"/>
        <v>0</v>
      </c>
      <c r="K253" s="2"/>
      <c r="L253" s="6">
        <f t="shared" si="82"/>
        <v>26197</v>
      </c>
      <c r="M253" s="2"/>
      <c r="N253" s="7">
        <f t="shared" si="83"/>
        <v>0</v>
      </c>
      <c r="O253" s="11"/>
      <c r="P253" s="6">
        <v>26197</v>
      </c>
      <c r="Q253" s="2"/>
      <c r="R253" s="7">
        <f t="shared" si="84"/>
        <v>2.2584522805055318E-3</v>
      </c>
      <c r="S253" s="2"/>
      <c r="T253" s="6"/>
      <c r="U253" s="2"/>
      <c r="V253" s="7">
        <f t="shared" si="85"/>
        <v>0</v>
      </c>
      <c r="W253" s="2"/>
      <c r="X253" s="6">
        <f t="shared" si="86"/>
        <v>26197</v>
      </c>
      <c r="Y253" s="2"/>
      <c r="Z253" s="7">
        <f t="shared" si="87"/>
        <v>0</v>
      </c>
    </row>
    <row r="254" spans="1:26" s="24" customFormat="1" hidden="1" outlineLevel="2" x14ac:dyDescent="0.25">
      <c r="A254" s="27"/>
      <c r="B254" s="11" t="str">
        <f>CONCATENATE("          ", "7743", " - ", "INV. SHRINKAGE-CARDS")</f>
        <v xml:space="preserve">          7743 - INV. SHRINKAGE-CARDS</v>
      </c>
      <c r="C254" s="11"/>
      <c r="D254" s="6">
        <v>-12818</v>
      </c>
      <c r="E254" s="2"/>
      <c r="F254" s="7">
        <f t="shared" si="80"/>
        <v>-6.1573908457400649E-2</v>
      </c>
      <c r="G254" s="2"/>
      <c r="H254" s="6"/>
      <c r="I254" s="2"/>
      <c r="J254" s="7">
        <f t="shared" si="81"/>
        <v>0</v>
      </c>
      <c r="K254" s="2"/>
      <c r="L254" s="6">
        <f t="shared" si="82"/>
        <v>-12818</v>
      </c>
      <c r="M254" s="2"/>
      <c r="N254" s="7">
        <f t="shared" si="83"/>
        <v>0</v>
      </c>
      <c r="O254" s="11"/>
      <c r="P254" s="6">
        <v>-12818</v>
      </c>
      <c r="Q254" s="2"/>
      <c r="R254" s="7">
        <f t="shared" si="84"/>
        <v>-1.1050441398450168E-3</v>
      </c>
      <c r="S254" s="2"/>
      <c r="T254" s="6"/>
      <c r="U254" s="2"/>
      <c r="V254" s="7">
        <f t="shared" si="85"/>
        <v>0</v>
      </c>
      <c r="W254" s="2"/>
      <c r="X254" s="6">
        <f t="shared" si="86"/>
        <v>-12818</v>
      </c>
      <c r="Y254" s="2"/>
      <c r="Z254" s="7">
        <f t="shared" si="87"/>
        <v>0</v>
      </c>
    </row>
    <row r="255" spans="1:26" s="24" customFormat="1" hidden="1" outlineLevel="2" x14ac:dyDescent="0.25">
      <c r="A255" s="27"/>
      <c r="B255" s="11" t="str">
        <f>CONCATENATE("          ", "7744", " - ", "INV. SHRINKAGE-ACCESSORIES")</f>
        <v xml:space="preserve">          7744 - INV. SHRINKAGE-ACCESSORIES</v>
      </c>
      <c r="C255" s="11"/>
      <c r="D255" s="6">
        <v>-16780</v>
      </c>
      <c r="E255" s="2"/>
      <c r="F255" s="7">
        <f t="shared" si="80"/>
        <v>-8.0606193159243486E-2</v>
      </c>
      <c r="G255" s="2"/>
      <c r="H255" s="6"/>
      <c r="I255" s="2"/>
      <c r="J255" s="7">
        <f t="shared" si="81"/>
        <v>0</v>
      </c>
      <c r="K255" s="2"/>
      <c r="L255" s="6">
        <f t="shared" si="82"/>
        <v>-16780</v>
      </c>
      <c r="M255" s="2"/>
      <c r="N255" s="7">
        <f t="shared" si="83"/>
        <v>0</v>
      </c>
      <c r="O255" s="11"/>
      <c r="P255" s="6">
        <v>-16780</v>
      </c>
      <c r="Q255" s="2"/>
      <c r="R255" s="7">
        <f t="shared" si="84"/>
        <v>-1.4466095074582136E-3</v>
      </c>
      <c r="S255" s="2"/>
      <c r="T255" s="6"/>
      <c r="U255" s="2"/>
      <c r="V255" s="7">
        <f t="shared" si="85"/>
        <v>0</v>
      </c>
      <c r="W255" s="2"/>
      <c r="X255" s="6">
        <f t="shared" si="86"/>
        <v>-16780</v>
      </c>
      <c r="Y255" s="2"/>
      <c r="Z255" s="7">
        <f t="shared" si="87"/>
        <v>0</v>
      </c>
    </row>
    <row r="256" spans="1:26" s="24" customFormat="1" hidden="1" outlineLevel="2" x14ac:dyDescent="0.25">
      <c r="A256" s="27"/>
      <c r="B256" s="11" t="str">
        <f>CONCATENATE("          ", "7745", " - ", "INV. SHRINKAGE-SPECIAL ORDERS")</f>
        <v xml:space="preserve">          7745 - INV. SHRINKAGE-SPECIAL ORDERS</v>
      </c>
      <c r="C256" s="11"/>
      <c r="D256" s="6">
        <v>44531</v>
      </c>
      <c r="E256" s="2"/>
      <c r="F256" s="7">
        <f t="shared" si="80"/>
        <v>0.21391384908070749</v>
      </c>
      <c r="G256" s="2"/>
      <c r="H256" s="6"/>
      <c r="I256" s="2"/>
      <c r="J256" s="7">
        <f t="shared" si="81"/>
        <v>0</v>
      </c>
      <c r="K256" s="2"/>
      <c r="L256" s="6">
        <f t="shared" si="82"/>
        <v>44531</v>
      </c>
      <c r="M256" s="2"/>
      <c r="N256" s="7">
        <f t="shared" si="83"/>
        <v>0</v>
      </c>
      <c r="O256" s="11"/>
      <c r="P256" s="6">
        <v>44531</v>
      </c>
      <c r="Q256" s="2"/>
      <c r="R256" s="7">
        <f t="shared" si="84"/>
        <v>3.8390326565328789E-3</v>
      </c>
      <c r="S256" s="2"/>
      <c r="T256" s="6"/>
      <c r="U256" s="2"/>
      <c r="V256" s="7">
        <f t="shared" si="85"/>
        <v>0</v>
      </c>
      <c r="W256" s="2"/>
      <c r="X256" s="6">
        <f t="shared" si="86"/>
        <v>44531</v>
      </c>
      <c r="Y256" s="2"/>
      <c r="Z256" s="7">
        <f t="shared" si="87"/>
        <v>0</v>
      </c>
    </row>
    <row r="257" spans="1:26" s="24" customFormat="1" hidden="1" outlineLevel="2" x14ac:dyDescent="0.25">
      <c r="A257" s="27"/>
      <c r="B257" s="11" t="str">
        <f>CONCATENATE("          ", "7781", " - ", "INV. SHRINKAGE-ELECTRONICS")</f>
        <v xml:space="preserve">          7781 - INV. SHRINKAGE-ELECTRONICS</v>
      </c>
      <c r="C257" s="11"/>
      <c r="D257" s="6">
        <v>-28</v>
      </c>
      <c r="E257" s="2"/>
      <c r="F257" s="7">
        <f t="shared" si="80"/>
        <v>-1.345037788116101E-4</v>
      </c>
      <c r="G257" s="2"/>
      <c r="H257" s="6"/>
      <c r="I257" s="2"/>
      <c r="J257" s="7">
        <f t="shared" si="81"/>
        <v>0</v>
      </c>
      <c r="K257" s="2"/>
      <c r="L257" s="6">
        <f t="shared" si="82"/>
        <v>-28</v>
      </c>
      <c r="M257" s="2"/>
      <c r="N257" s="7">
        <f t="shared" si="83"/>
        <v>0</v>
      </c>
      <c r="O257" s="11"/>
      <c r="P257" s="6">
        <v>-28</v>
      </c>
      <c r="Q257" s="2"/>
      <c r="R257" s="7">
        <f t="shared" si="84"/>
        <v>-2.4138895237681751E-6</v>
      </c>
      <c r="S257" s="2"/>
      <c r="T257" s="6"/>
      <c r="U257" s="2"/>
      <c r="V257" s="7">
        <f t="shared" si="85"/>
        <v>0</v>
      </c>
      <c r="W257" s="2"/>
      <c r="X257" s="6">
        <f t="shared" si="86"/>
        <v>-28</v>
      </c>
      <c r="Y257" s="2"/>
      <c r="Z257" s="7">
        <f t="shared" si="87"/>
        <v>0</v>
      </c>
    </row>
    <row r="258" spans="1:26" s="24" customFormat="1" hidden="1" outlineLevel="2" x14ac:dyDescent="0.25">
      <c r="A258" s="27"/>
      <c r="B258" s="11" t="str">
        <f>CONCATENATE("          ", "7782", " - ", "INV. SHRINKAGE-COMPUTER HARDWA")</f>
        <v xml:space="preserve">          7782 - INV. SHRINKAGE-COMPUTER HARDWA</v>
      </c>
      <c r="C258" s="11"/>
      <c r="D258" s="6">
        <v>69</v>
      </c>
      <c r="E258" s="2"/>
      <c r="F258" s="7">
        <f t="shared" si="80"/>
        <v>3.3145574064289633E-4</v>
      </c>
      <c r="G258" s="2"/>
      <c r="H258" s="6"/>
      <c r="I258" s="2"/>
      <c r="J258" s="7">
        <f t="shared" si="81"/>
        <v>0</v>
      </c>
      <c r="K258" s="2"/>
      <c r="L258" s="6">
        <f t="shared" si="82"/>
        <v>69</v>
      </c>
      <c r="M258" s="2"/>
      <c r="N258" s="7">
        <f t="shared" si="83"/>
        <v>0</v>
      </c>
      <c r="O258" s="11"/>
      <c r="P258" s="6">
        <v>69</v>
      </c>
      <c r="Q258" s="2"/>
      <c r="R258" s="7">
        <f t="shared" si="84"/>
        <v>5.9485134692858604E-6</v>
      </c>
      <c r="S258" s="2"/>
      <c r="T258" s="6"/>
      <c r="U258" s="2"/>
      <c r="V258" s="7">
        <f t="shared" si="85"/>
        <v>0</v>
      </c>
      <c r="W258" s="2"/>
      <c r="X258" s="6">
        <f t="shared" si="86"/>
        <v>69</v>
      </c>
      <c r="Y258" s="2"/>
      <c r="Z258" s="7">
        <f t="shared" si="87"/>
        <v>0</v>
      </c>
    </row>
    <row r="259" spans="1:26" s="24" customFormat="1" hidden="1" outlineLevel="2" x14ac:dyDescent="0.25">
      <c r="A259" s="27"/>
      <c r="B259" s="11" t="str">
        <f>CONCATENATE("          ", "7783", " - ", "INV. SHRINKAGE-COMPUTER EQUIPM")</f>
        <v xml:space="preserve">          7783 - INV. SHRINKAGE-COMPUTER EQUIPM</v>
      </c>
      <c r="C259" s="11"/>
      <c r="D259" s="6">
        <v>266</v>
      </c>
      <c r="E259" s="2"/>
      <c r="F259" s="7">
        <f t="shared" si="80"/>
        <v>1.2777858987102959E-3</v>
      </c>
      <c r="G259" s="2"/>
      <c r="H259" s="6"/>
      <c r="I259" s="2"/>
      <c r="J259" s="7">
        <f t="shared" si="81"/>
        <v>0</v>
      </c>
      <c r="K259" s="2"/>
      <c r="L259" s="6">
        <f t="shared" si="82"/>
        <v>266</v>
      </c>
      <c r="M259" s="2"/>
      <c r="N259" s="7">
        <f t="shared" si="83"/>
        <v>0</v>
      </c>
      <c r="O259" s="11"/>
      <c r="P259" s="6">
        <v>266</v>
      </c>
      <c r="Q259" s="2"/>
      <c r="R259" s="7">
        <f t="shared" si="84"/>
        <v>2.2931950475797664E-5</v>
      </c>
      <c r="S259" s="2"/>
      <c r="T259" s="6"/>
      <c r="U259" s="2"/>
      <c r="V259" s="7">
        <f t="shared" si="85"/>
        <v>0</v>
      </c>
      <c r="W259" s="2"/>
      <c r="X259" s="6">
        <f t="shared" si="86"/>
        <v>266</v>
      </c>
      <c r="Y259" s="2"/>
      <c r="Z259" s="7">
        <f t="shared" si="87"/>
        <v>0</v>
      </c>
    </row>
    <row r="260" spans="1:26" s="24" customFormat="1" hidden="1" outlineLevel="2" x14ac:dyDescent="0.25">
      <c r="A260" s="27"/>
      <c r="B260" s="11" t="str">
        <f>CONCATENATE("          ", "7786", " - ", "INV. SHRINKAGE-COMPUTER SUPPLI")</f>
        <v xml:space="preserve">          7786 - INV. SHRINKAGE-COMPUTER SUPPLI</v>
      </c>
      <c r="C260" s="11"/>
      <c r="D260" s="6">
        <v>38</v>
      </c>
      <c r="E260" s="2"/>
      <c r="F260" s="7">
        <f t="shared" si="80"/>
        <v>1.8254084267289942E-4</v>
      </c>
      <c r="G260" s="2"/>
      <c r="H260" s="6"/>
      <c r="I260" s="2"/>
      <c r="J260" s="7">
        <f t="shared" si="81"/>
        <v>0</v>
      </c>
      <c r="K260" s="2"/>
      <c r="L260" s="6">
        <f t="shared" si="82"/>
        <v>38</v>
      </c>
      <c r="M260" s="2"/>
      <c r="N260" s="7">
        <f t="shared" si="83"/>
        <v>0</v>
      </c>
      <c r="O260" s="11"/>
      <c r="P260" s="6">
        <v>38</v>
      </c>
      <c r="Q260" s="2"/>
      <c r="R260" s="7">
        <f t="shared" si="84"/>
        <v>3.2759929251139519E-6</v>
      </c>
      <c r="S260" s="2"/>
      <c r="T260" s="6"/>
      <c r="U260" s="2"/>
      <c r="V260" s="7">
        <f t="shared" si="85"/>
        <v>0</v>
      </c>
      <c r="W260" s="2"/>
      <c r="X260" s="6">
        <f t="shared" si="86"/>
        <v>38</v>
      </c>
      <c r="Y260" s="2"/>
      <c r="Z260" s="7">
        <f t="shared" si="87"/>
        <v>0</v>
      </c>
    </row>
    <row r="261" spans="1:26" s="24" customFormat="1" hidden="1" outlineLevel="2" x14ac:dyDescent="0.25">
      <c r="A261" s="27"/>
      <c r="B261" s="11" t="str">
        <f>CONCATENATE("          ", "7792", " - ", "INV. SHRINKAGE-GRAD MERCH")</f>
        <v xml:space="preserve">          7792 - INV. SHRINKAGE-GRAD MERCH</v>
      </c>
      <c r="C261" s="11"/>
      <c r="D261" s="6">
        <v>535</v>
      </c>
      <c r="E261" s="2"/>
      <c r="F261" s="7">
        <f t="shared" si="80"/>
        <v>2.5699829165789787E-3</v>
      </c>
      <c r="G261" s="2"/>
      <c r="H261" s="6"/>
      <c r="I261" s="2"/>
      <c r="J261" s="7">
        <f t="shared" si="81"/>
        <v>0</v>
      </c>
      <c r="K261" s="2"/>
      <c r="L261" s="6">
        <f t="shared" si="82"/>
        <v>535</v>
      </c>
      <c r="M261" s="2"/>
      <c r="N261" s="7">
        <f t="shared" si="83"/>
        <v>0</v>
      </c>
      <c r="O261" s="11"/>
      <c r="P261" s="6">
        <v>535</v>
      </c>
      <c r="Q261" s="2"/>
      <c r="R261" s="7">
        <f t="shared" si="84"/>
        <v>4.6122531971999061E-5</v>
      </c>
      <c r="S261" s="2"/>
      <c r="T261" s="6"/>
      <c r="U261" s="2"/>
      <c r="V261" s="7">
        <f t="shared" si="85"/>
        <v>0</v>
      </c>
      <c r="W261" s="2"/>
      <c r="X261" s="6">
        <f t="shared" si="86"/>
        <v>535</v>
      </c>
      <c r="Y261" s="2"/>
      <c r="Z261" s="7">
        <f t="shared" si="87"/>
        <v>0</v>
      </c>
    </row>
    <row r="262" spans="1:26" s="24" customFormat="1" hidden="1" outlineLevel="2" x14ac:dyDescent="0.25">
      <c r="A262" s="27"/>
      <c r="B262" s="11" t="str">
        <f>CONCATENATE("          ", "7795", " - ", "INV. SHRINKAGE-CUSTOMER SERVIC")</f>
        <v xml:space="preserve">          7795 - INV. SHRINKAGE-CUSTOMER SERVIC</v>
      </c>
      <c r="C262" s="11"/>
      <c r="D262" s="6">
        <v>-132</v>
      </c>
      <c r="E262" s="2"/>
      <c r="F262" s="7">
        <f t="shared" si="80"/>
        <v>-6.3408924296901904E-4</v>
      </c>
      <c r="G262" s="2"/>
      <c r="H262" s="6"/>
      <c r="I262" s="2"/>
      <c r="J262" s="7">
        <f t="shared" si="81"/>
        <v>0</v>
      </c>
      <c r="K262" s="2"/>
      <c r="L262" s="6">
        <f t="shared" si="82"/>
        <v>-132</v>
      </c>
      <c r="M262" s="2"/>
      <c r="N262" s="7">
        <f t="shared" si="83"/>
        <v>0</v>
      </c>
      <c r="O262" s="11"/>
      <c r="P262" s="6">
        <v>-132</v>
      </c>
      <c r="Q262" s="2"/>
      <c r="R262" s="7">
        <f t="shared" si="84"/>
        <v>-1.1379764897764255E-5</v>
      </c>
      <c r="S262" s="2"/>
      <c r="T262" s="6"/>
      <c r="U262" s="2"/>
      <c r="V262" s="7">
        <f t="shared" si="85"/>
        <v>0</v>
      </c>
      <c r="W262" s="2"/>
      <c r="X262" s="6">
        <f t="shared" si="86"/>
        <v>-132</v>
      </c>
      <c r="Y262" s="2"/>
      <c r="Z262" s="7">
        <f t="shared" si="87"/>
        <v>0</v>
      </c>
    </row>
    <row r="263" spans="1:26" s="26" customFormat="1" outlineLevel="1" collapsed="1" x14ac:dyDescent="0.25">
      <c r="A263" s="25"/>
      <c r="B263" s="12" t="str">
        <f>CONCATENATE("     ","Professional Services                             ")</f>
        <v xml:space="preserve">     Professional Services                             </v>
      </c>
      <c r="C263" s="12"/>
      <c r="D263" s="1">
        <f>SUM(OSRRefD22_15x_0)</f>
        <v>8441.9599999999991</v>
      </c>
      <c r="E263" s="1"/>
      <c r="F263" s="5">
        <f t="shared" ref="F263:F273" si="88">IF(D$12=0,0,D263/D$12)</f>
        <v>4.0552697163444992E-2</v>
      </c>
      <c r="G263" s="1"/>
      <c r="H263" s="1">
        <f>SUM(OSRRefH22_15x_0)</f>
        <v>1015</v>
      </c>
      <c r="I263" s="1"/>
      <c r="J263" s="5">
        <f t="shared" ref="J263:J273" si="89">IF(H$12=0,0,H263/H$12)</f>
        <v>1.8731563091431869E-3</v>
      </c>
      <c r="K263" s="1"/>
      <c r="L263" s="1">
        <f t="shared" ref="L263:L273" si="90">+D263-H263</f>
        <v>7426.9599999999991</v>
      </c>
      <c r="M263" s="1"/>
      <c r="N263" s="5">
        <f t="shared" ref="N263:N273" si="91">IF(H263=0,0,L263/H263)</f>
        <v>7.3172019704433486</v>
      </c>
      <c r="O263" s="12"/>
      <c r="P263" s="1">
        <f>SUM(OSRRefP22_15x_0)</f>
        <v>17571.52</v>
      </c>
      <c r="Q263" s="1"/>
      <c r="R263" s="5">
        <f t="shared" ref="R263:R273" si="92">IF(P$12=0,0,P263/P$12)</f>
        <v>1.5148467158815346E-3</v>
      </c>
      <c r="S263" s="1"/>
      <c r="T263" s="1">
        <f>SUM(OSRRefT22_15x_0)</f>
        <v>15330</v>
      </c>
      <c r="U263" s="1"/>
      <c r="V263" s="5">
        <f t="shared" ref="V263:V273" si="93">IF(T$12=0,0,T263/T$12)</f>
        <v>9.9993485747344041E-4</v>
      </c>
      <c r="W263" s="1"/>
      <c r="X263" s="1">
        <f t="shared" ref="X263:X273" si="94">+P263-T263</f>
        <v>2241.5200000000004</v>
      </c>
      <c r="Y263" s="1"/>
      <c r="Z263" s="5">
        <f t="shared" ref="Z263:Z273" si="95">IF(T263=0,0,X263/T263)</f>
        <v>0.14621787345075019</v>
      </c>
    </row>
    <row r="264" spans="1:26" s="24" customFormat="1" hidden="1" outlineLevel="2" x14ac:dyDescent="0.25">
      <c r="A264" s="27"/>
      <c r="B264" s="11" t="str">
        <f>CONCATENATE("          ", "6336", " - ", "PROFESSIONAL SERVICES")</f>
        <v xml:space="preserve">          6336 - PROFESSIONAL SERVICES</v>
      </c>
      <c r="C264" s="11"/>
      <c r="D264" s="6">
        <v>8441.9599999999991</v>
      </c>
      <c r="E264" s="2"/>
      <c r="F264" s="7">
        <f t="shared" si="88"/>
        <v>4.0552697163444992E-2</v>
      </c>
      <c r="G264" s="2"/>
      <c r="H264" s="6">
        <v>1015</v>
      </c>
      <c r="I264" s="2"/>
      <c r="J264" s="7">
        <f t="shared" si="89"/>
        <v>1.8731563091431869E-3</v>
      </c>
      <c r="K264" s="2"/>
      <c r="L264" s="6">
        <f t="shared" si="90"/>
        <v>7426.9599999999991</v>
      </c>
      <c r="M264" s="2"/>
      <c r="N264" s="7">
        <f t="shared" si="91"/>
        <v>7.3172019704433486</v>
      </c>
      <c r="O264" s="11"/>
      <c r="P264" s="6">
        <v>17571.52</v>
      </c>
      <c r="Q264" s="2"/>
      <c r="R264" s="7">
        <f t="shared" si="92"/>
        <v>1.5148467158815346E-3</v>
      </c>
      <c r="S264" s="2"/>
      <c r="T264" s="6">
        <v>15330</v>
      </c>
      <c r="U264" s="2"/>
      <c r="V264" s="7">
        <f t="shared" si="93"/>
        <v>9.9993485747344041E-4</v>
      </c>
      <c r="W264" s="2"/>
      <c r="X264" s="6">
        <f t="shared" si="94"/>
        <v>2241.5200000000004</v>
      </c>
      <c r="Y264" s="2"/>
      <c r="Z264" s="7">
        <f t="shared" si="95"/>
        <v>0.14621787345075019</v>
      </c>
    </row>
    <row r="265" spans="1:26" s="26" customFormat="1" outlineLevel="1" collapsed="1" x14ac:dyDescent="0.25">
      <c r="A265" s="25"/>
      <c r="B265" s="12" t="str">
        <f>CONCATENATE("     ","R/H Commissions                                   ")</f>
        <v xml:space="preserve">     R/H Commissions                                   </v>
      </c>
      <c r="C265" s="12"/>
      <c r="D265" s="1">
        <f>SUM(OSRRefD22_16x_0)</f>
        <v>0</v>
      </c>
      <c r="E265" s="1"/>
      <c r="F265" s="5">
        <f t="shared" si="88"/>
        <v>0</v>
      </c>
      <c r="G265" s="1"/>
      <c r="H265" s="1">
        <f>SUM(OSRRefH22_16x_0)</f>
        <v>0</v>
      </c>
      <c r="I265" s="1"/>
      <c r="J265" s="5">
        <f t="shared" si="89"/>
        <v>0</v>
      </c>
      <c r="K265" s="1"/>
      <c r="L265" s="1">
        <f t="shared" si="90"/>
        <v>0</v>
      </c>
      <c r="M265" s="1"/>
      <c r="N265" s="5">
        <f t="shared" si="91"/>
        <v>0</v>
      </c>
      <c r="O265" s="12"/>
      <c r="P265" s="1">
        <f>SUM(OSRRefP22_16x_0)</f>
        <v>0</v>
      </c>
      <c r="Q265" s="1"/>
      <c r="R265" s="5">
        <f t="shared" si="92"/>
        <v>0</v>
      </c>
      <c r="S265" s="1"/>
      <c r="T265" s="1">
        <f>SUM(OSRRefT22_16x_0)</f>
        <v>0</v>
      </c>
      <c r="U265" s="1"/>
      <c r="V265" s="5">
        <f t="shared" si="93"/>
        <v>0</v>
      </c>
      <c r="W265" s="1"/>
      <c r="X265" s="1">
        <f t="shared" si="94"/>
        <v>0</v>
      </c>
      <c r="Y265" s="1"/>
      <c r="Z265" s="5">
        <f t="shared" si="95"/>
        <v>0</v>
      </c>
    </row>
    <row r="266" spans="1:26" s="24" customFormat="1" hidden="1" outlineLevel="2" x14ac:dyDescent="0.25">
      <c r="A266" s="27"/>
      <c r="B266" s="11" t="str">
        <f>CONCATENATE("          ", "6387", " - ", "COMMISSION DUE HOUSING")</f>
        <v xml:space="preserve">          6387 - COMMISSION DUE HOUSING</v>
      </c>
      <c r="C266" s="11"/>
      <c r="D266" s="6"/>
      <c r="E266" s="2"/>
      <c r="F266" s="7">
        <f t="shared" si="88"/>
        <v>0</v>
      </c>
      <c r="G266" s="2"/>
      <c r="H266" s="6"/>
      <c r="I266" s="2"/>
      <c r="J266" s="7">
        <f t="shared" si="89"/>
        <v>0</v>
      </c>
      <c r="K266" s="2"/>
      <c r="L266" s="6">
        <f t="shared" si="90"/>
        <v>0</v>
      </c>
      <c r="M266" s="2"/>
      <c r="N266" s="7">
        <f t="shared" si="91"/>
        <v>0</v>
      </c>
      <c r="O266" s="11"/>
      <c r="P266" s="6"/>
      <c r="Q266" s="2"/>
      <c r="R266" s="7">
        <f t="shared" si="92"/>
        <v>0</v>
      </c>
      <c r="S266" s="2"/>
      <c r="T266" s="6">
        <v>0</v>
      </c>
      <c r="U266" s="2"/>
      <c r="V266" s="7">
        <f t="shared" si="93"/>
        <v>0</v>
      </c>
      <c r="W266" s="2"/>
      <c r="X266" s="6">
        <f t="shared" si="94"/>
        <v>0</v>
      </c>
      <c r="Y266" s="2"/>
      <c r="Z266" s="7">
        <f t="shared" si="95"/>
        <v>0</v>
      </c>
    </row>
    <row r="267" spans="1:26" s="26" customFormat="1" outlineLevel="1" collapsed="1" x14ac:dyDescent="0.25">
      <c r="A267" s="25"/>
      <c r="B267" s="12" t="str">
        <f>CONCATENATE("     ","Rent                                              ")</f>
        <v xml:space="preserve">     Rent                                              </v>
      </c>
      <c r="C267" s="12"/>
      <c r="D267" s="1">
        <f>SUM(OSRRefD22_17x_0)</f>
        <v>7250</v>
      </c>
      <c r="E267" s="1"/>
      <c r="F267" s="5">
        <f t="shared" si="88"/>
        <v>3.4826871299434757E-2</v>
      </c>
      <c r="G267" s="1"/>
      <c r="H267" s="1">
        <f>SUM(OSRRefH22_17x_0)</f>
        <v>7550</v>
      </c>
      <c r="I267" s="1"/>
      <c r="J267" s="5">
        <f t="shared" si="89"/>
        <v>1.393333018131139E-2</v>
      </c>
      <c r="K267" s="1"/>
      <c r="L267" s="1">
        <f t="shared" si="90"/>
        <v>-300</v>
      </c>
      <c r="M267" s="1"/>
      <c r="N267" s="5">
        <f t="shared" si="91"/>
        <v>-3.9735099337748346E-2</v>
      </c>
      <c r="O267" s="12"/>
      <c r="P267" s="1">
        <f>SUM(OSRRefP22_17x_0)</f>
        <v>88600</v>
      </c>
      <c r="Q267" s="1"/>
      <c r="R267" s="5">
        <f t="shared" si="92"/>
        <v>7.6382361359235828E-3</v>
      </c>
      <c r="S267" s="1"/>
      <c r="T267" s="1">
        <f>SUM(OSRRefT22_17x_0)</f>
        <v>90600</v>
      </c>
      <c r="U267" s="1"/>
      <c r="V267" s="5">
        <f t="shared" si="93"/>
        <v>5.909595439471213E-3</v>
      </c>
      <c r="W267" s="1"/>
      <c r="X267" s="1">
        <f t="shared" si="94"/>
        <v>-2000</v>
      </c>
      <c r="Y267" s="1"/>
      <c r="Z267" s="5">
        <f t="shared" si="95"/>
        <v>-2.2075055187637971E-2</v>
      </c>
    </row>
    <row r="268" spans="1:26" s="24" customFormat="1" hidden="1" outlineLevel="2" x14ac:dyDescent="0.25">
      <c r="A268" s="27"/>
      <c r="B268" s="11" t="str">
        <f>CONCATENATE("          ", "6273", " - ", "RENT")</f>
        <v xml:space="preserve">          6273 - RENT</v>
      </c>
      <c r="C268" s="11"/>
      <c r="D268" s="6">
        <v>7250</v>
      </c>
      <c r="E268" s="2"/>
      <c r="F268" s="7">
        <f t="shared" si="88"/>
        <v>3.4826871299434757E-2</v>
      </c>
      <c r="G268" s="2"/>
      <c r="H268" s="6">
        <v>7550</v>
      </c>
      <c r="I268" s="2"/>
      <c r="J268" s="7">
        <f t="shared" si="89"/>
        <v>1.393333018131139E-2</v>
      </c>
      <c r="K268" s="2"/>
      <c r="L268" s="6">
        <f t="shared" si="90"/>
        <v>-300</v>
      </c>
      <c r="M268" s="2"/>
      <c r="N268" s="7">
        <f t="shared" si="91"/>
        <v>-3.9735099337748346E-2</v>
      </c>
      <c r="O268" s="11"/>
      <c r="P268" s="6">
        <v>88600</v>
      </c>
      <c r="Q268" s="2"/>
      <c r="R268" s="7">
        <f t="shared" si="92"/>
        <v>7.6382361359235828E-3</v>
      </c>
      <c r="S268" s="2"/>
      <c r="T268" s="6">
        <v>90600</v>
      </c>
      <c r="U268" s="2"/>
      <c r="V268" s="7">
        <f t="shared" si="93"/>
        <v>5.909595439471213E-3</v>
      </c>
      <c r="W268" s="2"/>
      <c r="X268" s="6">
        <f t="shared" si="94"/>
        <v>-2000</v>
      </c>
      <c r="Y268" s="2"/>
      <c r="Z268" s="7">
        <f t="shared" si="95"/>
        <v>-2.2075055187637971E-2</v>
      </c>
    </row>
    <row r="269" spans="1:26" s="26" customFormat="1" outlineLevel="1" collapsed="1" x14ac:dyDescent="0.25">
      <c r="A269" s="25"/>
      <c r="B269" s="12" t="str">
        <f>CONCATENATE("     ","Repair and Maintenance                            ")</f>
        <v xml:space="preserve">     Repair and Maintenance                            </v>
      </c>
      <c r="C269" s="12"/>
      <c r="D269" s="1">
        <f>SUM(OSRRefD22_18x_0)</f>
        <v>26595.52</v>
      </c>
      <c r="E269" s="1"/>
      <c r="F269" s="5">
        <f t="shared" si="88"/>
        <v>0.12775706926641975</v>
      </c>
      <c r="G269" s="1"/>
      <c r="H269" s="1">
        <f>SUM(OSRRefH22_18x_0)</f>
        <v>15422</v>
      </c>
      <c r="I269" s="1"/>
      <c r="J269" s="5">
        <f t="shared" si="89"/>
        <v>2.8460903053799239E-2</v>
      </c>
      <c r="K269" s="1"/>
      <c r="L269" s="1">
        <f t="shared" si="90"/>
        <v>11173.52</v>
      </c>
      <c r="M269" s="1"/>
      <c r="N269" s="5">
        <f t="shared" si="91"/>
        <v>0.72451822072364158</v>
      </c>
      <c r="O269" s="12"/>
      <c r="P269" s="1">
        <f>SUM(OSRRefP22_18x_0)</f>
        <v>177850.52000000002</v>
      </c>
      <c r="Q269" s="1"/>
      <c r="R269" s="5">
        <f t="shared" si="92"/>
        <v>1.5332553822311513E-2</v>
      </c>
      <c r="S269" s="1"/>
      <c r="T269" s="1">
        <f>SUM(OSRRefT22_18x_0)</f>
        <v>246794</v>
      </c>
      <c r="U269" s="1"/>
      <c r="V269" s="5">
        <f t="shared" si="93"/>
        <v>1.609771188619049E-2</v>
      </c>
      <c r="W269" s="1"/>
      <c r="X269" s="1">
        <f t="shared" si="94"/>
        <v>-68943.479999999981</v>
      </c>
      <c r="Y269" s="1"/>
      <c r="Z269" s="5">
        <f t="shared" si="95"/>
        <v>-0.27935638629788401</v>
      </c>
    </row>
    <row r="270" spans="1:26" s="24" customFormat="1" hidden="1" outlineLevel="2" x14ac:dyDescent="0.25">
      <c r="A270" s="27"/>
      <c r="B270" s="11" t="str">
        <f>CONCATENATE("          ", "6371", " - ", "COMPUTER SOFTWARE MAINTENANCE")</f>
        <v xml:space="preserve">          6371 - COMPUTER SOFTWARE MAINTENANCE</v>
      </c>
      <c r="C270" s="11"/>
      <c r="D270" s="6">
        <v>12181.05</v>
      </c>
      <c r="E270" s="2"/>
      <c r="F270" s="7">
        <f t="shared" si="88"/>
        <v>5.8514187674755823E-2</v>
      </c>
      <c r="G270" s="2"/>
      <c r="H270" s="6"/>
      <c r="I270" s="2"/>
      <c r="J270" s="7">
        <f t="shared" si="89"/>
        <v>0</v>
      </c>
      <c r="K270" s="2"/>
      <c r="L270" s="6">
        <f t="shared" si="90"/>
        <v>12181.05</v>
      </c>
      <c r="M270" s="2"/>
      <c r="N270" s="7">
        <f t="shared" si="91"/>
        <v>0</v>
      </c>
      <c r="O270" s="11"/>
      <c r="P270" s="6">
        <v>29910.48</v>
      </c>
      <c r="Q270" s="2"/>
      <c r="R270" s="7">
        <f t="shared" si="92"/>
        <v>2.5785926543884833E-3</v>
      </c>
      <c r="S270" s="2"/>
      <c r="T270" s="6">
        <v>60535.000000000007</v>
      </c>
      <c r="U270" s="2"/>
      <c r="V270" s="7">
        <f t="shared" si="93"/>
        <v>3.9485359815495573E-3</v>
      </c>
      <c r="W270" s="2"/>
      <c r="X270" s="6">
        <f t="shared" si="94"/>
        <v>-30624.520000000008</v>
      </c>
      <c r="Y270" s="2"/>
      <c r="Z270" s="7">
        <f t="shared" si="95"/>
        <v>-0.50589774510613705</v>
      </c>
    </row>
    <row r="271" spans="1:26" s="24" customFormat="1" hidden="1" outlineLevel="2" x14ac:dyDescent="0.25">
      <c r="A271" s="27"/>
      <c r="B271" s="11" t="str">
        <f>CONCATENATE("          ", "6372", " - ", "COMPUTER HARDWARE MAINTENANCE")</f>
        <v xml:space="preserve">          6372 - COMPUTER HARDWARE MAINTENANCE</v>
      </c>
      <c r="C271" s="11"/>
      <c r="D271" s="6">
        <v>-2</v>
      </c>
      <c r="E271" s="2"/>
      <c r="F271" s="7">
        <f t="shared" si="88"/>
        <v>-9.6074127722578646E-6</v>
      </c>
      <c r="G271" s="2"/>
      <c r="H271" s="6"/>
      <c r="I271" s="2"/>
      <c r="J271" s="7">
        <f t="shared" si="89"/>
        <v>0</v>
      </c>
      <c r="K271" s="2"/>
      <c r="L271" s="6">
        <f t="shared" si="90"/>
        <v>-2</v>
      </c>
      <c r="M271" s="2"/>
      <c r="N271" s="7">
        <f t="shared" si="91"/>
        <v>0</v>
      </c>
      <c r="O271" s="11"/>
      <c r="P271" s="6">
        <v>50.32</v>
      </c>
      <c r="Q271" s="2"/>
      <c r="R271" s="7">
        <f t="shared" si="92"/>
        <v>4.3381043155719494E-6</v>
      </c>
      <c r="S271" s="2"/>
      <c r="T271" s="6">
        <v>2000</v>
      </c>
      <c r="U271" s="2"/>
      <c r="V271" s="7">
        <f t="shared" si="93"/>
        <v>1.3045464546294067E-4</v>
      </c>
      <c r="W271" s="2"/>
      <c r="X271" s="6">
        <f t="shared" si="94"/>
        <v>-1949.68</v>
      </c>
      <c r="Y271" s="2"/>
      <c r="Z271" s="7">
        <f t="shared" si="95"/>
        <v>-0.97484000000000004</v>
      </c>
    </row>
    <row r="272" spans="1:26" s="24" customFormat="1" hidden="1" outlineLevel="2" x14ac:dyDescent="0.25">
      <c r="A272" s="27"/>
      <c r="B272" s="11" t="str">
        <f>CONCATENATE("          ", "6373", " - ", "MAINTENANCE CONTRACTS")</f>
        <v xml:space="preserve">          6373 - MAINTENANCE CONTRACTS</v>
      </c>
      <c r="C272" s="11"/>
      <c r="D272" s="6">
        <v>12763.18</v>
      </c>
      <c r="E272" s="2"/>
      <c r="F272" s="7">
        <f t="shared" si="88"/>
        <v>6.1310569273313069E-2</v>
      </c>
      <c r="G272" s="2"/>
      <c r="H272" s="6">
        <v>7040</v>
      </c>
      <c r="I272" s="2"/>
      <c r="J272" s="7">
        <f t="shared" si="89"/>
        <v>1.2992138341249296E-2</v>
      </c>
      <c r="K272" s="2"/>
      <c r="L272" s="6">
        <f t="shared" si="90"/>
        <v>5723.18</v>
      </c>
      <c r="M272" s="2"/>
      <c r="N272" s="7">
        <f t="shared" si="91"/>
        <v>0.81295170454545462</v>
      </c>
      <c r="O272" s="11"/>
      <c r="P272" s="6">
        <v>92321.3</v>
      </c>
      <c r="Q272" s="2"/>
      <c r="R272" s="7">
        <f t="shared" si="92"/>
        <v>7.9590506746663875E-3</v>
      </c>
      <c r="S272" s="2"/>
      <c r="T272" s="6">
        <v>84555</v>
      </c>
      <c r="U272" s="2"/>
      <c r="V272" s="7">
        <f t="shared" si="93"/>
        <v>5.5152962735594748E-3</v>
      </c>
      <c r="W272" s="2"/>
      <c r="X272" s="6">
        <f t="shared" si="94"/>
        <v>7766.3000000000029</v>
      </c>
      <c r="Y272" s="2"/>
      <c r="Z272" s="7">
        <f t="shared" si="95"/>
        <v>9.1849092306782606E-2</v>
      </c>
    </row>
    <row r="273" spans="1:26" s="24" customFormat="1" hidden="1" outlineLevel="2" x14ac:dyDescent="0.25">
      <c r="A273" s="27"/>
      <c r="B273" s="11" t="str">
        <f>CONCATENATE("          ", "6375", " - ", "OUTSIDE REPAIRS &amp; MAINTENANCE")</f>
        <v xml:space="preserve">          6375 - OUTSIDE REPAIRS &amp; MAINTENANCE</v>
      </c>
      <c r="C273" s="11"/>
      <c r="D273" s="6">
        <v>1653.29</v>
      </c>
      <c r="E273" s="2"/>
      <c r="F273" s="7">
        <f t="shared" si="88"/>
        <v>7.9419197311231017E-3</v>
      </c>
      <c r="G273" s="2"/>
      <c r="H273" s="6">
        <v>8382</v>
      </c>
      <c r="I273" s="2"/>
      <c r="J273" s="7">
        <f t="shared" si="89"/>
        <v>1.5468764712549944E-2</v>
      </c>
      <c r="K273" s="2"/>
      <c r="L273" s="6">
        <f t="shared" si="90"/>
        <v>-6728.71</v>
      </c>
      <c r="M273" s="2"/>
      <c r="N273" s="7">
        <f t="shared" si="91"/>
        <v>-0.80275709854450017</v>
      </c>
      <c r="O273" s="11"/>
      <c r="P273" s="6">
        <v>55568.42</v>
      </c>
      <c r="Q273" s="2"/>
      <c r="R273" s="7">
        <f t="shared" si="92"/>
        <v>4.7905723889410693E-3</v>
      </c>
      <c r="S273" s="2"/>
      <c r="T273" s="6">
        <v>99704</v>
      </c>
      <c r="U273" s="2"/>
      <c r="V273" s="7">
        <f t="shared" si="93"/>
        <v>6.5034249856185189E-3</v>
      </c>
      <c r="W273" s="2"/>
      <c r="X273" s="6">
        <f t="shared" si="94"/>
        <v>-44135.58</v>
      </c>
      <c r="Y273" s="2"/>
      <c r="Z273" s="7">
        <f t="shared" si="95"/>
        <v>-0.44266609163122844</v>
      </c>
    </row>
    <row r="274" spans="1:26" s="26" customFormat="1" outlineLevel="1" collapsed="1" x14ac:dyDescent="0.25">
      <c r="A274" s="25"/>
      <c r="B274" s="12" t="str">
        <f>CONCATENATE("     ","Royalty &amp; Commissions                             ")</f>
        <v xml:space="preserve">     Royalty &amp; Commissions                             </v>
      </c>
      <c r="C274" s="12"/>
      <c r="D274" s="1">
        <f>SUM(OSRRefD22_19x_0)</f>
        <v>0</v>
      </c>
      <c r="E274" s="1"/>
      <c r="F274" s="5">
        <f t="shared" ref="F274:F278" si="96">IF(D$12=0,0,D274/D$12)</f>
        <v>0</v>
      </c>
      <c r="G274" s="1"/>
      <c r="H274" s="1">
        <f>SUM(OSRRefH22_19x_0)</f>
        <v>16800</v>
      </c>
      <c r="I274" s="1"/>
      <c r="J274" s="5">
        <f t="shared" ref="J274:J278" si="97">IF(H$12=0,0,H274/H$12)</f>
        <v>3.1003966496163094E-2</v>
      </c>
      <c r="K274" s="1"/>
      <c r="L274" s="1">
        <f t="shared" ref="L274:L278" si="98">+D274-H274</f>
        <v>-16800</v>
      </c>
      <c r="M274" s="1"/>
      <c r="N274" s="5">
        <f t="shared" ref="N274:N278" si="99">IF(H274=0,0,L274/H274)</f>
        <v>-1</v>
      </c>
      <c r="O274" s="12"/>
      <c r="P274" s="1">
        <f>SUM(OSRRefP22_19x_0)</f>
        <v>148005.54</v>
      </c>
      <c r="Q274" s="1"/>
      <c r="R274" s="5">
        <f t="shared" ref="R274:R278" si="100">IF(P$12=0,0,P274/P$12)</f>
        <v>1.2759607945201843E-2</v>
      </c>
      <c r="S274" s="1"/>
      <c r="T274" s="1">
        <f>SUM(OSRRefT22_19x_0)</f>
        <v>226971</v>
      </c>
      <c r="U274" s="1"/>
      <c r="V274" s="5">
        <f t="shared" ref="V274:V278" si="101">IF(T$12=0,0,T274/T$12)</f>
        <v>1.4804710667684554E-2</v>
      </c>
      <c r="W274" s="1"/>
      <c r="X274" s="1">
        <f t="shared" ref="X274:X278" si="102">+P274-T274</f>
        <v>-78965.459999999992</v>
      </c>
      <c r="Y274" s="1"/>
      <c r="Z274" s="5">
        <f t="shared" ref="Z274:Z278" si="103">IF(T274=0,0,X274/T274)</f>
        <v>-0.34790990919544784</v>
      </c>
    </row>
    <row r="275" spans="1:26" s="24" customFormat="1" hidden="1" outlineLevel="2" x14ac:dyDescent="0.25">
      <c r="A275" s="27"/>
      <c r="B275" s="11" t="str">
        <f>CONCATENATE("          ", "6252", " - ", "ROYALTY DUE CSTV")</f>
        <v xml:space="preserve">          6252 - ROYALTY DUE CSTV</v>
      </c>
      <c r="C275" s="11"/>
      <c r="D275" s="6"/>
      <c r="E275" s="2"/>
      <c r="F275" s="7">
        <f t="shared" si="96"/>
        <v>0</v>
      </c>
      <c r="G275" s="2"/>
      <c r="H275" s="6">
        <v>1085</v>
      </c>
      <c r="I275" s="2"/>
      <c r="J275" s="7">
        <f t="shared" si="97"/>
        <v>2.0023395028771996E-3</v>
      </c>
      <c r="K275" s="2"/>
      <c r="L275" s="6">
        <f t="shared" si="98"/>
        <v>-1085</v>
      </c>
      <c r="M275" s="2"/>
      <c r="N275" s="7">
        <f t="shared" si="99"/>
        <v>-1</v>
      </c>
      <c r="O275" s="11"/>
      <c r="P275" s="6"/>
      <c r="Q275" s="2"/>
      <c r="R275" s="7">
        <f t="shared" si="100"/>
        <v>0</v>
      </c>
      <c r="S275" s="2"/>
      <c r="T275" s="6">
        <v>13020</v>
      </c>
      <c r="U275" s="2"/>
      <c r="V275" s="7">
        <f t="shared" si="101"/>
        <v>8.492597419637438E-4</v>
      </c>
      <c r="W275" s="2"/>
      <c r="X275" s="6">
        <f t="shared" si="102"/>
        <v>-13020</v>
      </c>
      <c r="Y275" s="2"/>
      <c r="Z275" s="7">
        <f t="shared" si="103"/>
        <v>-1</v>
      </c>
    </row>
    <row r="276" spans="1:26" s="24" customFormat="1" hidden="1" outlineLevel="2" x14ac:dyDescent="0.25">
      <c r="A276" s="27"/>
      <c r="B276" s="11" t="str">
        <f>CONCATENATE("          ", "6253", " - ", "ROYALTY DUE ATHLETICS-LRG")</f>
        <v xml:space="preserve">          6253 - ROYALTY DUE ATHLETICS-LRG</v>
      </c>
      <c r="C276" s="11"/>
      <c r="D276" s="6"/>
      <c r="E276" s="2"/>
      <c r="F276" s="7">
        <f t="shared" si="96"/>
        <v>0</v>
      </c>
      <c r="G276" s="2"/>
      <c r="H276" s="6">
        <v>3700</v>
      </c>
      <c r="I276" s="2"/>
      <c r="J276" s="7">
        <f t="shared" si="97"/>
        <v>6.8282545259406814E-3</v>
      </c>
      <c r="K276" s="2"/>
      <c r="L276" s="6">
        <f t="shared" si="98"/>
        <v>-3700</v>
      </c>
      <c r="M276" s="2"/>
      <c r="N276" s="7">
        <f t="shared" si="99"/>
        <v>-1</v>
      </c>
      <c r="O276" s="11"/>
      <c r="P276" s="6">
        <v>32870.44</v>
      </c>
      <c r="Q276" s="2"/>
      <c r="R276" s="7">
        <f t="shared" si="100"/>
        <v>2.8337718127732282E-3</v>
      </c>
      <c r="S276" s="2"/>
      <c r="T276" s="6">
        <v>44400</v>
      </c>
      <c r="U276" s="2"/>
      <c r="V276" s="7">
        <f t="shared" si="101"/>
        <v>2.8960931292772831E-3</v>
      </c>
      <c r="W276" s="2"/>
      <c r="X276" s="6">
        <f t="shared" si="102"/>
        <v>-11529.559999999998</v>
      </c>
      <c r="Y276" s="2"/>
      <c r="Z276" s="7">
        <f t="shared" si="103"/>
        <v>-0.25967477477477474</v>
      </c>
    </row>
    <row r="277" spans="1:26" s="24" customFormat="1" hidden="1" outlineLevel="2" x14ac:dyDescent="0.25">
      <c r="A277" s="27"/>
      <c r="B277" s="11" t="str">
        <f>CONCATENATE("          ", "6254", " - ", "ROYALTY &amp; COMMISSIONS")</f>
        <v xml:space="preserve">          6254 - ROYALTY &amp; COMMISSIONS</v>
      </c>
      <c r="C277" s="11"/>
      <c r="D277" s="6"/>
      <c r="E277" s="2"/>
      <c r="F277" s="7">
        <f t="shared" si="96"/>
        <v>0</v>
      </c>
      <c r="G277" s="2"/>
      <c r="H277" s="6">
        <v>11700</v>
      </c>
      <c r="I277" s="2"/>
      <c r="J277" s="7">
        <f t="shared" si="97"/>
        <v>2.1592048095542153E-2</v>
      </c>
      <c r="K277" s="2"/>
      <c r="L277" s="6">
        <f t="shared" si="98"/>
        <v>-11700</v>
      </c>
      <c r="M277" s="2"/>
      <c r="N277" s="7">
        <f t="shared" si="99"/>
        <v>-1</v>
      </c>
      <c r="O277" s="11"/>
      <c r="P277" s="6">
        <v>32527.360000000001</v>
      </c>
      <c r="Q277" s="2"/>
      <c r="R277" s="7">
        <f t="shared" si="100"/>
        <v>2.8041947692798567E-3</v>
      </c>
      <c r="S277" s="2"/>
      <c r="T277" s="6">
        <v>140400</v>
      </c>
      <c r="U277" s="2"/>
      <c r="V277" s="7">
        <f t="shared" si="101"/>
        <v>9.1579161114984358E-3</v>
      </c>
      <c r="W277" s="2"/>
      <c r="X277" s="6">
        <f t="shared" si="102"/>
        <v>-107872.64</v>
      </c>
      <c r="Y277" s="2"/>
      <c r="Z277" s="7">
        <f t="shared" si="103"/>
        <v>-0.76832364672364672</v>
      </c>
    </row>
    <row r="278" spans="1:26" s="24" customFormat="1" hidden="1" outlineLevel="2" x14ac:dyDescent="0.25">
      <c r="A278" s="27"/>
      <c r="B278" s="11" t="str">
        <f>CONCATENATE("          ", "6259", " - ", "ROYALTY &amp; COMMISSIONS")</f>
        <v xml:space="preserve">          6259 - ROYALTY &amp; COMMISSIONS</v>
      </c>
      <c r="C278" s="11"/>
      <c r="D278" s="6"/>
      <c r="E278" s="2"/>
      <c r="F278" s="7">
        <f t="shared" si="96"/>
        <v>0</v>
      </c>
      <c r="G278" s="2"/>
      <c r="H278" s="6">
        <v>315</v>
      </c>
      <c r="I278" s="2"/>
      <c r="J278" s="7">
        <f t="shared" si="97"/>
        <v>5.8132437180305799E-4</v>
      </c>
      <c r="K278" s="2"/>
      <c r="L278" s="6">
        <f t="shared" si="98"/>
        <v>-315</v>
      </c>
      <c r="M278" s="2"/>
      <c r="N278" s="7">
        <f t="shared" si="99"/>
        <v>-1</v>
      </c>
      <c r="O278" s="11"/>
      <c r="P278" s="6">
        <v>82607.740000000005</v>
      </c>
      <c r="Q278" s="2"/>
      <c r="R278" s="7">
        <f t="shared" si="100"/>
        <v>7.1216413631487591E-3</v>
      </c>
      <c r="S278" s="2"/>
      <c r="T278" s="6">
        <v>29151</v>
      </c>
      <c r="U278" s="2"/>
      <c r="V278" s="7">
        <f t="shared" si="101"/>
        <v>1.901441684945092E-3</v>
      </c>
      <c r="W278" s="2"/>
      <c r="X278" s="6">
        <f t="shared" si="102"/>
        <v>53456.740000000005</v>
      </c>
      <c r="Y278" s="2"/>
      <c r="Z278" s="7">
        <f t="shared" si="103"/>
        <v>1.8337875201536826</v>
      </c>
    </row>
    <row r="279" spans="1:26" s="26" customFormat="1" outlineLevel="1" collapsed="1" x14ac:dyDescent="0.25">
      <c r="A279" s="25"/>
      <c r="B279" s="12" t="str">
        <f>CONCATENATE("     ","Services                                          ")</f>
        <v xml:space="preserve">     Services                                          </v>
      </c>
      <c r="C279" s="12"/>
      <c r="D279" s="1">
        <f>SUM(OSRRefD22_20x_0)</f>
        <v>17288.7</v>
      </c>
      <c r="E279" s="1"/>
      <c r="F279" s="5">
        <f t="shared" ref="F279:F285" si="104">IF(D$12=0,0,D279/D$12)</f>
        <v>8.304983859786727E-2</v>
      </c>
      <c r="G279" s="1"/>
      <c r="H279" s="1">
        <f>SUM(OSRRefH22_20x_0)</f>
        <v>5212.5</v>
      </c>
      <c r="I279" s="1"/>
      <c r="J279" s="5">
        <f t="shared" ref="J279:J285" si="105">IF(H$12=0,0,H279/H$12)</f>
        <v>9.6195342476934603E-3</v>
      </c>
      <c r="K279" s="1"/>
      <c r="L279" s="1">
        <f t="shared" ref="L279:L285" si="106">+D279-H279</f>
        <v>12076.2</v>
      </c>
      <c r="M279" s="1"/>
      <c r="N279" s="5">
        <f t="shared" ref="N279:N285" si="107">IF(H279=0,0,L279/H279)</f>
        <v>2.3167769784172663</v>
      </c>
      <c r="O279" s="12"/>
      <c r="P279" s="1">
        <f>SUM(OSRRefP22_20x_0)</f>
        <v>85027.09</v>
      </c>
      <c r="Q279" s="1"/>
      <c r="R279" s="5">
        <f t="shared" ref="R279:R285" si="108">IF(P$12=0,0,P279/P$12)</f>
        <v>7.3302143495533488E-3</v>
      </c>
      <c r="S279" s="1"/>
      <c r="T279" s="1">
        <f>SUM(OSRRefT22_20x_0)</f>
        <v>64036</v>
      </c>
      <c r="U279" s="1"/>
      <c r="V279" s="5">
        <f t="shared" ref="V279:V285" si="109">IF(T$12=0,0,T279/T$12)</f>
        <v>4.1768968384324348E-3</v>
      </c>
      <c r="W279" s="1"/>
      <c r="X279" s="1">
        <f t="shared" ref="X279:X285" si="110">+P279-T279</f>
        <v>20991.089999999997</v>
      </c>
      <c r="Y279" s="1"/>
      <c r="Z279" s="5">
        <f t="shared" ref="Z279:Z285" si="111">IF(T279=0,0,X279/T279)</f>
        <v>0.32780139296645633</v>
      </c>
    </row>
    <row r="280" spans="1:26" s="24" customFormat="1" hidden="1" outlineLevel="2" x14ac:dyDescent="0.25">
      <c r="A280" s="27"/>
      <c r="B280" s="11" t="str">
        <f>CONCATENATE("          ", "6281", " - ", "STORAGE FEE")</f>
        <v xml:space="preserve">          6281 - STORAGE FEE</v>
      </c>
      <c r="C280" s="11"/>
      <c r="D280" s="6"/>
      <c r="E280" s="2"/>
      <c r="F280" s="7">
        <f t="shared" si="104"/>
        <v>0</v>
      </c>
      <c r="G280" s="2"/>
      <c r="H280" s="6"/>
      <c r="I280" s="2"/>
      <c r="J280" s="7">
        <f t="shared" si="105"/>
        <v>0</v>
      </c>
      <c r="K280" s="2"/>
      <c r="L280" s="6">
        <f t="shared" si="106"/>
        <v>0</v>
      </c>
      <c r="M280" s="2"/>
      <c r="N280" s="7">
        <f t="shared" si="107"/>
        <v>0</v>
      </c>
      <c r="O280" s="11"/>
      <c r="P280" s="6"/>
      <c r="Q280" s="2"/>
      <c r="R280" s="7">
        <f t="shared" si="108"/>
        <v>0</v>
      </c>
      <c r="S280" s="2"/>
      <c r="T280" s="6">
        <v>0</v>
      </c>
      <c r="U280" s="2"/>
      <c r="V280" s="7">
        <f t="shared" si="109"/>
        <v>0</v>
      </c>
      <c r="W280" s="2"/>
      <c r="X280" s="6">
        <f t="shared" si="110"/>
        <v>0</v>
      </c>
      <c r="Y280" s="2"/>
      <c r="Z280" s="7">
        <f t="shared" si="111"/>
        <v>0</v>
      </c>
    </row>
    <row r="281" spans="1:26" s="24" customFormat="1" hidden="1" outlineLevel="2" x14ac:dyDescent="0.25">
      <c r="A281" s="27"/>
      <c r="B281" s="11" t="str">
        <f>CONCATENATE("          ", "6282", " - ", "JANITORIAL/EXTERMINATOR EXPENS")</f>
        <v xml:space="preserve">          6282 - JANITORIAL/EXTERMINATOR EXPENS</v>
      </c>
      <c r="C281" s="11"/>
      <c r="D281" s="6">
        <v>1399.56</v>
      </c>
      <c r="E281" s="2"/>
      <c r="F281" s="7">
        <f t="shared" si="104"/>
        <v>6.7230753097706078E-3</v>
      </c>
      <c r="G281" s="2"/>
      <c r="H281" s="6">
        <v>604</v>
      </c>
      <c r="I281" s="2"/>
      <c r="J281" s="7">
        <f t="shared" si="105"/>
        <v>1.1146664145049111E-3</v>
      </c>
      <c r="K281" s="2"/>
      <c r="L281" s="6">
        <f t="shared" si="106"/>
        <v>795.56</v>
      </c>
      <c r="M281" s="2"/>
      <c r="N281" s="7">
        <f t="shared" si="107"/>
        <v>1.3171523178807947</v>
      </c>
      <c r="O281" s="11"/>
      <c r="P281" s="6">
        <v>10503.67</v>
      </c>
      <c r="Q281" s="2"/>
      <c r="R281" s="7">
        <f t="shared" si="108"/>
        <v>9.0552496336135965E-4</v>
      </c>
      <c r="S281" s="2"/>
      <c r="T281" s="6">
        <v>6417</v>
      </c>
      <c r="U281" s="2"/>
      <c r="V281" s="7">
        <f t="shared" si="109"/>
        <v>4.1856372996784517E-4</v>
      </c>
      <c r="W281" s="2"/>
      <c r="X281" s="6">
        <f t="shared" si="110"/>
        <v>4086.67</v>
      </c>
      <c r="Y281" s="2"/>
      <c r="Z281" s="7">
        <f t="shared" si="111"/>
        <v>0.63685055321801465</v>
      </c>
    </row>
    <row r="282" spans="1:26" s="24" customFormat="1" hidden="1" outlineLevel="2" x14ac:dyDescent="0.25">
      <c r="A282" s="27"/>
      <c r="B282" s="11" t="str">
        <f>CONCATENATE("          ", "6283", " - ", "PLANT SERVICE")</f>
        <v xml:space="preserve">          6283 - PLANT SERVICE</v>
      </c>
      <c r="C282" s="11"/>
      <c r="D282" s="6"/>
      <c r="E282" s="2"/>
      <c r="F282" s="7">
        <f t="shared" si="104"/>
        <v>0</v>
      </c>
      <c r="G282" s="2"/>
      <c r="H282" s="6">
        <v>60</v>
      </c>
      <c r="I282" s="2"/>
      <c r="J282" s="7">
        <f t="shared" si="105"/>
        <v>1.1072845177201105E-4</v>
      </c>
      <c r="K282" s="2"/>
      <c r="L282" s="6">
        <f t="shared" si="106"/>
        <v>-60</v>
      </c>
      <c r="M282" s="2"/>
      <c r="N282" s="7">
        <f t="shared" si="107"/>
        <v>-1</v>
      </c>
      <c r="O282" s="11"/>
      <c r="P282" s="6">
        <v>541.98</v>
      </c>
      <c r="Q282" s="2"/>
      <c r="R282" s="7">
        <f t="shared" si="108"/>
        <v>4.6724280146138419E-5</v>
      </c>
      <c r="S282" s="2"/>
      <c r="T282" s="6">
        <v>720</v>
      </c>
      <c r="U282" s="2"/>
      <c r="V282" s="7">
        <f t="shared" si="109"/>
        <v>4.6963672366658644E-5</v>
      </c>
      <c r="W282" s="2"/>
      <c r="X282" s="6">
        <f t="shared" si="110"/>
        <v>-178.01999999999998</v>
      </c>
      <c r="Y282" s="2"/>
      <c r="Z282" s="7">
        <f t="shared" si="111"/>
        <v>-0.24724999999999997</v>
      </c>
    </row>
    <row r="283" spans="1:26" s="24" customFormat="1" hidden="1" outlineLevel="2" x14ac:dyDescent="0.25">
      <c r="A283" s="27"/>
      <c r="B283" s="11" t="str">
        <f>CONCATENATE("          ", "6284", " - ", "TRASH REMOVAL EXPENSE")</f>
        <v xml:space="preserve">          6284 - TRASH REMOVAL EXPENSE</v>
      </c>
      <c r="C283" s="11"/>
      <c r="D283" s="6">
        <v>423.82</v>
      </c>
      <c r="E283" s="2"/>
      <c r="F283" s="7">
        <f t="shared" si="104"/>
        <v>2.0359068405691638E-3</v>
      </c>
      <c r="G283" s="2"/>
      <c r="H283" s="6">
        <v>212.5</v>
      </c>
      <c r="I283" s="2"/>
      <c r="J283" s="7">
        <f t="shared" si="105"/>
        <v>3.921632666925391E-4</v>
      </c>
      <c r="K283" s="2"/>
      <c r="L283" s="6">
        <f t="shared" si="106"/>
        <v>211.32</v>
      </c>
      <c r="M283" s="2"/>
      <c r="N283" s="7">
        <f t="shared" si="107"/>
        <v>0.99444705882352935</v>
      </c>
      <c r="O283" s="11"/>
      <c r="P283" s="6">
        <v>5084.84</v>
      </c>
      <c r="Q283" s="2"/>
      <c r="R283" s="7">
        <f t="shared" si="108"/>
        <v>4.3836578592990603E-4</v>
      </c>
      <c r="S283" s="2"/>
      <c r="T283" s="6">
        <v>2550</v>
      </c>
      <c r="U283" s="2"/>
      <c r="V283" s="7">
        <f t="shared" si="109"/>
        <v>1.6632967296524936E-4</v>
      </c>
      <c r="W283" s="2"/>
      <c r="X283" s="6">
        <f t="shared" si="110"/>
        <v>2534.84</v>
      </c>
      <c r="Y283" s="2"/>
      <c r="Z283" s="7">
        <f t="shared" si="111"/>
        <v>0.99405490196078439</v>
      </c>
    </row>
    <row r="284" spans="1:26" s="24" customFormat="1" hidden="1" outlineLevel="2" x14ac:dyDescent="0.25">
      <c r="A284" s="27"/>
      <c r="B284" s="11" t="str">
        <f>CONCATENATE("          ", "6285", " - ", "JANITORIAL SERVICES")</f>
        <v xml:space="preserve">          6285 - JANITORIAL SERVICES</v>
      </c>
      <c r="C284" s="11"/>
      <c r="D284" s="6">
        <v>15465.32</v>
      </c>
      <c r="E284" s="2"/>
      <c r="F284" s="7">
        <f t="shared" si="104"/>
        <v>7.429085644752749E-2</v>
      </c>
      <c r="G284" s="2"/>
      <c r="H284" s="6">
        <v>4291</v>
      </c>
      <c r="I284" s="2"/>
      <c r="J284" s="7">
        <f t="shared" si="105"/>
        <v>7.9189297758949905E-3</v>
      </c>
      <c r="K284" s="2"/>
      <c r="L284" s="6">
        <f t="shared" si="106"/>
        <v>11174.32</v>
      </c>
      <c r="M284" s="2"/>
      <c r="N284" s="7">
        <f t="shared" si="107"/>
        <v>2.6041295735259844</v>
      </c>
      <c r="O284" s="11"/>
      <c r="P284" s="6">
        <v>62709.43</v>
      </c>
      <c r="Q284" s="2"/>
      <c r="R284" s="7">
        <f t="shared" si="108"/>
        <v>5.4062012899454897E-3</v>
      </c>
      <c r="S284" s="2"/>
      <c r="T284" s="6">
        <v>53449</v>
      </c>
      <c r="U284" s="2"/>
      <c r="V284" s="7">
        <f t="shared" si="109"/>
        <v>3.486335172674358E-3</v>
      </c>
      <c r="W284" s="2"/>
      <c r="X284" s="6">
        <f t="shared" si="110"/>
        <v>9260.43</v>
      </c>
      <c r="Y284" s="2"/>
      <c r="Z284" s="7">
        <f t="shared" si="111"/>
        <v>0.17325731070740333</v>
      </c>
    </row>
    <row r="285" spans="1:26" s="24" customFormat="1" hidden="1" outlineLevel="2" x14ac:dyDescent="0.25">
      <c r="A285" s="27"/>
      <c r="B285" s="11" t="str">
        <f>CONCATENATE("          ", "6286", " - ", "LAUNDRY EXPENSE")</f>
        <v xml:space="preserve">          6286 - LAUNDRY EXPENSE</v>
      </c>
      <c r="C285" s="11"/>
      <c r="D285" s="6"/>
      <c r="E285" s="2"/>
      <c r="F285" s="7">
        <f t="shared" si="104"/>
        <v>0</v>
      </c>
      <c r="G285" s="2"/>
      <c r="H285" s="6">
        <v>45</v>
      </c>
      <c r="I285" s="2"/>
      <c r="J285" s="7">
        <f t="shared" si="105"/>
        <v>8.3046338829008285E-5</v>
      </c>
      <c r="K285" s="2"/>
      <c r="L285" s="6">
        <f t="shared" si="106"/>
        <v>-45</v>
      </c>
      <c r="M285" s="2"/>
      <c r="N285" s="7">
        <f t="shared" si="107"/>
        <v>-1</v>
      </c>
      <c r="O285" s="11"/>
      <c r="P285" s="6">
        <v>6187.17</v>
      </c>
      <c r="Q285" s="2"/>
      <c r="R285" s="7">
        <f t="shared" si="108"/>
        <v>5.3339803017045503E-4</v>
      </c>
      <c r="S285" s="2"/>
      <c r="T285" s="6">
        <v>900</v>
      </c>
      <c r="U285" s="2"/>
      <c r="V285" s="7">
        <f t="shared" si="109"/>
        <v>5.8704590458323307E-5</v>
      </c>
      <c r="W285" s="2"/>
      <c r="X285" s="6">
        <f t="shared" si="110"/>
        <v>5287.17</v>
      </c>
      <c r="Y285" s="2"/>
      <c r="Z285" s="7">
        <f t="shared" si="111"/>
        <v>5.8746333333333336</v>
      </c>
    </row>
    <row r="286" spans="1:26" s="26" customFormat="1" outlineLevel="1" collapsed="1" x14ac:dyDescent="0.25">
      <c r="A286" s="25"/>
      <c r="B286" s="12" t="str">
        <f>CONCATENATE("     ","Subscriptions &amp; Dues                              ")</f>
        <v xml:space="preserve">     Subscriptions &amp; Dues                              </v>
      </c>
      <c r="C286" s="12"/>
      <c r="D286" s="1">
        <f>SUM(OSRRefD22_21x_0)</f>
        <v>1101.25</v>
      </c>
      <c r="E286" s="1"/>
      <c r="F286" s="5">
        <f t="shared" ref="F286:F288" si="112">IF(D$12=0,0,D286/D$12)</f>
        <v>5.2900816577244863E-3</v>
      </c>
      <c r="G286" s="1"/>
      <c r="H286" s="1">
        <f>SUM(OSRRefH22_21x_0)</f>
        <v>1195</v>
      </c>
      <c r="I286" s="1"/>
      <c r="J286" s="5">
        <f t="shared" ref="J286:J288" si="113">IF(H$12=0,0,H286/H$12)</f>
        <v>2.2053416644592198E-3</v>
      </c>
      <c r="K286" s="1"/>
      <c r="L286" s="1">
        <f t="shared" ref="L286:L288" si="114">+D286-H286</f>
        <v>-93.75</v>
      </c>
      <c r="M286" s="1"/>
      <c r="N286" s="5">
        <f t="shared" ref="N286:N288" si="115">IF(H286=0,0,L286/H286)</f>
        <v>-7.8451882845188281E-2</v>
      </c>
      <c r="O286" s="12"/>
      <c r="P286" s="1">
        <f>SUM(OSRRefP22_21x_0)</f>
        <v>9871.2999999999993</v>
      </c>
      <c r="Q286" s="1"/>
      <c r="R286" s="5">
        <f t="shared" ref="R286:R288" si="116">IF(P$12=0,0,P286/P$12)</f>
        <v>8.5100813057045668E-4</v>
      </c>
      <c r="S286" s="1"/>
      <c r="T286" s="1">
        <f>SUM(OSRRefT22_21x_0)</f>
        <v>24030</v>
      </c>
      <c r="U286" s="1"/>
      <c r="V286" s="5">
        <f t="shared" ref="V286:V288" si="117">IF(T$12=0,0,T286/T$12)</f>
        <v>1.5674125652372323E-3</v>
      </c>
      <c r="W286" s="1"/>
      <c r="X286" s="1">
        <f t="shared" ref="X286:X288" si="118">+P286-T286</f>
        <v>-14158.7</v>
      </c>
      <c r="Y286" s="1"/>
      <c r="Z286" s="5">
        <f t="shared" ref="Z286:Z288" si="119">IF(T286=0,0,X286/T286)</f>
        <v>-0.58920932168123186</v>
      </c>
    </row>
    <row r="287" spans="1:26" s="24" customFormat="1" hidden="1" outlineLevel="2" x14ac:dyDescent="0.25">
      <c r="A287" s="27"/>
      <c r="B287" s="11" t="str">
        <f>CONCATENATE("          ", "6258", " - ", "MEMBERSHIP DUES")</f>
        <v xml:space="preserve">          6258 - MEMBERSHIP DUES</v>
      </c>
      <c r="C287" s="11"/>
      <c r="D287" s="6">
        <v>1101.25</v>
      </c>
      <c r="E287" s="2"/>
      <c r="F287" s="7">
        <f t="shared" si="112"/>
        <v>5.2900816577244863E-3</v>
      </c>
      <c r="G287" s="2"/>
      <c r="H287" s="6">
        <v>700</v>
      </c>
      <c r="I287" s="2"/>
      <c r="J287" s="7">
        <f t="shared" si="113"/>
        <v>1.2918319373401289E-3</v>
      </c>
      <c r="K287" s="2"/>
      <c r="L287" s="6">
        <f t="shared" si="114"/>
        <v>401.25</v>
      </c>
      <c r="M287" s="2"/>
      <c r="N287" s="7">
        <f t="shared" si="115"/>
        <v>0.57321428571428568</v>
      </c>
      <c r="O287" s="11"/>
      <c r="P287" s="6">
        <v>5667.66</v>
      </c>
      <c r="Q287" s="2"/>
      <c r="R287" s="7">
        <f t="shared" si="116"/>
        <v>4.8861089636714056E-4</v>
      </c>
      <c r="S287" s="2"/>
      <c r="T287" s="6">
        <v>16140</v>
      </c>
      <c r="U287" s="2"/>
      <c r="V287" s="7">
        <f t="shared" si="117"/>
        <v>1.0527689888859312E-3</v>
      </c>
      <c r="W287" s="2"/>
      <c r="X287" s="6">
        <f t="shared" si="118"/>
        <v>-10472.34</v>
      </c>
      <c r="Y287" s="2"/>
      <c r="Z287" s="7">
        <f t="shared" si="119"/>
        <v>-0.64884386617100376</v>
      </c>
    </row>
    <row r="288" spans="1:26" s="24" customFormat="1" hidden="1" outlineLevel="2" x14ac:dyDescent="0.25">
      <c r="A288" s="27"/>
      <c r="B288" s="11" t="str">
        <f>CONCATENATE("          ", "6275", " - ", "SUBSCRIPTIONS")</f>
        <v xml:space="preserve">          6275 - SUBSCRIPTIONS</v>
      </c>
      <c r="C288" s="11"/>
      <c r="D288" s="6"/>
      <c r="E288" s="2"/>
      <c r="F288" s="7">
        <f t="shared" si="112"/>
        <v>0</v>
      </c>
      <c r="G288" s="2"/>
      <c r="H288" s="6">
        <v>495</v>
      </c>
      <c r="I288" s="2"/>
      <c r="J288" s="7">
        <f t="shared" si="113"/>
        <v>9.1350972711909113E-4</v>
      </c>
      <c r="K288" s="2"/>
      <c r="L288" s="6">
        <f t="shared" si="114"/>
        <v>-495</v>
      </c>
      <c r="M288" s="2"/>
      <c r="N288" s="7">
        <f t="shared" si="115"/>
        <v>-1</v>
      </c>
      <c r="O288" s="11"/>
      <c r="P288" s="6">
        <v>4203.6400000000003</v>
      </c>
      <c r="Q288" s="2"/>
      <c r="R288" s="7">
        <f t="shared" si="116"/>
        <v>3.6239723420331617E-4</v>
      </c>
      <c r="S288" s="2"/>
      <c r="T288" s="6">
        <v>7890</v>
      </c>
      <c r="U288" s="2"/>
      <c r="V288" s="7">
        <f t="shared" si="117"/>
        <v>5.1464357635130095E-4</v>
      </c>
      <c r="W288" s="2"/>
      <c r="X288" s="6">
        <f t="shared" si="118"/>
        <v>-3686.3599999999997</v>
      </c>
      <c r="Y288" s="2"/>
      <c r="Z288" s="7">
        <f t="shared" si="119"/>
        <v>-0.46721926489226867</v>
      </c>
    </row>
    <row r="289" spans="1:26" s="26" customFormat="1" outlineLevel="1" collapsed="1" x14ac:dyDescent="0.25">
      <c r="A289" s="25"/>
      <c r="B289" s="12" t="str">
        <f>CONCATENATE("     ","Supplies                                          ")</f>
        <v xml:space="preserve">     Supplies                                          </v>
      </c>
      <c r="C289" s="12"/>
      <c r="D289" s="1">
        <f>SUM(OSRRefD22_22x_0)</f>
        <v>15946.69</v>
      </c>
      <c r="E289" s="1"/>
      <c r="F289" s="5">
        <f t="shared" ref="F289:F299" si="120">IF(D$12=0,0,D289/D$12)</f>
        <v>7.6603216590618389E-2</v>
      </c>
      <c r="G289" s="1"/>
      <c r="H289" s="1">
        <f>SUM(OSRRefH22_22x_0)</f>
        <v>17707</v>
      </c>
      <c r="I289" s="1"/>
      <c r="J289" s="5">
        <f t="shared" ref="J289:J299" si="121">IF(H$12=0,0,H289/H$12)</f>
        <v>3.2677811592116662E-2</v>
      </c>
      <c r="K289" s="1"/>
      <c r="L289" s="1">
        <f t="shared" ref="L289:L299" si="122">+D289-H289</f>
        <v>-1760.3099999999995</v>
      </c>
      <c r="M289" s="1"/>
      <c r="N289" s="5">
        <f t="shared" ref="N289:N299" si="123">IF(H289=0,0,L289/H289)</f>
        <v>-9.9413226407635363E-2</v>
      </c>
      <c r="O289" s="12"/>
      <c r="P289" s="1">
        <f>SUM(OSRRefP22_22x_0)</f>
        <v>159221.31</v>
      </c>
      <c r="Q289" s="1"/>
      <c r="R289" s="5">
        <f t="shared" ref="R289:R299" si="124">IF(P$12=0,0,P289/P$12)</f>
        <v>1.3726523291773035E-2</v>
      </c>
      <c r="S289" s="1"/>
      <c r="T289" s="1">
        <f>SUM(OSRRefT22_22x_0)</f>
        <v>246330</v>
      </c>
      <c r="U289" s="1"/>
      <c r="V289" s="5">
        <f t="shared" ref="V289:V299" si="125">IF(T$12=0,0,T289/T$12)</f>
        <v>1.6067446408443087E-2</v>
      </c>
      <c r="W289" s="1"/>
      <c r="X289" s="1">
        <f t="shared" ref="X289:X299" si="126">+P289-T289</f>
        <v>-87108.69</v>
      </c>
      <c r="Y289" s="1"/>
      <c r="Z289" s="5">
        <f t="shared" ref="Z289:Z299" si="127">IF(T289=0,0,X289/T289)</f>
        <v>-0.3536259895262453</v>
      </c>
    </row>
    <row r="290" spans="1:26" s="24" customFormat="1" hidden="1" outlineLevel="2" x14ac:dyDescent="0.25">
      <c r="A290" s="27"/>
      <c r="B290" s="11" t="str">
        <f>CONCATENATE("          ", "6234", " - ", "EXPENDABLE SUPPLIES &amp; EQUIPMEN")</f>
        <v xml:space="preserve">          6234 - EXPENDABLE SUPPLIES &amp; EQUIPMEN</v>
      </c>
      <c r="C290" s="11"/>
      <c r="D290" s="6">
        <v>4356.1000000000004</v>
      </c>
      <c r="E290" s="2"/>
      <c r="F290" s="7">
        <f t="shared" si="120"/>
        <v>2.0925425388616244E-2</v>
      </c>
      <c r="G290" s="2"/>
      <c r="H290" s="6">
        <v>1200</v>
      </c>
      <c r="I290" s="2"/>
      <c r="J290" s="7">
        <f t="shared" si="121"/>
        <v>2.2145690354402211E-3</v>
      </c>
      <c r="K290" s="2"/>
      <c r="L290" s="6">
        <f t="shared" si="122"/>
        <v>3156.1000000000004</v>
      </c>
      <c r="M290" s="2"/>
      <c r="N290" s="7">
        <f t="shared" si="123"/>
        <v>2.6300833333333338</v>
      </c>
      <c r="O290" s="11"/>
      <c r="P290" s="6">
        <v>9591.1200000000008</v>
      </c>
      <c r="Q290" s="2"/>
      <c r="R290" s="7">
        <f t="shared" si="124"/>
        <v>8.2685371747155082E-4</v>
      </c>
      <c r="S290" s="2"/>
      <c r="T290" s="6">
        <v>11450</v>
      </c>
      <c r="U290" s="2"/>
      <c r="V290" s="7">
        <f t="shared" si="125"/>
        <v>7.468528452753354E-4</v>
      </c>
      <c r="W290" s="2"/>
      <c r="X290" s="6">
        <f t="shared" si="126"/>
        <v>-1858.8799999999992</v>
      </c>
      <c r="Y290" s="2"/>
      <c r="Z290" s="7">
        <f t="shared" si="127"/>
        <v>-0.16234759825327505</v>
      </c>
    </row>
    <row r="291" spans="1:26" s="24" customFormat="1" hidden="1" outlineLevel="2" x14ac:dyDescent="0.25">
      <c r="A291" s="27"/>
      <c r="B291" s="11" t="str">
        <f>CONCATENATE("          ", "6235", " - ", "COVID-19 EXPENSES")</f>
        <v xml:space="preserve">          6235 - COVID-19 EXPENSES</v>
      </c>
      <c r="C291" s="11"/>
      <c r="D291" s="6">
        <v>3511.67</v>
      </c>
      <c r="E291" s="2"/>
      <c r="F291" s="7">
        <f t="shared" si="120"/>
        <v>1.6869031604977387E-2</v>
      </c>
      <c r="G291" s="2"/>
      <c r="H291" s="6"/>
      <c r="I291" s="2"/>
      <c r="J291" s="7">
        <f t="shared" si="121"/>
        <v>0</v>
      </c>
      <c r="K291" s="2"/>
      <c r="L291" s="6">
        <f t="shared" si="122"/>
        <v>3511.67</v>
      </c>
      <c r="M291" s="2"/>
      <c r="N291" s="7">
        <f t="shared" si="123"/>
        <v>0</v>
      </c>
      <c r="O291" s="11"/>
      <c r="P291" s="6">
        <v>5061.67</v>
      </c>
      <c r="Q291" s="2"/>
      <c r="R291" s="7">
        <f t="shared" si="124"/>
        <v>4.3636829234898787E-4</v>
      </c>
      <c r="S291" s="2"/>
      <c r="T291" s="6"/>
      <c r="U291" s="2"/>
      <c r="V291" s="7">
        <f t="shared" si="125"/>
        <v>0</v>
      </c>
      <c r="W291" s="2"/>
      <c r="X291" s="6">
        <f t="shared" si="126"/>
        <v>5061.67</v>
      </c>
      <c r="Y291" s="2"/>
      <c r="Z291" s="7">
        <f t="shared" si="127"/>
        <v>0</v>
      </c>
    </row>
    <row r="292" spans="1:26" s="24" customFormat="1" hidden="1" outlineLevel="2" x14ac:dyDescent="0.25">
      <c r="A292" s="27"/>
      <c r="B292" s="11" t="str">
        <f>CONCATENATE("          ", "6237", " - ", "JANITORIAL SUPPLIES")</f>
        <v xml:space="preserve">          6237 - JANITORIAL SUPPLIES</v>
      </c>
      <c r="C292" s="11"/>
      <c r="D292" s="6">
        <v>1763.02</v>
      </c>
      <c r="E292" s="2"/>
      <c r="F292" s="7">
        <f t="shared" si="120"/>
        <v>8.4690304328730297E-3</v>
      </c>
      <c r="G292" s="2"/>
      <c r="H292" s="6">
        <v>325</v>
      </c>
      <c r="I292" s="2"/>
      <c r="J292" s="7">
        <f t="shared" si="121"/>
        <v>5.9977911376505981E-4</v>
      </c>
      <c r="K292" s="2"/>
      <c r="L292" s="6">
        <f t="shared" si="122"/>
        <v>1438.02</v>
      </c>
      <c r="M292" s="2"/>
      <c r="N292" s="7">
        <f t="shared" si="123"/>
        <v>4.4246769230769232</v>
      </c>
      <c r="O292" s="11"/>
      <c r="P292" s="6">
        <v>11487.03</v>
      </c>
      <c r="Q292" s="2"/>
      <c r="R292" s="7">
        <f t="shared" si="124"/>
        <v>9.9030076343609792E-4</v>
      </c>
      <c r="S292" s="2"/>
      <c r="T292" s="6">
        <v>2315</v>
      </c>
      <c r="U292" s="2"/>
      <c r="V292" s="7">
        <f t="shared" si="125"/>
        <v>1.5100125212335385E-4</v>
      </c>
      <c r="W292" s="2"/>
      <c r="X292" s="6">
        <f t="shared" si="126"/>
        <v>9172.0300000000007</v>
      </c>
      <c r="Y292" s="2"/>
      <c r="Z292" s="7">
        <f t="shared" si="127"/>
        <v>3.9620000000000002</v>
      </c>
    </row>
    <row r="293" spans="1:26" s="24" customFormat="1" hidden="1" outlineLevel="2" x14ac:dyDescent="0.25">
      <c r="A293" s="27"/>
      <c r="B293" s="11" t="str">
        <f>CONCATENATE("          ", "6239", " - ", "KITCHEN SUPPLIES")</f>
        <v xml:space="preserve">          6239 - KITCHEN SUPPLIES</v>
      </c>
      <c r="C293" s="11"/>
      <c r="D293" s="6"/>
      <c r="E293" s="2"/>
      <c r="F293" s="7">
        <f t="shared" si="120"/>
        <v>0</v>
      </c>
      <c r="G293" s="2"/>
      <c r="H293" s="6"/>
      <c r="I293" s="2"/>
      <c r="J293" s="7">
        <f t="shared" si="121"/>
        <v>0</v>
      </c>
      <c r="K293" s="2"/>
      <c r="L293" s="6">
        <f t="shared" si="122"/>
        <v>0</v>
      </c>
      <c r="M293" s="2"/>
      <c r="N293" s="7">
        <f t="shared" si="123"/>
        <v>0</v>
      </c>
      <c r="O293" s="11"/>
      <c r="P293" s="6">
        <v>441.2</v>
      </c>
      <c r="Q293" s="2"/>
      <c r="R293" s="7">
        <f t="shared" si="124"/>
        <v>3.8036002067375676E-5</v>
      </c>
      <c r="S293" s="2"/>
      <c r="T293" s="6"/>
      <c r="U293" s="2"/>
      <c r="V293" s="7">
        <f t="shared" si="125"/>
        <v>0</v>
      </c>
      <c r="W293" s="2"/>
      <c r="X293" s="6">
        <f t="shared" si="126"/>
        <v>441.2</v>
      </c>
      <c r="Y293" s="2"/>
      <c r="Z293" s="7">
        <f t="shared" si="127"/>
        <v>0</v>
      </c>
    </row>
    <row r="294" spans="1:26" s="24" customFormat="1" hidden="1" outlineLevel="2" x14ac:dyDescent="0.25">
      <c r="A294" s="27"/>
      <c r="B294" s="11" t="str">
        <f>CONCATENATE("          ", "6241", " - ", "OFFICE EXPENSE")</f>
        <v xml:space="preserve">          6241 - OFFICE EXPENSE</v>
      </c>
      <c r="C294" s="11"/>
      <c r="D294" s="6">
        <v>652.34</v>
      </c>
      <c r="E294" s="2"/>
      <c r="F294" s="7">
        <f t="shared" si="120"/>
        <v>3.1336498239273479E-3</v>
      </c>
      <c r="G294" s="2"/>
      <c r="H294" s="6">
        <v>2375</v>
      </c>
      <c r="I294" s="2"/>
      <c r="J294" s="7">
        <f t="shared" si="121"/>
        <v>4.3830012159754373E-3</v>
      </c>
      <c r="K294" s="2"/>
      <c r="L294" s="6">
        <f t="shared" si="122"/>
        <v>-1722.6599999999999</v>
      </c>
      <c r="M294" s="2"/>
      <c r="N294" s="7">
        <f t="shared" si="123"/>
        <v>-0.72533052631578943</v>
      </c>
      <c r="O294" s="11"/>
      <c r="P294" s="6">
        <v>27410.1</v>
      </c>
      <c r="Q294" s="2"/>
      <c r="R294" s="7">
        <f t="shared" si="124"/>
        <v>2.3630340441227879E-3</v>
      </c>
      <c r="S294" s="2"/>
      <c r="T294" s="6">
        <v>19655</v>
      </c>
      <c r="U294" s="2"/>
      <c r="V294" s="7">
        <f t="shared" si="125"/>
        <v>1.2820430282870496E-3</v>
      </c>
      <c r="W294" s="2"/>
      <c r="X294" s="6">
        <f t="shared" si="126"/>
        <v>7755.0999999999985</v>
      </c>
      <c r="Y294" s="2"/>
      <c r="Z294" s="7">
        <f t="shared" si="127"/>
        <v>0.39456118036123117</v>
      </c>
    </row>
    <row r="295" spans="1:26" s="24" customFormat="1" hidden="1" outlineLevel="2" x14ac:dyDescent="0.25">
      <c r="A295" s="27"/>
      <c r="B295" s="11" t="str">
        <f>CONCATENATE("          ", "6243", " - ", "PAPER SUPPLIES")</f>
        <v xml:space="preserve">          6243 - PAPER SUPPLIES</v>
      </c>
      <c r="C295" s="11"/>
      <c r="D295" s="6">
        <v>508.47</v>
      </c>
      <c r="E295" s="2"/>
      <c r="F295" s="7">
        <f t="shared" si="120"/>
        <v>2.4425405861549783E-3</v>
      </c>
      <c r="G295" s="2"/>
      <c r="H295" s="6">
        <v>250</v>
      </c>
      <c r="I295" s="2"/>
      <c r="J295" s="7">
        <f t="shared" si="121"/>
        <v>4.6136854905004602E-4</v>
      </c>
      <c r="K295" s="2"/>
      <c r="L295" s="6">
        <f t="shared" si="122"/>
        <v>258.47000000000003</v>
      </c>
      <c r="M295" s="2"/>
      <c r="N295" s="7">
        <f t="shared" si="123"/>
        <v>1.0338800000000001</v>
      </c>
      <c r="O295" s="11"/>
      <c r="P295" s="6">
        <v>23412.6</v>
      </c>
      <c r="Q295" s="2"/>
      <c r="R295" s="7">
        <f t="shared" si="124"/>
        <v>2.0184082094348134E-3</v>
      </c>
      <c r="S295" s="2"/>
      <c r="T295" s="6">
        <v>4000</v>
      </c>
      <c r="U295" s="2"/>
      <c r="V295" s="7">
        <f t="shared" si="125"/>
        <v>2.6090929092588135E-4</v>
      </c>
      <c r="W295" s="2"/>
      <c r="X295" s="6">
        <f t="shared" si="126"/>
        <v>19412.599999999999</v>
      </c>
      <c r="Y295" s="2"/>
      <c r="Z295" s="7">
        <f t="shared" si="127"/>
        <v>4.8531499999999994</v>
      </c>
    </row>
    <row r="296" spans="1:26" s="24" customFormat="1" hidden="1" outlineLevel="2" x14ac:dyDescent="0.25">
      <c r="A296" s="27"/>
      <c r="B296" s="11" t="str">
        <f>CONCATENATE("          ", "6244", " - ", "SAFETY SUPPLY EXPENSE")</f>
        <v xml:space="preserve">          6244 - SAFETY SUPPLY EXPENSE</v>
      </c>
      <c r="C296" s="11"/>
      <c r="D296" s="6"/>
      <c r="E296" s="2"/>
      <c r="F296" s="7">
        <f t="shared" si="120"/>
        <v>0</v>
      </c>
      <c r="G296" s="2"/>
      <c r="H296" s="6"/>
      <c r="I296" s="2"/>
      <c r="J296" s="7">
        <f t="shared" si="121"/>
        <v>0</v>
      </c>
      <c r="K296" s="2"/>
      <c r="L296" s="6">
        <f t="shared" si="122"/>
        <v>0</v>
      </c>
      <c r="M296" s="2"/>
      <c r="N296" s="7">
        <f t="shared" si="123"/>
        <v>0</v>
      </c>
      <c r="O296" s="11"/>
      <c r="P296" s="6"/>
      <c r="Q296" s="2"/>
      <c r="R296" s="7">
        <f t="shared" si="124"/>
        <v>0</v>
      </c>
      <c r="S296" s="2"/>
      <c r="T296" s="6">
        <v>30</v>
      </c>
      <c r="U296" s="2"/>
      <c r="V296" s="7">
        <f t="shared" si="125"/>
        <v>1.9568196819441103E-6</v>
      </c>
      <c r="W296" s="2"/>
      <c r="X296" s="6">
        <f t="shared" si="126"/>
        <v>-30</v>
      </c>
      <c r="Y296" s="2"/>
      <c r="Z296" s="7">
        <f t="shared" si="127"/>
        <v>-1</v>
      </c>
    </row>
    <row r="297" spans="1:26" s="24" customFormat="1" hidden="1" outlineLevel="2" x14ac:dyDescent="0.25">
      <c r="A297" s="27"/>
      <c r="B297" s="11" t="str">
        <f>CONCATENATE("          ", "6245", " - ", "PRINTING")</f>
        <v xml:space="preserve">          6245 - PRINTING</v>
      </c>
      <c r="C297" s="11"/>
      <c r="D297" s="6">
        <v>158.76</v>
      </c>
      <c r="E297" s="2"/>
      <c r="F297" s="7">
        <f t="shared" si="120"/>
        <v>7.6263642586182922E-4</v>
      </c>
      <c r="G297" s="2"/>
      <c r="H297" s="6">
        <v>100</v>
      </c>
      <c r="I297" s="2"/>
      <c r="J297" s="7">
        <f t="shared" si="121"/>
        <v>1.8454741962001841E-4</v>
      </c>
      <c r="K297" s="2"/>
      <c r="L297" s="6">
        <f t="shared" si="122"/>
        <v>58.759999999999991</v>
      </c>
      <c r="M297" s="2"/>
      <c r="N297" s="7">
        <f t="shared" si="123"/>
        <v>0.5875999999999999</v>
      </c>
      <c r="O297" s="11"/>
      <c r="P297" s="6">
        <v>10868.1</v>
      </c>
      <c r="Q297" s="2"/>
      <c r="R297" s="7">
        <f t="shared" si="124"/>
        <v>9.3694259761660373E-4</v>
      </c>
      <c r="S297" s="2"/>
      <c r="T297" s="6">
        <v>2800</v>
      </c>
      <c r="U297" s="2"/>
      <c r="V297" s="7">
        <f t="shared" si="125"/>
        <v>1.8263650364811696E-4</v>
      </c>
      <c r="W297" s="2"/>
      <c r="X297" s="6">
        <f t="shared" si="126"/>
        <v>8068.1</v>
      </c>
      <c r="Y297" s="2"/>
      <c r="Z297" s="7">
        <f t="shared" si="127"/>
        <v>2.8814642857142858</v>
      </c>
    </row>
    <row r="298" spans="1:26" s="24" customFormat="1" hidden="1" outlineLevel="2" x14ac:dyDescent="0.25">
      <c r="A298" s="27"/>
      <c r="B298" s="11" t="str">
        <f>CONCATENATE("          ", "6247", " - ", "STORE SUPPLIES")</f>
        <v xml:space="preserve">          6247 - STORE SUPPLIES</v>
      </c>
      <c r="C298" s="11"/>
      <c r="D298" s="6">
        <v>4996.33</v>
      </c>
      <c r="E298" s="2"/>
      <c r="F298" s="7">
        <f t="shared" si="120"/>
        <v>2.4000902328207566E-2</v>
      </c>
      <c r="G298" s="2"/>
      <c r="H298" s="6">
        <v>12457</v>
      </c>
      <c r="I298" s="2"/>
      <c r="J298" s="7">
        <f t="shared" si="121"/>
        <v>2.2989072062065692E-2</v>
      </c>
      <c r="K298" s="2"/>
      <c r="L298" s="6">
        <f t="shared" si="122"/>
        <v>-7460.67</v>
      </c>
      <c r="M298" s="2"/>
      <c r="N298" s="7">
        <f t="shared" si="123"/>
        <v>-0.59891386369109734</v>
      </c>
      <c r="O298" s="11"/>
      <c r="P298" s="6">
        <v>70711.399999999994</v>
      </c>
      <c r="Q298" s="2"/>
      <c r="R298" s="7">
        <f t="shared" si="124"/>
        <v>6.0960538453921761E-3</v>
      </c>
      <c r="S298" s="2"/>
      <c r="T298" s="6">
        <v>192980</v>
      </c>
      <c r="U298" s="2"/>
      <c r="V298" s="7">
        <f t="shared" si="125"/>
        <v>1.2587568740719146E-2</v>
      </c>
      <c r="W298" s="2"/>
      <c r="X298" s="6">
        <f t="shared" si="126"/>
        <v>-122268.6</v>
      </c>
      <c r="Y298" s="2"/>
      <c r="Z298" s="7">
        <f t="shared" si="127"/>
        <v>-0.63358171831277854</v>
      </c>
    </row>
    <row r="299" spans="1:26" s="24" customFormat="1" hidden="1" outlineLevel="2" x14ac:dyDescent="0.25">
      <c r="A299" s="27"/>
      <c r="B299" s="11" t="str">
        <f>CONCATENATE("          ", "6248", " - ", "UNIFORMS")</f>
        <v xml:space="preserve">          6248 - UNIFORMS</v>
      </c>
      <c r="C299" s="11"/>
      <c r="D299" s="6"/>
      <c r="E299" s="2"/>
      <c r="F299" s="7">
        <f t="shared" si="120"/>
        <v>0</v>
      </c>
      <c r="G299" s="2"/>
      <c r="H299" s="6">
        <v>1000</v>
      </c>
      <c r="I299" s="2"/>
      <c r="J299" s="7">
        <f t="shared" si="121"/>
        <v>1.8454741962001841E-3</v>
      </c>
      <c r="K299" s="2"/>
      <c r="L299" s="6">
        <f t="shared" si="122"/>
        <v>-1000</v>
      </c>
      <c r="M299" s="2"/>
      <c r="N299" s="7">
        <f t="shared" si="123"/>
        <v>-1</v>
      </c>
      <c r="O299" s="11"/>
      <c r="P299" s="6">
        <v>238.09</v>
      </c>
      <c r="Q299" s="2"/>
      <c r="R299" s="7">
        <f t="shared" si="124"/>
        <v>2.05258198826416E-5</v>
      </c>
      <c r="S299" s="2"/>
      <c r="T299" s="6">
        <v>13100</v>
      </c>
      <c r="U299" s="2"/>
      <c r="V299" s="7">
        <f t="shared" si="125"/>
        <v>8.5447792778226147E-4</v>
      </c>
      <c r="W299" s="2"/>
      <c r="X299" s="6">
        <f t="shared" si="126"/>
        <v>-12861.91</v>
      </c>
      <c r="Y299" s="2"/>
      <c r="Z299" s="7">
        <f t="shared" si="127"/>
        <v>-0.98182519083969466</v>
      </c>
    </row>
    <row r="300" spans="1:26" s="26" customFormat="1" outlineLevel="1" collapsed="1" x14ac:dyDescent="0.25">
      <c r="A300" s="25"/>
      <c r="B300" s="12" t="str">
        <f>CONCATENATE("     ","Telephone/Data Lines                              ")</f>
        <v xml:space="preserve">     Telephone/Data Lines                              </v>
      </c>
      <c r="C300" s="12"/>
      <c r="D300" s="1">
        <f>SUM(OSRRefD22_23x_0)</f>
        <v>1029.25</v>
      </c>
      <c r="E300" s="1"/>
      <c r="F300" s="5">
        <f t="shared" ref="F300:F302" si="128">IF(D$12=0,0,D300/D$12)</f>
        <v>4.9442147979232038E-3</v>
      </c>
      <c r="G300" s="1"/>
      <c r="H300" s="1">
        <f>SUM(OSRRefH22_23x_0)</f>
        <v>2630</v>
      </c>
      <c r="I300" s="1"/>
      <c r="J300" s="5">
        <f t="shared" ref="J300:J302" si="129">IF(H$12=0,0,H300/H$12)</f>
        <v>4.8535971360064841E-3</v>
      </c>
      <c r="K300" s="1"/>
      <c r="L300" s="1">
        <f t="shared" ref="L300:L302" si="130">+D300-H300</f>
        <v>-1600.75</v>
      </c>
      <c r="M300" s="1"/>
      <c r="N300" s="5">
        <f t="shared" ref="N300:N302" si="131">IF(H300=0,0,L300/H300)</f>
        <v>-0.6086501901140684</v>
      </c>
      <c r="O300" s="12"/>
      <c r="P300" s="1">
        <f>SUM(OSRRefP22_23x_0)</f>
        <v>33262.39</v>
      </c>
      <c r="Q300" s="1"/>
      <c r="R300" s="5">
        <f t="shared" ref="R300:R302" si="132">IF(P$12=0,0,P300/P$12)</f>
        <v>2.8675619555889754E-3</v>
      </c>
      <c r="S300" s="1"/>
      <c r="T300" s="1">
        <f>SUM(OSRRefT22_23x_0)</f>
        <v>38135</v>
      </c>
      <c r="U300" s="1"/>
      <c r="V300" s="5">
        <f t="shared" ref="V300:V302" si="133">IF(T$12=0,0,T300/T$12)</f>
        <v>2.4874439523646214E-3</v>
      </c>
      <c r="W300" s="1"/>
      <c r="X300" s="1">
        <f t="shared" ref="X300:X302" si="134">+P300-T300</f>
        <v>-4872.6100000000006</v>
      </c>
      <c r="Y300" s="1"/>
      <c r="Z300" s="5">
        <f t="shared" ref="Z300:Z302" si="135">IF(T300=0,0,X300/T300)</f>
        <v>-0.12777264979677463</v>
      </c>
    </row>
    <row r="301" spans="1:26" s="24" customFormat="1" hidden="1" outlineLevel="2" x14ac:dyDescent="0.25">
      <c r="A301" s="27"/>
      <c r="B301" s="11" t="str">
        <f>CONCATENATE("          ", "6303", " - ", "DATA PHONE LINES")</f>
        <v xml:space="preserve">          6303 - DATA PHONE LINES</v>
      </c>
      <c r="C301" s="11"/>
      <c r="D301" s="6"/>
      <c r="E301" s="2"/>
      <c r="F301" s="7">
        <f t="shared" si="128"/>
        <v>0</v>
      </c>
      <c r="G301" s="2"/>
      <c r="H301" s="6">
        <v>950</v>
      </c>
      <c r="I301" s="2"/>
      <c r="J301" s="7">
        <f t="shared" si="129"/>
        <v>1.7532004863901748E-3</v>
      </c>
      <c r="K301" s="2"/>
      <c r="L301" s="6">
        <f t="shared" si="130"/>
        <v>-950</v>
      </c>
      <c r="M301" s="2"/>
      <c r="N301" s="7">
        <f t="shared" si="131"/>
        <v>-1</v>
      </c>
      <c r="O301" s="11"/>
      <c r="P301" s="6">
        <v>2950</v>
      </c>
      <c r="Q301" s="2"/>
      <c r="R301" s="7">
        <f t="shared" si="132"/>
        <v>2.5432050339700419E-4</v>
      </c>
      <c r="S301" s="2"/>
      <c r="T301" s="6">
        <v>12725</v>
      </c>
      <c r="U301" s="2"/>
      <c r="V301" s="7">
        <f t="shared" si="133"/>
        <v>8.3001768175796004E-4</v>
      </c>
      <c r="W301" s="2"/>
      <c r="X301" s="6">
        <f t="shared" si="134"/>
        <v>-9775</v>
      </c>
      <c r="Y301" s="2"/>
      <c r="Z301" s="7">
        <f t="shared" si="135"/>
        <v>-0.76817288801571704</v>
      </c>
    </row>
    <row r="302" spans="1:26" s="24" customFormat="1" hidden="1" outlineLevel="2" x14ac:dyDescent="0.25">
      <c r="A302" s="27"/>
      <c r="B302" s="11" t="str">
        <f>CONCATENATE("          ", "6309", " - ", "TELEPHONE")</f>
        <v xml:space="preserve">          6309 - TELEPHONE</v>
      </c>
      <c r="C302" s="11"/>
      <c r="D302" s="6">
        <v>1029.25</v>
      </c>
      <c r="E302" s="2"/>
      <c r="F302" s="7">
        <f t="shared" si="128"/>
        <v>4.9442147979232038E-3</v>
      </c>
      <c r="G302" s="2"/>
      <c r="H302" s="6">
        <v>1680</v>
      </c>
      <c r="I302" s="2"/>
      <c r="J302" s="7">
        <f t="shared" si="129"/>
        <v>3.1003966496163092E-3</v>
      </c>
      <c r="K302" s="2"/>
      <c r="L302" s="6">
        <f t="shared" si="130"/>
        <v>-650.75</v>
      </c>
      <c r="M302" s="2"/>
      <c r="N302" s="7">
        <f t="shared" si="131"/>
        <v>-0.38735119047619049</v>
      </c>
      <c r="O302" s="11"/>
      <c r="P302" s="6">
        <v>30312.390000000003</v>
      </c>
      <c r="Q302" s="2"/>
      <c r="R302" s="7">
        <f t="shared" si="132"/>
        <v>2.6132414521919715E-3</v>
      </c>
      <c r="S302" s="2"/>
      <c r="T302" s="6">
        <v>25410</v>
      </c>
      <c r="U302" s="2"/>
      <c r="V302" s="7">
        <f t="shared" si="133"/>
        <v>1.6574262706066612E-3</v>
      </c>
      <c r="W302" s="2"/>
      <c r="X302" s="6">
        <f t="shared" si="134"/>
        <v>4902.3900000000031</v>
      </c>
      <c r="Y302" s="2"/>
      <c r="Z302" s="7">
        <f t="shared" si="135"/>
        <v>0.19293152302243224</v>
      </c>
    </row>
    <row r="303" spans="1:26" s="26" customFormat="1" outlineLevel="1" collapsed="1" x14ac:dyDescent="0.25">
      <c r="A303" s="25"/>
      <c r="B303" s="12" t="str">
        <f>CONCATENATE("     ","Training                                          ")</f>
        <v xml:space="preserve">     Training                                          </v>
      </c>
      <c r="C303" s="12"/>
      <c r="D303" s="1">
        <f>SUM(OSRRefD22_24x_0)</f>
        <v>0</v>
      </c>
      <c r="E303" s="1"/>
      <c r="F303" s="5">
        <f t="shared" ref="F303:F308" si="136">IF(D$12=0,0,D303/D$12)</f>
        <v>0</v>
      </c>
      <c r="G303" s="1"/>
      <c r="H303" s="1">
        <f>SUM(OSRRefH22_24x_0)</f>
        <v>1600</v>
      </c>
      <c r="I303" s="1"/>
      <c r="J303" s="5">
        <f t="shared" ref="J303:J308" si="137">IF(H$12=0,0,H303/H$12)</f>
        <v>2.9527587139202946E-3</v>
      </c>
      <c r="K303" s="1"/>
      <c r="L303" s="1">
        <f t="shared" ref="L303:L308" si="138">+D303-H303</f>
        <v>-1600</v>
      </c>
      <c r="M303" s="1"/>
      <c r="N303" s="5">
        <f t="shared" ref="N303:N308" si="139">IF(H303=0,0,L303/H303)</f>
        <v>-1</v>
      </c>
      <c r="O303" s="12"/>
      <c r="P303" s="1">
        <f>SUM(OSRRefP22_24x_0)</f>
        <v>23967.01</v>
      </c>
      <c r="Q303" s="1"/>
      <c r="R303" s="5">
        <f t="shared" ref="R303:R308" si="140">IF(P$12=0,0,P303/P$12)</f>
        <v>2.0662040841088248E-3</v>
      </c>
      <c r="S303" s="1"/>
      <c r="T303" s="1">
        <f>SUM(OSRRefT22_24x_0)</f>
        <v>32000</v>
      </c>
      <c r="U303" s="1"/>
      <c r="V303" s="5">
        <f t="shared" ref="V303:V308" si="141">IF(T$12=0,0,T303/T$12)</f>
        <v>2.0872743274070508E-3</v>
      </c>
      <c r="W303" s="1"/>
      <c r="X303" s="1">
        <f t="shared" ref="X303:X308" si="142">+P303-T303</f>
        <v>-8032.9900000000016</v>
      </c>
      <c r="Y303" s="1"/>
      <c r="Z303" s="5">
        <f t="shared" ref="Z303:Z308" si="143">IF(T303=0,0,X303/T303)</f>
        <v>-0.25103093750000005</v>
      </c>
    </row>
    <row r="304" spans="1:26" s="24" customFormat="1" hidden="1" outlineLevel="2" x14ac:dyDescent="0.25">
      <c r="A304" s="27"/>
      <c r="B304" s="11" t="str">
        <f>CONCATENATE("          ", "6376", " - ", "TRAINING")</f>
        <v xml:space="preserve">          6376 - TRAINING</v>
      </c>
      <c r="C304" s="11"/>
      <c r="D304" s="6"/>
      <c r="E304" s="2"/>
      <c r="F304" s="7">
        <f t="shared" si="136"/>
        <v>0</v>
      </c>
      <c r="G304" s="2"/>
      <c r="H304" s="6">
        <v>1600</v>
      </c>
      <c r="I304" s="2"/>
      <c r="J304" s="7">
        <f t="shared" si="137"/>
        <v>2.9527587139202946E-3</v>
      </c>
      <c r="K304" s="2"/>
      <c r="L304" s="6">
        <f t="shared" si="138"/>
        <v>-1600</v>
      </c>
      <c r="M304" s="2"/>
      <c r="N304" s="7">
        <f t="shared" si="139"/>
        <v>-1</v>
      </c>
      <c r="O304" s="11"/>
      <c r="P304" s="6">
        <v>23967.01</v>
      </c>
      <c r="Q304" s="2"/>
      <c r="R304" s="7">
        <f t="shared" si="140"/>
        <v>2.0662040841088248E-3</v>
      </c>
      <c r="S304" s="2"/>
      <c r="T304" s="6">
        <v>32000</v>
      </c>
      <c r="U304" s="2"/>
      <c r="V304" s="7">
        <f t="shared" si="141"/>
        <v>2.0872743274070508E-3</v>
      </c>
      <c r="W304" s="2"/>
      <c r="X304" s="6">
        <f t="shared" si="142"/>
        <v>-8032.9900000000016</v>
      </c>
      <c r="Y304" s="2"/>
      <c r="Z304" s="7">
        <f t="shared" si="143"/>
        <v>-0.25103093750000005</v>
      </c>
    </row>
    <row r="305" spans="1:26" s="26" customFormat="1" outlineLevel="1" collapsed="1" x14ac:dyDescent="0.25">
      <c r="A305" s="25"/>
      <c r="B305" s="12" t="str">
        <f>CONCATENATE("     ","Travel                                            ")</f>
        <v xml:space="preserve">     Travel                                            </v>
      </c>
      <c r="C305" s="12"/>
      <c r="D305" s="1">
        <f>SUM(OSRRefD22_25x_0)</f>
        <v>0</v>
      </c>
      <c r="E305" s="1"/>
      <c r="F305" s="5">
        <f t="shared" si="136"/>
        <v>0</v>
      </c>
      <c r="G305" s="1"/>
      <c r="H305" s="1">
        <f>SUM(OSRRefH22_25x_0)</f>
        <v>125</v>
      </c>
      <c r="I305" s="1"/>
      <c r="J305" s="5">
        <f t="shared" si="137"/>
        <v>2.3068427452502301E-4</v>
      </c>
      <c r="K305" s="1"/>
      <c r="L305" s="1">
        <f t="shared" si="138"/>
        <v>-125</v>
      </c>
      <c r="M305" s="1"/>
      <c r="N305" s="5">
        <f t="shared" si="139"/>
        <v>-1</v>
      </c>
      <c r="O305" s="12"/>
      <c r="P305" s="1">
        <f>SUM(OSRRefP22_25x_0)</f>
        <v>1383.79</v>
      </c>
      <c r="Q305" s="1"/>
      <c r="R305" s="5">
        <f t="shared" si="140"/>
        <v>1.1929700657482725E-4</v>
      </c>
      <c r="S305" s="1"/>
      <c r="T305" s="1">
        <f>SUM(OSRRefT22_25x_0)</f>
        <v>2760</v>
      </c>
      <c r="U305" s="1"/>
      <c r="V305" s="5">
        <f t="shared" si="141"/>
        <v>1.8002741073885813E-4</v>
      </c>
      <c r="W305" s="1"/>
      <c r="X305" s="1">
        <f t="shared" si="142"/>
        <v>-1376.21</v>
      </c>
      <c r="Y305" s="1"/>
      <c r="Z305" s="5">
        <f t="shared" si="143"/>
        <v>-0.49862681159420291</v>
      </c>
    </row>
    <row r="306" spans="1:26" s="24" customFormat="1" hidden="1" outlineLevel="2" x14ac:dyDescent="0.25">
      <c r="A306" s="27"/>
      <c r="B306" s="11" t="str">
        <f>CONCATENATE("          ", "6292", " - ", "TRAVEL/CONFERENCE")</f>
        <v xml:space="preserve">          6292 - TRAVEL/CONFERENCE</v>
      </c>
      <c r="C306" s="11"/>
      <c r="D306" s="6"/>
      <c r="E306" s="2"/>
      <c r="F306" s="7">
        <f t="shared" si="136"/>
        <v>0</v>
      </c>
      <c r="G306" s="2"/>
      <c r="H306" s="6"/>
      <c r="I306" s="2"/>
      <c r="J306" s="7">
        <f t="shared" si="137"/>
        <v>0</v>
      </c>
      <c r="K306" s="2"/>
      <c r="L306" s="6">
        <f t="shared" si="138"/>
        <v>0</v>
      </c>
      <c r="M306" s="2"/>
      <c r="N306" s="7">
        <f t="shared" si="139"/>
        <v>0</v>
      </c>
      <c r="O306" s="11"/>
      <c r="P306" s="6">
        <v>504.66</v>
      </c>
      <c r="Q306" s="2"/>
      <c r="R306" s="7">
        <f t="shared" si="140"/>
        <v>4.3506910252315979E-5</v>
      </c>
      <c r="S306" s="2"/>
      <c r="T306" s="6">
        <v>1000</v>
      </c>
      <c r="U306" s="2"/>
      <c r="V306" s="7">
        <f t="shared" si="141"/>
        <v>6.5227322731470336E-5</v>
      </c>
      <c r="W306" s="2"/>
      <c r="X306" s="6">
        <f t="shared" si="142"/>
        <v>-495.34</v>
      </c>
      <c r="Y306" s="2"/>
      <c r="Z306" s="7">
        <f t="shared" si="143"/>
        <v>-0.49534</v>
      </c>
    </row>
    <row r="307" spans="1:26" s="24" customFormat="1" hidden="1" outlineLevel="2" x14ac:dyDescent="0.25">
      <c r="A307" s="27"/>
      <c r="B307" s="11" t="str">
        <f>CONCATENATE("          ", "6294", " - ", "TRAVEL OPERATIONAL")</f>
        <v xml:space="preserve">          6294 - TRAVEL OPERATIONAL</v>
      </c>
      <c r="C307" s="11"/>
      <c r="D307" s="6"/>
      <c r="E307" s="2"/>
      <c r="F307" s="7">
        <f t="shared" si="136"/>
        <v>0</v>
      </c>
      <c r="G307" s="2"/>
      <c r="H307" s="6">
        <v>125</v>
      </c>
      <c r="I307" s="2"/>
      <c r="J307" s="7">
        <f t="shared" si="137"/>
        <v>2.3068427452502301E-4</v>
      </c>
      <c r="K307" s="2"/>
      <c r="L307" s="6">
        <f t="shared" si="138"/>
        <v>-125</v>
      </c>
      <c r="M307" s="2"/>
      <c r="N307" s="7">
        <f t="shared" si="139"/>
        <v>-1</v>
      </c>
      <c r="O307" s="11"/>
      <c r="P307" s="6">
        <v>361.61</v>
      </c>
      <c r="Q307" s="2"/>
      <c r="R307" s="7">
        <f t="shared" si="140"/>
        <v>3.1174521096064638E-5</v>
      </c>
      <c r="S307" s="2"/>
      <c r="T307" s="6">
        <v>1210</v>
      </c>
      <c r="U307" s="2"/>
      <c r="V307" s="7">
        <f t="shared" si="141"/>
        <v>7.8925060505079117E-5</v>
      </c>
      <c r="W307" s="2"/>
      <c r="X307" s="6">
        <f t="shared" si="142"/>
        <v>-848.39</v>
      </c>
      <c r="Y307" s="2"/>
      <c r="Z307" s="7">
        <f t="shared" si="143"/>
        <v>-0.70114876033057849</v>
      </c>
    </row>
    <row r="308" spans="1:26" s="24" customFormat="1" hidden="1" outlineLevel="2" x14ac:dyDescent="0.25">
      <c r="A308" s="27"/>
      <c r="B308" s="11" t="str">
        <f>CONCATENATE("          ", "6298", " - ", "VEHICLE MILEAGE")</f>
        <v xml:space="preserve">          6298 - VEHICLE MILEAGE</v>
      </c>
      <c r="C308" s="11"/>
      <c r="D308" s="6"/>
      <c r="E308" s="2"/>
      <c r="F308" s="7">
        <f t="shared" si="136"/>
        <v>0</v>
      </c>
      <c r="G308" s="2"/>
      <c r="H308" s="6"/>
      <c r="I308" s="2"/>
      <c r="J308" s="7">
        <f t="shared" si="137"/>
        <v>0</v>
      </c>
      <c r="K308" s="2"/>
      <c r="L308" s="6">
        <f t="shared" si="138"/>
        <v>0</v>
      </c>
      <c r="M308" s="2"/>
      <c r="N308" s="7">
        <f t="shared" si="139"/>
        <v>0</v>
      </c>
      <c r="O308" s="11"/>
      <c r="P308" s="6">
        <v>517.52</v>
      </c>
      <c r="Q308" s="2"/>
      <c r="R308" s="7">
        <f t="shared" si="140"/>
        <v>4.461557522644664E-5</v>
      </c>
      <c r="S308" s="2"/>
      <c r="T308" s="6">
        <v>550</v>
      </c>
      <c r="U308" s="2"/>
      <c r="V308" s="7">
        <f t="shared" si="141"/>
        <v>3.587502750230869E-5</v>
      </c>
      <c r="W308" s="2"/>
      <c r="X308" s="6">
        <f t="shared" si="142"/>
        <v>-32.480000000000018</v>
      </c>
      <c r="Y308" s="2"/>
      <c r="Z308" s="7">
        <f t="shared" si="143"/>
        <v>-5.9054545454545485E-2</v>
      </c>
    </row>
    <row r="309" spans="1:26" s="26" customFormat="1" outlineLevel="1" collapsed="1" x14ac:dyDescent="0.25">
      <c r="A309" s="25"/>
      <c r="B309" s="12" t="str">
        <f>CONCATENATE("     ","Utilities                                         ")</f>
        <v xml:space="preserve">     Utilities                                         </v>
      </c>
      <c r="C309" s="12"/>
      <c r="D309" s="1">
        <f>SUM(OSRRefD22_26x_0)</f>
        <v>7251.8</v>
      </c>
      <c r="E309" s="1"/>
      <c r="F309" s="5">
        <f t="shared" ref="F309:F310" si="144">IF(D$12=0,0,D309/D$12)</f>
        <v>3.4835517970929791E-2</v>
      </c>
      <c r="G309" s="1"/>
      <c r="H309" s="1">
        <f>SUM(OSRRefH22_26x_0)</f>
        <v>6208.5026686109995</v>
      </c>
      <c r="I309" s="1"/>
      <c r="J309" s="5">
        <f t="shared" ref="J309:J310" si="145">IF(H$12=0,0,H309/H$12)</f>
        <v>1.1457631471961582E-2</v>
      </c>
      <c r="K309" s="1"/>
      <c r="L309" s="1">
        <f t="shared" ref="L309:L310" si="146">+D309-H309</f>
        <v>1043.2973313890006</v>
      </c>
      <c r="M309" s="1"/>
      <c r="N309" s="5">
        <f t="shared" ref="N309:N310" si="147">IF(H309=0,0,L309/H309)</f>
        <v>0.1680433088421967</v>
      </c>
      <c r="O309" s="12"/>
      <c r="P309" s="1">
        <f>SUM(OSRRefP22_26x_0)</f>
        <v>84220.32</v>
      </c>
      <c r="Q309" s="1"/>
      <c r="R309" s="5">
        <f t="shared" ref="R309:R310" si="148">IF(P$12=0,0,P309/P$12)</f>
        <v>7.2606624334429761E-3</v>
      </c>
      <c r="S309" s="1"/>
      <c r="T309" s="1">
        <f>SUM(OSRRefT22_26x_0)</f>
        <v>77679.502668610992</v>
      </c>
      <c r="U309" s="1"/>
      <c r="V309" s="5">
        <f t="shared" ref="V309:V310" si="149">IF(T$12=0,0,T309/T$12)</f>
        <v>5.0668259901856007E-3</v>
      </c>
      <c r="W309" s="1"/>
      <c r="X309" s="1">
        <f t="shared" ref="X309:X310" si="150">+P309-T309</f>
        <v>6540.8173313890147</v>
      </c>
      <c r="Y309" s="1"/>
      <c r="Z309" s="5">
        <f t="shared" ref="Z309:Z310" si="151">IF(T309=0,0,X309/T309)</f>
        <v>8.4202615962834321E-2</v>
      </c>
    </row>
    <row r="310" spans="1:26" s="24" customFormat="1" hidden="1" outlineLevel="2" x14ac:dyDescent="0.25">
      <c r="A310" s="27"/>
      <c r="B310" s="11" t="str">
        <f>CONCATENATE("          ", "6274", " - ", "UTILITIES")</f>
        <v xml:space="preserve">          6274 - UTILITIES</v>
      </c>
      <c r="C310" s="11"/>
      <c r="D310" s="6">
        <v>7251.8</v>
      </c>
      <c r="E310" s="2"/>
      <c r="F310" s="7">
        <f t="shared" si="144"/>
        <v>3.4835517970929791E-2</v>
      </c>
      <c r="G310" s="2"/>
      <c r="H310" s="6">
        <v>6208.5026686109995</v>
      </c>
      <c r="I310" s="2"/>
      <c r="J310" s="7">
        <f t="shared" si="145"/>
        <v>1.1457631471961582E-2</v>
      </c>
      <c r="K310" s="2"/>
      <c r="L310" s="6">
        <f t="shared" si="146"/>
        <v>1043.2973313890006</v>
      </c>
      <c r="M310" s="2"/>
      <c r="N310" s="7">
        <f t="shared" si="147"/>
        <v>0.1680433088421967</v>
      </c>
      <c r="O310" s="11"/>
      <c r="P310" s="6">
        <v>84220.32</v>
      </c>
      <c r="Q310" s="2"/>
      <c r="R310" s="7">
        <f t="shared" si="148"/>
        <v>7.2606624334429761E-3</v>
      </c>
      <c r="S310" s="2"/>
      <c r="T310" s="6">
        <v>77679.502668610992</v>
      </c>
      <c r="U310" s="2"/>
      <c r="V310" s="7">
        <f t="shared" si="149"/>
        <v>5.0668259901856007E-3</v>
      </c>
      <c r="W310" s="2"/>
      <c r="X310" s="6">
        <f t="shared" si="150"/>
        <v>6540.8173313890147</v>
      </c>
      <c r="Y310" s="2"/>
      <c r="Z310" s="7">
        <f t="shared" si="151"/>
        <v>8.4202615962834321E-2</v>
      </c>
    </row>
    <row r="311" spans="1:26" s="60" customFormat="1" x14ac:dyDescent="0.25">
      <c r="A311" s="36"/>
      <c r="B311" s="36"/>
      <c r="C311" s="36"/>
      <c r="D311" s="1"/>
      <c r="E311" s="1"/>
      <c r="F311" s="5"/>
      <c r="G311" s="1"/>
      <c r="H311" s="1"/>
      <c r="I311" s="1"/>
      <c r="J311" s="5"/>
      <c r="K311" s="1"/>
      <c r="L311" s="1"/>
      <c r="M311" s="1"/>
      <c r="N311" s="5"/>
      <c r="O311" s="36"/>
      <c r="P311" s="1"/>
      <c r="Q311" s="1"/>
      <c r="R311" s="5"/>
      <c r="S311" s="1"/>
      <c r="T311" s="1"/>
      <c r="U311" s="1"/>
      <c r="V311" s="5"/>
      <c r="W311" s="1"/>
      <c r="X311" s="1"/>
      <c r="Y311" s="1"/>
      <c r="Z311" s="5"/>
    </row>
    <row r="312" spans="1:26" s="23" customFormat="1" collapsed="1" x14ac:dyDescent="0.25">
      <c r="A312" s="10"/>
      <c r="B312" s="28" t="s">
        <v>0</v>
      </c>
      <c r="C312" s="10"/>
      <c r="D312" s="4">
        <f>SUM(OSRRefD25x_0)</f>
        <v>38229.74</v>
      </c>
      <c r="E312" s="4"/>
      <c r="F312" s="13">
        <f t="shared" ref="F312:F321" si="152">IF(D$12=0,0,D312/D$12)</f>
        <v>0.18364444617804868</v>
      </c>
      <c r="G312" s="4"/>
      <c r="H312" s="4">
        <f>SUM(OSRRefH25x_0)</f>
        <v>73875</v>
      </c>
      <c r="I312" s="4"/>
      <c r="J312" s="13">
        <f t="shared" ref="J312:J321" si="153">IF(H$12=0,0,H312/H$12)</f>
        <v>0.13633440624428861</v>
      </c>
      <c r="K312" s="4"/>
      <c r="L312" s="4">
        <f t="shared" ref="L312:L321" si="154">+D312-H312</f>
        <v>-35645.26</v>
      </c>
      <c r="M312" s="4"/>
      <c r="N312" s="13">
        <f t="shared" ref="N312:N321" si="155">IF(H312=0,0,L312/H312)</f>
        <v>-0.48250774957698817</v>
      </c>
      <c r="O312" s="10"/>
      <c r="P312" s="4">
        <f>SUM(OSRRefP25x_0)</f>
        <v>1207334.8899999999</v>
      </c>
      <c r="Q312" s="4"/>
      <c r="R312" s="13">
        <f t="shared" ref="R312:R321" si="156">IF(P$12=0,0,P312/P$12)</f>
        <v>0.10408475152324292</v>
      </c>
      <c r="S312" s="4"/>
      <c r="T312" s="4">
        <f>SUM(OSRRefT25x_0)</f>
        <v>897250</v>
      </c>
      <c r="U312" s="4"/>
      <c r="V312" s="13">
        <f t="shared" ref="V312:V321" si="157">IF(T$12=0,0,T312/T$12)</f>
        <v>5.8525215320811765E-2</v>
      </c>
      <c r="W312" s="4"/>
      <c r="X312" s="4">
        <f t="shared" ref="X312:X321" si="158">+P312-T312</f>
        <v>310084.8899999999</v>
      </c>
      <c r="Y312" s="4"/>
      <c r="Z312" s="13">
        <f t="shared" ref="Z312:Z321" si="159">IF(T312=0,0,X312/T312)</f>
        <v>0.34559475062691547</v>
      </c>
    </row>
    <row r="313" spans="1:26" s="24" customFormat="1" hidden="1" outlineLevel="1" x14ac:dyDescent="0.25">
      <c r="A313" s="44"/>
      <c r="B313" s="11" t="str">
        <f>CONCATENATE("          ", "4098", " - ", "TAXABLE SALES-GRAD RENTALS")</f>
        <v xml:space="preserve">          4098 - TAXABLE SALES-GRAD RENTALS</v>
      </c>
      <c r="C313" s="11"/>
      <c r="D313" s="2">
        <f t="shared" ref="D313:D315" si="160">0</f>
        <v>0</v>
      </c>
      <c r="E313" s="2"/>
      <c r="F313" s="19">
        <f t="shared" si="152"/>
        <v>0</v>
      </c>
      <c r="G313" s="2"/>
      <c r="H313" s="2"/>
      <c r="I313" s="2"/>
      <c r="J313" s="19">
        <f t="shared" si="153"/>
        <v>0</v>
      </c>
      <c r="K313" s="2"/>
      <c r="L313" s="2">
        <f t="shared" si="154"/>
        <v>0</v>
      </c>
      <c r="M313" s="2"/>
      <c r="N313" s="19">
        <f t="shared" si="155"/>
        <v>0</v>
      </c>
      <c r="O313" s="11"/>
      <c r="P313" s="2">
        <f>--1946.85</f>
        <v>1946.85</v>
      </c>
      <c r="Q313" s="2"/>
      <c r="R313" s="19">
        <f t="shared" si="156"/>
        <v>1.6783860069100257E-4</v>
      </c>
      <c r="S313" s="2"/>
      <c r="T313" s="2"/>
      <c r="U313" s="2"/>
      <c r="V313" s="19">
        <f t="shared" si="157"/>
        <v>0</v>
      </c>
      <c r="W313" s="2"/>
      <c r="X313" s="2">
        <f t="shared" si="158"/>
        <v>1946.85</v>
      </c>
      <c r="Y313" s="2"/>
      <c r="Z313" s="19">
        <f t="shared" si="159"/>
        <v>0</v>
      </c>
    </row>
    <row r="314" spans="1:26" s="24" customFormat="1" hidden="1" outlineLevel="1" x14ac:dyDescent="0.25">
      <c r="A314" s="44"/>
      <c r="B314" s="11" t="str">
        <f>CONCATENATE("          ", "4197", " - ", "NON-TAXABLE SALES-RETURNED CHE")</f>
        <v xml:space="preserve">          4197 - NON-TAXABLE SALES-RETURNED CHE</v>
      </c>
      <c r="C314" s="11"/>
      <c r="D314" s="2">
        <f t="shared" si="160"/>
        <v>0</v>
      </c>
      <c r="E314" s="2"/>
      <c r="F314" s="19">
        <f t="shared" si="152"/>
        <v>0</v>
      </c>
      <c r="G314" s="2"/>
      <c r="H314" s="2"/>
      <c r="I314" s="2"/>
      <c r="J314" s="19">
        <f t="shared" si="153"/>
        <v>0</v>
      </c>
      <c r="K314" s="2"/>
      <c r="L314" s="2">
        <f t="shared" si="154"/>
        <v>0</v>
      </c>
      <c r="M314" s="2"/>
      <c r="N314" s="19">
        <f t="shared" si="155"/>
        <v>0</v>
      </c>
      <c r="O314" s="11"/>
      <c r="P314" s="2">
        <f>--30</f>
        <v>30</v>
      </c>
      <c r="Q314" s="2"/>
      <c r="R314" s="19">
        <f t="shared" si="156"/>
        <v>2.5863102040373307E-6</v>
      </c>
      <c r="S314" s="2"/>
      <c r="T314" s="2"/>
      <c r="U314" s="2"/>
      <c r="V314" s="19">
        <f t="shared" si="157"/>
        <v>0</v>
      </c>
      <c r="W314" s="2"/>
      <c r="X314" s="2">
        <f t="shared" si="158"/>
        <v>30</v>
      </c>
      <c r="Y314" s="2"/>
      <c r="Z314" s="19">
        <f t="shared" si="159"/>
        <v>0</v>
      </c>
    </row>
    <row r="315" spans="1:26" s="24" customFormat="1" hidden="1" outlineLevel="1" x14ac:dyDescent="0.25">
      <c r="A315" s="44"/>
      <c r="B315" s="11" t="str">
        <f>CONCATENATE("          ", "4198", " - ", "NON-TAXABLE SALES-GRAD RENTALS")</f>
        <v xml:space="preserve">          4198 - NON-TAXABLE SALES-GRAD RENTALS</v>
      </c>
      <c r="C315" s="11"/>
      <c r="D315" s="2">
        <f t="shared" si="160"/>
        <v>0</v>
      </c>
      <c r="E315" s="2"/>
      <c r="F315" s="19">
        <f t="shared" si="152"/>
        <v>0</v>
      </c>
      <c r="G315" s="2"/>
      <c r="H315" s="2"/>
      <c r="I315" s="2"/>
      <c r="J315" s="19">
        <f t="shared" si="153"/>
        <v>0</v>
      </c>
      <c r="K315" s="2"/>
      <c r="L315" s="2">
        <f t="shared" si="154"/>
        <v>0</v>
      </c>
      <c r="M315" s="2"/>
      <c r="N315" s="19">
        <f t="shared" si="155"/>
        <v>0</v>
      </c>
      <c r="O315" s="11"/>
      <c r="P315" s="2">
        <f>--163.76</f>
        <v>163.76</v>
      </c>
      <c r="Q315" s="2"/>
      <c r="R315" s="19">
        <f t="shared" si="156"/>
        <v>1.4117805300438442E-5</v>
      </c>
      <c r="S315" s="2"/>
      <c r="T315" s="2"/>
      <c r="U315" s="2"/>
      <c r="V315" s="19">
        <f t="shared" si="157"/>
        <v>0</v>
      </c>
      <c r="W315" s="2"/>
      <c r="X315" s="2">
        <f t="shared" si="158"/>
        <v>163.76</v>
      </c>
      <c r="Y315" s="2"/>
      <c r="Z315" s="19">
        <f t="shared" si="159"/>
        <v>0</v>
      </c>
    </row>
    <row r="316" spans="1:26" s="24" customFormat="1" hidden="1" outlineLevel="1" x14ac:dyDescent="0.25">
      <c r="A316" s="44"/>
      <c r="B316" s="11" t="str">
        <f>CONCATENATE("          ", "9150", " - ", "MISC. INCOME")</f>
        <v xml:space="preserve">          9150 - MISC. INCOME</v>
      </c>
      <c r="C316" s="11"/>
      <c r="D316" s="2">
        <f>--56165.1</f>
        <v>56165.1</v>
      </c>
      <c r="E316" s="2"/>
      <c r="F316" s="19">
        <f t="shared" si="152"/>
        <v>0.2698006495475701</v>
      </c>
      <c r="G316" s="2"/>
      <c r="H316" s="2">
        <v>29225</v>
      </c>
      <c r="I316" s="2"/>
      <c r="J316" s="19">
        <f t="shared" si="153"/>
        <v>5.3933983383950383E-2</v>
      </c>
      <c r="K316" s="2"/>
      <c r="L316" s="2">
        <f t="shared" si="154"/>
        <v>26940.1</v>
      </c>
      <c r="M316" s="2"/>
      <c r="N316" s="19">
        <f t="shared" si="155"/>
        <v>0.9218169375534645</v>
      </c>
      <c r="O316" s="11"/>
      <c r="P316" s="2">
        <f>--532203.21</f>
        <v>532203.21</v>
      </c>
      <c r="Q316" s="2"/>
      <c r="R316" s="19">
        <f t="shared" si="156"/>
        <v>4.5881419754814072E-2</v>
      </c>
      <c r="S316" s="2"/>
      <c r="T316" s="2">
        <v>362950</v>
      </c>
      <c r="U316" s="2"/>
      <c r="V316" s="19">
        <f t="shared" si="157"/>
        <v>2.3674256785387159E-2</v>
      </c>
      <c r="W316" s="2"/>
      <c r="X316" s="2">
        <f t="shared" si="158"/>
        <v>169253.20999999996</v>
      </c>
      <c r="Y316" s="2"/>
      <c r="Z316" s="19">
        <f t="shared" si="159"/>
        <v>0.46632651880424292</v>
      </c>
    </row>
    <row r="317" spans="1:26" s="24" customFormat="1" hidden="1" outlineLevel="1" x14ac:dyDescent="0.25">
      <c r="A317" s="44"/>
      <c r="B317" s="11" t="str">
        <f>CONCATENATE("          ", "9151", " - ", "MISC. INCOME")</f>
        <v xml:space="preserve">          9151 - MISC. INCOME</v>
      </c>
      <c r="C317" s="11"/>
      <c r="D317" s="2">
        <f>-18698.07</f>
        <v>-18698.07</v>
      </c>
      <c r="E317" s="2"/>
      <c r="F317" s="19">
        <f t="shared" si="152"/>
        <v>-8.9820038267285796E-2</v>
      </c>
      <c r="G317" s="2"/>
      <c r="H317" s="2">
        <v>12850</v>
      </c>
      <c r="I317" s="2"/>
      <c r="J317" s="19">
        <f t="shared" si="153"/>
        <v>2.3714343421172367E-2</v>
      </c>
      <c r="K317" s="2"/>
      <c r="L317" s="2">
        <f t="shared" si="154"/>
        <v>-31548.07</v>
      </c>
      <c r="M317" s="2"/>
      <c r="N317" s="19">
        <f t="shared" si="155"/>
        <v>-2.4551027237354086</v>
      </c>
      <c r="O317" s="11"/>
      <c r="P317" s="2">
        <f>--150694.63</f>
        <v>150694.63</v>
      </c>
      <c r="Q317" s="2"/>
      <c r="R317" s="19">
        <f t="shared" si="156"/>
        <v>1.2991435308754335E-2</v>
      </c>
      <c r="S317" s="2"/>
      <c r="T317" s="2">
        <v>141950</v>
      </c>
      <c r="U317" s="2"/>
      <c r="V317" s="19">
        <f t="shared" si="157"/>
        <v>9.259018461732214E-3</v>
      </c>
      <c r="W317" s="2"/>
      <c r="X317" s="2">
        <f t="shared" si="158"/>
        <v>8744.6300000000047</v>
      </c>
      <c r="Y317" s="2"/>
      <c r="Z317" s="19">
        <f t="shared" si="159"/>
        <v>6.1603592814371291E-2</v>
      </c>
    </row>
    <row r="318" spans="1:26" s="24" customFormat="1" hidden="1" outlineLevel="1" x14ac:dyDescent="0.25">
      <c r="A318" s="44"/>
      <c r="B318" s="11" t="str">
        <f>CONCATENATE("          ", "9152", " - ", "MISC. INCOME")</f>
        <v xml:space="preserve">          9152 - MISC. INCOME</v>
      </c>
      <c r="C318" s="11"/>
      <c r="D318" s="2">
        <f>--762.71</f>
        <v>762.71</v>
      </c>
      <c r="E318" s="2"/>
      <c r="F318" s="19">
        <f t="shared" si="152"/>
        <v>3.6638348977643979E-3</v>
      </c>
      <c r="G318" s="2"/>
      <c r="H318" s="2"/>
      <c r="I318" s="2"/>
      <c r="J318" s="19">
        <f t="shared" si="153"/>
        <v>0</v>
      </c>
      <c r="K318" s="2"/>
      <c r="L318" s="2">
        <f t="shared" si="154"/>
        <v>762.71</v>
      </c>
      <c r="M318" s="2"/>
      <c r="N318" s="19">
        <f t="shared" si="155"/>
        <v>0</v>
      </c>
      <c r="O318" s="11"/>
      <c r="P318" s="2">
        <f>--10637.6</f>
        <v>10637.6</v>
      </c>
      <c r="Q318" s="2"/>
      <c r="R318" s="19">
        <f t="shared" si="156"/>
        <v>9.1707111421558359E-4</v>
      </c>
      <c r="S318" s="2"/>
      <c r="T318" s="2"/>
      <c r="U318" s="2"/>
      <c r="V318" s="19">
        <f t="shared" si="157"/>
        <v>0</v>
      </c>
      <c r="W318" s="2"/>
      <c r="X318" s="2">
        <f t="shared" si="158"/>
        <v>10637.6</v>
      </c>
      <c r="Y318" s="2"/>
      <c r="Z318" s="19">
        <f t="shared" si="159"/>
        <v>0</v>
      </c>
    </row>
    <row r="319" spans="1:26" s="24" customFormat="1" hidden="1" outlineLevel="1" x14ac:dyDescent="0.25">
      <c r="A319" s="44"/>
      <c r="B319" s="11" t="str">
        <f>CONCATENATE("          ", "9153", " - ", "MISC. INCOME")</f>
        <v xml:space="preserve">          9153 - MISC. INCOME</v>
      </c>
      <c r="C319" s="11"/>
      <c r="D319" s="2">
        <f t="shared" ref="D319:D321" si="161">0</f>
        <v>0</v>
      </c>
      <c r="E319" s="2"/>
      <c r="F319" s="19">
        <f t="shared" si="152"/>
        <v>0</v>
      </c>
      <c r="G319" s="2"/>
      <c r="H319" s="2"/>
      <c r="I319" s="2"/>
      <c r="J319" s="19">
        <f t="shared" si="153"/>
        <v>0</v>
      </c>
      <c r="K319" s="2"/>
      <c r="L319" s="2">
        <f t="shared" si="154"/>
        <v>0</v>
      </c>
      <c r="M319" s="2"/>
      <c r="N319" s="19">
        <f t="shared" si="155"/>
        <v>0</v>
      </c>
      <c r="O319" s="11"/>
      <c r="P319" s="2">
        <f>--450</f>
        <v>450</v>
      </c>
      <c r="Q319" s="2"/>
      <c r="R319" s="19">
        <f t="shared" si="156"/>
        <v>3.8794653060559957E-5</v>
      </c>
      <c r="S319" s="2"/>
      <c r="T319" s="2"/>
      <c r="U319" s="2"/>
      <c r="V319" s="19">
        <f t="shared" si="157"/>
        <v>0</v>
      </c>
      <c r="W319" s="2"/>
      <c r="X319" s="2">
        <f t="shared" si="158"/>
        <v>450</v>
      </c>
      <c r="Y319" s="2"/>
      <c r="Z319" s="19">
        <f t="shared" si="159"/>
        <v>0</v>
      </c>
    </row>
    <row r="320" spans="1:26" s="24" customFormat="1" hidden="1" outlineLevel="1" x14ac:dyDescent="0.25">
      <c r="A320" s="44"/>
      <c r="B320" s="11" t="str">
        <f>CONCATENATE("          ", "9160", " - ", "MISC. INCOME")</f>
        <v xml:space="preserve">          9160 - MISC. INCOME</v>
      </c>
      <c r="C320" s="11"/>
      <c r="D320" s="2">
        <f t="shared" si="161"/>
        <v>0</v>
      </c>
      <c r="E320" s="2"/>
      <c r="F320" s="19">
        <f t="shared" si="152"/>
        <v>0</v>
      </c>
      <c r="G320" s="2"/>
      <c r="H320" s="2">
        <v>31800</v>
      </c>
      <c r="I320" s="2"/>
      <c r="J320" s="19">
        <f t="shared" si="153"/>
        <v>5.8686079439165852E-2</v>
      </c>
      <c r="K320" s="2"/>
      <c r="L320" s="2">
        <f t="shared" si="154"/>
        <v>-31800</v>
      </c>
      <c r="M320" s="2"/>
      <c r="N320" s="19">
        <f t="shared" si="155"/>
        <v>-1</v>
      </c>
      <c r="O320" s="11"/>
      <c r="P320" s="2">
        <f>--22475</f>
        <v>22475</v>
      </c>
      <c r="Q320" s="2"/>
      <c r="R320" s="19">
        <f t="shared" si="156"/>
        <v>1.9375773945246335E-3</v>
      </c>
      <c r="S320" s="2"/>
      <c r="T320" s="2">
        <v>392350</v>
      </c>
      <c r="U320" s="2"/>
      <c r="V320" s="19">
        <f t="shared" si="157"/>
        <v>2.559194007369239E-2</v>
      </c>
      <c r="W320" s="2"/>
      <c r="X320" s="2">
        <f t="shared" si="158"/>
        <v>-369875</v>
      </c>
      <c r="Y320" s="2"/>
      <c r="Z320" s="19">
        <f t="shared" si="159"/>
        <v>-0.94271696189626608</v>
      </c>
    </row>
    <row r="321" spans="1:26" s="24" customFormat="1" hidden="1" outlineLevel="1" x14ac:dyDescent="0.25">
      <c r="A321" s="44"/>
      <c r="B321" s="11" t="str">
        <f>CONCATENATE("          ", "9163", " - ", "MISC. INCOME")</f>
        <v xml:space="preserve">          9163 - MISC. INCOME</v>
      </c>
      <c r="C321" s="11"/>
      <c r="D321" s="2">
        <f t="shared" si="161"/>
        <v>0</v>
      </c>
      <c r="E321" s="2"/>
      <c r="F321" s="19">
        <f t="shared" si="152"/>
        <v>0</v>
      </c>
      <c r="G321" s="2"/>
      <c r="H321" s="2"/>
      <c r="I321" s="2"/>
      <c r="J321" s="19">
        <f t="shared" si="153"/>
        <v>0</v>
      </c>
      <c r="K321" s="2"/>
      <c r="L321" s="2">
        <f t="shared" si="154"/>
        <v>0</v>
      </c>
      <c r="M321" s="2"/>
      <c r="N321" s="19">
        <f t="shared" si="155"/>
        <v>0</v>
      </c>
      <c r="O321" s="11"/>
      <c r="P321" s="2">
        <f>--488733.84</f>
        <v>488733.84</v>
      </c>
      <c r="Q321" s="2"/>
      <c r="R321" s="19">
        <f t="shared" si="156"/>
        <v>4.2133910581678272E-2</v>
      </c>
      <c r="S321" s="2"/>
      <c r="T321" s="2"/>
      <c r="U321" s="2"/>
      <c r="V321" s="19">
        <f t="shared" si="157"/>
        <v>0</v>
      </c>
      <c r="W321" s="2"/>
      <c r="X321" s="2">
        <f t="shared" si="158"/>
        <v>488733.84</v>
      </c>
      <c r="Y321" s="2"/>
      <c r="Z321" s="19">
        <f t="shared" si="159"/>
        <v>0</v>
      </c>
    </row>
    <row r="322" spans="1:26" x14ac:dyDescent="0.25">
      <c r="A322" s="9"/>
      <c r="B322" s="10"/>
      <c r="C322" s="10"/>
      <c r="D322" s="3"/>
      <c r="E322" s="3"/>
      <c r="F322" s="8"/>
      <c r="G322" s="3"/>
      <c r="H322" s="3"/>
      <c r="I322" s="3"/>
      <c r="J322" s="8"/>
      <c r="K322" s="3"/>
      <c r="L322" s="3"/>
      <c r="M322" s="3"/>
      <c r="N322" s="8"/>
      <c r="O322" s="10"/>
      <c r="P322" s="3"/>
      <c r="Q322" s="3"/>
      <c r="R322" s="8"/>
      <c r="S322" s="3"/>
      <c r="T322" s="3"/>
      <c r="U322" s="3"/>
      <c r="V322" s="8"/>
      <c r="W322" s="3"/>
      <c r="X322" s="3"/>
      <c r="Y322" s="3"/>
      <c r="Z322" s="8"/>
    </row>
    <row r="323" spans="1:26" s="23" customFormat="1" x14ac:dyDescent="0.25">
      <c r="A323" s="10"/>
      <c r="B323" s="29" t="s">
        <v>3</v>
      </c>
      <c r="C323" s="29"/>
      <c r="D323" s="22">
        <f>+D172-D174+D312</f>
        <v>-357347.17999999988</v>
      </c>
      <c r="E323" s="14"/>
      <c r="F323" s="20">
        <f>IF(D$12=0,0,D323/D$12)</f>
        <v>-1.7165909306311644</v>
      </c>
      <c r="G323" s="14"/>
      <c r="H323" s="22">
        <f>+H172-H174+H312</f>
        <v>-130369.75158838386</v>
      </c>
      <c r="I323" s="14"/>
      <c r="J323" s="20">
        <f>IF(H$12=0,0,H323/H$12)</f>
        <v>-0.24059401252139037</v>
      </c>
      <c r="K323" s="15"/>
      <c r="L323" s="22">
        <f>+D323-H323</f>
        <v>-226977.42841161601</v>
      </c>
      <c r="M323" s="15"/>
      <c r="N323" s="20">
        <f>IF(H323=0,0,L323/H323)</f>
        <v>1.7410283109862121</v>
      </c>
      <c r="O323" s="28"/>
      <c r="P323" s="22">
        <f>+P172-P174+P312</f>
        <v>795504.10000000359</v>
      </c>
      <c r="Q323" s="14"/>
      <c r="R323" s="20">
        <f>IF(P$12=0,0,P323/P$12)</f>
        <v>6.8580679039451406E-2</v>
      </c>
      <c r="S323" s="14"/>
      <c r="T323" s="22">
        <f>+T172-T174+T312</f>
        <v>1870100.7681303741</v>
      </c>
      <c r="U323" s="14"/>
      <c r="V323" s="20">
        <f>IF(T$12=0,0,T323/T$12)</f>
        <v>0.1219816663432105</v>
      </c>
      <c r="W323" s="15"/>
      <c r="X323" s="22">
        <f>+P323-T323</f>
        <v>-1074596.6681303706</v>
      </c>
      <c r="Y323" s="15"/>
      <c r="Z323" s="20">
        <f>IF(T323=0,0,X323/T323)</f>
        <v>-0.57461966031097578</v>
      </c>
    </row>
    <row r="324" spans="1:26" x14ac:dyDescent="0.25">
      <c r="A324" s="9"/>
      <c r="B324" s="10"/>
      <c r="C324" s="9"/>
      <c r="D324" s="3"/>
      <c r="E324" s="3"/>
      <c r="F324" s="8"/>
      <c r="G324" s="3"/>
      <c r="H324" s="3"/>
      <c r="I324" s="3"/>
      <c r="J324" s="8"/>
      <c r="K324" s="3"/>
      <c r="L324" s="3"/>
      <c r="M324" s="3"/>
      <c r="N324" s="8"/>
      <c r="P324" s="3"/>
      <c r="Q324" s="3"/>
      <c r="R324" s="8"/>
      <c r="S324" s="3"/>
      <c r="T324" s="3"/>
      <c r="U324" s="3"/>
      <c r="V324" s="8"/>
      <c r="W324" s="3"/>
      <c r="X324" s="3"/>
      <c r="Y324" s="3"/>
      <c r="Z324" s="8"/>
    </row>
    <row r="325" spans="1:26" s="23" customFormat="1" x14ac:dyDescent="0.25">
      <c r="A325" s="52"/>
      <c r="B325" s="10" t="s">
        <v>14</v>
      </c>
      <c r="C325" s="10"/>
      <c r="D325" s="4">
        <v>407647.43</v>
      </c>
      <c r="E325" s="4"/>
      <c r="F325" s="13">
        <f>IF(D$12=0,0,D325/D$12)</f>
        <v>1.9582185627800468</v>
      </c>
      <c r="G325" s="4"/>
      <c r="H325" s="4">
        <v>270426</v>
      </c>
      <c r="I325" s="4"/>
      <c r="J325" s="13">
        <f>IF(H$12=0,0,H325/H$12)</f>
        <v>0.49906420498163095</v>
      </c>
      <c r="K325" s="4"/>
      <c r="L325" s="4">
        <f>+D325-H325</f>
        <v>137221.43</v>
      </c>
      <c r="M325" s="4"/>
      <c r="N325" s="13">
        <f>IF(H325=0,0,L325/H325)</f>
        <v>0.50742691161352826</v>
      </c>
      <c r="O325" s="10"/>
      <c r="P325" s="4">
        <v>1756619.3</v>
      </c>
      <c r="Q325" s="4"/>
      <c r="R325" s="13">
        <f>IF(P$12=0,0,P325/P$12)</f>
        <v>0.15143874733996376</v>
      </c>
      <c r="S325" s="4"/>
      <c r="T325" s="4">
        <v>1983382.9999999998</v>
      </c>
      <c r="U325" s="4"/>
      <c r="V325" s="13">
        <f>IF(T$12=0,0,T325/T$12)</f>
        <v>0.12937076304111184</v>
      </c>
      <c r="W325" s="4"/>
      <c r="X325" s="4">
        <f>+P325-T325</f>
        <v>-226763.69999999972</v>
      </c>
      <c r="Y325" s="4"/>
      <c r="Z325" s="13">
        <f>IF(T325=0,0,X325/T325)</f>
        <v>-0.11433177555721701</v>
      </c>
    </row>
    <row r="326" spans="1:26" x14ac:dyDescent="0.25">
      <c r="A326" s="9"/>
      <c r="B326" s="10"/>
      <c r="C326" s="10"/>
      <c r="D326" s="3"/>
      <c r="E326" s="3"/>
      <c r="F326" s="8"/>
      <c r="G326" s="3"/>
      <c r="H326" s="3"/>
      <c r="I326" s="3"/>
      <c r="J326" s="8"/>
      <c r="K326" s="3"/>
      <c r="L326" s="3"/>
      <c r="M326" s="3"/>
      <c r="N326" s="8"/>
      <c r="O326" s="10"/>
      <c r="P326" s="3"/>
      <c r="Q326" s="3"/>
      <c r="R326" s="8"/>
      <c r="S326" s="3"/>
      <c r="T326" s="3"/>
      <c r="U326" s="3"/>
      <c r="V326" s="8"/>
      <c r="W326" s="3"/>
      <c r="X326" s="3"/>
      <c r="Y326" s="3"/>
      <c r="Z326" s="8"/>
    </row>
    <row r="327" spans="1:26" s="23" customFormat="1" ht="15.75" thickBot="1" x14ac:dyDescent="0.3">
      <c r="A327" s="10"/>
      <c r="B327" s="29" t="s">
        <v>4</v>
      </c>
      <c r="C327" s="29"/>
      <c r="D327" s="31">
        <f>+D323-D325</f>
        <v>-764994.60999999987</v>
      </c>
      <c r="E327" s="14"/>
      <c r="F327" s="33">
        <f>IF(D$12=0,0,D327/D$12)</f>
        <v>-3.6748094934112112</v>
      </c>
      <c r="G327" s="14"/>
      <c r="H327" s="31">
        <f>+H323-H325</f>
        <v>-400795.75158838386</v>
      </c>
      <c r="I327" s="14"/>
      <c r="J327" s="33">
        <f>IF(H$12=0,0,H327/H$12)</f>
        <v>-0.73965821750302141</v>
      </c>
      <c r="K327" s="15"/>
      <c r="L327" s="31">
        <f>D327-H327</f>
        <v>-364198.85841161601</v>
      </c>
      <c r="M327" s="15"/>
      <c r="N327" s="33">
        <f>IF(H327=0,0,L327/H327)</f>
        <v>0.9086894184089237</v>
      </c>
      <c r="O327" s="28"/>
      <c r="P327" s="31">
        <f>+P323-P325</f>
        <v>-961115.19999999646</v>
      </c>
      <c r="Q327" s="14"/>
      <c r="R327" s="33">
        <f>IF(P$12=0,0,P327/P$12)</f>
        <v>-8.2858068300512358E-2</v>
      </c>
      <c r="S327" s="14"/>
      <c r="T327" s="31">
        <f>+T323-T325</f>
        <v>-113282.23186962563</v>
      </c>
      <c r="U327" s="14"/>
      <c r="V327" s="33">
        <f>IF(T$12=0,0,T327/T$12)</f>
        <v>-7.3890966979013257E-3</v>
      </c>
      <c r="W327" s="15"/>
      <c r="X327" s="31">
        <f>P327-T327</f>
        <v>-847832.96813037083</v>
      </c>
      <c r="Y327" s="15"/>
      <c r="Z327" s="33">
        <f>IF(T327=0,0,X327/T327)</f>
        <v>7.4842537451603688</v>
      </c>
    </row>
    <row r="328" spans="1:26" ht="15.75" thickTop="1" x14ac:dyDescent="0.25">
      <c r="A328" s="9"/>
      <c r="B328" s="9"/>
      <c r="C328" s="9"/>
      <c r="D328" s="3"/>
      <c r="E328" s="3"/>
      <c r="F328" s="8"/>
      <c r="G328" s="3"/>
      <c r="H328" s="3"/>
      <c r="I328" s="3"/>
      <c r="J328" s="8"/>
      <c r="K328" s="3"/>
      <c r="L328" s="3"/>
      <c r="M328" s="3"/>
      <c r="N328" s="8"/>
      <c r="P328" s="3"/>
      <c r="Q328" s="3"/>
      <c r="R328" s="8"/>
      <c r="S328" s="3"/>
      <c r="T328" s="3"/>
      <c r="U328" s="3"/>
      <c r="V328" s="8"/>
      <c r="W328" s="3"/>
      <c r="X328" s="3"/>
      <c r="Y328" s="3"/>
      <c r="Z328" s="8"/>
    </row>
    <row r="329" spans="1:26" x14ac:dyDescent="0.25">
      <c r="A329" s="9"/>
      <c r="B329" s="9"/>
      <c r="C329" s="9"/>
      <c r="D329" s="3"/>
      <c r="E329" s="3"/>
      <c r="F329" s="8"/>
      <c r="G329" s="3"/>
      <c r="H329" s="3"/>
      <c r="I329" s="3"/>
      <c r="J329" s="8"/>
      <c r="K329" s="3"/>
      <c r="L329" s="3"/>
      <c r="M329" s="3"/>
      <c r="N329" s="8"/>
      <c r="P329" s="3"/>
      <c r="Q329" s="3"/>
      <c r="R329" s="8"/>
      <c r="S329" s="3"/>
      <c r="T329" s="3"/>
      <c r="U329" s="3"/>
      <c r="V329" s="8"/>
      <c r="W329" s="3"/>
      <c r="X329" s="3"/>
      <c r="Y329" s="3"/>
      <c r="Z329" s="8"/>
    </row>
    <row r="330" spans="1:26" s="23" customFormat="1" ht="15.75" thickBot="1" x14ac:dyDescent="0.3">
      <c r="A330" s="10"/>
      <c r="B330" s="29" t="s">
        <v>5</v>
      </c>
      <c r="C330" s="29"/>
      <c r="D330" s="34">
        <f>SUM(D327:D329)</f>
        <v>-764994.60999999987</v>
      </c>
      <c r="E330" s="14"/>
      <c r="F330" s="35">
        <f>IF(D$12=0,0,D330/D$12)</f>
        <v>-3.6748094934112112</v>
      </c>
      <c r="G330" s="14"/>
      <c r="H330" s="34">
        <f>SUM(H327:H329)</f>
        <v>-400795.75158838386</v>
      </c>
      <c r="I330" s="14"/>
      <c r="J330" s="35">
        <f>IF(H$12=0,0,H330/H$12)</f>
        <v>-0.73965821750302141</v>
      </c>
      <c r="K330" s="15"/>
      <c r="L330" s="34">
        <f>+D330-H330</f>
        <v>-364198.85841161601</v>
      </c>
      <c r="M330" s="15"/>
      <c r="N330" s="35">
        <f>IF(H330=0,0,L330/H330)</f>
        <v>0.9086894184089237</v>
      </c>
      <c r="O330" s="28"/>
      <c r="P330" s="34">
        <f>SUM(P327:P329)</f>
        <v>-961115.19999999646</v>
      </c>
      <c r="Q330" s="14"/>
      <c r="R330" s="35">
        <f>IF(P$12=0,0,P330/P$12)</f>
        <v>-8.2858068300512358E-2</v>
      </c>
      <c r="S330" s="14"/>
      <c r="T330" s="34">
        <f>SUM(T327:T329)</f>
        <v>-113282.23186962563</v>
      </c>
      <c r="U330" s="14"/>
      <c r="V330" s="35">
        <f>IF(T$12=0,0,T330/T$12)</f>
        <v>-7.3890966979013257E-3</v>
      </c>
      <c r="W330" s="15"/>
      <c r="X330" s="34">
        <f>+P330-T330</f>
        <v>-847832.96813037083</v>
      </c>
      <c r="Y330" s="15"/>
      <c r="Z330" s="35">
        <f>IF(T330=0,0,X330/T330)</f>
        <v>7.4842537451603688</v>
      </c>
    </row>
    <row r="331" spans="1:26" ht="15.75" thickTop="1" x14ac:dyDescent="0.25">
      <c r="A331" s="9"/>
      <c r="C331" s="9"/>
      <c r="D331" s="17"/>
      <c r="E331" s="17"/>
      <c r="G331" s="17"/>
      <c r="H331" s="17"/>
      <c r="I331" s="17"/>
      <c r="J331" s="43"/>
      <c r="K331" s="17"/>
      <c r="L331" s="17"/>
      <c r="M331" s="17"/>
      <c r="P331" s="17"/>
      <c r="Q331" s="17"/>
      <c r="R331" s="43"/>
      <c r="S331" s="17"/>
      <c r="T331" s="17"/>
      <c r="U331" s="17"/>
      <c r="V331" s="43"/>
      <c r="W331" s="17"/>
      <c r="X331" s="17"/>
    </row>
    <row r="332" spans="1:26" x14ac:dyDescent="0.25">
      <c r="A332" s="9"/>
      <c r="B332" s="55">
        <v>44043.472835185188</v>
      </c>
      <c r="D332" s="17"/>
      <c r="E332" s="17"/>
      <c r="G332" s="17"/>
      <c r="H332" s="17"/>
      <c r="I332" s="17"/>
      <c r="J332" s="43"/>
      <c r="K332" s="17"/>
      <c r="L332" s="17"/>
      <c r="M332" s="17"/>
      <c r="P332" s="17"/>
      <c r="Q332" s="17"/>
      <c r="R332" s="43"/>
      <c r="S332" s="17"/>
      <c r="T332" s="17"/>
      <c r="U332" s="17"/>
      <c r="V332" s="43"/>
      <c r="W332" s="17"/>
      <c r="X332" s="17"/>
    </row>
    <row r="333" spans="1:26" x14ac:dyDescent="0.25">
      <c r="A333" s="9"/>
      <c r="B333" s="62" t="s">
        <v>314</v>
      </c>
      <c r="D333" s="17"/>
      <c r="E333" s="17"/>
      <c r="G333" s="17"/>
      <c r="H333" s="17"/>
      <c r="I333" s="17"/>
      <c r="J333" s="43"/>
      <c r="K333" s="17"/>
      <c r="L333" s="17"/>
      <c r="M333" s="17"/>
      <c r="P333" s="17"/>
      <c r="Q333" s="17"/>
      <c r="R333" s="43"/>
      <c r="S333" s="17"/>
      <c r="T333" s="17"/>
      <c r="U333" s="17"/>
      <c r="V333" s="43"/>
      <c r="W333" s="17"/>
      <c r="X333" s="17"/>
    </row>
    <row r="334" spans="1:26" x14ac:dyDescent="0.25">
      <c r="A334" s="9"/>
      <c r="B334" s="63"/>
      <c r="D334" s="17"/>
      <c r="E334" s="17"/>
      <c r="G334" s="17"/>
      <c r="H334" s="17"/>
      <c r="I334" s="17"/>
      <c r="J334" s="43"/>
      <c r="K334" s="17"/>
      <c r="L334" s="17"/>
      <c r="M334" s="17"/>
      <c r="P334" s="17"/>
      <c r="Q334" s="17"/>
      <c r="R334" s="43"/>
      <c r="S334" s="17"/>
      <c r="T334" s="17"/>
      <c r="U334" s="17"/>
      <c r="V334" s="43"/>
      <c r="W334" s="17"/>
      <c r="X334" s="17"/>
    </row>
    <row r="335" spans="1:26" x14ac:dyDescent="0.25">
      <c r="D335" s="17"/>
      <c r="E335" s="17"/>
      <c r="G335" s="17"/>
      <c r="H335" s="17"/>
      <c r="I335" s="17"/>
      <c r="J335" s="43"/>
      <c r="K335" s="17"/>
      <c r="L335" s="17"/>
      <c r="M335" s="17"/>
      <c r="P335" s="17"/>
      <c r="Q335" s="17"/>
      <c r="R335" s="43"/>
      <c r="S335" s="17"/>
      <c r="T335" s="17"/>
      <c r="U335" s="17"/>
      <c r="V335" s="43"/>
      <c r="W335" s="17"/>
      <c r="X335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322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309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208053.12000000002</v>
      </c>
      <c r="E12" s="4"/>
      <c r="F12" s="13"/>
      <c r="G12" s="4"/>
      <c r="H12" s="4">
        <f>SUM(OSRRefH13x_0)</f>
        <v>420909.15128999995</v>
      </c>
      <c r="I12" s="4"/>
      <c r="J12" s="13"/>
      <c r="K12" s="4"/>
      <c r="L12" s="4">
        <f t="shared" ref="L12:L112" si="0">+D12-H12</f>
        <v>-212856.03128999993</v>
      </c>
      <c r="M12" s="4"/>
      <c r="N12" s="13">
        <f t="shared" ref="N12:N112" si="1">IF(H12=0,0,L12/H12)</f>
        <v>-0.50570540136188535</v>
      </c>
      <c r="O12" s="10"/>
      <c r="P12" s="4">
        <f>SUM(OSRRefP13x_0)</f>
        <v>9234807.9300000016</v>
      </c>
      <c r="Q12" s="4"/>
      <c r="R12" s="13"/>
      <c r="S12" s="4"/>
      <c r="T12" s="4">
        <f>SUM(OSRRefT13x_0)</f>
        <v>12031113.499990001</v>
      </c>
      <c r="U12" s="4"/>
      <c r="V12" s="13"/>
      <c r="W12" s="4"/>
      <c r="X12" s="4">
        <f t="shared" ref="X12:X112" si="2">+P12-T12</f>
        <v>-2796305.5699899998</v>
      </c>
      <c r="Y12" s="4"/>
      <c r="Z12" s="13">
        <f t="shared" ref="Z12:Z112" si="3">IF(T12=0,0,X12/T12)</f>
        <v>-0.23242284016290959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367111.15128999995</v>
      </c>
      <c r="I13" s="2"/>
      <c r="J13" s="19"/>
      <c r="K13" s="2"/>
      <c r="L13" s="2">
        <f t="shared" si="0"/>
        <v>-367111.15128999995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5779011.4999900004</v>
      </c>
      <c r="U13" s="2"/>
      <c r="V13" s="19"/>
      <c r="W13" s="2"/>
      <c r="X13" s="2">
        <f t="shared" si="2"/>
        <v>-5779011.4999900004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--15904.07</f>
        <v>15904.07</v>
      </c>
      <c r="E14" s="2"/>
      <c r="F14" s="19"/>
      <c r="G14" s="2"/>
      <c r="H14" s="2"/>
      <c r="I14" s="2"/>
      <c r="J14" s="19"/>
      <c r="K14" s="2"/>
      <c r="L14" s="2">
        <f t="shared" si="0"/>
        <v>15904.07</v>
      </c>
      <c r="M14" s="2"/>
      <c r="N14" s="19">
        <f t="shared" si="1"/>
        <v>0</v>
      </c>
      <c r="O14" s="11"/>
      <c r="P14" s="2">
        <f>--2451163.71</f>
        <v>2451163.71</v>
      </c>
      <c r="Q14" s="2"/>
      <c r="R14" s="19"/>
      <c r="S14" s="2"/>
      <c r="T14" s="2"/>
      <c r="U14" s="2"/>
      <c r="V14" s="19"/>
      <c r="W14" s="2"/>
      <c r="X14" s="2">
        <f t="shared" si="2"/>
        <v>2451163.71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--15376.45</f>
        <v>15376.45</v>
      </c>
      <c r="E15" s="2"/>
      <c r="F15" s="19"/>
      <c r="G15" s="2"/>
      <c r="H15" s="2"/>
      <c r="I15" s="2"/>
      <c r="J15" s="19"/>
      <c r="K15" s="2"/>
      <c r="L15" s="2">
        <f t="shared" si="0"/>
        <v>15376.45</v>
      </c>
      <c r="M15" s="2"/>
      <c r="N15" s="19">
        <f t="shared" si="1"/>
        <v>0</v>
      </c>
      <c r="O15" s="11"/>
      <c r="P15" s="2">
        <f>--1271803.19</f>
        <v>1271803.19</v>
      </c>
      <c r="Q15" s="2"/>
      <c r="R15" s="19"/>
      <c r="S15" s="2"/>
      <c r="T15" s="2"/>
      <c r="U15" s="2"/>
      <c r="V15" s="19"/>
      <c r="W15" s="2"/>
      <c r="X15" s="2">
        <f t="shared" si="2"/>
        <v>1271803.19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--895</f>
        <v>895</v>
      </c>
      <c r="E16" s="2"/>
      <c r="F16" s="19"/>
      <c r="G16" s="2"/>
      <c r="H16" s="2"/>
      <c r="I16" s="2"/>
      <c r="J16" s="19"/>
      <c r="K16" s="2"/>
      <c r="L16" s="2">
        <f t="shared" si="0"/>
        <v>895</v>
      </c>
      <c r="M16" s="2"/>
      <c r="N16" s="19">
        <f t="shared" si="1"/>
        <v>0</v>
      </c>
      <c r="O16" s="11"/>
      <c r="P16" s="2">
        <f>--34659.88</f>
        <v>34659.879999999997</v>
      </c>
      <c r="Q16" s="2"/>
      <c r="R16" s="19"/>
      <c r="S16" s="2"/>
      <c r="T16" s="2"/>
      <c r="U16" s="2"/>
      <c r="V16" s="19"/>
      <c r="W16" s="2"/>
      <c r="X16" s="2">
        <f t="shared" si="2"/>
        <v>34659.879999999997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--64.99</f>
        <v>64.989999999999995</v>
      </c>
      <c r="E19" s="2"/>
      <c r="F19" s="19"/>
      <c r="G19" s="2"/>
      <c r="H19" s="2"/>
      <c r="I19" s="2"/>
      <c r="J19" s="19"/>
      <c r="K19" s="2"/>
      <c r="L19" s="2">
        <f t="shared" si="0"/>
        <v>64.989999999999995</v>
      </c>
      <c r="M19" s="2"/>
      <c r="N19" s="19">
        <f t="shared" si="1"/>
        <v>0</v>
      </c>
      <c r="O19" s="11"/>
      <c r="P19" s="2">
        <f>--2778.35</f>
        <v>2778.35</v>
      </c>
      <c r="Q19" s="2"/>
      <c r="R19" s="19"/>
      <c r="S19" s="2"/>
      <c r="T19" s="2"/>
      <c r="U19" s="2"/>
      <c r="V19" s="19"/>
      <c r="W19" s="2"/>
      <c r="X19" s="2">
        <f t="shared" si="2"/>
        <v>2778.35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--13.9</f>
        <v>13.9</v>
      </c>
      <c r="E20" s="2"/>
      <c r="F20" s="19"/>
      <c r="G20" s="2"/>
      <c r="H20" s="2"/>
      <c r="I20" s="2"/>
      <c r="J20" s="19"/>
      <c r="K20" s="2"/>
      <c r="L20" s="2">
        <f t="shared" si="0"/>
        <v>13.9</v>
      </c>
      <c r="M20" s="2"/>
      <c r="N20" s="19">
        <f t="shared" si="1"/>
        <v>0</v>
      </c>
      <c r="O20" s="11"/>
      <c r="P20" s="2">
        <f>--1233.88</f>
        <v>1233.8800000000001</v>
      </c>
      <c r="Q20" s="2"/>
      <c r="R20" s="19"/>
      <c r="S20" s="2"/>
      <c r="T20" s="2"/>
      <c r="U20" s="2"/>
      <c r="V20" s="19"/>
      <c r="W20" s="2"/>
      <c r="X20" s="2">
        <f t="shared" si="2"/>
        <v>1233.8800000000001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3" si="5"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--4179.3</f>
        <v>4179.3</v>
      </c>
      <c r="Q22" s="2"/>
      <c r="R22" s="19"/>
      <c r="S22" s="2"/>
      <c r="T22" s="2"/>
      <c r="U22" s="2"/>
      <c r="V22" s="19"/>
      <c r="W22" s="2"/>
      <c r="X22" s="2">
        <f t="shared" si="2"/>
        <v>4179.3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--3099.74</f>
        <v>3099.74</v>
      </c>
      <c r="E24" s="2"/>
      <c r="F24" s="19"/>
      <c r="G24" s="2"/>
      <c r="H24" s="2"/>
      <c r="I24" s="2"/>
      <c r="J24" s="19"/>
      <c r="K24" s="2"/>
      <c r="L24" s="2">
        <f t="shared" si="0"/>
        <v>3099.74</v>
      </c>
      <c r="M24" s="2"/>
      <c r="N24" s="19">
        <f t="shared" si="1"/>
        <v>0</v>
      </c>
      <c r="O24" s="11"/>
      <c r="P24" s="2">
        <f>--57819.85</f>
        <v>57819.85</v>
      </c>
      <c r="Q24" s="2"/>
      <c r="R24" s="19"/>
      <c r="S24" s="2"/>
      <c r="T24" s="2"/>
      <c r="U24" s="2"/>
      <c r="V24" s="19"/>
      <c r="W24" s="2"/>
      <c r="X24" s="2">
        <f t="shared" si="2"/>
        <v>57819.85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--2531.99</f>
        <v>2531.9899999999998</v>
      </c>
      <c r="E25" s="2"/>
      <c r="F25" s="19"/>
      <c r="G25" s="2"/>
      <c r="H25" s="2"/>
      <c r="I25" s="2"/>
      <c r="J25" s="19"/>
      <c r="K25" s="2"/>
      <c r="L25" s="2">
        <f t="shared" si="0"/>
        <v>2531.9899999999998</v>
      </c>
      <c r="M25" s="2"/>
      <c r="N25" s="19">
        <f t="shared" si="1"/>
        <v>0</v>
      </c>
      <c r="O25" s="11"/>
      <c r="P25" s="2">
        <f>--83341.48</f>
        <v>83341.48</v>
      </c>
      <c r="Q25" s="2"/>
      <c r="R25" s="19"/>
      <c r="S25" s="2"/>
      <c r="T25" s="2"/>
      <c r="U25" s="2"/>
      <c r="V25" s="19"/>
      <c r="W25" s="2"/>
      <c r="X25" s="2">
        <f t="shared" si="2"/>
        <v>83341.48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--4073.06</f>
        <v>4073.06</v>
      </c>
      <c r="E26" s="2"/>
      <c r="F26" s="19"/>
      <c r="G26" s="2"/>
      <c r="H26" s="2"/>
      <c r="I26" s="2"/>
      <c r="J26" s="19"/>
      <c r="K26" s="2"/>
      <c r="L26" s="2">
        <f t="shared" si="0"/>
        <v>4073.06</v>
      </c>
      <c r="M26" s="2"/>
      <c r="N26" s="19">
        <f t="shared" si="1"/>
        <v>0</v>
      </c>
      <c r="O26" s="11"/>
      <c r="P26" s="2">
        <f>--280850.13</f>
        <v>280850.13</v>
      </c>
      <c r="Q26" s="2"/>
      <c r="R26" s="19"/>
      <c r="S26" s="2"/>
      <c r="T26" s="2"/>
      <c r="U26" s="2"/>
      <c r="V26" s="19"/>
      <c r="W26" s="2"/>
      <c r="X26" s="2">
        <f t="shared" si="2"/>
        <v>280850.13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--386.59</f>
        <v>386.59</v>
      </c>
      <c r="E27" s="2"/>
      <c r="F27" s="19"/>
      <c r="G27" s="2"/>
      <c r="H27" s="2"/>
      <c r="I27" s="2"/>
      <c r="J27" s="19"/>
      <c r="K27" s="2"/>
      <c r="L27" s="2">
        <f t="shared" si="0"/>
        <v>386.59</v>
      </c>
      <c r="M27" s="2"/>
      <c r="N27" s="19">
        <f t="shared" si="1"/>
        <v>0</v>
      </c>
      <c r="O27" s="11"/>
      <c r="P27" s="2">
        <f>--293577.64</f>
        <v>293577.64</v>
      </c>
      <c r="Q27" s="2"/>
      <c r="R27" s="19"/>
      <c r="S27" s="2"/>
      <c r="T27" s="2"/>
      <c r="U27" s="2"/>
      <c r="V27" s="19"/>
      <c r="W27" s="2"/>
      <c r="X27" s="2">
        <f t="shared" si="2"/>
        <v>293577.64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--1905.06</f>
        <v>1905.06</v>
      </c>
      <c r="Q29" s="2"/>
      <c r="R29" s="19"/>
      <c r="S29" s="2"/>
      <c r="T29" s="2"/>
      <c r="U29" s="2"/>
      <c r="V29" s="19"/>
      <c r="W29" s="2"/>
      <c r="X29" s="2">
        <f t="shared" si="2"/>
        <v>1905.06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--7803.51</f>
        <v>7803.51</v>
      </c>
      <c r="Q31" s="2"/>
      <c r="R31" s="19"/>
      <c r="S31" s="2"/>
      <c r="T31" s="2"/>
      <c r="U31" s="2"/>
      <c r="V31" s="19"/>
      <c r="W31" s="2"/>
      <c r="X31" s="2">
        <f t="shared" si="2"/>
        <v>7803.51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--46364.3</f>
        <v>46364.3</v>
      </c>
      <c r="E34" s="2"/>
      <c r="F34" s="19"/>
      <c r="G34" s="2"/>
      <c r="H34" s="2"/>
      <c r="I34" s="2"/>
      <c r="J34" s="19"/>
      <c r="K34" s="2"/>
      <c r="L34" s="2">
        <f t="shared" si="0"/>
        <v>46364.3</v>
      </c>
      <c r="M34" s="2"/>
      <c r="N34" s="19">
        <f t="shared" si="1"/>
        <v>0</v>
      </c>
      <c r="O34" s="11"/>
      <c r="P34" s="2">
        <f>--1941274.42</f>
        <v>1941274.42</v>
      </c>
      <c r="Q34" s="2"/>
      <c r="R34" s="19"/>
      <c r="S34" s="2"/>
      <c r="T34" s="2"/>
      <c r="U34" s="2"/>
      <c r="V34" s="19"/>
      <c r="W34" s="2"/>
      <c r="X34" s="2">
        <f t="shared" si="2"/>
        <v>1941274.42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--29904.23</f>
        <v>29904.23</v>
      </c>
      <c r="E35" s="2"/>
      <c r="F35" s="19"/>
      <c r="G35" s="2"/>
      <c r="H35" s="2"/>
      <c r="I35" s="2"/>
      <c r="J35" s="19"/>
      <c r="K35" s="2"/>
      <c r="L35" s="2">
        <f t="shared" si="0"/>
        <v>29904.23</v>
      </c>
      <c r="M35" s="2"/>
      <c r="N35" s="19">
        <f t="shared" si="1"/>
        <v>0</v>
      </c>
      <c r="O35" s="11"/>
      <c r="P35" s="2">
        <f>--556536.79</f>
        <v>556536.79</v>
      </c>
      <c r="Q35" s="2"/>
      <c r="R35" s="19"/>
      <c r="S35" s="2"/>
      <c r="T35" s="2"/>
      <c r="U35" s="2"/>
      <c r="V35" s="19"/>
      <c r="W35" s="2"/>
      <c r="X35" s="2">
        <f t="shared" si="2"/>
        <v>556536.79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--2836.85</f>
        <v>2836.85</v>
      </c>
      <c r="E36" s="2"/>
      <c r="F36" s="19"/>
      <c r="G36" s="2"/>
      <c r="H36" s="2"/>
      <c r="I36" s="2"/>
      <c r="J36" s="19"/>
      <c r="K36" s="2"/>
      <c r="L36" s="2">
        <f t="shared" si="0"/>
        <v>2836.85</v>
      </c>
      <c r="M36" s="2"/>
      <c r="N36" s="19">
        <f t="shared" si="1"/>
        <v>0</v>
      </c>
      <c r="O36" s="11"/>
      <c r="P36" s="2">
        <f>--285558.05</f>
        <v>285558.05</v>
      </c>
      <c r="Q36" s="2"/>
      <c r="R36" s="19"/>
      <c r="S36" s="2"/>
      <c r="T36" s="2"/>
      <c r="U36" s="2"/>
      <c r="V36" s="19"/>
      <c r="W36" s="2"/>
      <c r="X36" s="2">
        <f t="shared" si="2"/>
        <v>285558.05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--54.96</f>
        <v>54.96</v>
      </c>
      <c r="E37" s="2"/>
      <c r="F37" s="19"/>
      <c r="G37" s="2"/>
      <c r="H37" s="2"/>
      <c r="I37" s="2"/>
      <c r="J37" s="19"/>
      <c r="K37" s="2"/>
      <c r="L37" s="2">
        <f t="shared" si="0"/>
        <v>54.96</v>
      </c>
      <c r="M37" s="2"/>
      <c r="N37" s="19">
        <f t="shared" si="1"/>
        <v>0</v>
      </c>
      <c r="O37" s="11"/>
      <c r="P37" s="2">
        <f>--77324.14</f>
        <v>77324.14</v>
      </c>
      <c r="Q37" s="2"/>
      <c r="R37" s="19"/>
      <c r="S37" s="2"/>
      <c r="T37" s="2"/>
      <c r="U37" s="2"/>
      <c r="V37" s="19"/>
      <c r="W37" s="2"/>
      <c r="X37" s="2">
        <f t="shared" si="2"/>
        <v>77324.14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--2524.8</f>
        <v>2524.8000000000002</v>
      </c>
      <c r="E38" s="2"/>
      <c r="F38" s="19"/>
      <c r="G38" s="2"/>
      <c r="H38" s="2"/>
      <c r="I38" s="2"/>
      <c r="J38" s="19"/>
      <c r="K38" s="2"/>
      <c r="L38" s="2">
        <f t="shared" si="0"/>
        <v>2524.8000000000002</v>
      </c>
      <c r="M38" s="2"/>
      <c r="N38" s="19">
        <f t="shared" si="1"/>
        <v>0</v>
      </c>
      <c r="O38" s="11"/>
      <c r="P38" s="2">
        <f>--73780.56</f>
        <v>73780.56</v>
      </c>
      <c r="Q38" s="2"/>
      <c r="R38" s="19"/>
      <c r="S38" s="2"/>
      <c r="T38" s="2"/>
      <c r="U38" s="2"/>
      <c r="V38" s="19"/>
      <c r="W38" s="2"/>
      <c r="X38" s="2">
        <f t="shared" si="2"/>
        <v>73780.56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--26263.53</f>
        <v>26263.53</v>
      </c>
      <c r="E39" s="2"/>
      <c r="F39" s="19"/>
      <c r="G39" s="2"/>
      <c r="H39" s="2"/>
      <c r="I39" s="2"/>
      <c r="J39" s="19"/>
      <c r="K39" s="2"/>
      <c r="L39" s="2">
        <f t="shared" si="0"/>
        <v>26263.53</v>
      </c>
      <c r="M39" s="2"/>
      <c r="N39" s="19">
        <f t="shared" si="1"/>
        <v>0</v>
      </c>
      <c r="O39" s="11"/>
      <c r="P39" s="2">
        <f>--123103.09</f>
        <v>123103.09</v>
      </c>
      <c r="Q39" s="2"/>
      <c r="R39" s="19"/>
      <c r="S39" s="2"/>
      <c r="T39" s="2"/>
      <c r="U39" s="2"/>
      <c r="V39" s="19"/>
      <c r="W39" s="2"/>
      <c r="X39" s="2">
        <f t="shared" si="2"/>
        <v>123103.09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4" si="7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7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--3174.93</f>
        <v>3174.93</v>
      </c>
      <c r="Q41" s="2"/>
      <c r="R41" s="19"/>
      <c r="S41" s="2"/>
      <c r="T41" s="2"/>
      <c r="U41" s="2"/>
      <c r="V41" s="19"/>
      <c r="W41" s="2"/>
      <c r="X41" s="2">
        <f t="shared" si="2"/>
        <v>3174.93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7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--363.94</f>
        <v>363.94</v>
      </c>
      <c r="Q42" s="2"/>
      <c r="R42" s="19"/>
      <c r="S42" s="2"/>
      <c r="T42" s="2"/>
      <c r="U42" s="2"/>
      <c r="V42" s="19"/>
      <c r="W42" s="2"/>
      <c r="X42" s="2">
        <f t="shared" si="2"/>
        <v>363.94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7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--914.33</f>
        <v>914.33</v>
      </c>
      <c r="Q43" s="2"/>
      <c r="R43" s="19"/>
      <c r="S43" s="2"/>
      <c r="T43" s="2"/>
      <c r="U43" s="2"/>
      <c r="V43" s="19"/>
      <c r="W43" s="2"/>
      <c r="X43" s="2">
        <f t="shared" si="2"/>
        <v>914.33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7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--813.74</f>
        <v>813.74</v>
      </c>
      <c r="Q44" s="2"/>
      <c r="R44" s="19"/>
      <c r="S44" s="2"/>
      <c r="T44" s="2"/>
      <c r="U44" s="2"/>
      <c r="V44" s="19"/>
      <c r="W44" s="2"/>
      <c r="X44" s="2">
        <f t="shared" si="2"/>
        <v>813.74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--6332.23</f>
        <v>6332.23</v>
      </c>
      <c r="E45" s="2"/>
      <c r="F45" s="19"/>
      <c r="G45" s="2"/>
      <c r="H45" s="2"/>
      <c r="I45" s="2"/>
      <c r="J45" s="19"/>
      <c r="K45" s="2"/>
      <c r="L45" s="2">
        <f t="shared" si="0"/>
        <v>6332.23</v>
      </c>
      <c r="M45" s="2"/>
      <c r="N45" s="19">
        <f t="shared" si="1"/>
        <v>0</v>
      </c>
      <c r="O45" s="11"/>
      <c r="P45" s="2">
        <f>--41685.94</f>
        <v>41685.94</v>
      </c>
      <c r="Q45" s="2"/>
      <c r="R45" s="19"/>
      <c r="S45" s="2"/>
      <c r="T45" s="2"/>
      <c r="U45" s="2"/>
      <c r="V45" s="19"/>
      <c r="W45" s="2"/>
      <c r="X45" s="2">
        <f t="shared" si="2"/>
        <v>41685.94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--309.26</f>
        <v>309.26</v>
      </c>
      <c r="Q46" s="2"/>
      <c r="R46" s="19"/>
      <c r="S46" s="2"/>
      <c r="T46" s="2"/>
      <c r="U46" s="2"/>
      <c r="V46" s="19"/>
      <c r="W46" s="2"/>
      <c r="X46" s="2">
        <f t="shared" si="2"/>
        <v>309.26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-16200.52</f>
        <v>-16200.52</v>
      </c>
      <c r="E47" s="2"/>
      <c r="F47" s="19"/>
      <c r="G47" s="2"/>
      <c r="H47" s="2">
        <v>53798</v>
      </c>
      <c r="I47" s="2"/>
      <c r="J47" s="19"/>
      <c r="K47" s="2"/>
      <c r="L47" s="2">
        <f t="shared" si="0"/>
        <v>-69998.52</v>
      </c>
      <c r="M47" s="2"/>
      <c r="N47" s="19">
        <f t="shared" si="1"/>
        <v>-1.3011361017138183</v>
      </c>
      <c r="O47" s="11"/>
      <c r="P47" s="2">
        <f>--591246.5</f>
        <v>591246.5</v>
      </c>
      <c r="Q47" s="2"/>
      <c r="R47" s="19"/>
      <c r="S47" s="2"/>
      <c r="T47" s="2">
        <v>6252102</v>
      </c>
      <c r="U47" s="2"/>
      <c r="V47" s="19"/>
      <c r="W47" s="2"/>
      <c r="X47" s="2">
        <f t="shared" si="2"/>
        <v>-5660855.5</v>
      </c>
      <c r="Y47" s="2"/>
      <c r="Z47" s="19">
        <f t="shared" si="3"/>
        <v>-0.90543236498700752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--2671.34</f>
        <v>2671.34</v>
      </c>
      <c r="E48" s="2"/>
      <c r="F48" s="19"/>
      <c r="G48" s="2"/>
      <c r="H48" s="2"/>
      <c r="I48" s="2"/>
      <c r="J48" s="19"/>
      <c r="K48" s="2"/>
      <c r="L48" s="2">
        <f t="shared" si="0"/>
        <v>2671.34</v>
      </c>
      <c r="M48" s="2"/>
      <c r="N48" s="19">
        <f t="shared" si="1"/>
        <v>0</v>
      </c>
      <c r="O48" s="11"/>
      <c r="P48" s="2">
        <f>--153953.68</f>
        <v>153953.68</v>
      </c>
      <c r="Q48" s="2"/>
      <c r="R48" s="19"/>
      <c r="S48" s="2"/>
      <c r="T48" s="2"/>
      <c r="U48" s="2"/>
      <c r="V48" s="19"/>
      <c r="W48" s="2"/>
      <c r="X48" s="2">
        <f t="shared" si="2"/>
        <v>153953.68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--1718.15</f>
        <v>1718.15</v>
      </c>
      <c r="E49" s="2"/>
      <c r="F49" s="19"/>
      <c r="G49" s="2"/>
      <c r="H49" s="2"/>
      <c r="I49" s="2"/>
      <c r="J49" s="19"/>
      <c r="K49" s="2"/>
      <c r="L49" s="2">
        <f t="shared" si="0"/>
        <v>1718.15</v>
      </c>
      <c r="M49" s="2"/>
      <c r="N49" s="19">
        <f t="shared" si="1"/>
        <v>0</v>
      </c>
      <c r="O49" s="11"/>
      <c r="P49" s="2">
        <f>--71943.61</f>
        <v>71943.61</v>
      </c>
      <c r="Q49" s="2"/>
      <c r="R49" s="19"/>
      <c r="S49" s="2"/>
      <c r="T49" s="2"/>
      <c r="U49" s="2"/>
      <c r="V49" s="19"/>
      <c r="W49" s="2"/>
      <c r="X49" s="2">
        <f t="shared" si="2"/>
        <v>71943.61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--664.97</f>
        <v>664.97</v>
      </c>
      <c r="Q50" s="2"/>
      <c r="R50" s="19"/>
      <c r="S50" s="2"/>
      <c r="T50" s="2"/>
      <c r="U50" s="2"/>
      <c r="V50" s="19"/>
      <c r="W50" s="2"/>
      <c r="X50" s="2">
        <f t="shared" si="2"/>
        <v>664.97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--1836.93</f>
        <v>1836.93</v>
      </c>
      <c r="E51" s="2"/>
      <c r="F51" s="19"/>
      <c r="G51" s="2"/>
      <c r="H51" s="2"/>
      <c r="I51" s="2"/>
      <c r="J51" s="19"/>
      <c r="K51" s="2"/>
      <c r="L51" s="2">
        <f t="shared" si="0"/>
        <v>1836.93</v>
      </c>
      <c r="M51" s="2"/>
      <c r="N51" s="19">
        <f t="shared" si="1"/>
        <v>0</v>
      </c>
      <c r="O51" s="11"/>
      <c r="P51" s="2">
        <f>--533640.31</f>
        <v>533640.31000000006</v>
      </c>
      <c r="Q51" s="2"/>
      <c r="R51" s="19"/>
      <c r="S51" s="2"/>
      <c r="T51" s="2"/>
      <c r="U51" s="2"/>
      <c r="V51" s="19"/>
      <c r="W51" s="2"/>
      <c r="X51" s="2">
        <f t="shared" si="2"/>
        <v>533640.31000000006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--679.21</f>
        <v>679.21</v>
      </c>
      <c r="E52" s="2"/>
      <c r="F52" s="19"/>
      <c r="G52" s="2"/>
      <c r="H52" s="2"/>
      <c r="I52" s="2"/>
      <c r="J52" s="19"/>
      <c r="K52" s="2"/>
      <c r="L52" s="2">
        <f t="shared" si="0"/>
        <v>679.21</v>
      </c>
      <c r="M52" s="2"/>
      <c r="N52" s="19">
        <f t="shared" si="1"/>
        <v>0</v>
      </c>
      <c r="O52" s="11"/>
      <c r="P52" s="2">
        <f>--16342.67</f>
        <v>16342.67</v>
      </c>
      <c r="Q52" s="2"/>
      <c r="R52" s="19"/>
      <c r="S52" s="2"/>
      <c r="T52" s="2"/>
      <c r="U52" s="2"/>
      <c r="V52" s="19"/>
      <c r="W52" s="2"/>
      <c r="X52" s="2">
        <f t="shared" si="2"/>
        <v>16342.67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 t="shared" ref="D53:D54" si="8"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--8266.16</f>
        <v>8266.16</v>
      </c>
      <c r="Q53" s="2"/>
      <c r="R53" s="19"/>
      <c r="S53" s="2"/>
      <c r="T53" s="2"/>
      <c r="U53" s="2"/>
      <c r="V53" s="19"/>
      <c r="W53" s="2"/>
      <c r="X53" s="2">
        <f t="shared" si="2"/>
        <v>8266.16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"4114", " - ", "NON-TAXABLE SALES-REMAINDERS")</f>
        <v xml:space="preserve">          4114 - NON-TAXABLE SALES-REMAINDERS</v>
      </c>
      <c r="C54" s="11"/>
      <c r="D54" s="2">
        <f t="shared" si="8"/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--3.19</f>
        <v>3.19</v>
      </c>
      <c r="Q54" s="2"/>
      <c r="R54" s="19"/>
      <c r="S54" s="2"/>
      <c r="T54" s="2"/>
      <c r="U54" s="2"/>
      <c r="V54" s="19"/>
      <c r="W54" s="2"/>
      <c r="X54" s="2">
        <f t="shared" si="2"/>
        <v>3.19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--10.09</f>
        <v>10.09</v>
      </c>
      <c r="E55" s="2"/>
      <c r="F55" s="19"/>
      <c r="G55" s="2"/>
      <c r="H55" s="2"/>
      <c r="I55" s="2"/>
      <c r="J55" s="19"/>
      <c r="K55" s="2"/>
      <c r="L55" s="2">
        <f t="shared" si="0"/>
        <v>10.09</v>
      </c>
      <c r="M55" s="2"/>
      <c r="N55" s="19">
        <f t="shared" si="1"/>
        <v>0</v>
      </c>
      <c r="O55" s="11"/>
      <c r="P55" s="2">
        <f>--126.03</f>
        <v>126.03</v>
      </c>
      <c r="Q55" s="2"/>
      <c r="R55" s="19"/>
      <c r="S55" s="2"/>
      <c r="T55" s="2"/>
      <c r="U55" s="2"/>
      <c r="V55" s="19"/>
      <c r="W55" s="2"/>
      <c r="X55" s="2">
        <f t="shared" si="2"/>
        <v>126.03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--185</f>
        <v>185</v>
      </c>
      <c r="E56" s="2"/>
      <c r="F56" s="19"/>
      <c r="G56" s="2"/>
      <c r="H56" s="2"/>
      <c r="I56" s="2"/>
      <c r="J56" s="19"/>
      <c r="K56" s="2"/>
      <c r="L56" s="2">
        <f t="shared" si="0"/>
        <v>185</v>
      </c>
      <c r="M56" s="2"/>
      <c r="N56" s="19">
        <f t="shared" si="1"/>
        <v>0</v>
      </c>
      <c r="O56" s="11"/>
      <c r="P56" s="2">
        <f>--452.61</f>
        <v>452.61</v>
      </c>
      <c r="Q56" s="2"/>
      <c r="R56" s="19"/>
      <c r="S56" s="2"/>
      <c r="T56" s="2"/>
      <c r="U56" s="2"/>
      <c r="V56" s="19"/>
      <c r="W56" s="2"/>
      <c r="X56" s="2">
        <f t="shared" si="2"/>
        <v>452.61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--168.02</f>
        <v>168.02</v>
      </c>
      <c r="E57" s="2"/>
      <c r="F57" s="19"/>
      <c r="G57" s="2"/>
      <c r="H57" s="2"/>
      <c r="I57" s="2"/>
      <c r="J57" s="19"/>
      <c r="K57" s="2"/>
      <c r="L57" s="2">
        <f t="shared" si="0"/>
        <v>168.02</v>
      </c>
      <c r="M57" s="2"/>
      <c r="N57" s="19">
        <f t="shared" si="1"/>
        <v>0</v>
      </c>
      <c r="O57" s="11"/>
      <c r="P57" s="2">
        <f>--3301.44</f>
        <v>3301.44</v>
      </c>
      <c r="Q57" s="2"/>
      <c r="R57" s="19"/>
      <c r="S57" s="2"/>
      <c r="T57" s="2"/>
      <c r="U57" s="2"/>
      <c r="V57" s="19"/>
      <c r="W57" s="2"/>
      <c r="X57" s="2">
        <f t="shared" si="2"/>
        <v>3301.44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--97.62</f>
        <v>97.62</v>
      </c>
      <c r="E58" s="2"/>
      <c r="F58" s="19"/>
      <c r="G58" s="2"/>
      <c r="H58" s="2"/>
      <c r="I58" s="2"/>
      <c r="J58" s="19"/>
      <c r="K58" s="2"/>
      <c r="L58" s="2">
        <f t="shared" si="0"/>
        <v>97.62</v>
      </c>
      <c r="M58" s="2"/>
      <c r="N58" s="19">
        <f t="shared" si="1"/>
        <v>0</v>
      </c>
      <c r="O58" s="11"/>
      <c r="P58" s="2">
        <f>--6471.33</f>
        <v>6471.33</v>
      </c>
      <c r="Q58" s="2"/>
      <c r="R58" s="19"/>
      <c r="S58" s="2"/>
      <c r="T58" s="2"/>
      <c r="U58" s="2"/>
      <c r="V58" s="19"/>
      <c r="W58" s="2"/>
      <c r="X58" s="2">
        <f t="shared" si="2"/>
        <v>6471.33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--0.74</f>
        <v>0.74</v>
      </c>
      <c r="E59" s="2"/>
      <c r="F59" s="19"/>
      <c r="G59" s="2"/>
      <c r="H59" s="2"/>
      <c r="I59" s="2"/>
      <c r="J59" s="19"/>
      <c r="K59" s="2"/>
      <c r="L59" s="2">
        <f t="shared" si="0"/>
        <v>0.74</v>
      </c>
      <c r="M59" s="2"/>
      <c r="N59" s="19">
        <f t="shared" si="1"/>
        <v>0</v>
      </c>
      <c r="O59" s="11"/>
      <c r="P59" s="2">
        <f>--731.36</f>
        <v>731.36</v>
      </c>
      <c r="Q59" s="2"/>
      <c r="R59" s="19"/>
      <c r="S59" s="2"/>
      <c r="T59" s="2"/>
      <c r="U59" s="2"/>
      <c r="V59" s="19"/>
      <c r="W59" s="2"/>
      <c r="X59" s="2">
        <f t="shared" si="2"/>
        <v>731.36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--64.14</f>
        <v>64.14</v>
      </c>
      <c r="E60" s="2"/>
      <c r="F60" s="19"/>
      <c r="G60" s="2"/>
      <c r="H60" s="2"/>
      <c r="I60" s="2"/>
      <c r="J60" s="19"/>
      <c r="K60" s="2"/>
      <c r="L60" s="2">
        <f t="shared" si="0"/>
        <v>64.14</v>
      </c>
      <c r="M60" s="2"/>
      <c r="N60" s="19">
        <f t="shared" si="1"/>
        <v>0</v>
      </c>
      <c r="O60" s="11"/>
      <c r="P60" s="2">
        <f>--57957.84</f>
        <v>57957.84</v>
      </c>
      <c r="Q60" s="2"/>
      <c r="R60" s="19"/>
      <c r="S60" s="2"/>
      <c r="T60" s="2"/>
      <c r="U60" s="2"/>
      <c r="V60" s="19"/>
      <c r="W60" s="2"/>
      <c r="X60" s="2">
        <f t="shared" si="2"/>
        <v>57957.84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0</f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--16199.63</f>
        <v>16199.63</v>
      </c>
      <c r="Q61" s="2"/>
      <c r="R61" s="19"/>
      <c r="S61" s="2"/>
      <c r="T61" s="2"/>
      <c r="U61" s="2"/>
      <c r="V61" s="19"/>
      <c r="W61" s="2"/>
      <c r="X61" s="2">
        <f t="shared" si="2"/>
        <v>16199.63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--13.47</f>
        <v>13.47</v>
      </c>
      <c r="E62" s="2"/>
      <c r="F62" s="19"/>
      <c r="G62" s="2"/>
      <c r="H62" s="2"/>
      <c r="I62" s="2"/>
      <c r="J62" s="19"/>
      <c r="K62" s="2"/>
      <c r="L62" s="2">
        <f t="shared" si="0"/>
        <v>13.47</v>
      </c>
      <c r="M62" s="2"/>
      <c r="N62" s="19">
        <f t="shared" si="1"/>
        <v>0</v>
      </c>
      <c r="O62" s="11"/>
      <c r="P62" s="2">
        <f>--18150.2</f>
        <v>18150.2</v>
      </c>
      <c r="Q62" s="2"/>
      <c r="R62" s="19"/>
      <c r="S62" s="2"/>
      <c r="T62" s="2"/>
      <c r="U62" s="2"/>
      <c r="V62" s="19"/>
      <c r="W62" s="2"/>
      <c r="X62" s="2">
        <f t="shared" si="2"/>
        <v>18150.2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 t="shared" ref="D63:D65" si="9"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--1.89</f>
        <v>1.89</v>
      </c>
      <c r="Q63" s="2"/>
      <c r="R63" s="19"/>
      <c r="S63" s="2"/>
      <c r="T63" s="2"/>
      <c r="U63" s="2"/>
      <c r="V63" s="19"/>
      <c r="W63" s="2"/>
      <c r="X63" s="2">
        <f t="shared" si="2"/>
        <v>1.89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 t="shared" si="9"/>
        <v>0</v>
      </c>
      <c r="E64" s="2"/>
      <c r="F64" s="19"/>
      <c r="G64" s="2"/>
      <c r="H64" s="2"/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--161.4</f>
        <v>161.4</v>
      </c>
      <c r="Q64" s="2"/>
      <c r="R64" s="19"/>
      <c r="S64" s="2"/>
      <c r="T64" s="2"/>
      <c r="U64" s="2"/>
      <c r="V64" s="19"/>
      <c r="W64" s="2"/>
      <c r="X64" s="2">
        <f t="shared" si="2"/>
        <v>161.4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 t="shared" si="9"/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--8519.06</f>
        <v>8519.06</v>
      </c>
      <c r="Q65" s="2"/>
      <c r="R65" s="19"/>
      <c r="S65" s="2"/>
      <c r="T65" s="2"/>
      <c r="U65" s="2"/>
      <c r="V65" s="19"/>
      <c r="W65" s="2"/>
      <c r="X65" s="2">
        <f t="shared" si="2"/>
        <v>8519.06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--40740.37</f>
        <v>40740.370000000003</v>
      </c>
      <c r="E66" s="2"/>
      <c r="F66" s="19"/>
      <c r="G66" s="2"/>
      <c r="H66" s="2"/>
      <c r="I66" s="2"/>
      <c r="J66" s="19"/>
      <c r="K66" s="2"/>
      <c r="L66" s="2">
        <f t="shared" si="0"/>
        <v>40740.370000000003</v>
      </c>
      <c r="M66" s="2"/>
      <c r="N66" s="19">
        <f t="shared" si="1"/>
        <v>0</v>
      </c>
      <c r="O66" s="11"/>
      <c r="P66" s="2">
        <f>--176221.13</f>
        <v>176221.13</v>
      </c>
      <c r="Q66" s="2"/>
      <c r="R66" s="19"/>
      <c r="S66" s="2"/>
      <c r="T66" s="2"/>
      <c r="U66" s="2"/>
      <c r="V66" s="19"/>
      <c r="W66" s="2"/>
      <c r="X66" s="2">
        <f t="shared" si="2"/>
        <v>176221.13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--6641.14</f>
        <v>6641.14</v>
      </c>
      <c r="E67" s="2"/>
      <c r="F67" s="19"/>
      <c r="G67" s="2"/>
      <c r="H67" s="2"/>
      <c r="I67" s="2"/>
      <c r="J67" s="19"/>
      <c r="K67" s="2"/>
      <c r="L67" s="2">
        <f t="shared" si="0"/>
        <v>6641.14</v>
      </c>
      <c r="M67" s="2"/>
      <c r="N67" s="19">
        <f t="shared" si="1"/>
        <v>0</v>
      </c>
      <c r="O67" s="11"/>
      <c r="P67" s="2">
        <f>--23601.45</f>
        <v>23601.45</v>
      </c>
      <c r="Q67" s="2"/>
      <c r="R67" s="19"/>
      <c r="S67" s="2"/>
      <c r="T67" s="2"/>
      <c r="U67" s="2"/>
      <c r="V67" s="19"/>
      <c r="W67" s="2"/>
      <c r="X67" s="2">
        <f t="shared" si="2"/>
        <v>23601.45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--1018.52</f>
        <v>1018.52</v>
      </c>
      <c r="E68" s="2"/>
      <c r="F68" s="19"/>
      <c r="G68" s="2"/>
      <c r="H68" s="2"/>
      <c r="I68" s="2"/>
      <c r="J68" s="19"/>
      <c r="K68" s="2"/>
      <c r="L68" s="2">
        <f t="shared" si="0"/>
        <v>1018.52</v>
      </c>
      <c r="M68" s="2"/>
      <c r="N68" s="19">
        <f t="shared" si="1"/>
        <v>0</v>
      </c>
      <c r="O68" s="11"/>
      <c r="P68" s="2">
        <f>--16350.74</f>
        <v>16350.74</v>
      </c>
      <c r="Q68" s="2"/>
      <c r="R68" s="19"/>
      <c r="S68" s="2"/>
      <c r="T68" s="2"/>
      <c r="U68" s="2"/>
      <c r="V68" s="19"/>
      <c r="W68" s="2"/>
      <c r="X68" s="2">
        <f t="shared" si="2"/>
        <v>16350.74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0</f>
        <v>0</v>
      </c>
      <c r="E69" s="2"/>
      <c r="F69" s="19"/>
      <c r="G69" s="2"/>
      <c r="H69" s="2"/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>--19.98</f>
        <v>19.98</v>
      </c>
      <c r="Q69" s="2"/>
      <c r="R69" s="19"/>
      <c r="S69" s="2"/>
      <c r="T69" s="2"/>
      <c r="U69" s="2"/>
      <c r="V69" s="19"/>
      <c r="W69" s="2"/>
      <c r="X69" s="2">
        <f t="shared" si="2"/>
        <v>19.98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--386.9</f>
        <v>386.9</v>
      </c>
      <c r="E70" s="2"/>
      <c r="F70" s="19"/>
      <c r="G70" s="2"/>
      <c r="H70" s="2"/>
      <c r="I70" s="2"/>
      <c r="J70" s="19"/>
      <c r="K70" s="2"/>
      <c r="L70" s="2">
        <f t="shared" si="0"/>
        <v>386.9</v>
      </c>
      <c r="M70" s="2"/>
      <c r="N70" s="19">
        <f t="shared" si="1"/>
        <v>0</v>
      </c>
      <c r="O70" s="11"/>
      <c r="P70" s="2">
        <f>--3710.92</f>
        <v>3710.92</v>
      </c>
      <c r="Q70" s="2"/>
      <c r="R70" s="19"/>
      <c r="S70" s="2"/>
      <c r="T70" s="2"/>
      <c r="U70" s="2"/>
      <c r="V70" s="19"/>
      <c r="W70" s="2"/>
      <c r="X70" s="2">
        <f t="shared" si="2"/>
        <v>3710.92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--19379.5</f>
        <v>19379.5</v>
      </c>
      <c r="E71" s="2"/>
      <c r="F71" s="19"/>
      <c r="G71" s="2"/>
      <c r="H71" s="2"/>
      <c r="I71" s="2"/>
      <c r="J71" s="19"/>
      <c r="K71" s="2"/>
      <c r="L71" s="2">
        <f t="shared" si="0"/>
        <v>19379.5</v>
      </c>
      <c r="M71" s="2"/>
      <c r="N71" s="19">
        <f t="shared" si="1"/>
        <v>0</v>
      </c>
      <c r="O71" s="11"/>
      <c r="P71" s="2">
        <f>--27208.18</f>
        <v>27208.18</v>
      </c>
      <c r="Q71" s="2"/>
      <c r="R71" s="19"/>
      <c r="S71" s="2"/>
      <c r="T71" s="2"/>
      <c r="U71" s="2"/>
      <c r="V71" s="19"/>
      <c r="W71" s="2"/>
      <c r="X71" s="2">
        <f t="shared" si="2"/>
        <v>27208.18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 t="shared" ref="D72:D76" si="10">0</f>
        <v>0</v>
      </c>
      <c r="E72" s="2"/>
      <c r="F72" s="19"/>
      <c r="G72" s="2"/>
      <c r="H72" s="2"/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>--205908.65</f>
        <v>205908.65</v>
      </c>
      <c r="Q72" s="2"/>
      <c r="R72" s="19"/>
      <c r="S72" s="2"/>
      <c r="T72" s="2"/>
      <c r="U72" s="2"/>
      <c r="V72" s="19"/>
      <c r="W72" s="2"/>
      <c r="X72" s="2">
        <f t="shared" si="2"/>
        <v>205908.65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 t="shared" si="10"/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--3446.37</f>
        <v>3446.37</v>
      </c>
      <c r="Q73" s="2"/>
      <c r="R73" s="19"/>
      <c r="S73" s="2"/>
      <c r="T73" s="2"/>
      <c r="U73" s="2"/>
      <c r="V73" s="19"/>
      <c r="W73" s="2"/>
      <c r="X73" s="2">
        <f t="shared" si="2"/>
        <v>3446.37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"4186", " - ", "NON-TAXABLE SALES-COMPUTER SUP")</f>
        <v xml:space="preserve">          4186 - NON-TAXABLE SALES-COMPUTER SUP</v>
      </c>
      <c r="C74" s="11"/>
      <c r="D74" s="2">
        <f t="shared" si="10"/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-30.97</f>
        <v>-30.97</v>
      </c>
      <c r="Q74" s="2"/>
      <c r="R74" s="19"/>
      <c r="S74" s="2"/>
      <c r="T74" s="2"/>
      <c r="U74" s="2"/>
      <c r="V74" s="19"/>
      <c r="W74" s="2"/>
      <c r="X74" s="2">
        <f t="shared" si="2"/>
        <v>-30.97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"4192", " - ", "NON-TAXABLE SALES-GRAD MERCH")</f>
        <v xml:space="preserve">          4192 - NON-TAXABLE SALES-GRAD MERCH</v>
      </c>
      <c r="C75" s="11"/>
      <c r="D75" s="2">
        <f t="shared" si="10"/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--119.4</f>
        <v>119.4</v>
      </c>
      <c r="Q75" s="2"/>
      <c r="R75" s="19"/>
      <c r="S75" s="2"/>
      <c r="T75" s="2"/>
      <c r="U75" s="2"/>
      <c r="V75" s="19"/>
      <c r="W75" s="2"/>
      <c r="X75" s="2">
        <f t="shared" si="2"/>
        <v>119.4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 t="shared" si="10"/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-121451.61</f>
        <v>-121451.61</v>
      </c>
      <c r="Q76" s="2"/>
      <c r="R76" s="19"/>
      <c r="S76" s="2"/>
      <c r="T76" s="2"/>
      <c r="U76" s="2"/>
      <c r="V76" s="19"/>
      <c r="W76" s="2"/>
      <c r="X76" s="2">
        <f t="shared" si="2"/>
        <v>-121451.61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-186.35</f>
        <v>-186.35</v>
      </c>
      <c r="E77" s="2"/>
      <c r="F77" s="19"/>
      <c r="G77" s="2"/>
      <c r="H77" s="2"/>
      <c r="I77" s="2"/>
      <c r="J77" s="19"/>
      <c r="K77" s="2"/>
      <c r="L77" s="2">
        <f t="shared" si="0"/>
        <v>-186.35</v>
      </c>
      <c r="M77" s="2"/>
      <c r="N77" s="19">
        <f t="shared" si="1"/>
        <v>0</v>
      </c>
      <c r="O77" s="11"/>
      <c r="P77" s="2">
        <f>-45799.46</f>
        <v>-45799.46</v>
      </c>
      <c r="Q77" s="2"/>
      <c r="R77" s="19"/>
      <c r="S77" s="2"/>
      <c r="T77" s="2"/>
      <c r="U77" s="2"/>
      <c r="V77" s="19"/>
      <c r="W77" s="2"/>
      <c r="X77" s="2">
        <f t="shared" si="2"/>
        <v>-45799.46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 t="shared" ref="D78:D79" si="11"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/>
      <c r="U78" s="2"/>
      <c r="V78" s="19"/>
      <c r="W78" s="2"/>
      <c r="X78" s="2">
        <f t="shared" si="2"/>
        <v>-144.99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 t="shared" si="11"/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-17255.33</f>
        <v>-17255.330000000002</v>
      </c>
      <c r="Q79" s="2"/>
      <c r="R79" s="19"/>
      <c r="S79" s="2"/>
      <c r="T79" s="2"/>
      <c r="U79" s="2"/>
      <c r="V79" s="19"/>
      <c r="W79" s="2"/>
      <c r="X79" s="2">
        <f t="shared" si="2"/>
        <v>-17255.330000000002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"4213", " - ", "NON-TAXABLE SALES-TRADE BOOKS")</f>
        <v xml:space="preserve">          4213 - NON-TAXABLE SALES-TRADE BOOKS</v>
      </c>
      <c r="C80" s="11"/>
      <c r="D80" s="2">
        <f>-100.7</f>
        <v>-100.7</v>
      </c>
      <c r="E80" s="2"/>
      <c r="F80" s="19"/>
      <c r="G80" s="2"/>
      <c r="H80" s="2"/>
      <c r="I80" s="2"/>
      <c r="J80" s="19"/>
      <c r="K80" s="2"/>
      <c r="L80" s="2">
        <f t="shared" si="0"/>
        <v>-100.7</v>
      </c>
      <c r="M80" s="2"/>
      <c r="N80" s="19">
        <f t="shared" si="1"/>
        <v>0</v>
      </c>
      <c r="O80" s="11"/>
      <c r="P80" s="2">
        <f>-2869.37</f>
        <v>-2869.37</v>
      </c>
      <c r="Q80" s="2"/>
      <c r="R80" s="19"/>
      <c r="S80" s="2"/>
      <c r="T80" s="2"/>
      <c r="U80" s="2"/>
      <c r="V80" s="19"/>
      <c r="W80" s="2"/>
      <c r="X80" s="2">
        <f t="shared" si="2"/>
        <v>-2869.37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"4214", " - ", "SALES RETURN TAXABLE-REMAINDER")</f>
        <v xml:space="preserve">          4214 - SALES RETURN TAXABLE-REMAINDER</v>
      </c>
      <c r="C81" s="11"/>
      <c r="D81" s="2">
        <f t="shared" ref="D81:D85" si="12">0</f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-11.94</f>
        <v>-11.94</v>
      </c>
      <c r="Q81" s="2"/>
      <c r="R81" s="19"/>
      <c r="S81" s="2"/>
      <c r="T81" s="2"/>
      <c r="U81" s="2"/>
      <c r="V81" s="19"/>
      <c r="W81" s="2"/>
      <c r="X81" s="2">
        <f t="shared" si="2"/>
        <v>-11.94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"4217", " - ", "NON-TAXABLE SALES-DORM/HOUSEWA")</f>
        <v xml:space="preserve">          4217 - NON-TAXABLE SALES-DORM/HOUSEWA</v>
      </c>
      <c r="C82" s="11"/>
      <c r="D82" s="2">
        <f t="shared" si="12"/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-2.98</f>
        <v>-2.98</v>
      </c>
      <c r="Q82" s="2"/>
      <c r="R82" s="19"/>
      <c r="S82" s="2"/>
      <c r="T82" s="2"/>
      <c r="U82" s="2"/>
      <c r="V82" s="19"/>
      <c r="W82" s="2"/>
      <c r="X82" s="2">
        <f t="shared" si="2"/>
        <v>-2.98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 t="shared" si="12"/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-39.25</f>
        <v>-39.25</v>
      </c>
      <c r="Q83" s="2"/>
      <c r="R83" s="19"/>
      <c r="S83" s="2"/>
      <c r="T83" s="2"/>
      <c r="U83" s="2"/>
      <c r="V83" s="19"/>
      <c r="W83" s="2"/>
      <c r="X83" s="2">
        <f t="shared" si="2"/>
        <v>-39.25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 t="shared" si="12"/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-205.91</f>
        <v>-205.91</v>
      </c>
      <c r="Q84" s="2"/>
      <c r="R84" s="19"/>
      <c r="S84" s="2"/>
      <c r="T84" s="2"/>
      <c r="U84" s="2"/>
      <c r="V84" s="19"/>
      <c r="W84" s="2"/>
      <c r="X84" s="2">
        <f t="shared" si="2"/>
        <v>-205.91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 t="shared" si="12"/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-924.44</f>
        <v>-924.44</v>
      </c>
      <c r="Q85" s="2"/>
      <c r="R85" s="19"/>
      <c r="S85" s="2"/>
      <c r="T85" s="2"/>
      <c r="U85" s="2"/>
      <c r="V85" s="19"/>
      <c r="W85" s="2"/>
      <c r="X85" s="2">
        <f t="shared" si="2"/>
        <v>-924.44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>-81.87</f>
        <v>-81.87</v>
      </c>
      <c r="E86" s="2"/>
      <c r="F86" s="19"/>
      <c r="G86" s="2"/>
      <c r="H86" s="2"/>
      <c r="I86" s="2"/>
      <c r="J86" s="19"/>
      <c r="K86" s="2"/>
      <c r="L86" s="2">
        <f t="shared" si="0"/>
        <v>-81.87</v>
      </c>
      <c r="M86" s="2"/>
      <c r="N86" s="19">
        <f t="shared" si="1"/>
        <v>0</v>
      </c>
      <c r="O86" s="11"/>
      <c r="P86" s="2">
        <f>-8728.9</f>
        <v>-8728.9</v>
      </c>
      <c r="Q86" s="2"/>
      <c r="R86" s="19"/>
      <c r="S86" s="2"/>
      <c r="T86" s="2"/>
      <c r="U86" s="2"/>
      <c r="V86" s="19"/>
      <c r="W86" s="2"/>
      <c r="X86" s="2">
        <f t="shared" si="2"/>
        <v>-8728.9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 t="shared" ref="D87:D88" si="13">0</f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-4739.1</f>
        <v>-4739.1000000000004</v>
      </c>
      <c r="Q87" s="2"/>
      <c r="R87" s="19"/>
      <c r="S87" s="2"/>
      <c r="T87" s="2"/>
      <c r="U87" s="2"/>
      <c r="V87" s="19"/>
      <c r="W87" s="2"/>
      <c r="X87" s="2">
        <f t="shared" si="2"/>
        <v>-4739.1000000000004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"4233", " - ", "SALES RETURN TAXABLE-CANDY")</f>
        <v xml:space="preserve">          4233 - SALES RETURN TAXABLE-CANDY</v>
      </c>
      <c r="C88" s="11"/>
      <c r="D88" s="2">
        <f t="shared" si="13"/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-8.25</f>
        <v>-8.25</v>
      </c>
      <c r="Q88" s="2"/>
      <c r="R88" s="19"/>
      <c r="S88" s="2"/>
      <c r="T88" s="2"/>
      <c r="U88" s="2"/>
      <c r="V88" s="19"/>
      <c r="W88" s="2"/>
      <c r="X88" s="2">
        <f t="shared" si="2"/>
        <v>-8.25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"4240", " - ", "SALES RETURN TAXABLE-LOGO CLOT")</f>
        <v xml:space="preserve">          4240 - SALES RETURN TAXABLE-LOGO CLOT</v>
      </c>
      <c r="C89" s="11"/>
      <c r="D89" s="2">
        <f>-2702.34</f>
        <v>-2702.34</v>
      </c>
      <c r="E89" s="2"/>
      <c r="F89" s="19"/>
      <c r="G89" s="2"/>
      <c r="H89" s="2"/>
      <c r="I89" s="2"/>
      <c r="J89" s="19"/>
      <c r="K89" s="2"/>
      <c r="L89" s="2">
        <f t="shared" si="0"/>
        <v>-2702.34</v>
      </c>
      <c r="M89" s="2"/>
      <c r="N89" s="19">
        <f t="shared" si="1"/>
        <v>0</v>
      </c>
      <c r="O89" s="11"/>
      <c r="P89" s="2">
        <f>-80387.11</f>
        <v>-80387.11</v>
      </c>
      <c r="Q89" s="2"/>
      <c r="R89" s="19"/>
      <c r="S89" s="2"/>
      <c r="T89" s="2"/>
      <c r="U89" s="2"/>
      <c r="V89" s="19"/>
      <c r="W89" s="2"/>
      <c r="X89" s="2">
        <f t="shared" si="2"/>
        <v>-80387.11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"4241", " - ", "SALES RETURN TAXABLE-LOGO GIFT")</f>
        <v xml:space="preserve">          4241 - SALES RETURN TAXABLE-LOGO GIFT</v>
      </c>
      <c r="C90" s="11"/>
      <c r="D90" s="2">
        <f>-525.51</f>
        <v>-525.51</v>
      </c>
      <c r="E90" s="2"/>
      <c r="F90" s="19"/>
      <c r="G90" s="2"/>
      <c r="H90" s="2"/>
      <c r="I90" s="2"/>
      <c r="J90" s="19"/>
      <c r="K90" s="2"/>
      <c r="L90" s="2">
        <f t="shared" si="0"/>
        <v>-525.51</v>
      </c>
      <c r="M90" s="2"/>
      <c r="N90" s="19">
        <f t="shared" si="1"/>
        <v>0</v>
      </c>
      <c r="O90" s="11"/>
      <c r="P90" s="2">
        <f>-7990.78</f>
        <v>-7990.78</v>
      </c>
      <c r="Q90" s="2"/>
      <c r="R90" s="19"/>
      <c r="S90" s="2"/>
      <c r="T90" s="2"/>
      <c r="U90" s="2"/>
      <c r="V90" s="19"/>
      <c r="W90" s="2"/>
      <c r="X90" s="2">
        <f t="shared" si="2"/>
        <v>-7990.78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"4242", " - ", "SALES RETURN TAXABLE-EVERYDAY")</f>
        <v xml:space="preserve">          4242 - SALES RETURN TAXABLE-EVERYDAY</v>
      </c>
      <c r="C91" s="11"/>
      <c r="D91" s="2">
        <f>-51.44</f>
        <v>-51.44</v>
      </c>
      <c r="E91" s="2"/>
      <c r="F91" s="19"/>
      <c r="G91" s="2"/>
      <c r="H91" s="2"/>
      <c r="I91" s="2"/>
      <c r="J91" s="19"/>
      <c r="K91" s="2"/>
      <c r="L91" s="2">
        <f t="shared" si="0"/>
        <v>-51.44</v>
      </c>
      <c r="M91" s="2"/>
      <c r="N91" s="19">
        <f t="shared" si="1"/>
        <v>0</v>
      </c>
      <c r="O91" s="11"/>
      <c r="P91" s="2">
        <f>-4232.85</f>
        <v>-4232.8500000000004</v>
      </c>
      <c r="Q91" s="2"/>
      <c r="R91" s="19"/>
      <c r="S91" s="2"/>
      <c r="T91" s="2"/>
      <c r="U91" s="2"/>
      <c r="V91" s="19"/>
      <c r="W91" s="2"/>
      <c r="X91" s="2">
        <f t="shared" si="2"/>
        <v>-4232.8500000000004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"4243", " - ", "SALES RETURN TAXABLE-CARDS")</f>
        <v xml:space="preserve">          4243 - SALES RETURN TAXABLE-CARDS</v>
      </c>
      <c r="C92" s="11"/>
      <c r="D92" s="2">
        <f>-19.99</f>
        <v>-19.989999999999998</v>
      </c>
      <c r="E92" s="2"/>
      <c r="F92" s="19"/>
      <c r="G92" s="2"/>
      <c r="H92" s="2"/>
      <c r="I92" s="2"/>
      <c r="J92" s="19"/>
      <c r="K92" s="2"/>
      <c r="L92" s="2">
        <f t="shared" si="0"/>
        <v>-19.989999999999998</v>
      </c>
      <c r="M92" s="2"/>
      <c r="N92" s="19">
        <f t="shared" si="1"/>
        <v>0</v>
      </c>
      <c r="O92" s="11"/>
      <c r="P92" s="2">
        <f>-3026.3</f>
        <v>-3026.3</v>
      </c>
      <c r="Q92" s="2"/>
      <c r="R92" s="19"/>
      <c r="S92" s="2"/>
      <c r="T92" s="2"/>
      <c r="U92" s="2"/>
      <c r="V92" s="19"/>
      <c r="W92" s="2"/>
      <c r="X92" s="2">
        <f t="shared" si="2"/>
        <v>-3026.3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"4244", " - ", "SALES RETURN TAXABLE-ACCESSORI")</f>
        <v xml:space="preserve">          4244 - SALES RETURN TAXABLE-ACCESSORI</v>
      </c>
      <c r="C93" s="11"/>
      <c r="D93" s="2">
        <f>0</f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-2726.41</f>
        <v>-2726.41</v>
      </c>
      <c r="Q93" s="2"/>
      <c r="R93" s="19"/>
      <c r="S93" s="2"/>
      <c r="T93" s="2"/>
      <c r="U93" s="2"/>
      <c r="V93" s="19"/>
      <c r="W93" s="2"/>
      <c r="X93" s="2">
        <f t="shared" si="2"/>
        <v>-2726.41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"4245", " - ", "SALES RETURN TAXABLE-SPECIAL O")</f>
        <v xml:space="preserve">          4245 - SALES RETURN TAXABLE-SPECIAL O</v>
      </c>
      <c r="C94" s="11"/>
      <c r="D94" s="2">
        <f>-2187.5</f>
        <v>-2187.5</v>
      </c>
      <c r="E94" s="2"/>
      <c r="F94" s="19"/>
      <c r="G94" s="2"/>
      <c r="H94" s="2"/>
      <c r="I94" s="2"/>
      <c r="J94" s="19"/>
      <c r="K94" s="2"/>
      <c r="L94" s="2">
        <f t="shared" si="0"/>
        <v>-2187.5</v>
      </c>
      <c r="M94" s="2"/>
      <c r="N94" s="19">
        <f t="shared" si="1"/>
        <v>0</v>
      </c>
      <c r="O94" s="11"/>
      <c r="P94" s="2">
        <f>-4097.53</f>
        <v>-4097.53</v>
      </c>
      <c r="Q94" s="2"/>
      <c r="R94" s="19"/>
      <c r="S94" s="2"/>
      <c r="T94" s="2"/>
      <c r="U94" s="2"/>
      <c r="V94" s="19"/>
      <c r="W94" s="2"/>
      <c r="X94" s="2">
        <f t="shared" si="2"/>
        <v>-4097.53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"4281", " - ", "SALES RETURN TAXABLE-ELECTRONI")</f>
        <v xml:space="preserve">          4281 - SALES RETURN TAXABLE-ELECTRONI</v>
      </c>
      <c r="C95" s="11"/>
      <c r="D95" s="2">
        <f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-54.97</f>
        <v>-54.97</v>
      </c>
      <c r="Q95" s="2"/>
      <c r="R95" s="19"/>
      <c r="S95" s="2"/>
      <c r="T95" s="2"/>
      <c r="U95" s="2"/>
      <c r="V95" s="19"/>
      <c r="W95" s="2"/>
      <c r="X95" s="2">
        <f t="shared" si="2"/>
        <v>-54.97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"4292", " - ", "SALES RETURN TAXABLE-GRAD MERC")</f>
        <v xml:space="preserve">          4292 - SALES RETURN TAXABLE-GRAD MERC</v>
      </c>
      <c r="C96" s="11"/>
      <c r="D96" s="2">
        <f>-214.68</f>
        <v>-214.68</v>
      </c>
      <c r="E96" s="2"/>
      <c r="F96" s="19"/>
      <c r="G96" s="2"/>
      <c r="H96" s="2"/>
      <c r="I96" s="2"/>
      <c r="J96" s="19"/>
      <c r="K96" s="2"/>
      <c r="L96" s="2">
        <f t="shared" si="0"/>
        <v>-214.68</v>
      </c>
      <c r="M96" s="2"/>
      <c r="N96" s="19">
        <f t="shared" si="1"/>
        <v>0</v>
      </c>
      <c r="O96" s="11"/>
      <c r="P96" s="2">
        <f>-793.52</f>
        <v>-793.52</v>
      </c>
      <c r="Q96" s="2"/>
      <c r="R96" s="19"/>
      <c r="S96" s="2"/>
      <c r="T96" s="2"/>
      <c r="U96" s="2"/>
      <c r="V96" s="19"/>
      <c r="W96" s="2"/>
      <c r="X96" s="2">
        <f t="shared" si="2"/>
        <v>-793.52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"4295", " - ", "SALES RETURN TAXABLE-CUSTOMER")</f>
        <v xml:space="preserve">          4295 - SALES RETURN TAXABLE-CUSTOMER</v>
      </c>
      <c r="C97" s="11"/>
      <c r="D97" s="2">
        <f>0</f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--0.99</f>
        <v>0.99</v>
      </c>
      <c r="Q97" s="2"/>
      <c r="R97" s="19"/>
      <c r="S97" s="2"/>
      <c r="T97" s="2"/>
      <c r="U97" s="2"/>
      <c r="V97" s="19"/>
      <c r="W97" s="2"/>
      <c r="X97" s="2">
        <f t="shared" si="2"/>
        <v>0.99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"4301", " - ", "SALES RETURN NON TAXABLE-NEW T")</f>
        <v xml:space="preserve">          4301 - SALES RETURN NON TAXABLE-NEW T</v>
      </c>
      <c r="C98" s="11"/>
      <c r="D98" s="2">
        <f>-253.49</f>
        <v>-253.49</v>
      </c>
      <c r="E98" s="2"/>
      <c r="F98" s="19"/>
      <c r="G98" s="2"/>
      <c r="H98" s="2"/>
      <c r="I98" s="2"/>
      <c r="J98" s="19"/>
      <c r="K98" s="2"/>
      <c r="L98" s="2">
        <f t="shared" si="0"/>
        <v>-253.49</v>
      </c>
      <c r="M98" s="2"/>
      <c r="N98" s="19">
        <f t="shared" si="1"/>
        <v>0</v>
      </c>
      <c r="O98" s="11"/>
      <c r="P98" s="2">
        <f>-21543.36</f>
        <v>-21543.360000000001</v>
      </c>
      <c r="Q98" s="2"/>
      <c r="R98" s="19"/>
      <c r="S98" s="2"/>
      <c r="T98" s="2"/>
      <c r="U98" s="2"/>
      <c r="V98" s="19"/>
      <c r="W98" s="2"/>
      <c r="X98" s="2">
        <f t="shared" si="2"/>
        <v>-21543.360000000001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"4302", " - ", "SALES RETURN NON TAXABLE-TEXT")</f>
        <v xml:space="preserve">          4302 - SALES RETURN NON TAXABLE-TEXT</v>
      </c>
      <c r="C99" s="11"/>
      <c r="D99" s="2">
        <f>-95.75</f>
        <v>-95.75</v>
      </c>
      <c r="E99" s="2"/>
      <c r="F99" s="19"/>
      <c r="G99" s="2"/>
      <c r="H99" s="2"/>
      <c r="I99" s="2"/>
      <c r="J99" s="19"/>
      <c r="K99" s="2"/>
      <c r="L99" s="2">
        <f t="shared" si="0"/>
        <v>-95.75</v>
      </c>
      <c r="M99" s="2"/>
      <c r="N99" s="19">
        <f t="shared" si="1"/>
        <v>0</v>
      </c>
      <c r="O99" s="11"/>
      <c r="P99" s="2">
        <f>-1475.62</f>
        <v>-1475.62</v>
      </c>
      <c r="Q99" s="2"/>
      <c r="R99" s="19"/>
      <c r="S99" s="2"/>
      <c r="T99" s="2"/>
      <c r="U99" s="2"/>
      <c r="V99" s="19"/>
      <c r="W99" s="2"/>
      <c r="X99" s="2">
        <f t="shared" si="2"/>
        <v>-1475.62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"4303", " - ", "SALES RETURN NON-TAXABLE-RENTA")</f>
        <v xml:space="preserve">          4303 - SALES RETURN NON-TAXABLE-RENTA</v>
      </c>
      <c r="C100" s="11"/>
      <c r="D100" s="2">
        <f>0</f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-184.99</f>
        <v>-184.99</v>
      </c>
      <c r="Q100" s="2"/>
      <c r="R100" s="19"/>
      <c r="S100" s="2"/>
      <c r="T100" s="2"/>
      <c r="U100" s="2"/>
      <c r="V100" s="19"/>
      <c r="W100" s="2"/>
      <c r="X100" s="2">
        <f t="shared" si="2"/>
        <v>-184.99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"4304", " - ", "SALES RETURN NON TAXABLE-DIGIT")</f>
        <v xml:space="preserve">          4304 - SALES RETURN NON TAXABLE-DIGIT</v>
      </c>
      <c r="C101" s="11"/>
      <c r="D101" s="2">
        <f>-398.87</f>
        <v>-398.87</v>
      </c>
      <c r="E101" s="2"/>
      <c r="F101" s="19"/>
      <c r="G101" s="2"/>
      <c r="H101" s="2"/>
      <c r="I101" s="2"/>
      <c r="J101" s="19"/>
      <c r="K101" s="2"/>
      <c r="L101" s="2">
        <f t="shared" si="0"/>
        <v>-398.87</v>
      </c>
      <c r="M101" s="2"/>
      <c r="N101" s="19">
        <f t="shared" si="1"/>
        <v>0</v>
      </c>
      <c r="O101" s="11"/>
      <c r="P101" s="2">
        <f>-19873.2</f>
        <v>-19873.2</v>
      </c>
      <c r="Q101" s="2"/>
      <c r="R101" s="19"/>
      <c r="S101" s="2"/>
      <c r="T101" s="2"/>
      <c r="U101" s="2"/>
      <c r="V101" s="19"/>
      <c r="W101" s="2"/>
      <c r="X101" s="2">
        <f t="shared" si="2"/>
        <v>-19873.2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"4311", " - ", "SALES RETURN NON TAXABLE-NO VA")</f>
        <v xml:space="preserve">          4311 - SALES RETURN NON TAXABLE-NO VA</v>
      </c>
      <c r="C102" s="11"/>
      <c r="D102" s="2">
        <f>-70.37</f>
        <v>-70.37</v>
      </c>
      <c r="E102" s="2"/>
      <c r="F102" s="19"/>
      <c r="G102" s="2"/>
      <c r="H102" s="2"/>
      <c r="I102" s="2"/>
      <c r="J102" s="19"/>
      <c r="K102" s="2"/>
      <c r="L102" s="2">
        <f t="shared" si="0"/>
        <v>-70.37</v>
      </c>
      <c r="M102" s="2"/>
      <c r="N102" s="19">
        <f t="shared" si="1"/>
        <v>0</v>
      </c>
      <c r="O102" s="11"/>
      <c r="P102" s="2">
        <f>-1011.65</f>
        <v>-1011.65</v>
      </c>
      <c r="Q102" s="2"/>
      <c r="R102" s="19"/>
      <c r="S102" s="2"/>
      <c r="T102" s="2"/>
      <c r="U102" s="2"/>
      <c r="V102" s="19"/>
      <c r="W102" s="2"/>
      <c r="X102" s="2">
        <f t="shared" si="2"/>
        <v>-1011.65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"4313", " - ", "SALES RETURN NON TAXABLE-TRADE")</f>
        <v xml:space="preserve">          4313 - SALES RETURN NON TAXABLE-TRADE</v>
      </c>
      <c r="C103" s="11"/>
      <c r="D103" s="2">
        <f>0</f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-2481.44</f>
        <v>-2481.44</v>
      </c>
      <c r="Q103" s="2"/>
      <c r="R103" s="19"/>
      <c r="S103" s="2"/>
      <c r="T103" s="2"/>
      <c r="U103" s="2"/>
      <c r="V103" s="19"/>
      <c r="W103" s="2"/>
      <c r="X103" s="2">
        <f t="shared" si="2"/>
        <v>-2481.44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"4326", " - ", "SALES RETURN NON TAXABLE-WRITI")</f>
        <v xml:space="preserve">          4326 - SALES RETURN NON TAXABLE-WRITI</v>
      </c>
      <c r="C104" s="11"/>
      <c r="D104" s="2">
        <f>-2.98</f>
        <v>-2.98</v>
      </c>
      <c r="E104" s="2"/>
      <c r="F104" s="19"/>
      <c r="G104" s="2"/>
      <c r="H104" s="2"/>
      <c r="I104" s="2"/>
      <c r="J104" s="19"/>
      <c r="K104" s="2"/>
      <c r="L104" s="2">
        <f t="shared" si="0"/>
        <v>-2.98</v>
      </c>
      <c r="M104" s="2"/>
      <c r="N104" s="19">
        <f t="shared" si="1"/>
        <v>0</v>
      </c>
      <c r="O104" s="11"/>
      <c r="P104" s="2">
        <f>-2.98</f>
        <v>-2.98</v>
      </c>
      <c r="Q104" s="2"/>
      <c r="R104" s="19"/>
      <c r="S104" s="2"/>
      <c r="T104" s="2"/>
      <c r="U104" s="2"/>
      <c r="V104" s="19"/>
      <c r="W104" s="2"/>
      <c r="X104" s="2">
        <f t="shared" si="2"/>
        <v>-2.98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"4327", " - ", "SALES RETURN NON TAXABLE-SCHOO")</f>
        <v xml:space="preserve">          4327 - SALES RETURN NON TAXABLE-SCHOO</v>
      </c>
      <c r="C105" s="11"/>
      <c r="D105" s="2">
        <f t="shared" ref="D105:D107" si="14">0</f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-21.87</f>
        <v>-21.87</v>
      </c>
      <c r="Q105" s="2"/>
      <c r="R105" s="19"/>
      <c r="S105" s="2"/>
      <c r="T105" s="2"/>
      <c r="U105" s="2"/>
      <c r="V105" s="19"/>
      <c r="W105" s="2"/>
      <c r="X105" s="2">
        <f t="shared" si="2"/>
        <v>-21.87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"4331", " - ", "SALES RETURN NON TAXABLE-FOOD")</f>
        <v xml:space="preserve">          4331 - SALES RETURN NON TAXABLE-FOOD</v>
      </c>
      <c r="C106" s="11"/>
      <c r="D106" s="2">
        <f t="shared" si="14"/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-12.57</f>
        <v>-12.57</v>
      </c>
      <c r="Q106" s="2"/>
      <c r="R106" s="19"/>
      <c r="S106" s="2"/>
      <c r="T106" s="2"/>
      <c r="U106" s="2"/>
      <c r="V106" s="19"/>
      <c r="W106" s="2"/>
      <c r="X106" s="2">
        <f t="shared" si="2"/>
        <v>-12.57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"4332", " - ", "SALES RETURN NON TAXABLE-JUICE")</f>
        <v xml:space="preserve">          4332 - SALES RETURN NON TAXABLE-JUICE</v>
      </c>
      <c r="C107" s="11"/>
      <c r="D107" s="2">
        <f t="shared" si="14"/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-2.79</f>
        <v>-2.79</v>
      </c>
      <c r="Q107" s="2"/>
      <c r="R107" s="19"/>
      <c r="S107" s="2"/>
      <c r="T107" s="2"/>
      <c r="U107" s="2"/>
      <c r="V107" s="19"/>
      <c r="W107" s="2"/>
      <c r="X107" s="2">
        <f t="shared" si="2"/>
        <v>-2.79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"4340", " - ", "SALES RETURN NON TAXABLE-LOGO")</f>
        <v xml:space="preserve">          4340 - SALES RETURN NON TAXABLE-LOGO</v>
      </c>
      <c r="C108" s="11"/>
      <c r="D108" s="2">
        <f>-1045.65</f>
        <v>-1045.6500000000001</v>
      </c>
      <c r="E108" s="2"/>
      <c r="F108" s="19"/>
      <c r="G108" s="2"/>
      <c r="H108" s="2"/>
      <c r="I108" s="2"/>
      <c r="J108" s="19"/>
      <c r="K108" s="2"/>
      <c r="L108" s="2">
        <f t="shared" si="0"/>
        <v>-1045.6500000000001</v>
      </c>
      <c r="M108" s="2"/>
      <c r="N108" s="19">
        <f t="shared" si="1"/>
        <v>0</v>
      </c>
      <c r="O108" s="11"/>
      <c r="P108" s="2">
        <f>-2664.48</f>
        <v>-2664.48</v>
      </c>
      <c r="Q108" s="2"/>
      <c r="R108" s="19"/>
      <c r="S108" s="2"/>
      <c r="T108" s="2"/>
      <c r="U108" s="2"/>
      <c r="V108" s="19"/>
      <c r="W108" s="2"/>
      <c r="X108" s="2">
        <f t="shared" si="2"/>
        <v>-2664.48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"4341", " - ", "SALES RETURN NON TAXABLE-LOGO")</f>
        <v xml:space="preserve">          4341 - SALES RETURN NON TAXABLE-LOGO</v>
      </c>
      <c r="C109" s="11"/>
      <c r="D109" s="2">
        <f>-9.9</f>
        <v>-9.9</v>
      </c>
      <c r="E109" s="2"/>
      <c r="F109" s="19"/>
      <c r="G109" s="2"/>
      <c r="H109" s="2"/>
      <c r="I109" s="2"/>
      <c r="J109" s="19"/>
      <c r="K109" s="2"/>
      <c r="L109" s="2">
        <f t="shared" si="0"/>
        <v>-9.9</v>
      </c>
      <c r="M109" s="2"/>
      <c r="N109" s="19">
        <f t="shared" si="1"/>
        <v>0</v>
      </c>
      <c r="O109" s="11"/>
      <c r="P109" s="2">
        <f>-295.35</f>
        <v>-295.35000000000002</v>
      </c>
      <c r="Q109" s="2"/>
      <c r="R109" s="19"/>
      <c r="S109" s="2"/>
      <c r="T109" s="2"/>
      <c r="U109" s="2"/>
      <c r="V109" s="19"/>
      <c r="W109" s="2"/>
      <c r="X109" s="2">
        <f t="shared" si="2"/>
        <v>-295.35000000000002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"4342", " - ", "SALES RETURN NON TAXABLE-EVERY")</f>
        <v xml:space="preserve">          4342 - SALES RETURN NON TAXABLE-EVERY</v>
      </c>
      <c r="C110" s="11"/>
      <c r="D110" s="2">
        <f>-36.8</f>
        <v>-36.799999999999997</v>
      </c>
      <c r="E110" s="2"/>
      <c r="F110" s="19"/>
      <c r="G110" s="2"/>
      <c r="H110" s="2"/>
      <c r="I110" s="2"/>
      <c r="J110" s="19"/>
      <c r="K110" s="2"/>
      <c r="L110" s="2">
        <f t="shared" si="0"/>
        <v>-36.799999999999997</v>
      </c>
      <c r="M110" s="2"/>
      <c r="N110" s="19">
        <f t="shared" si="1"/>
        <v>0</v>
      </c>
      <c r="O110" s="11"/>
      <c r="P110" s="2">
        <f>-186.02</f>
        <v>-186.02</v>
      </c>
      <c r="Q110" s="2"/>
      <c r="R110" s="19"/>
      <c r="S110" s="2"/>
      <c r="T110" s="2"/>
      <c r="U110" s="2"/>
      <c r="V110" s="19"/>
      <c r="W110" s="2"/>
      <c r="X110" s="2">
        <f t="shared" si="2"/>
        <v>-186.02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"4346", " - ", "SALES RETURN NON TAXABLE-COIN-")</f>
        <v xml:space="preserve">          4346 - SALES RETURN NON TAXABLE-COIN-</v>
      </c>
      <c r="C111" s="11"/>
      <c r="D111" s="2">
        <f t="shared" ref="D111:D112" si="15">0</f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-8.15</f>
        <v>-8.15</v>
      </c>
      <c r="Q111" s="2"/>
      <c r="R111" s="19"/>
      <c r="S111" s="2"/>
      <c r="T111" s="2"/>
      <c r="U111" s="2"/>
      <c r="V111" s="19"/>
      <c r="W111" s="2"/>
      <c r="X111" s="2">
        <f t="shared" si="2"/>
        <v>-8.15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"4347", " - ", "SALES RETURN NON TAXABLE-MISC")</f>
        <v xml:space="preserve">          4347 - SALES RETURN NON TAXABLE-MISC</v>
      </c>
      <c r="C112" s="11"/>
      <c r="D112" s="2">
        <f t="shared" si="15"/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-84</f>
        <v>-84</v>
      </c>
      <c r="Q112" s="2"/>
      <c r="R112" s="19"/>
      <c r="S112" s="2"/>
      <c r="T112" s="2"/>
      <c r="U112" s="2"/>
      <c r="V112" s="19"/>
      <c r="W112" s="2"/>
      <c r="X112" s="2">
        <f t="shared" si="2"/>
        <v>-84</v>
      </c>
      <c r="Y112" s="2"/>
      <c r="Z112" s="19">
        <f t="shared" si="3"/>
        <v>0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collapsed="1" x14ac:dyDescent="0.25">
      <c r="A114" s="10"/>
      <c r="B114" s="28" t="s">
        <v>8</v>
      </c>
      <c r="C114" s="10"/>
      <c r="D114" s="4">
        <f>SUM(OSRRefD16x_0)</f>
        <v>264082.88999999996</v>
      </c>
      <c r="E114" s="4"/>
      <c r="F114" s="13">
        <f t="shared" ref="F114:F165" si="16">IF(D$12=0,0,D114/D$12)</f>
        <v>1.2693051178468264</v>
      </c>
      <c r="G114" s="4"/>
      <c r="H114" s="4">
        <f>SUM(OSRRefH16x_0)</f>
        <v>184997.06070999999</v>
      </c>
      <c r="I114" s="4"/>
      <c r="J114" s="13">
        <f t="shared" ref="J114:J165" si="17">IF(H$12=0,0,H114/H$12)</f>
        <v>0.43951779176818101</v>
      </c>
      <c r="K114" s="4"/>
      <c r="L114" s="4">
        <f t="shared" ref="L114:L165" si="18">+D114-H114</f>
        <v>79085.829289999965</v>
      </c>
      <c r="M114" s="4"/>
      <c r="N114" s="13">
        <f t="shared" ref="N114:N165" si="19">IF(H114=0,0,L114/H114)</f>
        <v>0.42749776124267358</v>
      </c>
      <c r="O114" s="10"/>
      <c r="P114" s="4">
        <f>SUM(OSRRefP16x_0)</f>
        <v>5512791.4300000006</v>
      </c>
      <c r="Q114" s="4"/>
      <c r="R114" s="13">
        <f t="shared" ref="R114:R165" si="20">IF(P$12=0,0,P114/P$12)</f>
        <v>0.5969578871360457</v>
      </c>
      <c r="S114" s="4"/>
      <c r="T114" s="4">
        <f>SUM(OSRRefT16x_0)</f>
        <v>6578195.9750100002</v>
      </c>
      <c r="U114" s="4"/>
      <c r="V114" s="13">
        <f t="shared" ref="V114:V165" si="21">IF(T$12=0,0,T114/T$12)</f>
        <v>0.54676534927672882</v>
      </c>
      <c r="W114" s="4"/>
      <c r="X114" s="4">
        <f t="shared" ref="X114:X165" si="22">+P114-T114</f>
        <v>-1065404.5450099995</v>
      </c>
      <c r="Y114" s="4"/>
      <c r="Z114" s="13">
        <f t="shared" ref="Z114:Z165" si="23">IF(T114=0,0,X114/T114)</f>
        <v>-0.16195998858309779</v>
      </c>
    </row>
    <row r="115" spans="1:26" s="24" customFormat="1" hidden="1" outlineLevel="1" x14ac:dyDescent="0.25">
      <c r="A115" s="44"/>
      <c r="B115" s="11" t="str">
        <f>CONCATENATE("          ", "5000", " - ", "PURCHASES @ COST")</f>
        <v xml:space="preserve">          5000 - PURCHASES @ COST</v>
      </c>
      <c r="C115" s="11"/>
      <c r="D115" s="2"/>
      <c r="E115" s="2"/>
      <c r="F115" s="19">
        <f t="shared" si="16"/>
        <v>0</v>
      </c>
      <c r="G115" s="2"/>
      <c r="H115" s="2">
        <v>184997.06070999999</v>
      </c>
      <c r="I115" s="2"/>
      <c r="J115" s="19">
        <f t="shared" si="17"/>
        <v>0.43951779176818101</v>
      </c>
      <c r="K115" s="2"/>
      <c r="L115" s="2">
        <f t="shared" si="18"/>
        <v>-184997.06070999999</v>
      </c>
      <c r="M115" s="2"/>
      <c r="N115" s="19">
        <f t="shared" si="19"/>
        <v>-1</v>
      </c>
      <c r="O115" s="11"/>
      <c r="P115" s="2">
        <v>0</v>
      </c>
      <c r="Q115" s="2"/>
      <c r="R115" s="19">
        <f t="shared" si="20"/>
        <v>0</v>
      </c>
      <c r="S115" s="2"/>
      <c r="T115" s="2">
        <v>6578195.9750100002</v>
      </c>
      <c r="U115" s="2"/>
      <c r="V115" s="19">
        <f t="shared" si="21"/>
        <v>0.54676534927672882</v>
      </c>
      <c r="W115" s="2"/>
      <c r="X115" s="2">
        <f t="shared" si="22"/>
        <v>-6578195.9750100002</v>
      </c>
      <c r="Y115" s="2"/>
      <c r="Z115" s="19">
        <f t="shared" si="23"/>
        <v>-1</v>
      </c>
    </row>
    <row r="116" spans="1:26" s="24" customFormat="1" hidden="1" outlineLevel="1" x14ac:dyDescent="0.25">
      <c r="A116" s="44"/>
      <c r="B116" s="11" t="str">
        <f>CONCATENATE("          ", "5001", " - ", "PURCHASES @ COST-NEW TEXT")</f>
        <v xml:space="preserve">          5001 - PURCHASES @ COST-NEW TEXT</v>
      </c>
      <c r="C116" s="11"/>
      <c r="D116" s="2">
        <v>21388.809999999998</v>
      </c>
      <c r="E116" s="2"/>
      <c r="F116" s="19">
        <f t="shared" si="16"/>
        <v>0.10280456260401187</v>
      </c>
      <c r="G116" s="2"/>
      <c r="H116" s="2"/>
      <c r="I116" s="2"/>
      <c r="J116" s="19">
        <f t="shared" si="17"/>
        <v>0</v>
      </c>
      <c r="K116" s="2"/>
      <c r="L116" s="2">
        <f t="shared" si="18"/>
        <v>21388.809999999998</v>
      </c>
      <c r="M116" s="2"/>
      <c r="N116" s="19">
        <f t="shared" si="19"/>
        <v>0</v>
      </c>
      <c r="O116" s="11"/>
      <c r="P116" s="2">
        <v>1662669.27</v>
      </c>
      <c r="Q116" s="2"/>
      <c r="R116" s="19">
        <f t="shared" si="20"/>
        <v>0.18004373048178812</v>
      </c>
      <c r="S116" s="2"/>
      <c r="T116" s="2"/>
      <c r="U116" s="2"/>
      <c r="V116" s="19">
        <f t="shared" si="21"/>
        <v>0</v>
      </c>
      <c r="W116" s="2"/>
      <c r="X116" s="2">
        <f t="shared" si="22"/>
        <v>1662669.27</v>
      </c>
      <c r="Y116" s="2"/>
      <c r="Z116" s="19">
        <f t="shared" si="23"/>
        <v>0</v>
      </c>
    </row>
    <row r="117" spans="1:26" s="24" customFormat="1" hidden="1" outlineLevel="1" x14ac:dyDescent="0.25">
      <c r="A117" s="44"/>
      <c r="B117" s="11" t="str">
        <f>CONCATENATE("          ", "5002", " - ", "PURCHASES @ COST-USED TEXT")</f>
        <v xml:space="preserve">          5002 - PURCHASES @ COST-USED TEXT</v>
      </c>
      <c r="C117" s="11"/>
      <c r="D117" s="2">
        <v>121021.81</v>
      </c>
      <c r="E117" s="2"/>
      <c r="F117" s="19">
        <f t="shared" si="16"/>
        <v>0.5816870710710802</v>
      </c>
      <c r="G117" s="2"/>
      <c r="H117" s="2"/>
      <c r="I117" s="2"/>
      <c r="J117" s="19">
        <f t="shared" si="17"/>
        <v>0</v>
      </c>
      <c r="K117" s="2"/>
      <c r="L117" s="2">
        <f t="shared" si="18"/>
        <v>121021.81</v>
      </c>
      <c r="M117" s="2"/>
      <c r="N117" s="19">
        <f t="shared" si="19"/>
        <v>0</v>
      </c>
      <c r="O117" s="11"/>
      <c r="P117" s="2">
        <v>731343.19</v>
      </c>
      <c r="Q117" s="2"/>
      <c r="R117" s="19">
        <f t="shared" si="20"/>
        <v>7.9194196083296323E-2</v>
      </c>
      <c r="S117" s="2"/>
      <c r="T117" s="2"/>
      <c r="U117" s="2"/>
      <c r="V117" s="19">
        <f t="shared" si="21"/>
        <v>0</v>
      </c>
      <c r="W117" s="2"/>
      <c r="X117" s="2">
        <f t="shared" si="22"/>
        <v>731343.19</v>
      </c>
      <c r="Y117" s="2"/>
      <c r="Z117" s="19">
        <f t="shared" si="23"/>
        <v>0</v>
      </c>
    </row>
    <row r="118" spans="1:26" s="24" customFormat="1" hidden="1" outlineLevel="1" x14ac:dyDescent="0.25">
      <c r="A118" s="44"/>
      <c r="B118" s="11" t="str">
        <f>CONCATENATE("          ", "5003", " - ", "PURCHASES @ COST-RENTAL TEXT")</f>
        <v xml:space="preserve">          5003 - PURCHASES @ COST-RENTAL TEXT</v>
      </c>
      <c r="C118" s="11"/>
      <c r="D118" s="2">
        <v>24656.6</v>
      </c>
      <c r="E118" s="2"/>
      <c r="F118" s="19">
        <f t="shared" si="16"/>
        <v>0.11851108024719839</v>
      </c>
      <c r="G118" s="2"/>
      <c r="H118" s="2"/>
      <c r="I118" s="2"/>
      <c r="J118" s="19">
        <f t="shared" si="17"/>
        <v>0</v>
      </c>
      <c r="K118" s="2"/>
      <c r="L118" s="2">
        <f t="shared" si="18"/>
        <v>24656.6</v>
      </c>
      <c r="M118" s="2"/>
      <c r="N118" s="19">
        <f t="shared" si="19"/>
        <v>0</v>
      </c>
      <c r="O118" s="11"/>
      <c r="P118" s="2">
        <v>24578.2</v>
      </c>
      <c r="Q118" s="2"/>
      <c r="R118" s="19">
        <f t="shared" si="20"/>
        <v>2.6614738699822635E-3</v>
      </c>
      <c r="S118" s="2"/>
      <c r="T118" s="2"/>
      <c r="U118" s="2"/>
      <c r="V118" s="19">
        <f t="shared" si="21"/>
        <v>0</v>
      </c>
      <c r="W118" s="2"/>
      <c r="X118" s="2">
        <f t="shared" si="22"/>
        <v>24578.2</v>
      </c>
      <c r="Y118" s="2"/>
      <c r="Z118" s="19">
        <f t="shared" si="23"/>
        <v>0</v>
      </c>
    </row>
    <row r="119" spans="1:26" s="24" customFormat="1" hidden="1" outlineLevel="1" x14ac:dyDescent="0.25">
      <c r="A119" s="44"/>
      <c r="B119" s="11" t="str">
        <f>CONCATENATE("          ", "5004", " - ", "PURCHASES @ COST-DIGITAL TEXT")</f>
        <v xml:space="preserve">          5004 - PURCHASES @ COST-DIGITAL TEXT</v>
      </c>
      <c r="C119" s="11"/>
      <c r="D119" s="2">
        <v>5038.95</v>
      </c>
      <c r="E119" s="2"/>
      <c r="F119" s="19">
        <f t="shared" si="16"/>
        <v>2.4219535856996516E-2</v>
      </c>
      <c r="G119" s="2"/>
      <c r="H119" s="2"/>
      <c r="I119" s="2"/>
      <c r="J119" s="19">
        <f t="shared" si="17"/>
        <v>0</v>
      </c>
      <c r="K119" s="2"/>
      <c r="L119" s="2">
        <f t="shared" si="18"/>
        <v>5038.95</v>
      </c>
      <c r="M119" s="2"/>
      <c r="N119" s="19">
        <f t="shared" si="19"/>
        <v>0</v>
      </c>
      <c r="O119" s="11"/>
      <c r="P119" s="2">
        <v>451308.6</v>
      </c>
      <c r="Q119" s="2"/>
      <c r="R119" s="19">
        <f t="shared" si="20"/>
        <v>4.8870382949047421E-2</v>
      </c>
      <c r="S119" s="2"/>
      <c r="T119" s="2"/>
      <c r="U119" s="2"/>
      <c r="V119" s="19">
        <f t="shared" si="21"/>
        <v>0</v>
      </c>
      <c r="W119" s="2"/>
      <c r="X119" s="2">
        <f t="shared" si="22"/>
        <v>451308.6</v>
      </c>
      <c r="Y119" s="2"/>
      <c r="Z119" s="19">
        <f t="shared" si="23"/>
        <v>0</v>
      </c>
    </row>
    <row r="120" spans="1:26" s="24" customFormat="1" hidden="1" outlineLevel="1" x14ac:dyDescent="0.25">
      <c r="A120" s="44"/>
      <c r="B120" s="11" t="str">
        <f>CONCATENATE("          ", "5011", " - ", "PURCHASES @ COST-NO VALUE TEXT")</f>
        <v xml:space="preserve">          5011 - PURCHASES @ COST-NO VALUE TEXT</v>
      </c>
      <c r="C120" s="11"/>
      <c r="D120" s="2">
        <v>99</v>
      </c>
      <c r="E120" s="2"/>
      <c r="F120" s="19">
        <f t="shared" si="16"/>
        <v>4.7584001624200584E-4</v>
      </c>
      <c r="G120" s="2"/>
      <c r="H120" s="2"/>
      <c r="I120" s="2"/>
      <c r="J120" s="19">
        <f t="shared" si="17"/>
        <v>0</v>
      </c>
      <c r="K120" s="2"/>
      <c r="L120" s="2">
        <f t="shared" si="18"/>
        <v>99</v>
      </c>
      <c r="M120" s="2"/>
      <c r="N120" s="19">
        <f t="shared" si="19"/>
        <v>0</v>
      </c>
      <c r="O120" s="11"/>
      <c r="P120" s="2">
        <v>6462</v>
      </c>
      <c r="Q120" s="2"/>
      <c r="R120" s="19">
        <f t="shared" si="20"/>
        <v>6.9974384404982413E-4</v>
      </c>
      <c r="S120" s="2"/>
      <c r="T120" s="2"/>
      <c r="U120" s="2"/>
      <c r="V120" s="19">
        <f t="shared" si="21"/>
        <v>0</v>
      </c>
      <c r="W120" s="2"/>
      <c r="X120" s="2">
        <f t="shared" si="22"/>
        <v>6462</v>
      </c>
      <c r="Y120" s="2"/>
      <c r="Z120" s="19">
        <f t="shared" si="23"/>
        <v>0</v>
      </c>
    </row>
    <row r="121" spans="1:26" s="24" customFormat="1" hidden="1" outlineLevel="1" x14ac:dyDescent="0.25">
      <c r="A121" s="44"/>
      <c r="B121" s="11" t="str">
        <f>CONCATENATE("          ", "5013", " - ", "PURCHASES @ COST-TRADE BOOKS")</f>
        <v xml:space="preserve">          5013 - PURCHASES @ COST-TRADE BOOKS</v>
      </c>
      <c r="C121" s="11"/>
      <c r="D121" s="2">
        <v>-420.76</v>
      </c>
      <c r="E121" s="2"/>
      <c r="F121" s="19">
        <f t="shared" si="16"/>
        <v>-2.0223681336766302E-3</v>
      </c>
      <c r="G121" s="2"/>
      <c r="H121" s="2"/>
      <c r="I121" s="2"/>
      <c r="J121" s="19">
        <f t="shared" si="17"/>
        <v>0</v>
      </c>
      <c r="K121" s="2"/>
      <c r="L121" s="2">
        <f t="shared" si="18"/>
        <v>-420.76</v>
      </c>
      <c r="M121" s="2"/>
      <c r="N121" s="19">
        <f t="shared" si="19"/>
        <v>0</v>
      </c>
      <c r="O121" s="11"/>
      <c r="P121" s="2">
        <v>2777.09</v>
      </c>
      <c r="Q121" s="2"/>
      <c r="R121" s="19">
        <f t="shared" si="20"/>
        <v>3.0071984399138439E-4</v>
      </c>
      <c r="S121" s="2"/>
      <c r="T121" s="2"/>
      <c r="U121" s="2"/>
      <c r="V121" s="19">
        <f t="shared" si="21"/>
        <v>0</v>
      </c>
      <c r="W121" s="2"/>
      <c r="X121" s="2">
        <f t="shared" si="22"/>
        <v>2777.09</v>
      </c>
      <c r="Y121" s="2"/>
      <c r="Z121" s="19">
        <f t="shared" si="23"/>
        <v>0</v>
      </c>
    </row>
    <row r="122" spans="1:26" s="24" customFormat="1" hidden="1" outlineLevel="1" x14ac:dyDescent="0.25">
      <c r="A122" s="44"/>
      <c r="B122" s="11" t="str">
        <f>CONCATENATE("          ", "5014", " - ", "PURCHASES @ COST-REMAINDERS")</f>
        <v xml:space="preserve">          5014 - PURCHASES @ COST-REMAINDERS</v>
      </c>
      <c r="C122" s="11"/>
      <c r="D122" s="2">
        <v>132</v>
      </c>
      <c r="E122" s="2"/>
      <c r="F122" s="19">
        <f t="shared" si="16"/>
        <v>6.3445335498934108E-4</v>
      </c>
      <c r="G122" s="2"/>
      <c r="H122" s="2"/>
      <c r="I122" s="2"/>
      <c r="J122" s="19">
        <f t="shared" si="17"/>
        <v>0</v>
      </c>
      <c r="K122" s="2"/>
      <c r="L122" s="2">
        <f t="shared" si="18"/>
        <v>132</v>
      </c>
      <c r="M122" s="2"/>
      <c r="N122" s="19">
        <f t="shared" si="19"/>
        <v>0</v>
      </c>
      <c r="O122" s="11"/>
      <c r="P122" s="2">
        <v>747.07</v>
      </c>
      <c r="Q122" s="2"/>
      <c r="R122" s="19">
        <f t="shared" si="20"/>
        <v>8.0897188730161268E-5</v>
      </c>
      <c r="S122" s="2"/>
      <c r="T122" s="2"/>
      <c r="U122" s="2"/>
      <c r="V122" s="19">
        <f t="shared" si="21"/>
        <v>0</v>
      </c>
      <c r="W122" s="2"/>
      <c r="X122" s="2">
        <f t="shared" si="22"/>
        <v>747.07</v>
      </c>
      <c r="Y122" s="2"/>
      <c r="Z122" s="19">
        <f t="shared" si="23"/>
        <v>0</v>
      </c>
    </row>
    <row r="123" spans="1:26" s="24" customFormat="1" hidden="1" outlineLevel="1" x14ac:dyDescent="0.25">
      <c r="A123" s="44"/>
      <c r="B123" s="11" t="str">
        <f>CONCATENATE("          ", "5017", " - ", "PURCHASES @ COST-DORM/HOUSEWAR")</f>
        <v xml:space="preserve">          5017 - PURCHASES @ COST-DORM/HOUSEWAR</v>
      </c>
      <c r="C123" s="11"/>
      <c r="D123" s="2"/>
      <c r="E123" s="2"/>
      <c r="F123" s="19">
        <f t="shared" si="16"/>
        <v>0</v>
      </c>
      <c r="G123" s="2"/>
      <c r="H123" s="2"/>
      <c r="I123" s="2"/>
      <c r="J123" s="19">
        <f t="shared" si="17"/>
        <v>0</v>
      </c>
      <c r="K123" s="2"/>
      <c r="L123" s="2">
        <f t="shared" si="18"/>
        <v>0</v>
      </c>
      <c r="M123" s="2"/>
      <c r="N123" s="19">
        <f t="shared" si="19"/>
        <v>0</v>
      </c>
      <c r="O123" s="11"/>
      <c r="P123" s="2">
        <v>14.46</v>
      </c>
      <c r="Q123" s="2"/>
      <c r="R123" s="19">
        <f t="shared" si="20"/>
        <v>1.5658149156546668E-6</v>
      </c>
      <c r="S123" s="2"/>
      <c r="T123" s="2"/>
      <c r="U123" s="2"/>
      <c r="V123" s="19">
        <f t="shared" si="21"/>
        <v>0</v>
      </c>
      <c r="W123" s="2"/>
      <c r="X123" s="2">
        <f t="shared" si="22"/>
        <v>14.46</v>
      </c>
      <c r="Y123" s="2"/>
      <c r="Z123" s="19">
        <f t="shared" si="23"/>
        <v>0</v>
      </c>
    </row>
    <row r="124" spans="1:26" s="24" customFormat="1" hidden="1" outlineLevel="1" x14ac:dyDescent="0.25">
      <c r="A124" s="44"/>
      <c r="B124" s="11" t="str">
        <f>CONCATENATE("          ", "5018", " - ", "PURCHASES @ COST-STUDY GUIDES")</f>
        <v xml:space="preserve">          5018 - PURCHASES @ COST-STUDY GUIDES</v>
      </c>
      <c r="C124" s="11"/>
      <c r="D124" s="2">
        <v>-249.38</v>
      </c>
      <c r="E124" s="2"/>
      <c r="F124" s="19">
        <f t="shared" si="16"/>
        <v>-1.1986361944488022E-3</v>
      </c>
      <c r="G124" s="2"/>
      <c r="H124" s="2"/>
      <c r="I124" s="2"/>
      <c r="J124" s="19">
        <f t="shared" si="17"/>
        <v>0</v>
      </c>
      <c r="K124" s="2"/>
      <c r="L124" s="2">
        <f t="shared" si="18"/>
        <v>-249.38</v>
      </c>
      <c r="M124" s="2"/>
      <c r="N124" s="19">
        <f t="shared" si="19"/>
        <v>0</v>
      </c>
      <c r="O124" s="11"/>
      <c r="P124" s="2">
        <v>-454.52</v>
      </c>
      <c r="Q124" s="2"/>
      <c r="R124" s="19">
        <f t="shared" si="20"/>
        <v>-4.9218132466345722E-5</v>
      </c>
      <c r="S124" s="2"/>
      <c r="T124" s="2"/>
      <c r="U124" s="2"/>
      <c r="V124" s="19">
        <f t="shared" si="21"/>
        <v>0</v>
      </c>
      <c r="W124" s="2"/>
      <c r="X124" s="2">
        <f t="shared" si="22"/>
        <v>-454.52</v>
      </c>
      <c r="Y124" s="2"/>
      <c r="Z124" s="19">
        <f t="shared" si="23"/>
        <v>0</v>
      </c>
    </row>
    <row r="125" spans="1:26" s="24" customFormat="1" hidden="1" outlineLevel="1" x14ac:dyDescent="0.25">
      <c r="A125" s="44"/>
      <c r="B125" s="11" t="str">
        <f>CONCATENATE("          ", "5025", " - ", "PURCHASES @ COST-TEST FORMS")</f>
        <v xml:space="preserve">          5025 - PURCHASES @ COST-TEST FORMS</v>
      </c>
      <c r="C125" s="11"/>
      <c r="D125" s="2"/>
      <c r="E125" s="2"/>
      <c r="F125" s="19">
        <f t="shared" si="16"/>
        <v>0</v>
      </c>
      <c r="G125" s="2"/>
      <c r="H125" s="2"/>
      <c r="I125" s="2"/>
      <c r="J125" s="19">
        <f t="shared" si="17"/>
        <v>0</v>
      </c>
      <c r="K125" s="2"/>
      <c r="L125" s="2">
        <f t="shared" si="18"/>
        <v>0</v>
      </c>
      <c r="M125" s="2"/>
      <c r="N125" s="19">
        <f t="shared" si="19"/>
        <v>0</v>
      </c>
      <c r="O125" s="11"/>
      <c r="P125" s="2">
        <v>26400.390000000003</v>
      </c>
      <c r="Q125" s="2"/>
      <c r="R125" s="19">
        <f t="shared" si="20"/>
        <v>2.858791455124503E-3</v>
      </c>
      <c r="S125" s="2"/>
      <c r="T125" s="2"/>
      <c r="U125" s="2"/>
      <c r="V125" s="19">
        <f t="shared" si="21"/>
        <v>0</v>
      </c>
      <c r="W125" s="2"/>
      <c r="X125" s="2">
        <f t="shared" si="22"/>
        <v>26400.390000000003</v>
      </c>
      <c r="Y125" s="2"/>
      <c r="Z125" s="19">
        <f t="shared" si="23"/>
        <v>0</v>
      </c>
    </row>
    <row r="126" spans="1:26" s="24" customFormat="1" hidden="1" outlineLevel="1" x14ac:dyDescent="0.25">
      <c r="A126" s="44"/>
      <c r="B126" s="11" t="str">
        <f>CONCATENATE("          ", "5026", " - ", "PURCHASES @ COST-WRITING INSTR")</f>
        <v xml:space="preserve">          5026 - PURCHASES @ COST-WRITING INSTR</v>
      </c>
      <c r="C126" s="11"/>
      <c r="D126" s="2"/>
      <c r="E126" s="2"/>
      <c r="F126" s="19">
        <f t="shared" si="16"/>
        <v>0</v>
      </c>
      <c r="G126" s="2"/>
      <c r="H126" s="2"/>
      <c r="I126" s="2"/>
      <c r="J126" s="19">
        <f t="shared" si="17"/>
        <v>0</v>
      </c>
      <c r="K126" s="2"/>
      <c r="L126" s="2">
        <f t="shared" si="18"/>
        <v>0</v>
      </c>
      <c r="M126" s="2"/>
      <c r="N126" s="19">
        <f t="shared" si="19"/>
        <v>0</v>
      </c>
      <c r="O126" s="11"/>
      <c r="P126" s="2">
        <v>44186.57</v>
      </c>
      <c r="Q126" s="2"/>
      <c r="R126" s="19">
        <f t="shared" si="20"/>
        <v>4.7847849500428094E-3</v>
      </c>
      <c r="S126" s="2"/>
      <c r="T126" s="2"/>
      <c r="U126" s="2"/>
      <c r="V126" s="19">
        <f t="shared" si="21"/>
        <v>0</v>
      </c>
      <c r="W126" s="2"/>
      <c r="X126" s="2">
        <f t="shared" si="22"/>
        <v>44186.57</v>
      </c>
      <c r="Y126" s="2"/>
      <c r="Z126" s="19">
        <f t="shared" si="23"/>
        <v>0</v>
      </c>
    </row>
    <row r="127" spans="1:26" s="24" customFormat="1" hidden="1" outlineLevel="1" x14ac:dyDescent="0.25">
      <c r="A127" s="44"/>
      <c r="B127" s="11" t="str">
        <f>CONCATENATE("          ", "5027", " - ", "PURCHASES @ COST-SCHOOL SUPPLI")</f>
        <v xml:space="preserve">          5027 - PURCHASES @ COST-SCHOOL SUPPLI</v>
      </c>
      <c r="C127" s="11"/>
      <c r="D127" s="2">
        <v>11947.58</v>
      </c>
      <c r="E127" s="2"/>
      <c r="F127" s="19">
        <f t="shared" si="16"/>
        <v>5.7425622840935997E-2</v>
      </c>
      <c r="G127" s="2"/>
      <c r="H127" s="2"/>
      <c r="I127" s="2"/>
      <c r="J127" s="19">
        <f t="shared" si="17"/>
        <v>0</v>
      </c>
      <c r="K127" s="2"/>
      <c r="L127" s="2">
        <f t="shared" si="18"/>
        <v>11947.58</v>
      </c>
      <c r="M127" s="2"/>
      <c r="N127" s="19">
        <f t="shared" si="19"/>
        <v>0</v>
      </c>
      <c r="O127" s="11"/>
      <c r="P127" s="2">
        <v>153162.12</v>
      </c>
      <c r="Q127" s="2"/>
      <c r="R127" s="19">
        <f t="shared" si="20"/>
        <v>1.658530650133402E-2</v>
      </c>
      <c r="S127" s="2"/>
      <c r="T127" s="2"/>
      <c r="U127" s="2"/>
      <c r="V127" s="19">
        <f t="shared" si="21"/>
        <v>0</v>
      </c>
      <c r="W127" s="2"/>
      <c r="X127" s="2">
        <f t="shared" si="22"/>
        <v>153162.12</v>
      </c>
      <c r="Y127" s="2"/>
      <c r="Z127" s="19">
        <f t="shared" si="23"/>
        <v>0</v>
      </c>
    </row>
    <row r="128" spans="1:26" s="24" customFormat="1" hidden="1" outlineLevel="1" x14ac:dyDescent="0.25">
      <c r="A128" s="44"/>
      <c r="B128" s="11" t="str">
        <f>CONCATENATE("          ", "5028", " - ", "PURCHASES @ COST-ART/TECH")</f>
        <v xml:space="preserve">          5028 - PURCHASES @ COST-ART/TECH</v>
      </c>
      <c r="C128" s="11"/>
      <c r="D128" s="2">
        <v>-1073.3800000000001</v>
      </c>
      <c r="E128" s="2"/>
      <c r="F128" s="19">
        <f t="shared" si="16"/>
        <v>-5.159163198321659E-3</v>
      </c>
      <c r="G128" s="2"/>
      <c r="H128" s="2"/>
      <c r="I128" s="2"/>
      <c r="J128" s="19">
        <f t="shared" si="17"/>
        <v>0</v>
      </c>
      <c r="K128" s="2"/>
      <c r="L128" s="2">
        <f t="shared" si="18"/>
        <v>-1073.3800000000001</v>
      </c>
      <c r="M128" s="2"/>
      <c r="N128" s="19">
        <f t="shared" si="19"/>
        <v>0</v>
      </c>
      <c r="O128" s="11"/>
      <c r="P128" s="2">
        <v>158554.31</v>
      </c>
      <c r="Q128" s="2"/>
      <c r="R128" s="19">
        <f t="shared" si="20"/>
        <v>1.7169204947395152E-2</v>
      </c>
      <c r="S128" s="2"/>
      <c r="T128" s="2"/>
      <c r="U128" s="2"/>
      <c r="V128" s="19">
        <f t="shared" si="21"/>
        <v>0</v>
      </c>
      <c r="W128" s="2"/>
      <c r="X128" s="2">
        <f t="shared" si="22"/>
        <v>158554.31</v>
      </c>
      <c r="Y128" s="2"/>
      <c r="Z128" s="19">
        <f t="shared" si="23"/>
        <v>0</v>
      </c>
    </row>
    <row r="129" spans="1:26" s="24" customFormat="1" hidden="1" outlineLevel="1" x14ac:dyDescent="0.25">
      <c r="A129" s="44"/>
      <c r="B129" s="11" t="str">
        <f>CONCATENATE("          ", "5031", " - ", "PURCHASES @ COST-FOOD")</f>
        <v xml:space="preserve">          5031 - PURCHASES @ COST-FOOD</v>
      </c>
      <c r="C129" s="11"/>
      <c r="D129" s="2"/>
      <c r="E129" s="2"/>
      <c r="F129" s="19">
        <f t="shared" si="16"/>
        <v>0</v>
      </c>
      <c r="G129" s="2"/>
      <c r="H129" s="2"/>
      <c r="I129" s="2"/>
      <c r="J129" s="19">
        <f t="shared" si="17"/>
        <v>0</v>
      </c>
      <c r="K129" s="2"/>
      <c r="L129" s="2">
        <f t="shared" si="18"/>
        <v>0</v>
      </c>
      <c r="M129" s="2"/>
      <c r="N129" s="19">
        <f t="shared" si="19"/>
        <v>0</v>
      </c>
      <c r="O129" s="11"/>
      <c r="P129" s="2">
        <v>33239.879999999997</v>
      </c>
      <c r="Q129" s="2"/>
      <c r="R129" s="19">
        <f t="shared" si="20"/>
        <v>3.5994121644931701E-3</v>
      </c>
      <c r="S129" s="2"/>
      <c r="T129" s="2"/>
      <c r="U129" s="2"/>
      <c r="V129" s="19">
        <f t="shared" si="21"/>
        <v>0</v>
      </c>
      <c r="W129" s="2"/>
      <c r="X129" s="2">
        <f t="shared" si="22"/>
        <v>33239.879999999997</v>
      </c>
      <c r="Y129" s="2"/>
      <c r="Z129" s="19">
        <f t="shared" si="23"/>
        <v>0</v>
      </c>
    </row>
    <row r="130" spans="1:26" s="24" customFormat="1" hidden="1" outlineLevel="1" x14ac:dyDescent="0.25">
      <c r="A130" s="44"/>
      <c r="B130" s="11" t="str">
        <f>CONCATENATE("          ", "5032", " - ", "PURCHASES @ COST-JUICE")</f>
        <v xml:space="preserve">          5032 - PURCHASES @ COST-JUICE</v>
      </c>
      <c r="C130" s="11"/>
      <c r="D130" s="2"/>
      <c r="E130" s="2"/>
      <c r="F130" s="19">
        <f t="shared" si="16"/>
        <v>0</v>
      </c>
      <c r="G130" s="2"/>
      <c r="H130" s="2"/>
      <c r="I130" s="2"/>
      <c r="J130" s="19">
        <f t="shared" si="17"/>
        <v>0</v>
      </c>
      <c r="K130" s="2"/>
      <c r="L130" s="2">
        <f t="shared" si="18"/>
        <v>0</v>
      </c>
      <c r="M130" s="2"/>
      <c r="N130" s="19">
        <f t="shared" si="19"/>
        <v>0</v>
      </c>
      <c r="O130" s="11"/>
      <c r="P130" s="2">
        <v>7802.45</v>
      </c>
      <c r="Q130" s="2"/>
      <c r="R130" s="19">
        <f t="shared" si="20"/>
        <v>8.4489575301865516E-4</v>
      </c>
      <c r="S130" s="2"/>
      <c r="T130" s="2"/>
      <c r="U130" s="2"/>
      <c r="V130" s="19">
        <f t="shared" si="21"/>
        <v>0</v>
      </c>
      <c r="W130" s="2"/>
      <c r="X130" s="2">
        <f t="shared" si="22"/>
        <v>7802.45</v>
      </c>
      <c r="Y130" s="2"/>
      <c r="Z130" s="19">
        <f t="shared" si="23"/>
        <v>0</v>
      </c>
    </row>
    <row r="131" spans="1:26" s="24" customFormat="1" hidden="1" outlineLevel="1" x14ac:dyDescent="0.25">
      <c r="A131" s="44"/>
      <c r="B131" s="11" t="str">
        <f>CONCATENATE("          ", "5033", " - ", "PURCHASES @ COST-CANDY")</f>
        <v xml:space="preserve">          5033 - PURCHASES @ COST-CANDY</v>
      </c>
      <c r="C131" s="11"/>
      <c r="D131" s="2"/>
      <c r="E131" s="2"/>
      <c r="F131" s="19">
        <f t="shared" si="16"/>
        <v>0</v>
      </c>
      <c r="G131" s="2"/>
      <c r="H131" s="2"/>
      <c r="I131" s="2"/>
      <c r="J131" s="19">
        <f t="shared" si="17"/>
        <v>0</v>
      </c>
      <c r="K131" s="2"/>
      <c r="L131" s="2">
        <f t="shared" si="18"/>
        <v>0</v>
      </c>
      <c r="M131" s="2"/>
      <c r="N131" s="19">
        <f t="shared" si="19"/>
        <v>0</v>
      </c>
      <c r="O131" s="11"/>
      <c r="P131" s="2">
        <v>9998.41</v>
      </c>
      <c r="Q131" s="2"/>
      <c r="R131" s="19">
        <f t="shared" si="20"/>
        <v>1.0826873797255031E-3</v>
      </c>
      <c r="S131" s="2"/>
      <c r="T131" s="2"/>
      <c r="U131" s="2"/>
      <c r="V131" s="19">
        <f t="shared" si="21"/>
        <v>0</v>
      </c>
      <c r="W131" s="2"/>
      <c r="X131" s="2">
        <f t="shared" si="22"/>
        <v>9998.41</v>
      </c>
      <c r="Y131" s="2"/>
      <c r="Z131" s="19">
        <f t="shared" si="23"/>
        <v>0</v>
      </c>
    </row>
    <row r="132" spans="1:26" s="24" customFormat="1" hidden="1" outlineLevel="1" x14ac:dyDescent="0.25">
      <c r="A132" s="44"/>
      <c r="B132" s="11" t="str">
        <f>CONCATENATE("          ", "5034", " - ", "PURCHASES @ COST-SODA")</f>
        <v xml:space="preserve">          5034 - PURCHASES @ COST-SODA</v>
      </c>
      <c r="C132" s="11"/>
      <c r="D132" s="2"/>
      <c r="E132" s="2"/>
      <c r="F132" s="19">
        <f t="shared" si="16"/>
        <v>0</v>
      </c>
      <c r="G132" s="2"/>
      <c r="H132" s="2"/>
      <c r="I132" s="2"/>
      <c r="J132" s="19">
        <f t="shared" si="17"/>
        <v>0</v>
      </c>
      <c r="K132" s="2"/>
      <c r="L132" s="2">
        <f t="shared" si="18"/>
        <v>0</v>
      </c>
      <c r="M132" s="2"/>
      <c r="N132" s="19">
        <f t="shared" si="19"/>
        <v>0</v>
      </c>
      <c r="O132" s="11"/>
      <c r="P132" s="2">
        <v>4033.88</v>
      </c>
      <c r="Q132" s="2"/>
      <c r="R132" s="19">
        <f t="shared" si="20"/>
        <v>4.3681254992814986E-4</v>
      </c>
      <c r="S132" s="2"/>
      <c r="T132" s="2"/>
      <c r="U132" s="2"/>
      <c r="V132" s="19">
        <f t="shared" si="21"/>
        <v>0</v>
      </c>
      <c r="W132" s="2"/>
      <c r="X132" s="2">
        <f t="shared" si="22"/>
        <v>4033.88</v>
      </c>
      <c r="Y132" s="2"/>
      <c r="Z132" s="19">
        <f t="shared" si="23"/>
        <v>0</v>
      </c>
    </row>
    <row r="133" spans="1:26" s="24" customFormat="1" hidden="1" outlineLevel="1" x14ac:dyDescent="0.25">
      <c r="A133" s="44"/>
      <c r="B133" s="11" t="str">
        <f>CONCATENATE("          ", "5035", " - ", "PURCHASES @ COST-HEALTH &amp; BEAU")</f>
        <v xml:space="preserve">          5035 - PURCHASES @ COST-HEALTH &amp; BEAU</v>
      </c>
      <c r="C133" s="11"/>
      <c r="D133" s="2"/>
      <c r="E133" s="2"/>
      <c r="F133" s="19">
        <f t="shared" si="16"/>
        <v>0</v>
      </c>
      <c r="G133" s="2"/>
      <c r="H133" s="2"/>
      <c r="I133" s="2"/>
      <c r="J133" s="19">
        <f t="shared" si="17"/>
        <v>0</v>
      </c>
      <c r="K133" s="2"/>
      <c r="L133" s="2">
        <f t="shared" si="18"/>
        <v>0</v>
      </c>
      <c r="M133" s="2"/>
      <c r="N133" s="19">
        <f t="shared" si="19"/>
        <v>0</v>
      </c>
      <c r="O133" s="11"/>
      <c r="P133" s="2">
        <v>1117.6500000000001</v>
      </c>
      <c r="Q133" s="2"/>
      <c r="R133" s="19">
        <f t="shared" si="20"/>
        <v>1.2102579809691829E-4</v>
      </c>
      <c r="S133" s="2"/>
      <c r="T133" s="2"/>
      <c r="U133" s="2"/>
      <c r="V133" s="19">
        <f t="shared" si="21"/>
        <v>0</v>
      </c>
      <c r="W133" s="2"/>
      <c r="X133" s="2">
        <f t="shared" si="22"/>
        <v>1117.6500000000001</v>
      </c>
      <c r="Y133" s="2"/>
      <c r="Z133" s="19">
        <f t="shared" si="23"/>
        <v>0</v>
      </c>
    </row>
    <row r="134" spans="1:26" s="24" customFormat="1" hidden="1" outlineLevel="1" x14ac:dyDescent="0.25">
      <c r="A134" s="44"/>
      <c r="B134" s="11" t="str">
        <f>CONCATENATE("          ", "5037", " - ", "PURCHASES @ COST-WATER")</f>
        <v xml:space="preserve">          5037 - PURCHASES @ COST-WATER</v>
      </c>
      <c r="C134" s="11"/>
      <c r="D134" s="2"/>
      <c r="E134" s="2"/>
      <c r="F134" s="19">
        <f t="shared" si="16"/>
        <v>0</v>
      </c>
      <c r="G134" s="2"/>
      <c r="H134" s="2"/>
      <c r="I134" s="2"/>
      <c r="J134" s="19">
        <f t="shared" si="17"/>
        <v>0</v>
      </c>
      <c r="K134" s="2"/>
      <c r="L134" s="2">
        <f t="shared" si="18"/>
        <v>0</v>
      </c>
      <c r="M134" s="2"/>
      <c r="N134" s="19">
        <f t="shared" si="19"/>
        <v>0</v>
      </c>
      <c r="O134" s="11"/>
      <c r="P134" s="2">
        <v>5693.57</v>
      </c>
      <c r="Q134" s="2"/>
      <c r="R134" s="19">
        <f t="shared" si="20"/>
        <v>6.1653366731147588E-4</v>
      </c>
      <c r="S134" s="2"/>
      <c r="T134" s="2"/>
      <c r="U134" s="2"/>
      <c r="V134" s="19">
        <f t="shared" si="21"/>
        <v>0</v>
      </c>
      <c r="W134" s="2"/>
      <c r="X134" s="2">
        <f t="shared" si="22"/>
        <v>5693.57</v>
      </c>
      <c r="Y134" s="2"/>
      <c r="Z134" s="19">
        <f t="shared" si="23"/>
        <v>0</v>
      </c>
    </row>
    <row r="135" spans="1:26" s="24" customFormat="1" hidden="1" outlineLevel="1" x14ac:dyDescent="0.25">
      <c r="A135" s="44"/>
      <c r="B135" s="11" t="str">
        <f>CONCATENATE("          ", "5040", " - ", "PURCHASES @ COST-LOGO CLOTHING")</f>
        <v xml:space="preserve">          5040 - PURCHASES @ COST-LOGO CLOTHING</v>
      </c>
      <c r="C135" s="11"/>
      <c r="D135" s="2">
        <v>6472.18</v>
      </c>
      <c r="E135" s="2"/>
      <c r="F135" s="19">
        <f t="shared" si="16"/>
        <v>3.1108305417385712E-2</v>
      </c>
      <c r="G135" s="2"/>
      <c r="H135" s="2"/>
      <c r="I135" s="2"/>
      <c r="J135" s="19">
        <f t="shared" si="17"/>
        <v>0</v>
      </c>
      <c r="K135" s="2"/>
      <c r="L135" s="2">
        <f t="shared" si="18"/>
        <v>6472.18</v>
      </c>
      <c r="M135" s="2"/>
      <c r="N135" s="19">
        <f t="shared" si="19"/>
        <v>0</v>
      </c>
      <c r="O135" s="11"/>
      <c r="P135" s="2">
        <v>982941.51</v>
      </c>
      <c r="Q135" s="2"/>
      <c r="R135" s="19">
        <f t="shared" si="20"/>
        <v>0.10643876055146063</v>
      </c>
      <c r="S135" s="2"/>
      <c r="T135" s="2"/>
      <c r="U135" s="2"/>
      <c r="V135" s="19">
        <f t="shared" si="21"/>
        <v>0</v>
      </c>
      <c r="W135" s="2"/>
      <c r="X135" s="2">
        <f t="shared" si="22"/>
        <v>982941.51</v>
      </c>
      <c r="Y135" s="2"/>
      <c r="Z135" s="19">
        <f t="shared" si="23"/>
        <v>0</v>
      </c>
    </row>
    <row r="136" spans="1:26" s="24" customFormat="1" hidden="1" outlineLevel="1" x14ac:dyDescent="0.25">
      <c r="A136" s="44"/>
      <c r="B136" s="11" t="str">
        <f>CONCATENATE("          ", "5041", " - ", "PURCHASES @ COST-LOGO GIFTS")</f>
        <v xml:space="preserve">          5041 - PURCHASES @ COST-LOGO GIFTS</v>
      </c>
      <c r="C136" s="11"/>
      <c r="D136" s="2">
        <v>13093.79</v>
      </c>
      <c r="E136" s="2"/>
      <c r="F136" s="19">
        <f t="shared" si="16"/>
        <v>6.2934840871408215E-2</v>
      </c>
      <c r="G136" s="2"/>
      <c r="H136" s="2"/>
      <c r="I136" s="2"/>
      <c r="J136" s="19">
        <f t="shared" si="17"/>
        <v>0</v>
      </c>
      <c r="K136" s="2"/>
      <c r="L136" s="2">
        <f t="shared" si="18"/>
        <v>13093.79</v>
      </c>
      <c r="M136" s="2"/>
      <c r="N136" s="19">
        <f t="shared" si="19"/>
        <v>0</v>
      </c>
      <c r="O136" s="11"/>
      <c r="P136" s="2">
        <v>162844.62999999998</v>
      </c>
      <c r="Q136" s="2"/>
      <c r="R136" s="19">
        <f t="shared" si="20"/>
        <v>1.7633786347736196E-2</v>
      </c>
      <c r="S136" s="2"/>
      <c r="T136" s="2"/>
      <c r="U136" s="2"/>
      <c r="V136" s="19">
        <f t="shared" si="21"/>
        <v>0</v>
      </c>
      <c r="W136" s="2"/>
      <c r="X136" s="2">
        <f t="shared" si="22"/>
        <v>162844.62999999998</v>
      </c>
      <c r="Y136" s="2"/>
      <c r="Z136" s="19">
        <f t="shared" si="23"/>
        <v>0</v>
      </c>
    </row>
    <row r="137" spans="1:26" s="24" customFormat="1" hidden="1" outlineLevel="1" x14ac:dyDescent="0.25">
      <c r="A137" s="44"/>
      <c r="B137" s="11" t="str">
        <f>CONCATENATE("          ", "5042", " - ", "PURCHASES @ COST-EVERYDAY GIFT")</f>
        <v xml:space="preserve">          5042 - PURCHASES @ COST-EVERYDAY GIFT</v>
      </c>
      <c r="C137" s="11"/>
      <c r="D137" s="2">
        <v>-836.65</v>
      </c>
      <c r="E137" s="2"/>
      <c r="F137" s="19">
        <f t="shared" si="16"/>
        <v>-4.0213287837260019E-3</v>
      </c>
      <c r="G137" s="2"/>
      <c r="H137" s="2"/>
      <c r="I137" s="2"/>
      <c r="J137" s="19">
        <f t="shared" si="17"/>
        <v>0</v>
      </c>
      <c r="K137" s="2"/>
      <c r="L137" s="2">
        <f t="shared" si="18"/>
        <v>-836.65</v>
      </c>
      <c r="M137" s="2"/>
      <c r="N137" s="19">
        <f t="shared" si="19"/>
        <v>0</v>
      </c>
      <c r="O137" s="11"/>
      <c r="P137" s="2">
        <v>125778.54999999999</v>
      </c>
      <c r="Q137" s="2"/>
      <c r="R137" s="19">
        <f t="shared" si="20"/>
        <v>1.3620050460540543E-2</v>
      </c>
      <c r="S137" s="2"/>
      <c r="T137" s="2"/>
      <c r="U137" s="2"/>
      <c r="V137" s="19">
        <f t="shared" si="21"/>
        <v>0</v>
      </c>
      <c r="W137" s="2"/>
      <c r="X137" s="2">
        <f t="shared" si="22"/>
        <v>125778.54999999999</v>
      </c>
      <c r="Y137" s="2"/>
      <c r="Z137" s="19">
        <f t="shared" si="23"/>
        <v>0</v>
      </c>
    </row>
    <row r="138" spans="1:26" s="24" customFormat="1" hidden="1" outlineLevel="1" x14ac:dyDescent="0.25">
      <c r="A138" s="44"/>
      <c r="B138" s="11" t="str">
        <f>CONCATENATE("          ", "5043", " - ", "PURCHASES @ COST-CARDS")</f>
        <v xml:space="preserve">          5043 - PURCHASES @ COST-CARDS</v>
      </c>
      <c r="C138" s="11"/>
      <c r="D138" s="2">
        <v>0</v>
      </c>
      <c r="E138" s="2"/>
      <c r="F138" s="19">
        <f t="shared" si="16"/>
        <v>0</v>
      </c>
      <c r="G138" s="2"/>
      <c r="H138" s="2"/>
      <c r="I138" s="2"/>
      <c r="J138" s="19">
        <f t="shared" si="17"/>
        <v>0</v>
      </c>
      <c r="K138" s="2"/>
      <c r="L138" s="2">
        <f t="shared" si="18"/>
        <v>0</v>
      </c>
      <c r="M138" s="2"/>
      <c r="N138" s="19">
        <f t="shared" si="19"/>
        <v>0</v>
      </c>
      <c r="O138" s="11"/>
      <c r="P138" s="2">
        <v>30914.659999999996</v>
      </c>
      <c r="Q138" s="2"/>
      <c r="R138" s="19">
        <f t="shared" si="20"/>
        <v>3.3476234951862168E-3</v>
      </c>
      <c r="S138" s="2"/>
      <c r="T138" s="2"/>
      <c r="U138" s="2"/>
      <c r="V138" s="19">
        <f t="shared" si="21"/>
        <v>0</v>
      </c>
      <c r="W138" s="2"/>
      <c r="X138" s="2">
        <f t="shared" si="22"/>
        <v>30914.659999999996</v>
      </c>
      <c r="Y138" s="2"/>
      <c r="Z138" s="19">
        <f t="shared" si="23"/>
        <v>0</v>
      </c>
    </row>
    <row r="139" spans="1:26" s="24" customFormat="1" hidden="1" outlineLevel="1" x14ac:dyDescent="0.25">
      <c r="A139" s="44"/>
      <c r="B139" s="11" t="str">
        <f>CONCATENATE("          ", "5044", " - ", "PURCHASES @ COST-ACCESSORIES")</f>
        <v xml:space="preserve">          5044 - PURCHASES @ COST-ACCESSORIES</v>
      </c>
      <c r="C139" s="11"/>
      <c r="D139" s="2">
        <v>0</v>
      </c>
      <c r="E139" s="2"/>
      <c r="F139" s="19">
        <f t="shared" si="16"/>
        <v>0</v>
      </c>
      <c r="G139" s="2"/>
      <c r="H139" s="2"/>
      <c r="I139" s="2"/>
      <c r="J139" s="19">
        <f t="shared" si="17"/>
        <v>0</v>
      </c>
      <c r="K139" s="2"/>
      <c r="L139" s="2">
        <f t="shared" si="18"/>
        <v>0</v>
      </c>
      <c r="M139" s="2"/>
      <c r="N139" s="19">
        <f t="shared" si="19"/>
        <v>0</v>
      </c>
      <c r="O139" s="11"/>
      <c r="P139" s="2">
        <v>37869.03</v>
      </c>
      <c r="Q139" s="2"/>
      <c r="R139" s="19">
        <f t="shared" si="20"/>
        <v>4.1006840951157706E-3</v>
      </c>
      <c r="S139" s="2"/>
      <c r="T139" s="2"/>
      <c r="U139" s="2"/>
      <c r="V139" s="19">
        <f t="shared" si="21"/>
        <v>0</v>
      </c>
      <c r="W139" s="2"/>
      <c r="X139" s="2">
        <f t="shared" si="22"/>
        <v>37869.03</v>
      </c>
      <c r="Y139" s="2"/>
      <c r="Z139" s="19">
        <f t="shared" si="23"/>
        <v>0</v>
      </c>
    </row>
    <row r="140" spans="1:26" s="24" customFormat="1" hidden="1" outlineLevel="1" x14ac:dyDescent="0.25">
      <c r="A140" s="44"/>
      <c r="B140" s="11" t="str">
        <f>CONCATENATE("          ", "5045", " - ", "PURCHASES @ COST-SPECIAL ORDER")</f>
        <v xml:space="preserve">          5045 - PURCHASES @ COST-SPECIAL ORDER</v>
      </c>
      <c r="C140" s="11"/>
      <c r="D140" s="2">
        <v>52772.409999999996</v>
      </c>
      <c r="E140" s="2"/>
      <c r="F140" s="19">
        <f t="shared" si="16"/>
        <v>0.25364873163161406</v>
      </c>
      <c r="G140" s="2"/>
      <c r="H140" s="2"/>
      <c r="I140" s="2"/>
      <c r="J140" s="19">
        <f t="shared" si="17"/>
        <v>0</v>
      </c>
      <c r="K140" s="2"/>
      <c r="L140" s="2">
        <f t="shared" si="18"/>
        <v>52772.409999999996</v>
      </c>
      <c r="M140" s="2"/>
      <c r="N140" s="19">
        <f t="shared" si="19"/>
        <v>0</v>
      </c>
      <c r="O140" s="11"/>
      <c r="P140" s="2">
        <v>131614.81</v>
      </c>
      <c r="Q140" s="2"/>
      <c r="R140" s="19">
        <f t="shared" si="20"/>
        <v>1.4252035450833677E-2</v>
      </c>
      <c r="S140" s="2"/>
      <c r="T140" s="2"/>
      <c r="U140" s="2"/>
      <c r="V140" s="19">
        <f t="shared" si="21"/>
        <v>0</v>
      </c>
      <c r="W140" s="2"/>
      <c r="X140" s="2">
        <f t="shared" si="22"/>
        <v>131614.81</v>
      </c>
      <c r="Y140" s="2"/>
      <c r="Z140" s="19">
        <f t="shared" si="23"/>
        <v>0</v>
      </c>
    </row>
    <row r="141" spans="1:26" s="24" customFormat="1" hidden="1" outlineLevel="1" x14ac:dyDescent="0.25">
      <c r="A141" s="44"/>
      <c r="B141" s="11" t="str">
        <f>CONCATENATE("          ", "5081", " - ", "PURCHASES @ COST-ELECTRONICS")</f>
        <v xml:space="preserve">          5081 - PURCHASES @ COST-ELECTRONICS</v>
      </c>
      <c r="C141" s="11"/>
      <c r="D141" s="2"/>
      <c r="E141" s="2"/>
      <c r="F141" s="19">
        <f t="shared" si="16"/>
        <v>0</v>
      </c>
      <c r="G141" s="2"/>
      <c r="H141" s="2"/>
      <c r="I141" s="2"/>
      <c r="J141" s="19">
        <f t="shared" si="17"/>
        <v>0</v>
      </c>
      <c r="K141" s="2"/>
      <c r="L141" s="2">
        <f t="shared" si="18"/>
        <v>0</v>
      </c>
      <c r="M141" s="2"/>
      <c r="N141" s="19">
        <f t="shared" si="19"/>
        <v>0</v>
      </c>
      <c r="O141" s="11"/>
      <c r="P141" s="2">
        <v>2008.03</v>
      </c>
      <c r="Q141" s="2"/>
      <c r="R141" s="19">
        <f t="shared" si="20"/>
        <v>2.174414471011093E-4</v>
      </c>
      <c r="S141" s="2"/>
      <c r="T141" s="2"/>
      <c r="U141" s="2"/>
      <c r="V141" s="19">
        <f t="shared" si="21"/>
        <v>0</v>
      </c>
      <c r="W141" s="2"/>
      <c r="X141" s="2">
        <f t="shared" si="22"/>
        <v>2008.03</v>
      </c>
      <c r="Y141" s="2"/>
      <c r="Z141" s="19">
        <f t="shared" si="23"/>
        <v>0</v>
      </c>
    </row>
    <row r="142" spans="1:26" s="24" customFormat="1" hidden="1" outlineLevel="1" x14ac:dyDescent="0.25">
      <c r="A142" s="44"/>
      <c r="B142" s="11" t="str">
        <f>CONCATENATE("          ", "5082", " - ", "PURCHASES @ COST-COMPUTER HARD")</f>
        <v xml:space="preserve">          5082 - PURCHASES @ COST-COMPUTER HARD</v>
      </c>
      <c r="C142" s="11"/>
      <c r="D142" s="2"/>
      <c r="E142" s="2"/>
      <c r="F142" s="19">
        <f t="shared" si="16"/>
        <v>0</v>
      </c>
      <c r="G142" s="2"/>
      <c r="H142" s="2"/>
      <c r="I142" s="2"/>
      <c r="J142" s="19">
        <f t="shared" si="17"/>
        <v>0</v>
      </c>
      <c r="K142" s="2"/>
      <c r="L142" s="2">
        <f t="shared" si="18"/>
        <v>0</v>
      </c>
      <c r="M142" s="2"/>
      <c r="N142" s="19">
        <f t="shared" si="19"/>
        <v>0</v>
      </c>
      <c r="O142" s="11"/>
      <c r="P142" s="2">
        <v>349.6</v>
      </c>
      <c r="Q142" s="2"/>
      <c r="R142" s="19">
        <f t="shared" si="20"/>
        <v>3.7856770021637034E-5</v>
      </c>
      <c r="S142" s="2"/>
      <c r="T142" s="2"/>
      <c r="U142" s="2"/>
      <c r="V142" s="19">
        <f t="shared" si="21"/>
        <v>0</v>
      </c>
      <c r="W142" s="2"/>
      <c r="X142" s="2">
        <f t="shared" si="22"/>
        <v>349.6</v>
      </c>
      <c r="Y142" s="2"/>
      <c r="Z142" s="19">
        <f t="shared" si="23"/>
        <v>0</v>
      </c>
    </row>
    <row r="143" spans="1:26" s="24" customFormat="1" hidden="1" outlineLevel="1" x14ac:dyDescent="0.25">
      <c r="A143" s="44"/>
      <c r="B143" s="11" t="str">
        <f>CONCATENATE("          ", "5083", " - ", "PURCHASES @ COST-COMPUTER EQUI")</f>
        <v xml:space="preserve">          5083 - PURCHASES @ COST-COMPUTER EQUI</v>
      </c>
      <c r="C143" s="11"/>
      <c r="D143" s="2"/>
      <c r="E143" s="2"/>
      <c r="F143" s="19">
        <f t="shared" si="16"/>
        <v>0</v>
      </c>
      <c r="G143" s="2"/>
      <c r="H143" s="2"/>
      <c r="I143" s="2"/>
      <c r="J143" s="19">
        <f t="shared" si="17"/>
        <v>0</v>
      </c>
      <c r="K143" s="2"/>
      <c r="L143" s="2">
        <f t="shared" si="18"/>
        <v>0</v>
      </c>
      <c r="M143" s="2"/>
      <c r="N143" s="19">
        <f t="shared" si="19"/>
        <v>0</v>
      </c>
      <c r="O143" s="11"/>
      <c r="P143" s="2">
        <v>395.06</v>
      </c>
      <c r="Q143" s="2"/>
      <c r="R143" s="19">
        <f t="shared" si="20"/>
        <v>4.2779449555915123E-5</v>
      </c>
      <c r="S143" s="2"/>
      <c r="T143" s="2"/>
      <c r="U143" s="2"/>
      <c r="V143" s="19">
        <f t="shared" si="21"/>
        <v>0</v>
      </c>
      <c r="W143" s="2"/>
      <c r="X143" s="2">
        <f t="shared" si="22"/>
        <v>395.06</v>
      </c>
      <c r="Y143" s="2"/>
      <c r="Z143" s="19">
        <f t="shared" si="23"/>
        <v>0</v>
      </c>
    </row>
    <row r="144" spans="1:26" s="24" customFormat="1" hidden="1" outlineLevel="1" x14ac:dyDescent="0.25">
      <c r="A144" s="44"/>
      <c r="B144" s="11" t="str">
        <f>CONCATENATE("          ", "5086", " - ", "PURCHASES @ COST-COMPUTER SUPP")</f>
        <v xml:space="preserve">          5086 - PURCHASES @ COST-COMPUTER SUPP</v>
      </c>
      <c r="C144" s="11"/>
      <c r="D144" s="2"/>
      <c r="E144" s="2"/>
      <c r="F144" s="19">
        <f t="shared" si="16"/>
        <v>0</v>
      </c>
      <c r="G144" s="2"/>
      <c r="H144" s="2"/>
      <c r="I144" s="2"/>
      <c r="J144" s="19">
        <f t="shared" si="17"/>
        <v>0</v>
      </c>
      <c r="K144" s="2"/>
      <c r="L144" s="2">
        <f t="shared" si="18"/>
        <v>0</v>
      </c>
      <c r="M144" s="2"/>
      <c r="N144" s="19">
        <f t="shared" si="19"/>
        <v>0</v>
      </c>
      <c r="O144" s="11"/>
      <c r="P144" s="2">
        <v>426.22</v>
      </c>
      <c r="Q144" s="2"/>
      <c r="R144" s="19">
        <f t="shared" si="20"/>
        <v>4.6153639927408857E-5</v>
      </c>
      <c r="S144" s="2"/>
      <c r="T144" s="2"/>
      <c r="U144" s="2"/>
      <c r="V144" s="19">
        <f t="shared" si="21"/>
        <v>0</v>
      </c>
      <c r="W144" s="2"/>
      <c r="X144" s="2">
        <f t="shared" si="22"/>
        <v>426.22</v>
      </c>
      <c r="Y144" s="2"/>
      <c r="Z144" s="19">
        <f t="shared" si="23"/>
        <v>0</v>
      </c>
    </row>
    <row r="145" spans="1:26" s="24" customFormat="1" hidden="1" outlineLevel="1" x14ac:dyDescent="0.25">
      <c r="A145" s="44"/>
      <c r="B145" s="11" t="str">
        <f>CONCATENATE("          ", "5092", " - ", "PURCHASES @ COST-GRAD MERCH")</f>
        <v xml:space="preserve">          5092 - PURCHASES @ COST-GRAD MERCH</v>
      </c>
      <c r="C145" s="11"/>
      <c r="D145" s="2">
        <v>9354.1</v>
      </c>
      <c r="E145" s="2"/>
      <c r="F145" s="19">
        <f t="shared" si="16"/>
        <v>4.4960152484134819E-2</v>
      </c>
      <c r="G145" s="2"/>
      <c r="H145" s="2"/>
      <c r="I145" s="2"/>
      <c r="J145" s="19">
        <f t="shared" si="17"/>
        <v>0</v>
      </c>
      <c r="K145" s="2"/>
      <c r="L145" s="2">
        <f t="shared" si="18"/>
        <v>9354.1</v>
      </c>
      <c r="M145" s="2"/>
      <c r="N145" s="19">
        <f t="shared" si="19"/>
        <v>0</v>
      </c>
      <c r="O145" s="11"/>
      <c r="P145" s="2">
        <v>13839.98</v>
      </c>
      <c r="Q145" s="2"/>
      <c r="R145" s="19">
        <f t="shared" si="20"/>
        <v>1.4986754575630895E-3</v>
      </c>
      <c r="S145" s="2"/>
      <c r="T145" s="2"/>
      <c r="U145" s="2"/>
      <c r="V145" s="19">
        <f t="shared" si="21"/>
        <v>0</v>
      </c>
      <c r="W145" s="2"/>
      <c r="X145" s="2">
        <f t="shared" si="22"/>
        <v>13839.98</v>
      </c>
      <c r="Y145" s="2"/>
      <c r="Z145" s="19">
        <f t="shared" si="23"/>
        <v>0</v>
      </c>
    </row>
    <row r="146" spans="1:26" s="24" customFormat="1" hidden="1" outlineLevel="1" x14ac:dyDescent="0.25">
      <c r="A146" s="44"/>
      <c r="B146" s="11" t="str">
        <f>CONCATENATE("          ", "5095", " - ", "PURCHASES @ COST-CUSTOMER SERV")</f>
        <v xml:space="preserve">          5095 - PURCHASES @ COST-CUSTOMER SERV</v>
      </c>
      <c r="C146" s="11"/>
      <c r="D146" s="2">
        <v>0</v>
      </c>
      <c r="E146" s="2"/>
      <c r="F146" s="19">
        <f t="shared" si="16"/>
        <v>0</v>
      </c>
      <c r="G146" s="2"/>
      <c r="H146" s="2"/>
      <c r="I146" s="2"/>
      <c r="J146" s="19">
        <f t="shared" si="17"/>
        <v>0</v>
      </c>
      <c r="K146" s="2"/>
      <c r="L146" s="2">
        <f t="shared" si="18"/>
        <v>0</v>
      </c>
      <c r="M146" s="2"/>
      <c r="N146" s="19">
        <f t="shared" si="19"/>
        <v>0</v>
      </c>
      <c r="O146" s="11"/>
      <c r="P146" s="2">
        <v>0</v>
      </c>
      <c r="Q146" s="2"/>
      <c r="R146" s="19">
        <f t="shared" si="20"/>
        <v>0</v>
      </c>
      <c r="S146" s="2"/>
      <c r="T146" s="2"/>
      <c r="U146" s="2"/>
      <c r="V146" s="19">
        <f t="shared" si="21"/>
        <v>0</v>
      </c>
      <c r="W146" s="2"/>
      <c r="X146" s="2">
        <f t="shared" si="22"/>
        <v>0</v>
      </c>
      <c r="Y146" s="2"/>
      <c r="Z146" s="19">
        <f t="shared" si="23"/>
        <v>0</v>
      </c>
    </row>
    <row r="147" spans="1:26" s="24" customFormat="1" hidden="1" outlineLevel="1" x14ac:dyDescent="0.25">
      <c r="A147" s="44"/>
      <c r="B147" s="11" t="str">
        <f>CONCATENATE("          ", "5200", " - ", "PURCHASES OFFSET")</f>
        <v xml:space="preserve">          5200 - PURCHASES OFFSET</v>
      </c>
      <c r="C147" s="11"/>
      <c r="D147" s="2">
        <v>-303919</v>
      </c>
      <c r="E147" s="2"/>
      <c r="F147" s="19">
        <f t="shared" si="16"/>
        <v>-1.4607759787500421</v>
      </c>
      <c r="G147" s="2"/>
      <c r="H147" s="2"/>
      <c r="I147" s="2"/>
      <c r="J147" s="19">
        <f t="shared" si="17"/>
        <v>0</v>
      </c>
      <c r="K147" s="2"/>
      <c r="L147" s="2">
        <f t="shared" si="18"/>
        <v>-303919</v>
      </c>
      <c r="M147" s="2"/>
      <c r="N147" s="19">
        <f t="shared" si="19"/>
        <v>0</v>
      </c>
      <c r="O147" s="11"/>
      <c r="P147" s="2">
        <v>-3777245</v>
      </c>
      <c r="Q147" s="2"/>
      <c r="R147" s="19">
        <f t="shared" si="20"/>
        <v>-0.40902258375394274</v>
      </c>
      <c r="S147" s="2"/>
      <c r="T147" s="2"/>
      <c r="U147" s="2"/>
      <c r="V147" s="19">
        <f t="shared" si="21"/>
        <v>0</v>
      </c>
      <c r="W147" s="2"/>
      <c r="X147" s="2">
        <f t="shared" si="22"/>
        <v>-3777245</v>
      </c>
      <c r="Y147" s="2"/>
      <c r="Z147" s="19">
        <f t="shared" si="23"/>
        <v>0</v>
      </c>
    </row>
    <row r="148" spans="1:26" s="24" customFormat="1" hidden="1" outlineLevel="1" x14ac:dyDescent="0.25">
      <c r="A148" s="44"/>
      <c r="B148" s="11" t="str">
        <f>CONCATENATE("          ", "5300", " - ", "COG$ OFFSET")</f>
        <v xml:space="preserve">          5300 - COG$ OFFSET</v>
      </c>
      <c r="C148" s="11"/>
      <c r="D148" s="2">
        <v>300761.52999999997</v>
      </c>
      <c r="E148" s="2"/>
      <c r="F148" s="19">
        <f t="shared" si="16"/>
        <v>1.4455997103047526</v>
      </c>
      <c r="G148" s="2"/>
      <c r="H148" s="2"/>
      <c r="I148" s="2"/>
      <c r="J148" s="19">
        <f t="shared" si="17"/>
        <v>0</v>
      </c>
      <c r="K148" s="2"/>
      <c r="L148" s="2">
        <f t="shared" si="18"/>
        <v>300761.52999999997</v>
      </c>
      <c r="M148" s="2"/>
      <c r="N148" s="19">
        <f t="shared" si="19"/>
        <v>0</v>
      </c>
      <c r="O148" s="11"/>
      <c r="P148" s="2">
        <v>4336696</v>
      </c>
      <c r="Q148" s="2"/>
      <c r="R148" s="19">
        <f t="shared" si="20"/>
        <v>0.46960326981050698</v>
      </c>
      <c r="S148" s="2"/>
      <c r="T148" s="2"/>
      <c r="U148" s="2"/>
      <c r="V148" s="19">
        <f t="shared" si="21"/>
        <v>0</v>
      </c>
      <c r="W148" s="2"/>
      <c r="X148" s="2">
        <f t="shared" si="22"/>
        <v>4336696</v>
      </c>
      <c r="Y148" s="2"/>
      <c r="Z148" s="19">
        <f t="shared" si="23"/>
        <v>0</v>
      </c>
    </row>
    <row r="149" spans="1:26" s="24" customFormat="1" hidden="1" outlineLevel="1" x14ac:dyDescent="0.25">
      <c r="A149" s="44"/>
      <c r="B149" s="11" t="str">
        <f>CONCATENATE("          ", "5500", " - ", "FREIGHT-IN")</f>
        <v xml:space="preserve">          5500 - FREIGHT-IN</v>
      </c>
      <c r="C149" s="11"/>
      <c r="D149" s="2">
        <v>83.13</v>
      </c>
      <c r="E149" s="2"/>
      <c r="F149" s="19">
        <f t="shared" si="16"/>
        <v>3.9956141969896909E-4</v>
      </c>
      <c r="G149" s="2"/>
      <c r="H149" s="2"/>
      <c r="I149" s="2"/>
      <c r="J149" s="19">
        <f t="shared" si="17"/>
        <v>0</v>
      </c>
      <c r="K149" s="2"/>
      <c r="L149" s="2">
        <f t="shared" si="18"/>
        <v>83.13</v>
      </c>
      <c r="M149" s="2"/>
      <c r="N149" s="19">
        <f t="shared" si="19"/>
        <v>0</v>
      </c>
      <c r="O149" s="11"/>
      <c r="P149" s="2">
        <v>239.61</v>
      </c>
      <c r="Q149" s="2"/>
      <c r="R149" s="19">
        <f t="shared" si="20"/>
        <v>2.5946397782850257E-5</v>
      </c>
      <c r="S149" s="2"/>
      <c r="T149" s="2"/>
      <c r="U149" s="2"/>
      <c r="V149" s="19">
        <f t="shared" si="21"/>
        <v>0</v>
      </c>
      <c r="W149" s="2"/>
      <c r="X149" s="2">
        <f t="shared" si="22"/>
        <v>239.61</v>
      </c>
      <c r="Y149" s="2"/>
      <c r="Z149" s="19">
        <f t="shared" si="23"/>
        <v>0</v>
      </c>
    </row>
    <row r="150" spans="1:26" s="24" customFormat="1" hidden="1" outlineLevel="1" x14ac:dyDescent="0.25">
      <c r="A150" s="44"/>
      <c r="B150" s="11" t="str">
        <f>CONCATENATE("          ", "5501", " - ", "FREIGHT-IN-NEW TEXT")</f>
        <v xml:space="preserve">          5501 - FREIGHT-IN-NEW TEXT</v>
      </c>
      <c r="C150" s="11"/>
      <c r="D150" s="2">
        <v>2483.06</v>
      </c>
      <c r="E150" s="2"/>
      <c r="F150" s="19">
        <f t="shared" si="16"/>
        <v>1.193474051242298E-2</v>
      </c>
      <c r="G150" s="2"/>
      <c r="H150" s="2"/>
      <c r="I150" s="2"/>
      <c r="J150" s="19">
        <f t="shared" si="17"/>
        <v>0</v>
      </c>
      <c r="K150" s="2"/>
      <c r="L150" s="2">
        <f t="shared" si="18"/>
        <v>2483.06</v>
      </c>
      <c r="M150" s="2"/>
      <c r="N150" s="19">
        <f t="shared" si="19"/>
        <v>0</v>
      </c>
      <c r="O150" s="11"/>
      <c r="P150" s="2">
        <v>72230.790000000008</v>
      </c>
      <c r="Q150" s="2"/>
      <c r="R150" s="19">
        <f t="shared" si="20"/>
        <v>7.8215801072973688E-3</v>
      </c>
      <c r="S150" s="2"/>
      <c r="T150" s="2"/>
      <c r="U150" s="2"/>
      <c r="V150" s="19">
        <f t="shared" si="21"/>
        <v>0</v>
      </c>
      <c r="W150" s="2"/>
      <c r="X150" s="2">
        <f t="shared" si="22"/>
        <v>72230.790000000008</v>
      </c>
      <c r="Y150" s="2"/>
      <c r="Z150" s="19">
        <f t="shared" si="23"/>
        <v>0</v>
      </c>
    </row>
    <row r="151" spans="1:26" s="24" customFormat="1" hidden="1" outlineLevel="1" x14ac:dyDescent="0.25">
      <c r="A151" s="44"/>
      <c r="B151" s="11" t="str">
        <f>CONCATENATE("          ", "5502", " - ", "FREIGHT-IN-USED TEXT")</f>
        <v xml:space="preserve">          5502 - FREIGHT-IN-USED TEXT</v>
      </c>
      <c r="C151" s="11"/>
      <c r="D151" s="2">
        <v>519.36</v>
      </c>
      <c r="E151" s="2"/>
      <c r="F151" s="19">
        <f t="shared" si="16"/>
        <v>2.4962855639944258E-3</v>
      </c>
      <c r="G151" s="2"/>
      <c r="H151" s="2"/>
      <c r="I151" s="2"/>
      <c r="J151" s="19">
        <f t="shared" si="17"/>
        <v>0</v>
      </c>
      <c r="K151" s="2"/>
      <c r="L151" s="2">
        <f t="shared" si="18"/>
        <v>519.36</v>
      </c>
      <c r="M151" s="2"/>
      <c r="N151" s="19">
        <f t="shared" si="19"/>
        <v>0</v>
      </c>
      <c r="O151" s="11"/>
      <c r="P151" s="2">
        <v>16200.12</v>
      </c>
      <c r="Q151" s="2"/>
      <c r="R151" s="19">
        <f t="shared" si="20"/>
        <v>1.754245472433989E-3</v>
      </c>
      <c r="S151" s="2"/>
      <c r="T151" s="2"/>
      <c r="U151" s="2"/>
      <c r="V151" s="19">
        <f t="shared" si="21"/>
        <v>0</v>
      </c>
      <c r="W151" s="2"/>
      <c r="X151" s="2">
        <f t="shared" si="22"/>
        <v>16200.12</v>
      </c>
      <c r="Y151" s="2"/>
      <c r="Z151" s="19">
        <f t="shared" si="23"/>
        <v>0</v>
      </c>
    </row>
    <row r="152" spans="1:26" s="24" customFormat="1" hidden="1" outlineLevel="1" x14ac:dyDescent="0.25">
      <c r="A152" s="44"/>
      <c r="B152" s="11" t="str">
        <f>CONCATENATE("          ", "5504", " - ", "FREIGHT-IN-DIGITAL TEXT")</f>
        <v xml:space="preserve">          5504 - FREIGHT-IN-DIGITAL TEXT</v>
      </c>
      <c r="C152" s="11"/>
      <c r="D152" s="2"/>
      <c r="E152" s="2"/>
      <c r="F152" s="19">
        <f t="shared" si="16"/>
        <v>0</v>
      </c>
      <c r="G152" s="2"/>
      <c r="H152" s="2"/>
      <c r="I152" s="2"/>
      <c r="J152" s="19">
        <f t="shared" si="17"/>
        <v>0</v>
      </c>
      <c r="K152" s="2"/>
      <c r="L152" s="2">
        <f t="shared" si="18"/>
        <v>0</v>
      </c>
      <c r="M152" s="2"/>
      <c r="N152" s="19">
        <f t="shared" si="19"/>
        <v>0</v>
      </c>
      <c r="O152" s="11"/>
      <c r="P152" s="2">
        <v>118.75</v>
      </c>
      <c r="Q152" s="2"/>
      <c r="R152" s="19">
        <f t="shared" si="20"/>
        <v>1.2858957208436493E-5</v>
      </c>
      <c r="S152" s="2"/>
      <c r="T152" s="2"/>
      <c r="U152" s="2"/>
      <c r="V152" s="19">
        <f t="shared" si="21"/>
        <v>0</v>
      </c>
      <c r="W152" s="2"/>
      <c r="X152" s="2">
        <f t="shared" si="22"/>
        <v>118.75</v>
      </c>
      <c r="Y152" s="2"/>
      <c r="Z152" s="19">
        <f t="shared" si="23"/>
        <v>0</v>
      </c>
    </row>
    <row r="153" spans="1:26" s="24" customFormat="1" hidden="1" outlineLevel="1" x14ac:dyDescent="0.25">
      <c r="A153" s="44"/>
      <c r="B153" s="11" t="str">
        <f>CONCATENATE("          ", "5513", " - ", "FREIGHT-IN-TRADE BOOKS")</f>
        <v xml:space="preserve">          5513 - FREIGHT-IN-TRADE BOOKS</v>
      </c>
      <c r="C153" s="11"/>
      <c r="D153" s="2"/>
      <c r="E153" s="2"/>
      <c r="F153" s="19">
        <f t="shared" si="16"/>
        <v>0</v>
      </c>
      <c r="G153" s="2"/>
      <c r="H153" s="2"/>
      <c r="I153" s="2"/>
      <c r="J153" s="19">
        <f t="shared" si="17"/>
        <v>0</v>
      </c>
      <c r="K153" s="2"/>
      <c r="L153" s="2">
        <f t="shared" si="18"/>
        <v>0</v>
      </c>
      <c r="M153" s="2"/>
      <c r="N153" s="19">
        <f t="shared" si="19"/>
        <v>0</v>
      </c>
      <c r="O153" s="11"/>
      <c r="P153" s="2">
        <v>30.24</v>
      </c>
      <c r="Q153" s="2"/>
      <c r="R153" s="19">
        <f t="shared" si="20"/>
        <v>3.2745672924894274E-6</v>
      </c>
      <c r="S153" s="2"/>
      <c r="T153" s="2"/>
      <c r="U153" s="2"/>
      <c r="V153" s="19">
        <f t="shared" si="21"/>
        <v>0</v>
      </c>
      <c r="W153" s="2"/>
      <c r="X153" s="2">
        <f t="shared" si="22"/>
        <v>30.24</v>
      </c>
      <c r="Y153" s="2"/>
      <c r="Z153" s="19">
        <f t="shared" si="23"/>
        <v>0</v>
      </c>
    </row>
    <row r="154" spans="1:26" s="24" customFormat="1" hidden="1" outlineLevel="1" x14ac:dyDescent="0.25">
      <c r="A154" s="44"/>
      <c r="B154" s="11" t="str">
        <f>CONCATENATE("          ", "5518", " - ", "FREIGHT-IN-STUDY GUIDES")</f>
        <v xml:space="preserve">          5518 - FREIGHT-IN-STUDY GUIDES</v>
      </c>
      <c r="C154" s="11"/>
      <c r="D154" s="2"/>
      <c r="E154" s="2"/>
      <c r="F154" s="19">
        <f t="shared" si="16"/>
        <v>0</v>
      </c>
      <c r="G154" s="2"/>
      <c r="H154" s="2"/>
      <c r="I154" s="2"/>
      <c r="J154" s="19">
        <f t="shared" si="17"/>
        <v>0</v>
      </c>
      <c r="K154" s="2"/>
      <c r="L154" s="2">
        <f t="shared" si="18"/>
        <v>0</v>
      </c>
      <c r="M154" s="2"/>
      <c r="N154" s="19">
        <f t="shared" si="19"/>
        <v>0</v>
      </c>
      <c r="O154" s="11"/>
      <c r="P154" s="2">
        <v>21.13</v>
      </c>
      <c r="Q154" s="2"/>
      <c r="R154" s="19">
        <f t="shared" si="20"/>
        <v>2.2880822384358996E-6</v>
      </c>
      <c r="S154" s="2"/>
      <c r="T154" s="2"/>
      <c r="U154" s="2"/>
      <c r="V154" s="19">
        <f t="shared" si="21"/>
        <v>0</v>
      </c>
      <c r="W154" s="2"/>
      <c r="X154" s="2">
        <f t="shared" si="22"/>
        <v>21.13</v>
      </c>
      <c r="Y154" s="2"/>
      <c r="Z154" s="19">
        <f t="shared" si="23"/>
        <v>0</v>
      </c>
    </row>
    <row r="155" spans="1:26" s="24" customFormat="1" hidden="1" outlineLevel="1" x14ac:dyDescent="0.25">
      <c r="A155" s="44"/>
      <c r="B155" s="11" t="str">
        <f>CONCATENATE("          ", "5525", " - ", "FREIGHT-IN-TEST FORMS")</f>
        <v xml:space="preserve">          5525 - FREIGHT-IN-TEST FORMS</v>
      </c>
      <c r="C155" s="11"/>
      <c r="D155" s="2"/>
      <c r="E155" s="2"/>
      <c r="F155" s="19">
        <f t="shared" si="16"/>
        <v>0</v>
      </c>
      <c r="G155" s="2"/>
      <c r="H155" s="2"/>
      <c r="I155" s="2"/>
      <c r="J155" s="19">
        <f t="shared" si="17"/>
        <v>0</v>
      </c>
      <c r="K155" s="2"/>
      <c r="L155" s="2">
        <f t="shared" si="18"/>
        <v>0</v>
      </c>
      <c r="M155" s="2"/>
      <c r="N155" s="19">
        <f t="shared" si="19"/>
        <v>0</v>
      </c>
      <c r="O155" s="11"/>
      <c r="P155" s="2">
        <v>1614.32</v>
      </c>
      <c r="Q155" s="2"/>
      <c r="R155" s="19">
        <f t="shared" si="20"/>
        <v>1.7480818358503746E-4</v>
      </c>
      <c r="S155" s="2"/>
      <c r="T155" s="2"/>
      <c r="U155" s="2"/>
      <c r="V155" s="19">
        <f t="shared" si="21"/>
        <v>0</v>
      </c>
      <c r="W155" s="2"/>
      <c r="X155" s="2">
        <f t="shared" si="22"/>
        <v>1614.32</v>
      </c>
      <c r="Y155" s="2"/>
      <c r="Z155" s="19">
        <f t="shared" si="23"/>
        <v>0</v>
      </c>
    </row>
    <row r="156" spans="1:26" s="24" customFormat="1" hidden="1" outlineLevel="1" x14ac:dyDescent="0.25">
      <c r="A156" s="44"/>
      <c r="B156" s="11" t="str">
        <f>CONCATENATE("          ", "5526", " - ", "FREIGHT-IN-WRITING INSTRUMENTS")</f>
        <v xml:space="preserve">          5526 - FREIGHT-IN-WRITING INSTRUMENTS</v>
      </c>
      <c r="C156" s="11"/>
      <c r="D156" s="2"/>
      <c r="E156" s="2"/>
      <c r="F156" s="19">
        <f t="shared" si="16"/>
        <v>0</v>
      </c>
      <c r="G156" s="2"/>
      <c r="H156" s="2"/>
      <c r="I156" s="2"/>
      <c r="J156" s="19">
        <f t="shared" si="17"/>
        <v>0</v>
      </c>
      <c r="K156" s="2"/>
      <c r="L156" s="2">
        <f t="shared" si="18"/>
        <v>0</v>
      </c>
      <c r="M156" s="2"/>
      <c r="N156" s="19">
        <f t="shared" si="19"/>
        <v>0</v>
      </c>
      <c r="O156" s="11"/>
      <c r="P156" s="2">
        <v>274.5</v>
      </c>
      <c r="Q156" s="2"/>
      <c r="R156" s="19">
        <f t="shared" si="20"/>
        <v>2.9724494768133197E-5</v>
      </c>
      <c r="S156" s="2"/>
      <c r="T156" s="2"/>
      <c r="U156" s="2"/>
      <c r="V156" s="19">
        <f t="shared" si="21"/>
        <v>0</v>
      </c>
      <c r="W156" s="2"/>
      <c r="X156" s="2">
        <f t="shared" si="22"/>
        <v>274.5</v>
      </c>
      <c r="Y156" s="2"/>
      <c r="Z156" s="19">
        <f t="shared" si="23"/>
        <v>0</v>
      </c>
    </row>
    <row r="157" spans="1:26" s="24" customFormat="1" hidden="1" outlineLevel="1" x14ac:dyDescent="0.25">
      <c r="A157" s="44"/>
      <c r="B157" s="11" t="str">
        <f>CONCATENATE("          ", "5527", " - ", "FREIGHT-IN-SCHOOL SUPPLIES")</f>
        <v xml:space="preserve">          5527 - FREIGHT-IN-SCHOOL SUPPLIES</v>
      </c>
      <c r="C157" s="11"/>
      <c r="D157" s="2"/>
      <c r="E157" s="2"/>
      <c r="F157" s="19">
        <f t="shared" si="16"/>
        <v>0</v>
      </c>
      <c r="G157" s="2"/>
      <c r="H157" s="2"/>
      <c r="I157" s="2"/>
      <c r="J157" s="19">
        <f t="shared" si="17"/>
        <v>0</v>
      </c>
      <c r="K157" s="2"/>
      <c r="L157" s="2">
        <f t="shared" si="18"/>
        <v>0</v>
      </c>
      <c r="M157" s="2"/>
      <c r="N157" s="19">
        <f t="shared" si="19"/>
        <v>0</v>
      </c>
      <c r="O157" s="11"/>
      <c r="P157" s="2">
        <v>1808</v>
      </c>
      <c r="Q157" s="2"/>
      <c r="R157" s="19">
        <f t="shared" si="20"/>
        <v>1.9578100743455307E-4</v>
      </c>
      <c r="S157" s="2"/>
      <c r="T157" s="2"/>
      <c r="U157" s="2"/>
      <c r="V157" s="19">
        <f t="shared" si="21"/>
        <v>0</v>
      </c>
      <c r="W157" s="2"/>
      <c r="X157" s="2">
        <f t="shared" si="22"/>
        <v>1808</v>
      </c>
      <c r="Y157" s="2"/>
      <c r="Z157" s="19">
        <f t="shared" si="23"/>
        <v>0</v>
      </c>
    </row>
    <row r="158" spans="1:26" s="24" customFormat="1" hidden="1" outlineLevel="1" x14ac:dyDescent="0.25">
      <c r="A158" s="44"/>
      <c r="B158" s="11" t="str">
        <f>CONCATENATE("          ", "5528", " - ", "FREIGHT-IN-ART/TECH")</f>
        <v xml:space="preserve">          5528 - FREIGHT-IN-ART/TECH</v>
      </c>
      <c r="C158" s="11"/>
      <c r="D158" s="2">
        <v>13.33</v>
      </c>
      <c r="E158" s="2"/>
      <c r="F158" s="19">
        <f t="shared" si="16"/>
        <v>6.4070175924302403E-5</v>
      </c>
      <c r="G158" s="2"/>
      <c r="H158" s="2"/>
      <c r="I158" s="2"/>
      <c r="J158" s="19">
        <f t="shared" si="17"/>
        <v>0</v>
      </c>
      <c r="K158" s="2"/>
      <c r="L158" s="2">
        <f t="shared" si="18"/>
        <v>13.33</v>
      </c>
      <c r="M158" s="2"/>
      <c r="N158" s="19">
        <f t="shared" si="19"/>
        <v>0</v>
      </c>
      <c r="O158" s="11"/>
      <c r="P158" s="2">
        <v>2837.7</v>
      </c>
      <c r="Q158" s="2"/>
      <c r="R158" s="19">
        <f t="shared" si="20"/>
        <v>3.0728305575057038E-4</v>
      </c>
      <c r="S158" s="2"/>
      <c r="T158" s="2"/>
      <c r="U158" s="2"/>
      <c r="V158" s="19">
        <f t="shared" si="21"/>
        <v>0</v>
      </c>
      <c r="W158" s="2"/>
      <c r="X158" s="2">
        <f t="shared" si="22"/>
        <v>2837.7</v>
      </c>
      <c r="Y158" s="2"/>
      <c r="Z158" s="19">
        <f t="shared" si="23"/>
        <v>0</v>
      </c>
    </row>
    <row r="159" spans="1:26" s="24" customFormat="1" hidden="1" outlineLevel="1" x14ac:dyDescent="0.25">
      <c r="A159" s="44"/>
      <c r="B159" s="11" t="str">
        <f>CONCATENATE("          ", "5540", " - ", "FREIGHT-IN-LOGO CLOTHING")</f>
        <v xml:space="preserve">          5540 - FREIGHT-IN-LOGO CLOTHING</v>
      </c>
      <c r="C159" s="11"/>
      <c r="D159" s="2">
        <v>29.98</v>
      </c>
      <c r="E159" s="2"/>
      <c r="F159" s="19">
        <f t="shared" si="16"/>
        <v>1.4409781501954885E-4</v>
      </c>
      <c r="G159" s="2"/>
      <c r="H159" s="2"/>
      <c r="I159" s="2"/>
      <c r="J159" s="19">
        <f t="shared" si="17"/>
        <v>0</v>
      </c>
      <c r="K159" s="2"/>
      <c r="L159" s="2">
        <f t="shared" si="18"/>
        <v>29.98</v>
      </c>
      <c r="M159" s="2"/>
      <c r="N159" s="19">
        <f t="shared" si="19"/>
        <v>0</v>
      </c>
      <c r="O159" s="11"/>
      <c r="P159" s="2">
        <v>32548.979999999996</v>
      </c>
      <c r="Q159" s="2"/>
      <c r="R159" s="19">
        <f t="shared" si="20"/>
        <v>3.5245973978800436E-3</v>
      </c>
      <c r="S159" s="2"/>
      <c r="T159" s="2"/>
      <c r="U159" s="2"/>
      <c r="V159" s="19">
        <f t="shared" si="21"/>
        <v>0</v>
      </c>
      <c r="W159" s="2"/>
      <c r="X159" s="2">
        <f t="shared" si="22"/>
        <v>32548.979999999996</v>
      </c>
      <c r="Y159" s="2"/>
      <c r="Z159" s="19">
        <f t="shared" si="23"/>
        <v>0</v>
      </c>
    </row>
    <row r="160" spans="1:26" s="24" customFormat="1" hidden="1" outlineLevel="1" x14ac:dyDescent="0.25">
      <c r="A160" s="44"/>
      <c r="B160" s="11" t="str">
        <f>CONCATENATE("          ", "5541", " - ", "FREIGHT-IN-LOGO GIFTS")</f>
        <v xml:space="preserve">          5541 - FREIGHT-IN-LOGO GIFTS</v>
      </c>
      <c r="C160" s="11"/>
      <c r="D160" s="2">
        <v>348.31</v>
      </c>
      <c r="E160" s="2"/>
      <c r="F160" s="19">
        <f t="shared" si="16"/>
        <v>1.6741397581540713E-3</v>
      </c>
      <c r="G160" s="2"/>
      <c r="H160" s="2"/>
      <c r="I160" s="2"/>
      <c r="J160" s="19">
        <f t="shared" si="17"/>
        <v>0</v>
      </c>
      <c r="K160" s="2"/>
      <c r="L160" s="2">
        <f t="shared" si="18"/>
        <v>348.31</v>
      </c>
      <c r="M160" s="2"/>
      <c r="N160" s="19">
        <f t="shared" si="19"/>
        <v>0</v>
      </c>
      <c r="O160" s="11"/>
      <c r="P160" s="2">
        <v>5574.41</v>
      </c>
      <c r="Q160" s="2"/>
      <c r="R160" s="19">
        <f t="shared" si="20"/>
        <v>6.036303128613092E-4</v>
      </c>
      <c r="S160" s="2"/>
      <c r="T160" s="2"/>
      <c r="U160" s="2"/>
      <c r="V160" s="19">
        <f t="shared" si="21"/>
        <v>0</v>
      </c>
      <c r="W160" s="2"/>
      <c r="X160" s="2">
        <f t="shared" si="22"/>
        <v>5574.41</v>
      </c>
      <c r="Y160" s="2"/>
      <c r="Z160" s="19">
        <f t="shared" si="23"/>
        <v>0</v>
      </c>
    </row>
    <row r="161" spans="1:26" s="24" customFormat="1" hidden="1" outlineLevel="1" x14ac:dyDescent="0.25">
      <c r="A161" s="44"/>
      <c r="B161" s="11" t="str">
        <f>CONCATENATE("          ", "5542", " - ", "FREIGHT-IN-EVERYDAY GIFTS")</f>
        <v xml:space="preserve">          5542 - FREIGHT-IN-EVERYDAY GIFTS</v>
      </c>
      <c r="C161" s="11"/>
      <c r="D161" s="2"/>
      <c r="E161" s="2"/>
      <c r="F161" s="19">
        <f t="shared" si="16"/>
        <v>0</v>
      </c>
      <c r="G161" s="2"/>
      <c r="H161" s="2"/>
      <c r="I161" s="2"/>
      <c r="J161" s="19">
        <f t="shared" si="17"/>
        <v>0</v>
      </c>
      <c r="K161" s="2"/>
      <c r="L161" s="2">
        <f t="shared" si="18"/>
        <v>0</v>
      </c>
      <c r="M161" s="2"/>
      <c r="N161" s="19">
        <f t="shared" si="19"/>
        <v>0</v>
      </c>
      <c r="O161" s="11"/>
      <c r="P161" s="2">
        <v>2223.5100000000002</v>
      </c>
      <c r="Q161" s="2"/>
      <c r="R161" s="19">
        <f t="shared" si="20"/>
        <v>2.4077490477920527E-4</v>
      </c>
      <c r="S161" s="2"/>
      <c r="T161" s="2"/>
      <c r="U161" s="2"/>
      <c r="V161" s="19">
        <f t="shared" si="21"/>
        <v>0</v>
      </c>
      <c r="W161" s="2"/>
      <c r="X161" s="2">
        <f t="shared" si="22"/>
        <v>2223.5100000000002</v>
      </c>
      <c r="Y161" s="2"/>
      <c r="Z161" s="19">
        <f t="shared" si="23"/>
        <v>0</v>
      </c>
    </row>
    <row r="162" spans="1:26" s="24" customFormat="1" hidden="1" outlineLevel="1" x14ac:dyDescent="0.25">
      <c r="A162" s="44"/>
      <c r="B162" s="11" t="str">
        <f>CONCATENATE("          ", "5543", " - ", "FREIGHT-IN-CARDS")</f>
        <v xml:space="preserve">          5543 - FREIGHT-IN-CARDS</v>
      </c>
      <c r="C162" s="11"/>
      <c r="D162" s="2"/>
      <c r="E162" s="2"/>
      <c r="F162" s="19">
        <f t="shared" si="16"/>
        <v>0</v>
      </c>
      <c r="G162" s="2"/>
      <c r="H162" s="2"/>
      <c r="I162" s="2"/>
      <c r="J162" s="19">
        <f t="shared" si="17"/>
        <v>0</v>
      </c>
      <c r="K162" s="2"/>
      <c r="L162" s="2">
        <f t="shared" si="18"/>
        <v>0</v>
      </c>
      <c r="M162" s="2"/>
      <c r="N162" s="19">
        <f t="shared" si="19"/>
        <v>0</v>
      </c>
      <c r="O162" s="11"/>
      <c r="P162" s="2">
        <v>2926.76</v>
      </c>
      <c r="Q162" s="2"/>
      <c r="R162" s="19">
        <f t="shared" si="20"/>
        <v>3.1692700294200921E-4</v>
      </c>
      <c r="S162" s="2"/>
      <c r="T162" s="2"/>
      <c r="U162" s="2"/>
      <c r="V162" s="19">
        <f t="shared" si="21"/>
        <v>0</v>
      </c>
      <c r="W162" s="2"/>
      <c r="X162" s="2">
        <f t="shared" si="22"/>
        <v>2926.76</v>
      </c>
      <c r="Y162" s="2"/>
      <c r="Z162" s="19">
        <f t="shared" si="23"/>
        <v>0</v>
      </c>
    </row>
    <row r="163" spans="1:26" s="24" customFormat="1" hidden="1" outlineLevel="1" x14ac:dyDescent="0.25">
      <c r="A163" s="44"/>
      <c r="B163" s="11" t="str">
        <f>CONCATENATE("          ", "5544", " - ", "FREIGHT-IN-ACCESSORIES")</f>
        <v xml:space="preserve">          5544 - FREIGHT-IN-ACCESSORIES</v>
      </c>
      <c r="C163" s="11"/>
      <c r="D163" s="2"/>
      <c r="E163" s="2"/>
      <c r="F163" s="19">
        <f t="shared" si="16"/>
        <v>0</v>
      </c>
      <c r="G163" s="2"/>
      <c r="H163" s="2"/>
      <c r="I163" s="2"/>
      <c r="J163" s="19">
        <f t="shared" si="17"/>
        <v>0</v>
      </c>
      <c r="K163" s="2"/>
      <c r="L163" s="2">
        <f t="shared" si="18"/>
        <v>0</v>
      </c>
      <c r="M163" s="2"/>
      <c r="N163" s="19">
        <f t="shared" si="19"/>
        <v>0</v>
      </c>
      <c r="O163" s="11"/>
      <c r="P163" s="2">
        <v>483.44</v>
      </c>
      <c r="Q163" s="2"/>
      <c r="R163" s="19">
        <f t="shared" si="20"/>
        <v>5.2349762297655056E-5</v>
      </c>
      <c r="S163" s="2"/>
      <c r="T163" s="2"/>
      <c r="U163" s="2"/>
      <c r="V163" s="19">
        <f t="shared" si="21"/>
        <v>0</v>
      </c>
      <c r="W163" s="2"/>
      <c r="X163" s="2">
        <f t="shared" si="22"/>
        <v>483.44</v>
      </c>
      <c r="Y163" s="2"/>
      <c r="Z163" s="19">
        <f t="shared" si="23"/>
        <v>0</v>
      </c>
    </row>
    <row r="164" spans="1:26" s="24" customFormat="1" hidden="1" outlineLevel="1" x14ac:dyDescent="0.25">
      <c r="A164" s="44"/>
      <c r="B164" s="11" t="str">
        <f>CONCATENATE("          ", "5545", " - ", "FREIGHT-IN-SPECIAL ORDERS")</f>
        <v xml:space="preserve">          5545 - FREIGHT-IN-SPECIAL ORDERS</v>
      </c>
      <c r="C164" s="11"/>
      <c r="D164" s="2">
        <v>355.3</v>
      </c>
      <c r="E164" s="2"/>
      <c r="F164" s="19">
        <f t="shared" si="16"/>
        <v>1.7077369471796432E-3</v>
      </c>
      <c r="G164" s="2"/>
      <c r="H164" s="2"/>
      <c r="I164" s="2"/>
      <c r="J164" s="19">
        <f t="shared" si="17"/>
        <v>0</v>
      </c>
      <c r="K164" s="2"/>
      <c r="L164" s="2">
        <f t="shared" si="18"/>
        <v>355.3</v>
      </c>
      <c r="M164" s="2"/>
      <c r="N164" s="19">
        <f t="shared" si="19"/>
        <v>0</v>
      </c>
      <c r="O164" s="11"/>
      <c r="P164" s="2">
        <v>1420.62</v>
      </c>
      <c r="Q164" s="2"/>
      <c r="R164" s="19">
        <f t="shared" si="20"/>
        <v>1.5383319401641305E-4</v>
      </c>
      <c r="S164" s="2"/>
      <c r="T164" s="2"/>
      <c r="U164" s="2"/>
      <c r="V164" s="19">
        <f t="shared" si="21"/>
        <v>0</v>
      </c>
      <c r="W164" s="2"/>
      <c r="X164" s="2">
        <f t="shared" si="22"/>
        <v>1420.62</v>
      </c>
      <c r="Y164" s="2"/>
      <c r="Z164" s="19">
        <f t="shared" si="23"/>
        <v>0</v>
      </c>
    </row>
    <row r="165" spans="1:26" s="24" customFormat="1" hidden="1" outlineLevel="1" x14ac:dyDescent="0.25">
      <c r="A165" s="44"/>
      <c r="B165" s="11" t="str">
        <f>CONCATENATE("          ", "5592", " - ", "FREIGHT-IN-GRAD MERCH")</f>
        <v xml:space="preserve">          5592 - FREIGHT-IN-GRAD MERCH</v>
      </c>
      <c r="C165" s="11"/>
      <c r="D165" s="2">
        <v>10.83</v>
      </c>
      <c r="E165" s="2"/>
      <c r="F165" s="19">
        <f t="shared" si="16"/>
        <v>5.2054013897989123E-5</v>
      </c>
      <c r="G165" s="2"/>
      <c r="H165" s="2"/>
      <c r="I165" s="2"/>
      <c r="J165" s="19">
        <f t="shared" si="17"/>
        <v>0</v>
      </c>
      <c r="K165" s="2"/>
      <c r="L165" s="2">
        <f t="shared" si="18"/>
        <v>10.83</v>
      </c>
      <c r="M165" s="2"/>
      <c r="N165" s="19">
        <f t="shared" si="19"/>
        <v>0</v>
      </c>
      <c r="O165" s="11"/>
      <c r="P165" s="2">
        <v>170.88</v>
      </c>
      <c r="Q165" s="2"/>
      <c r="R165" s="19">
        <f t="shared" si="20"/>
        <v>1.8503904065495811E-5</v>
      </c>
      <c r="S165" s="2"/>
      <c r="T165" s="2"/>
      <c r="U165" s="2"/>
      <c r="V165" s="19">
        <f t="shared" si="21"/>
        <v>0</v>
      </c>
      <c r="W165" s="2"/>
      <c r="X165" s="2">
        <f t="shared" si="22"/>
        <v>170.88</v>
      </c>
      <c r="Y165" s="2"/>
      <c r="Z165" s="19">
        <f t="shared" si="23"/>
        <v>0</v>
      </c>
    </row>
    <row r="166" spans="1:26" x14ac:dyDescent="0.25">
      <c r="A166" s="9"/>
      <c r="B166" s="10"/>
      <c r="C166" s="10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O166" s="10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x14ac:dyDescent="0.25">
      <c r="A167" s="10"/>
      <c r="B167" s="29" t="s">
        <v>6</v>
      </c>
      <c r="C167" s="29"/>
      <c r="D167" s="22">
        <f>D12-D114</f>
        <v>-56029.769999999931</v>
      </c>
      <c r="E167" s="14"/>
      <c r="F167" s="20">
        <f>IF(D$12=0,0,D167/D$12)</f>
        <v>-0.26930511784682643</v>
      </c>
      <c r="G167" s="14"/>
      <c r="H167" s="22">
        <f>H12-H114</f>
        <v>235912.09057999996</v>
      </c>
      <c r="I167" s="14"/>
      <c r="J167" s="20">
        <f>IF(H$12=0,0,H167/H$12)</f>
        <v>0.56048220823181905</v>
      </c>
      <c r="K167" s="15"/>
      <c r="L167" s="22">
        <f>+D167-H167</f>
        <v>-291941.86057999986</v>
      </c>
      <c r="M167" s="15"/>
      <c r="N167" s="20">
        <f>IF(H167=0,0,L167/H167)</f>
        <v>-1.2375027488512704</v>
      </c>
      <c r="O167" s="28"/>
      <c r="P167" s="22">
        <f>P12-P114</f>
        <v>3722016.5000000009</v>
      </c>
      <c r="Q167" s="14"/>
      <c r="R167" s="20">
        <f>IF(P$12=0,0,P167/P$12)</f>
        <v>0.4030421128639543</v>
      </c>
      <c r="S167" s="14"/>
      <c r="T167" s="22">
        <f>T12-T114</f>
        <v>5452917.5249800012</v>
      </c>
      <c r="U167" s="14"/>
      <c r="V167" s="20">
        <f>IF(T$12=0,0,T167/T$12)</f>
        <v>0.45323465072327118</v>
      </c>
      <c r="W167" s="15"/>
      <c r="X167" s="22">
        <f>+P167-T167</f>
        <v>-1730901.0249800002</v>
      </c>
      <c r="Y167" s="15"/>
      <c r="Z167" s="20">
        <f>IF(T167=0,0,X167/T167)</f>
        <v>-0.31742659173748433</v>
      </c>
    </row>
    <row r="168" spans="1:26" x14ac:dyDescent="0.25">
      <c r="A168" s="9"/>
      <c r="B168" s="10"/>
      <c r="C168" s="9"/>
      <c r="D168" s="1"/>
      <c r="E168" s="1"/>
      <c r="F168" s="5"/>
      <c r="G168" s="1"/>
      <c r="H168" s="1"/>
      <c r="I168" s="1"/>
      <c r="J168" s="5"/>
      <c r="K168" s="1"/>
      <c r="L168" s="1"/>
      <c r="M168" s="1"/>
      <c r="N168" s="5"/>
      <c r="O168" s="36"/>
      <c r="P168" s="1"/>
      <c r="Q168" s="1"/>
      <c r="R168" s="5"/>
      <c r="S168" s="1"/>
      <c r="T168" s="1"/>
      <c r="U168" s="1"/>
      <c r="V168" s="5"/>
      <c r="W168" s="1"/>
      <c r="X168" s="1"/>
      <c r="Y168" s="1"/>
      <c r="Z168" s="5"/>
    </row>
    <row r="169" spans="1:26" s="23" customFormat="1" x14ac:dyDescent="0.25">
      <c r="A169" s="10"/>
      <c r="B169" s="28" t="s">
        <v>9</v>
      </c>
      <c r="C169" s="10"/>
      <c r="D169" s="21">
        <f>SUM(OSRRefD22x_0)</f>
        <v>293680.64000000001</v>
      </c>
      <c r="E169" s="21"/>
      <c r="F169" s="32">
        <f t="shared" ref="F169:F180" si="24">IF(D$12=0,0,D169/D$12)</f>
        <v>1.4115656616925523</v>
      </c>
      <c r="G169" s="21"/>
      <c r="H169" s="21">
        <f>SUM(OSRRefH22x_0)</f>
        <v>435979.65865822515</v>
      </c>
      <c r="I169" s="21"/>
      <c r="J169" s="32">
        <f t="shared" ref="J169:J180" si="25">IF(H$12=0,0,H169/H$12)</f>
        <v>1.0358046559977068</v>
      </c>
      <c r="K169" s="4"/>
      <c r="L169" s="21">
        <f t="shared" ref="L169:L180" si="26">+D169-H169</f>
        <v>-142299.01865822513</v>
      </c>
      <c r="M169" s="4"/>
      <c r="N169" s="32">
        <f t="shared" ref="N169:N180" si="27">IF(H169=0,0,L169/H169)</f>
        <v>-0.32638912351132587</v>
      </c>
      <c r="O169" s="10"/>
      <c r="P169" s="21">
        <f>SUM(OSRRefP22x_0)</f>
        <v>4188580.8799999994</v>
      </c>
      <c r="Q169" s="21"/>
      <c r="R169" s="32">
        <f t="shared" ref="R169:R180" si="28">IF(P$12=0,0,P169/P$12)</f>
        <v>0.45356448252627585</v>
      </c>
      <c r="S169" s="21"/>
      <c r="T169" s="21">
        <f>SUM(OSRRefT22x_0)</f>
        <v>4927100.2811309546</v>
      </c>
      <c r="U169" s="21"/>
      <c r="V169" s="32">
        <f t="shared" ref="V169:V180" si="29">IF(T$12=0,0,T169/T$12)</f>
        <v>0.40952986447472622</v>
      </c>
      <c r="W169" s="4"/>
      <c r="X169" s="21">
        <f t="shared" ref="X169:X180" si="30">+P169-T169</f>
        <v>-738519.4011309552</v>
      </c>
      <c r="Y169" s="4"/>
      <c r="Z169" s="32">
        <f t="shared" ref="Z169:Z180" si="31">IF(T169=0,0,X169/T169)</f>
        <v>-0.14988925716799847</v>
      </c>
    </row>
    <row r="170" spans="1:26" s="26" customFormat="1" outlineLevel="1" collapsed="1" x14ac:dyDescent="0.25">
      <c r="A170" s="25"/>
      <c r="B170" s="12" t="str">
        <f>CONCATENATE("     ","*Benefits                                         ")</f>
        <v xml:space="preserve">     *Benefits                                         </v>
      </c>
      <c r="C170" s="12"/>
      <c r="D170" s="1">
        <f>SUM(OSRRefD22_0x_0)</f>
        <v>31275.16</v>
      </c>
      <c r="E170" s="1"/>
      <c r="F170" s="5">
        <f t="shared" si="24"/>
        <v>0.15032295598354881</v>
      </c>
      <c r="G170" s="1"/>
      <c r="H170" s="1">
        <f>SUM(OSRRefH22_0x_0)</f>
        <v>49311.847384233639</v>
      </c>
      <c r="I170" s="1"/>
      <c r="J170" s="5">
        <f t="shared" si="25"/>
        <v>0.11715556013240143</v>
      </c>
      <c r="K170" s="1"/>
      <c r="L170" s="1">
        <f t="shared" si="26"/>
        <v>-18036.687384233639</v>
      </c>
      <c r="M170" s="1"/>
      <c r="N170" s="5">
        <f t="shared" si="27"/>
        <v>-0.36576782945674974</v>
      </c>
      <c r="O170" s="12"/>
      <c r="P170" s="1">
        <f>SUM(OSRRefP22_0x_0)</f>
        <v>516439.71</v>
      </c>
      <c r="Q170" s="1"/>
      <c r="R170" s="5">
        <f t="shared" si="28"/>
        <v>5.5923167424230334E-2</v>
      </c>
      <c r="S170" s="1"/>
      <c r="T170" s="1">
        <f>SUM(OSRRefT22_0x_0)</f>
        <v>589781.56444058067</v>
      </c>
      <c r="U170" s="1"/>
      <c r="V170" s="5">
        <f t="shared" si="29"/>
        <v>4.9021361525769899E-2</v>
      </c>
      <c r="W170" s="1"/>
      <c r="X170" s="1">
        <f t="shared" si="30"/>
        <v>-73341.854440580646</v>
      </c>
      <c r="Y170" s="1"/>
      <c r="Z170" s="5">
        <f t="shared" si="31"/>
        <v>-0.12435426751622328</v>
      </c>
    </row>
    <row r="171" spans="1:26" s="24" customFormat="1" hidden="1" outlineLevel="2" x14ac:dyDescent="0.25">
      <c r="A171" s="27"/>
      <c r="B171" s="11" t="str">
        <f>CONCATENATE("          ", "6111", " - ", "F.I.C.A.")</f>
        <v xml:space="preserve">          6111 - F.I.C.A.</v>
      </c>
      <c r="C171" s="11"/>
      <c r="D171" s="6">
        <v>7624.57</v>
      </c>
      <c r="E171" s="2"/>
      <c r="F171" s="7">
        <f t="shared" si="24"/>
        <v>3.6647227400386971E-2</v>
      </c>
      <c r="G171" s="2"/>
      <c r="H171" s="6">
        <v>11733.183927493248</v>
      </c>
      <c r="I171" s="2"/>
      <c r="J171" s="7">
        <f t="shared" si="25"/>
        <v>2.7875810947643815E-2</v>
      </c>
      <c r="K171" s="2"/>
      <c r="L171" s="6">
        <f t="shared" si="26"/>
        <v>-4108.6139274932484</v>
      </c>
      <c r="M171" s="2"/>
      <c r="N171" s="7">
        <f t="shared" si="27"/>
        <v>-0.35017041860785342</v>
      </c>
      <c r="O171" s="11"/>
      <c r="P171" s="6">
        <v>107469.41</v>
      </c>
      <c r="Q171" s="2"/>
      <c r="R171" s="7">
        <f t="shared" si="28"/>
        <v>1.1637427742365616E-2</v>
      </c>
      <c r="S171" s="2"/>
      <c r="T171" s="6">
        <v>112620.92095035058</v>
      </c>
      <c r="U171" s="2"/>
      <c r="V171" s="7">
        <f t="shared" si="29"/>
        <v>9.3608061257542102E-3</v>
      </c>
      <c r="W171" s="2"/>
      <c r="X171" s="6">
        <f t="shared" si="30"/>
        <v>-5151.510950350581</v>
      </c>
      <c r="Y171" s="2"/>
      <c r="Z171" s="7">
        <f t="shared" si="31"/>
        <v>-4.5742042480913882E-2</v>
      </c>
    </row>
    <row r="172" spans="1:26" s="24" customFormat="1" hidden="1" outlineLevel="2" x14ac:dyDescent="0.25">
      <c r="A172" s="27"/>
      <c r="B172" s="11" t="str">
        <f>CONCATENATE("          ", "6112", " - ", "COMPENSATION INSURANCE")</f>
        <v xml:space="preserve">          6112 - COMPENSATION INSURANCE</v>
      </c>
      <c r="C172" s="11"/>
      <c r="D172" s="6">
        <v>1713.58</v>
      </c>
      <c r="E172" s="2"/>
      <c r="F172" s="7">
        <f t="shared" si="24"/>
        <v>8.2362619700199636E-3</v>
      </c>
      <c r="G172" s="2"/>
      <c r="H172" s="6">
        <v>2910.5243235923076</v>
      </c>
      <c r="I172" s="2"/>
      <c r="J172" s="7">
        <f t="shared" si="25"/>
        <v>6.9148516126868453E-3</v>
      </c>
      <c r="K172" s="2"/>
      <c r="L172" s="6">
        <f t="shared" si="26"/>
        <v>-1196.9443235923077</v>
      </c>
      <c r="M172" s="2"/>
      <c r="N172" s="7">
        <f t="shared" si="27"/>
        <v>-0.41124697494882367</v>
      </c>
      <c r="O172" s="11"/>
      <c r="P172" s="6">
        <v>28022.37</v>
      </c>
      <c r="Q172" s="2"/>
      <c r="R172" s="7">
        <f t="shared" si="28"/>
        <v>3.0344291091282064E-3</v>
      </c>
      <c r="S172" s="2"/>
      <c r="T172" s="6">
        <v>41897.025120699989</v>
      </c>
      <c r="U172" s="2"/>
      <c r="V172" s="7">
        <f t="shared" si="29"/>
        <v>3.4823896491987054E-3</v>
      </c>
      <c r="W172" s="2"/>
      <c r="X172" s="6">
        <f t="shared" si="30"/>
        <v>-13874.65512069999</v>
      </c>
      <c r="Y172" s="2"/>
      <c r="Z172" s="7">
        <f t="shared" si="31"/>
        <v>-0.3311608659738699</v>
      </c>
    </row>
    <row r="173" spans="1:26" s="24" customFormat="1" hidden="1" outlineLevel="2" x14ac:dyDescent="0.25">
      <c r="A173" s="27"/>
      <c r="B173" s="11" t="str">
        <f>CONCATENATE("          ", "6113", " - ", "GROUP INSURANCE")</f>
        <v xml:space="preserve">          6113 - GROUP INSURANCE</v>
      </c>
      <c r="C173" s="11"/>
      <c r="D173" s="6">
        <v>13413.27</v>
      </c>
      <c r="E173" s="2"/>
      <c r="F173" s="7">
        <f t="shared" si="24"/>
        <v>6.447041024907485E-2</v>
      </c>
      <c r="G173" s="2"/>
      <c r="H173" s="6">
        <v>18510.81923076923</v>
      </c>
      <c r="I173" s="2"/>
      <c r="J173" s="7">
        <f t="shared" si="25"/>
        <v>4.3978181928421789E-2</v>
      </c>
      <c r="K173" s="2"/>
      <c r="L173" s="6">
        <f t="shared" si="26"/>
        <v>-5097.5492307692293</v>
      </c>
      <c r="M173" s="2"/>
      <c r="N173" s="7">
        <f t="shared" si="27"/>
        <v>-0.27538215176862257</v>
      </c>
      <c r="O173" s="11"/>
      <c r="P173" s="6">
        <v>203442.34</v>
      </c>
      <c r="Q173" s="2"/>
      <c r="R173" s="7">
        <f t="shared" si="28"/>
        <v>2.2029948163740529E-2</v>
      </c>
      <c r="S173" s="2"/>
      <c r="T173" s="6">
        <v>224016.6</v>
      </c>
      <c r="U173" s="2"/>
      <c r="V173" s="7">
        <f t="shared" si="29"/>
        <v>1.8619772808243076E-2</v>
      </c>
      <c r="W173" s="2"/>
      <c r="X173" s="6">
        <f t="shared" si="30"/>
        <v>-20574.260000000009</v>
      </c>
      <c r="Y173" s="2"/>
      <c r="Z173" s="7">
        <f t="shared" si="31"/>
        <v>-9.1842568809632902E-2</v>
      </c>
    </row>
    <row r="174" spans="1:26" s="24" customFormat="1" hidden="1" outlineLevel="2" x14ac:dyDescent="0.25">
      <c r="A174" s="27"/>
      <c r="B174" s="11" t="str">
        <f>CONCATENATE("          ", "6114", " - ", "STATE UNEMPLOYMENT INSURANCE")</f>
        <v xml:space="preserve">          6114 - STATE UNEMPLOYMENT INSURANCE</v>
      </c>
      <c r="C174" s="11"/>
      <c r="D174" s="6">
        <v>-5103.99</v>
      </c>
      <c r="E174" s="2"/>
      <c r="F174" s="7">
        <f t="shared" si="24"/>
        <v>-2.4532148328273082E-2</v>
      </c>
      <c r="G174" s="2"/>
      <c r="H174" s="6">
        <v>412.34687633849791</v>
      </c>
      <c r="I174" s="2"/>
      <c r="J174" s="7">
        <f t="shared" si="25"/>
        <v>9.7965766502044332E-4</v>
      </c>
      <c r="K174" s="2"/>
      <c r="L174" s="6">
        <f t="shared" si="26"/>
        <v>-5516.3368763384979</v>
      </c>
      <c r="M174" s="2"/>
      <c r="N174" s="7">
        <f t="shared" si="27"/>
        <v>-13.377903878699703</v>
      </c>
      <c r="O174" s="11"/>
      <c r="P174" s="6">
        <v>0</v>
      </c>
      <c r="Q174" s="2"/>
      <c r="R174" s="7">
        <f t="shared" si="28"/>
        <v>0</v>
      </c>
      <c r="S174" s="2"/>
      <c r="T174" s="6">
        <v>5949.7911536205329</v>
      </c>
      <c r="U174" s="2"/>
      <c r="V174" s="7">
        <f t="shared" si="29"/>
        <v>4.9453370659544331E-4</v>
      </c>
      <c r="W174" s="2"/>
      <c r="X174" s="6">
        <f t="shared" si="30"/>
        <v>-5949.7911536205329</v>
      </c>
      <c r="Y174" s="2"/>
      <c r="Z174" s="7">
        <f t="shared" si="31"/>
        <v>-1</v>
      </c>
    </row>
    <row r="175" spans="1:26" s="24" customFormat="1" hidden="1" outlineLevel="2" x14ac:dyDescent="0.25">
      <c r="A175" s="27"/>
      <c r="B175" s="11" t="str">
        <f>CONCATENATE("          ", "6115", " - ", "P.E.R.S.")</f>
        <v xml:space="preserve">          6115 - P.E.R.S.</v>
      </c>
      <c r="C175" s="11"/>
      <c r="D175" s="6">
        <v>4664.0600000000004</v>
      </c>
      <c r="E175" s="2"/>
      <c r="F175" s="7">
        <f t="shared" si="24"/>
        <v>2.2417640264178685E-2</v>
      </c>
      <c r="G175" s="2"/>
      <c r="H175" s="6">
        <v>6067.9547279230692</v>
      </c>
      <c r="I175" s="2"/>
      <c r="J175" s="7">
        <f t="shared" si="25"/>
        <v>1.441630506090456E-2</v>
      </c>
      <c r="K175" s="2"/>
      <c r="L175" s="6">
        <f t="shared" si="26"/>
        <v>-1403.8947279230688</v>
      </c>
      <c r="M175" s="2"/>
      <c r="N175" s="7">
        <f t="shared" si="27"/>
        <v>-0.23136209659948992</v>
      </c>
      <c r="O175" s="11"/>
      <c r="P175" s="6">
        <v>79124.67</v>
      </c>
      <c r="Q175" s="2"/>
      <c r="R175" s="7">
        <f t="shared" si="28"/>
        <v>8.5680904897823887E-3</v>
      </c>
      <c r="S175" s="2"/>
      <c r="T175" s="6">
        <v>78497.03066299991</v>
      </c>
      <c r="U175" s="2"/>
      <c r="V175" s="7">
        <f t="shared" si="29"/>
        <v>6.5245025460914444E-3</v>
      </c>
      <c r="W175" s="2"/>
      <c r="X175" s="6">
        <f t="shared" si="30"/>
        <v>627.63933700008783</v>
      </c>
      <c r="Y175" s="2"/>
      <c r="Z175" s="7">
        <f t="shared" si="31"/>
        <v>7.9957080121239501E-3</v>
      </c>
    </row>
    <row r="176" spans="1:26" s="24" customFormat="1" hidden="1" outlineLevel="2" x14ac:dyDescent="0.25">
      <c r="A176" s="27"/>
      <c r="B176" s="11" t="str">
        <f>CONCATENATE("          ", "6116", " - ", "EDUCATIONAL BENEFITS")</f>
        <v xml:space="preserve">          6116 - EDUCATIONAL BENEFITS</v>
      </c>
      <c r="C176" s="11"/>
      <c r="D176" s="6"/>
      <c r="E176" s="2"/>
      <c r="F176" s="7">
        <f t="shared" si="24"/>
        <v>0</v>
      </c>
      <c r="G176" s="2"/>
      <c r="H176" s="6">
        <v>0</v>
      </c>
      <c r="I176" s="2"/>
      <c r="J176" s="7">
        <f t="shared" si="25"/>
        <v>0</v>
      </c>
      <c r="K176" s="2"/>
      <c r="L176" s="6">
        <f t="shared" si="26"/>
        <v>0</v>
      </c>
      <c r="M176" s="2"/>
      <c r="N176" s="7">
        <f t="shared" si="27"/>
        <v>0</v>
      </c>
      <c r="O176" s="11"/>
      <c r="P176" s="6"/>
      <c r="Q176" s="2"/>
      <c r="R176" s="7">
        <f t="shared" si="28"/>
        <v>0</v>
      </c>
      <c r="S176" s="2"/>
      <c r="T176" s="6">
        <v>0</v>
      </c>
      <c r="U176" s="2"/>
      <c r="V176" s="7">
        <f t="shared" si="29"/>
        <v>0</v>
      </c>
      <c r="W176" s="2"/>
      <c r="X176" s="6">
        <f t="shared" si="30"/>
        <v>0</v>
      </c>
      <c r="Y176" s="2"/>
      <c r="Z176" s="7">
        <f t="shared" si="31"/>
        <v>0</v>
      </c>
    </row>
    <row r="177" spans="1:26" s="24" customFormat="1" hidden="1" outlineLevel="2" x14ac:dyDescent="0.25">
      <c r="A177" s="27"/>
      <c r="B177" s="11" t="str">
        <f>CONCATENATE("          ", "6117", " - ", "RETIREMENT STAFF HOURLY")</f>
        <v xml:space="preserve">          6117 - RETIREMENT STAFF HOURLY</v>
      </c>
      <c r="C177" s="11"/>
      <c r="D177" s="6">
        <v>220.92</v>
      </c>
      <c r="E177" s="2"/>
      <c r="F177" s="7">
        <f t="shared" si="24"/>
        <v>1.0618442059412518E-3</v>
      </c>
      <c r="G177" s="2"/>
      <c r="H177" s="6"/>
      <c r="I177" s="2"/>
      <c r="J177" s="7">
        <f t="shared" si="25"/>
        <v>0</v>
      </c>
      <c r="K177" s="2"/>
      <c r="L177" s="6">
        <f t="shared" si="26"/>
        <v>220.92</v>
      </c>
      <c r="M177" s="2"/>
      <c r="N177" s="7">
        <f t="shared" si="27"/>
        <v>0</v>
      </c>
      <c r="O177" s="11"/>
      <c r="P177" s="6">
        <v>2056.84</v>
      </c>
      <c r="Q177" s="2"/>
      <c r="R177" s="7">
        <f t="shared" si="28"/>
        <v>2.227268845861096E-4</v>
      </c>
      <c r="S177" s="2"/>
      <c r="T177" s="6"/>
      <c r="U177" s="2"/>
      <c r="V177" s="7">
        <f t="shared" si="29"/>
        <v>0</v>
      </c>
      <c r="W177" s="2"/>
      <c r="X177" s="6">
        <f t="shared" si="30"/>
        <v>2056.84</v>
      </c>
      <c r="Y177" s="2"/>
      <c r="Z177" s="7">
        <f t="shared" si="31"/>
        <v>0</v>
      </c>
    </row>
    <row r="178" spans="1:26" s="24" customFormat="1" hidden="1" outlineLevel="2" x14ac:dyDescent="0.25">
      <c r="A178" s="27"/>
      <c r="B178" s="11" t="str">
        <f>CONCATENATE("          ", "6118", " - ", "VACATION")</f>
        <v xml:space="preserve">          6118 - VACATION</v>
      </c>
      <c r="C178" s="11"/>
      <c r="D178" s="6">
        <v>5037.25</v>
      </c>
      <c r="E178" s="2"/>
      <c r="F178" s="7">
        <f t="shared" si="24"/>
        <v>2.4211364866818626E-2</v>
      </c>
      <c r="G178" s="2"/>
      <c r="H178" s="6">
        <v>4420.3785989384578</v>
      </c>
      <c r="I178" s="2"/>
      <c r="J178" s="7">
        <f t="shared" si="25"/>
        <v>1.0501977886180205E-2</v>
      </c>
      <c r="K178" s="2"/>
      <c r="L178" s="6">
        <f t="shared" si="26"/>
        <v>616.8714010615422</v>
      </c>
      <c r="M178" s="2"/>
      <c r="N178" s="7">
        <f t="shared" si="27"/>
        <v>0.1395517119754589</v>
      </c>
      <c r="O178" s="11"/>
      <c r="P178" s="6">
        <v>67749.900000000009</v>
      </c>
      <c r="Q178" s="2"/>
      <c r="R178" s="7">
        <f t="shared" si="28"/>
        <v>7.3363626524282242E-3</v>
      </c>
      <c r="S178" s="2"/>
      <c r="T178" s="6">
        <v>57180.377786199962</v>
      </c>
      <c r="U178" s="2"/>
      <c r="V178" s="7">
        <f t="shared" si="29"/>
        <v>4.7527086986792607E-3</v>
      </c>
      <c r="W178" s="2"/>
      <c r="X178" s="6">
        <f t="shared" si="30"/>
        <v>10569.522213800046</v>
      </c>
      <c r="Y178" s="2"/>
      <c r="Z178" s="7">
        <f t="shared" si="31"/>
        <v>0.18484526725793893</v>
      </c>
    </row>
    <row r="179" spans="1:26" s="24" customFormat="1" hidden="1" outlineLevel="2" x14ac:dyDescent="0.25">
      <c r="A179" s="27"/>
      <c r="B179" s="11" t="str">
        <f>CONCATENATE("          ", "6119", " - ", "SICK LEAVE")</f>
        <v xml:space="preserve">          6119 - SICK LEAVE</v>
      </c>
      <c r="C179" s="11"/>
      <c r="D179" s="6">
        <v>2857.44</v>
      </c>
      <c r="E179" s="2"/>
      <c r="F179" s="7">
        <f t="shared" si="24"/>
        <v>1.3734184808187446E-2</v>
      </c>
      <c r="G179" s="2"/>
      <c r="H179" s="6">
        <v>3706.6396991788374</v>
      </c>
      <c r="I179" s="2"/>
      <c r="J179" s="7">
        <f t="shared" si="25"/>
        <v>8.8062701602441978E-3</v>
      </c>
      <c r="K179" s="2"/>
      <c r="L179" s="6">
        <f t="shared" si="26"/>
        <v>-849.19969917883736</v>
      </c>
      <c r="M179" s="2"/>
      <c r="N179" s="7">
        <f t="shared" si="27"/>
        <v>-0.22910230507890142</v>
      </c>
      <c r="O179" s="11"/>
      <c r="P179" s="6">
        <v>8900.5499999999993</v>
      </c>
      <c r="Q179" s="2"/>
      <c r="R179" s="7">
        <f t="shared" si="28"/>
        <v>9.6380456068673192E-4</v>
      </c>
      <c r="S179" s="2"/>
      <c r="T179" s="6">
        <v>51019.818766709715</v>
      </c>
      <c r="U179" s="2"/>
      <c r="V179" s="7">
        <f t="shared" si="29"/>
        <v>4.2406564252554114E-3</v>
      </c>
      <c r="W179" s="2"/>
      <c r="X179" s="6">
        <f t="shared" si="30"/>
        <v>-42119.26876670972</v>
      </c>
      <c r="Y179" s="2"/>
      <c r="Z179" s="7">
        <f t="shared" si="31"/>
        <v>-0.82554720469121734</v>
      </c>
    </row>
    <row r="180" spans="1:26" s="24" customFormat="1" hidden="1" outlineLevel="2" x14ac:dyDescent="0.25">
      <c r="A180" s="27"/>
      <c r="B180" s="11" t="str">
        <f>CONCATENATE("          ", "6156", " - ", "EMPLOYEE MEALS")</f>
        <v xml:space="preserve">          6156 - EMPLOYEE MEALS</v>
      </c>
      <c r="C180" s="11"/>
      <c r="D180" s="6">
        <v>848.06</v>
      </c>
      <c r="E180" s="2"/>
      <c r="F180" s="7">
        <f t="shared" si="24"/>
        <v>4.0761705472140957E-3</v>
      </c>
      <c r="G180" s="2"/>
      <c r="H180" s="6">
        <v>1550</v>
      </c>
      <c r="I180" s="2"/>
      <c r="J180" s="7">
        <f t="shared" si="25"/>
        <v>3.6825048712995877E-3</v>
      </c>
      <c r="K180" s="2"/>
      <c r="L180" s="6">
        <f t="shared" si="26"/>
        <v>-701.94</v>
      </c>
      <c r="M180" s="2"/>
      <c r="N180" s="7">
        <f t="shared" si="27"/>
        <v>-0.45286451612903228</v>
      </c>
      <c r="O180" s="11"/>
      <c r="P180" s="6">
        <v>19673.63</v>
      </c>
      <c r="Q180" s="2"/>
      <c r="R180" s="7">
        <f t="shared" si="28"/>
        <v>2.1303778215125257E-3</v>
      </c>
      <c r="S180" s="2"/>
      <c r="T180" s="6">
        <v>18600</v>
      </c>
      <c r="U180" s="2"/>
      <c r="V180" s="7">
        <f t="shared" si="29"/>
        <v>1.5459915659523499E-3</v>
      </c>
      <c r="W180" s="2"/>
      <c r="X180" s="6">
        <f t="shared" si="30"/>
        <v>1073.630000000001</v>
      </c>
      <c r="Y180" s="2"/>
      <c r="Z180" s="7">
        <f t="shared" si="31"/>
        <v>5.772204301075274E-2</v>
      </c>
    </row>
    <row r="181" spans="1:26" s="26" customFormat="1" outlineLevel="1" collapsed="1" x14ac:dyDescent="0.25">
      <c r="A181" s="25"/>
      <c r="B181" s="12" t="str">
        <f>CONCATENATE("     ","*Payroll                                          ")</f>
        <v xml:space="preserve">     *Payroll                                          </v>
      </c>
      <c r="C181" s="12"/>
      <c r="D181" s="1">
        <f>SUM(OSRRefD22_1x_0)</f>
        <v>98312.079999999987</v>
      </c>
      <c r="E181" s="1"/>
      <c r="F181" s="5">
        <f t="shared" ref="F181:F191" si="32">IF(D$12=0,0,D181/D$12)</f>
        <v>0.47253355296954919</v>
      </c>
      <c r="G181" s="1"/>
      <c r="H181" s="1">
        <f>SUM(OSRRefH22_1x_0)</f>
        <v>151364.31127399154</v>
      </c>
      <c r="I181" s="1"/>
      <c r="J181" s="5">
        <f t="shared" ref="J181:J191" si="33">IF(H$12=0,0,H181/H$12)</f>
        <v>0.35961278297250382</v>
      </c>
      <c r="K181" s="1"/>
      <c r="L181" s="1">
        <f t="shared" ref="L181:L191" si="34">+D181-H181</f>
        <v>-53052.231273991551</v>
      </c>
      <c r="M181" s="1"/>
      <c r="N181" s="5">
        <f t="shared" ref="N181:N191" si="35">IF(H181=0,0,L181/H181)</f>
        <v>-0.3504936588252911</v>
      </c>
      <c r="O181" s="12"/>
      <c r="P181" s="1">
        <f>SUM(OSRRefP22_1x_0)</f>
        <v>1893252.79</v>
      </c>
      <c r="Q181" s="1"/>
      <c r="R181" s="5">
        <f t="shared" ref="R181:R191" si="36">IF(P$12=0,0,P181/P$12)</f>
        <v>0.20501268725358315</v>
      </c>
      <c r="S181" s="1"/>
      <c r="T181" s="1">
        <f>SUM(OSRRefT22_1x_0)</f>
        <v>2193504.7166903745</v>
      </c>
      <c r="U181" s="1"/>
      <c r="V181" s="5">
        <f t="shared" ref="V181:V191" si="37">IF(T$12=0,0,T181/T$12)</f>
        <v>0.18231934364946334</v>
      </c>
      <c r="W181" s="1"/>
      <c r="X181" s="1">
        <f t="shared" ref="X181:X191" si="38">+P181-T181</f>
        <v>-300251.9266903745</v>
      </c>
      <c r="Y181" s="1"/>
      <c r="Z181" s="5">
        <f t="shared" ref="Z181:Z191" si="39">IF(T181=0,0,X181/T181)</f>
        <v>-0.13688227994485627</v>
      </c>
    </row>
    <row r="182" spans="1:26" s="24" customFormat="1" hidden="1" outlineLevel="2" x14ac:dyDescent="0.25">
      <c r="A182" s="27"/>
      <c r="B182" s="11" t="str">
        <f>CONCATENATE("          ", "6001", " - ", "ADMINISTRATIVE SALARIES")</f>
        <v xml:space="preserve">          6001 - ADMINISTRATIVE SALARIES</v>
      </c>
      <c r="C182" s="11"/>
      <c r="D182" s="6"/>
      <c r="E182" s="2"/>
      <c r="F182" s="7">
        <f t="shared" si="32"/>
        <v>0</v>
      </c>
      <c r="G182" s="2"/>
      <c r="H182" s="6">
        <v>24506.560901846147</v>
      </c>
      <c r="I182" s="2"/>
      <c r="J182" s="7">
        <f t="shared" si="33"/>
        <v>5.8222922516031263E-2</v>
      </c>
      <c r="K182" s="2"/>
      <c r="L182" s="6">
        <f t="shared" si="34"/>
        <v>-24506.560901846147</v>
      </c>
      <c r="M182" s="2"/>
      <c r="N182" s="7">
        <f t="shared" si="35"/>
        <v>-1</v>
      </c>
      <c r="O182" s="11"/>
      <c r="P182" s="6">
        <v>93238.31</v>
      </c>
      <c r="Q182" s="2"/>
      <c r="R182" s="7">
        <f t="shared" si="36"/>
        <v>1.0096399481911041E-2</v>
      </c>
      <c r="S182" s="2"/>
      <c r="T182" s="6">
        <v>318585.29172399995</v>
      </c>
      <c r="U182" s="2"/>
      <c r="V182" s="7">
        <f t="shared" si="37"/>
        <v>2.6480116883966287E-2</v>
      </c>
      <c r="W182" s="2"/>
      <c r="X182" s="6">
        <f t="shared" si="38"/>
        <v>-225346.98172399995</v>
      </c>
      <c r="Y182" s="2"/>
      <c r="Z182" s="7">
        <f t="shared" si="39"/>
        <v>-0.70733642631319227</v>
      </c>
    </row>
    <row r="183" spans="1:26" s="24" customFormat="1" hidden="1" outlineLevel="2" x14ac:dyDescent="0.25">
      <c r="A183" s="27"/>
      <c r="B183" s="11" t="str">
        <f>CONCATENATE("          ", "6002", " - ", "STAFF SALARIES")</f>
        <v xml:space="preserve">          6002 - STAFF SALARIES</v>
      </c>
      <c r="C183" s="11"/>
      <c r="D183" s="6">
        <v>46941.219999999994</v>
      </c>
      <c r="E183" s="2"/>
      <c r="F183" s="7">
        <f t="shared" si="32"/>
        <v>0.22562132209312694</v>
      </c>
      <c r="G183" s="2"/>
      <c r="H183" s="6">
        <v>39749.506545646182</v>
      </c>
      <c r="I183" s="2"/>
      <c r="J183" s="7">
        <f t="shared" si="33"/>
        <v>9.4437259023288339E-2</v>
      </c>
      <c r="K183" s="2"/>
      <c r="L183" s="6">
        <f t="shared" si="34"/>
        <v>7191.7134543538123</v>
      </c>
      <c r="M183" s="2"/>
      <c r="N183" s="7">
        <f t="shared" si="35"/>
        <v>0.18092585491835572</v>
      </c>
      <c r="O183" s="11"/>
      <c r="P183" s="6">
        <v>658058.64</v>
      </c>
      <c r="Q183" s="2"/>
      <c r="R183" s="7">
        <f t="shared" si="36"/>
        <v>7.1258508567595066E-2</v>
      </c>
      <c r="S183" s="2"/>
      <c r="T183" s="6">
        <v>512730.01709340018</v>
      </c>
      <c r="U183" s="2"/>
      <c r="V183" s="7">
        <f t="shared" si="37"/>
        <v>4.261700441059145E-2</v>
      </c>
      <c r="W183" s="2"/>
      <c r="X183" s="6">
        <f t="shared" si="38"/>
        <v>145328.62290659983</v>
      </c>
      <c r="Y183" s="2"/>
      <c r="Z183" s="7">
        <f t="shared" si="39"/>
        <v>0.28344083252712393</v>
      </c>
    </row>
    <row r="184" spans="1:26" s="24" customFormat="1" hidden="1" outlineLevel="2" x14ac:dyDescent="0.25">
      <c r="A184" s="27"/>
      <c r="B184" s="11" t="str">
        <f>CONCATENATE("          ", "6003", " - ", "STAFF HOURLY-9 MONTH")</f>
        <v xml:space="preserve">          6003 - STAFF HOURLY-9 MONTH</v>
      </c>
      <c r="C184" s="11"/>
      <c r="D184" s="6"/>
      <c r="E184" s="2"/>
      <c r="F184" s="7">
        <f t="shared" si="32"/>
        <v>0</v>
      </c>
      <c r="G184" s="2"/>
      <c r="H184" s="6">
        <v>0</v>
      </c>
      <c r="I184" s="2"/>
      <c r="J184" s="7">
        <f t="shared" si="33"/>
        <v>0</v>
      </c>
      <c r="K184" s="2"/>
      <c r="L184" s="6">
        <f t="shared" si="34"/>
        <v>0</v>
      </c>
      <c r="M184" s="2"/>
      <c r="N184" s="7">
        <f t="shared" si="35"/>
        <v>0</v>
      </c>
      <c r="O184" s="11"/>
      <c r="P184" s="6"/>
      <c r="Q184" s="2"/>
      <c r="R184" s="7">
        <f t="shared" si="36"/>
        <v>0</v>
      </c>
      <c r="S184" s="2"/>
      <c r="T184" s="6">
        <v>0</v>
      </c>
      <c r="U184" s="2"/>
      <c r="V184" s="7">
        <f t="shared" si="37"/>
        <v>0</v>
      </c>
      <c r="W184" s="2"/>
      <c r="X184" s="6">
        <f t="shared" si="38"/>
        <v>0</v>
      </c>
      <c r="Y184" s="2"/>
      <c r="Z184" s="7">
        <f t="shared" si="39"/>
        <v>0</v>
      </c>
    </row>
    <row r="185" spans="1:26" s="24" customFormat="1" hidden="1" outlineLevel="2" x14ac:dyDescent="0.25">
      <c r="A185" s="27"/>
      <c r="B185" s="11" t="str">
        <f>CONCATENATE("          ", "6004", " - ", "STAFF HOURLY")</f>
        <v xml:space="preserve">          6004 - STAFF HOURLY</v>
      </c>
      <c r="C185" s="11"/>
      <c r="D185" s="6">
        <v>18264.34</v>
      </c>
      <c r="E185" s="2"/>
      <c r="F185" s="7">
        <f t="shared" si="32"/>
        <v>8.7786907497469868E-2</v>
      </c>
      <c r="G185" s="2"/>
      <c r="H185" s="6">
        <v>21701.512381999997</v>
      </c>
      <c r="I185" s="2"/>
      <c r="J185" s="7">
        <f t="shared" si="33"/>
        <v>5.15586613298602E-2</v>
      </c>
      <c r="K185" s="2"/>
      <c r="L185" s="6">
        <f t="shared" si="34"/>
        <v>-3437.172381999997</v>
      </c>
      <c r="M185" s="2"/>
      <c r="N185" s="7">
        <f t="shared" si="35"/>
        <v>-0.1583840020684876</v>
      </c>
      <c r="O185" s="11"/>
      <c r="P185" s="6">
        <v>81101.31</v>
      </c>
      <c r="Q185" s="2"/>
      <c r="R185" s="7">
        <f t="shared" si="36"/>
        <v>8.7821328407422534E-3</v>
      </c>
      <c r="S185" s="2"/>
      <c r="T185" s="6">
        <v>277469.01721600001</v>
      </c>
      <c r="U185" s="2"/>
      <c r="V185" s="7">
        <f t="shared" si="37"/>
        <v>2.3062621528442118E-2</v>
      </c>
      <c r="W185" s="2"/>
      <c r="X185" s="6">
        <f t="shared" si="38"/>
        <v>-196367.70721600001</v>
      </c>
      <c r="Y185" s="2"/>
      <c r="Z185" s="7">
        <f t="shared" si="39"/>
        <v>-0.70771039298825411</v>
      </c>
    </row>
    <row r="186" spans="1:26" s="24" customFormat="1" hidden="1" outlineLevel="2" x14ac:dyDescent="0.25">
      <c r="A186" s="27"/>
      <c r="B186" s="11" t="str">
        <f>CONCATENATE("          ", "6005", " - ", "TEMPORARY WAGES-HOURLY")</f>
        <v xml:space="preserve">          6005 - TEMPORARY WAGES-HOURLY</v>
      </c>
      <c r="C186" s="11"/>
      <c r="D186" s="6">
        <v>13347.48</v>
      </c>
      <c r="E186" s="2"/>
      <c r="F186" s="7">
        <f t="shared" si="32"/>
        <v>6.4154192929190376E-2</v>
      </c>
      <c r="G186" s="2"/>
      <c r="H186" s="6">
        <v>3713.36</v>
      </c>
      <c r="I186" s="2"/>
      <c r="J186" s="7">
        <f t="shared" si="33"/>
        <v>8.822236315412282E-3</v>
      </c>
      <c r="K186" s="2"/>
      <c r="L186" s="6">
        <f t="shared" si="34"/>
        <v>9634.119999999999</v>
      </c>
      <c r="M186" s="2"/>
      <c r="N186" s="7">
        <f t="shared" si="35"/>
        <v>2.5944481547708809</v>
      </c>
      <c r="O186" s="11"/>
      <c r="P186" s="6">
        <v>201695.69999999998</v>
      </c>
      <c r="Q186" s="2"/>
      <c r="R186" s="7">
        <f t="shared" si="36"/>
        <v>2.184081158253174E-2</v>
      </c>
      <c r="S186" s="2"/>
      <c r="T186" s="6">
        <v>40874.879999999997</v>
      </c>
      <c r="U186" s="2"/>
      <c r="V186" s="7">
        <f t="shared" si="37"/>
        <v>3.3974311687803432E-3</v>
      </c>
      <c r="W186" s="2"/>
      <c r="X186" s="6">
        <f t="shared" si="38"/>
        <v>160820.81999999998</v>
      </c>
      <c r="Y186" s="2"/>
      <c r="Z186" s="7">
        <f t="shared" si="39"/>
        <v>3.9344658626520737</v>
      </c>
    </row>
    <row r="187" spans="1:26" s="24" customFormat="1" hidden="1" outlineLevel="2" x14ac:dyDescent="0.25">
      <c r="A187" s="27"/>
      <c r="B187" s="11" t="str">
        <f>CONCATENATE("          ", "6006", " - ", "TEMPORARY PART TIME")</f>
        <v xml:space="preserve">          6006 - TEMPORARY PART TIME</v>
      </c>
      <c r="C187" s="11"/>
      <c r="D187" s="6">
        <v>2246.59</v>
      </c>
      <c r="E187" s="2"/>
      <c r="F187" s="7">
        <f t="shared" si="32"/>
        <v>1.079815577867806E-2</v>
      </c>
      <c r="G187" s="2"/>
      <c r="H187" s="6">
        <v>0</v>
      </c>
      <c r="I187" s="2"/>
      <c r="J187" s="7">
        <f t="shared" si="33"/>
        <v>0</v>
      </c>
      <c r="K187" s="2"/>
      <c r="L187" s="6">
        <f t="shared" si="34"/>
        <v>2246.59</v>
      </c>
      <c r="M187" s="2"/>
      <c r="N187" s="7">
        <f t="shared" si="35"/>
        <v>0</v>
      </c>
      <c r="O187" s="11"/>
      <c r="P187" s="6">
        <v>37331.990000000005</v>
      </c>
      <c r="Q187" s="2"/>
      <c r="R187" s="7">
        <f t="shared" si="36"/>
        <v>4.0425302056065612E-3</v>
      </c>
      <c r="S187" s="2"/>
      <c r="T187" s="6">
        <v>0</v>
      </c>
      <c r="U187" s="2"/>
      <c r="V187" s="7">
        <f t="shared" si="37"/>
        <v>0</v>
      </c>
      <c r="W187" s="2"/>
      <c r="X187" s="6">
        <f t="shared" si="38"/>
        <v>37331.990000000005</v>
      </c>
      <c r="Y187" s="2"/>
      <c r="Z187" s="7">
        <f t="shared" si="39"/>
        <v>0</v>
      </c>
    </row>
    <row r="188" spans="1:26" s="24" customFormat="1" hidden="1" outlineLevel="2" x14ac:dyDescent="0.25">
      <c r="A188" s="27"/>
      <c r="B188" s="11" t="str">
        <f>CONCATENATE("          ", "6007", " - ", "STUDENT HOURLY")</f>
        <v xml:space="preserve">          6007 - STUDENT HOURLY</v>
      </c>
      <c r="C188" s="11"/>
      <c r="D188" s="6">
        <v>17512.449999999997</v>
      </c>
      <c r="E188" s="2"/>
      <c r="F188" s="7">
        <f t="shared" si="32"/>
        <v>8.4172974671083978E-2</v>
      </c>
      <c r="G188" s="2"/>
      <c r="H188" s="6">
        <v>60173.611722499205</v>
      </c>
      <c r="I188" s="2"/>
      <c r="J188" s="7">
        <f t="shared" si="33"/>
        <v>0.1429610440592215</v>
      </c>
      <c r="K188" s="2"/>
      <c r="L188" s="6">
        <f t="shared" si="34"/>
        <v>-42661.161722499208</v>
      </c>
      <c r="M188" s="2"/>
      <c r="N188" s="7">
        <f t="shared" si="35"/>
        <v>-0.70896794294546217</v>
      </c>
      <c r="O188" s="11"/>
      <c r="P188" s="6">
        <v>806346.92</v>
      </c>
      <c r="Q188" s="2"/>
      <c r="R188" s="7">
        <f t="shared" si="36"/>
        <v>8.7316046647870016E-2</v>
      </c>
      <c r="S188" s="2"/>
      <c r="T188" s="6">
        <v>268131.4634236992</v>
      </c>
      <c r="U188" s="2"/>
      <c r="V188" s="7">
        <f t="shared" si="37"/>
        <v>2.2286504355887096E-2</v>
      </c>
      <c r="W188" s="2"/>
      <c r="X188" s="6">
        <f t="shared" si="38"/>
        <v>538215.45657630078</v>
      </c>
      <c r="Y188" s="2"/>
      <c r="Z188" s="7">
        <f t="shared" si="39"/>
        <v>2.0072819866194407</v>
      </c>
    </row>
    <row r="189" spans="1:26" s="24" customFormat="1" hidden="1" outlineLevel="2" x14ac:dyDescent="0.25">
      <c r="A189" s="27"/>
      <c r="B189" s="11" t="str">
        <f>CONCATENATE("          ", "6008", " - ", "STUDENT HOURLY-FICA EXEMPT")</f>
        <v xml:space="preserve">          6008 - STUDENT HOURLY-FICA EXEMPT</v>
      </c>
      <c r="C189" s="11"/>
      <c r="D189" s="6"/>
      <c r="E189" s="2"/>
      <c r="F189" s="7">
        <f t="shared" si="32"/>
        <v>0</v>
      </c>
      <c r="G189" s="2"/>
      <c r="H189" s="6">
        <v>1519.759722</v>
      </c>
      <c r="I189" s="2"/>
      <c r="J189" s="7">
        <f t="shared" si="33"/>
        <v>3.6106597286902626E-3</v>
      </c>
      <c r="K189" s="2"/>
      <c r="L189" s="6">
        <f t="shared" si="34"/>
        <v>-1519.759722</v>
      </c>
      <c r="M189" s="2"/>
      <c r="N189" s="7">
        <f t="shared" si="35"/>
        <v>-1</v>
      </c>
      <c r="O189" s="11"/>
      <c r="P189" s="6">
        <v>15479.92</v>
      </c>
      <c r="Q189" s="2"/>
      <c r="R189" s="7">
        <f t="shared" si="36"/>
        <v>1.676257927326486E-3</v>
      </c>
      <c r="S189" s="2"/>
      <c r="T189" s="6">
        <v>775714.04723327525</v>
      </c>
      <c r="U189" s="2"/>
      <c r="V189" s="7">
        <f t="shared" si="37"/>
        <v>6.4475665301796048E-2</v>
      </c>
      <c r="W189" s="2"/>
      <c r="X189" s="6">
        <f t="shared" si="38"/>
        <v>-760234.12723327521</v>
      </c>
      <c r="Y189" s="2"/>
      <c r="Z189" s="7">
        <f t="shared" si="39"/>
        <v>-0.98004429589071906</v>
      </c>
    </row>
    <row r="190" spans="1:26" s="24" customFormat="1" hidden="1" outlineLevel="2" x14ac:dyDescent="0.25">
      <c r="A190" s="27"/>
      <c r="B190" s="11" t="str">
        <f>CONCATENATE("          ", "6009", " - ", "TEMPORARY-SEASONAL")</f>
        <v xml:space="preserve">          6009 - TEMPORARY-SEASONAL</v>
      </c>
      <c r="C190" s="11"/>
      <c r="D190" s="6"/>
      <c r="E190" s="2"/>
      <c r="F190" s="7">
        <f t="shared" si="32"/>
        <v>0</v>
      </c>
      <c r="G190" s="2"/>
      <c r="H190" s="6">
        <v>0</v>
      </c>
      <c r="I190" s="2"/>
      <c r="J190" s="7">
        <f t="shared" si="33"/>
        <v>0</v>
      </c>
      <c r="K190" s="2"/>
      <c r="L190" s="6">
        <f t="shared" si="34"/>
        <v>0</v>
      </c>
      <c r="M190" s="2"/>
      <c r="N190" s="7">
        <f t="shared" si="35"/>
        <v>0</v>
      </c>
      <c r="O190" s="11"/>
      <c r="P190" s="6"/>
      <c r="Q190" s="2"/>
      <c r="R190" s="7">
        <f t="shared" si="36"/>
        <v>0</v>
      </c>
      <c r="S190" s="2"/>
      <c r="T190" s="6">
        <v>0</v>
      </c>
      <c r="U190" s="2"/>
      <c r="V190" s="7">
        <f t="shared" si="37"/>
        <v>0</v>
      </c>
      <c r="W190" s="2"/>
      <c r="X190" s="6">
        <f t="shared" si="38"/>
        <v>0</v>
      </c>
      <c r="Y190" s="2"/>
      <c r="Z190" s="7">
        <f t="shared" si="39"/>
        <v>0</v>
      </c>
    </row>
    <row r="191" spans="1:26" s="24" customFormat="1" hidden="1" outlineLevel="2" x14ac:dyDescent="0.25">
      <c r="A191" s="27"/>
      <c r="B191" s="11" t="str">
        <f>CONCATENATE("          ", "6010", " - ", "GRATUITY")</f>
        <v xml:space="preserve">          6010 - GRATUITY</v>
      </c>
      <c r="C191" s="11"/>
      <c r="D191" s="6"/>
      <c r="E191" s="2"/>
      <c r="F191" s="7">
        <f t="shared" si="32"/>
        <v>0</v>
      </c>
      <c r="G191" s="2"/>
      <c r="H191" s="6">
        <v>0</v>
      </c>
      <c r="I191" s="2"/>
      <c r="J191" s="7">
        <f t="shared" si="33"/>
        <v>0</v>
      </c>
      <c r="K191" s="2"/>
      <c r="L191" s="6">
        <f t="shared" si="34"/>
        <v>0</v>
      </c>
      <c r="M191" s="2"/>
      <c r="N191" s="7">
        <f t="shared" si="35"/>
        <v>0</v>
      </c>
      <c r="O191" s="11"/>
      <c r="P191" s="6"/>
      <c r="Q191" s="2"/>
      <c r="R191" s="7">
        <f t="shared" si="36"/>
        <v>0</v>
      </c>
      <c r="S191" s="2"/>
      <c r="T191" s="6">
        <v>0</v>
      </c>
      <c r="U191" s="2"/>
      <c r="V191" s="7">
        <f t="shared" si="37"/>
        <v>0</v>
      </c>
      <c r="W191" s="2"/>
      <c r="X191" s="6">
        <f t="shared" si="38"/>
        <v>0</v>
      </c>
      <c r="Y191" s="2"/>
      <c r="Z191" s="7">
        <f t="shared" si="39"/>
        <v>0</v>
      </c>
    </row>
    <row r="192" spans="1:26" s="26" customFormat="1" outlineLevel="1" collapsed="1" x14ac:dyDescent="0.25">
      <c r="A192" s="25"/>
      <c r="B192" s="12" t="str">
        <f>CONCATENATE("     ","Advertising/Promo                                 ")</f>
        <v xml:space="preserve">     Advertising/Promo                                 </v>
      </c>
      <c r="C192" s="12"/>
      <c r="D192" s="1">
        <f>SUM(OSRRefD22_2x_0)</f>
        <v>-2415.19</v>
      </c>
      <c r="E192" s="1"/>
      <c r="F192" s="5">
        <f t="shared" ref="F192:F196" si="40">IF(D$12=0,0,D192/D$12)</f>
        <v>-1.1608525745732626E-2</v>
      </c>
      <c r="G192" s="1"/>
      <c r="H192" s="1">
        <f>SUM(OSRRefH22_2x_0)</f>
        <v>2720</v>
      </c>
      <c r="I192" s="1"/>
      <c r="J192" s="5">
        <f t="shared" ref="J192:J196" si="41">IF(H$12=0,0,H192/H$12)</f>
        <v>6.4622020967321798E-3</v>
      </c>
      <c r="K192" s="1"/>
      <c r="L192" s="1">
        <f t="shared" ref="L192:L196" si="42">+D192-H192</f>
        <v>-5135.1900000000005</v>
      </c>
      <c r="M192" s="1"/>
      <c r="N192" s="5">
        <f t="shared" ref="N192:N196" si="43">IF(H192=0,0,L192/H192)</f>
        <v>-1.8879375000000003</v>
      </c>
      <c r="O192" s="12"/>
      <c r="P192" s="1">
        <f>SUM(OSRRefP22_2x_0)</f>
        <v>43056.3</v>
      </c>
      <c r="Q192" s="1"/>
      <c r="R192" s="5">
        <f t="shared" ref="R192:R196" si="44">IF(P$12=0,0,P192/P$12)</f>
        <v>4.6623925831882455E-3</v>
      </c>
      <c r="S192" s="1"/>
      <c r="T192" s="1">
        <f>SUM(OSRRefT22_2x_0)</f>
        <v>71340</v>
      </c>
      <c r="U192" s="1"/>
      <c r="V192" s="5">
        <f t="shared" ref="V192:V196" si="45">IF(T$12=0,0,T192/T$12)</f>
        <v>5.9296257158624006E-3</v>
      </c>
      <c r="W192" s="1"/>
      <c r="X192" s="1">
        <f t="shared" ref="X192:X196" si="46">+P192-T192</f>
        <v>-28283.699999999997</v>
      </c>
      <c r="Y192" s="1"/>
      <c r="Z192" s="5">
        <f t="shared" ref="Z192:Z196" si="47">IF(T192=0,0,X192/T192)</f>
        <v>-0.39646341463414631</v>
      </c>
    </row>
    <row r="193" spans="1:26" s="24" customFormat="1" hidden="1" outlineLevel="2" x14ac:dyDescent="0.25">
      <c r="A193" s="27"/>
      <c r="B193" s="11" t="str">
        <f>CONCATENATE("          ", "6362", " - ", "ADVERTISING EXPENSE")</f>
        <v xml:space="preserve">          6362 - ADVERTISING EXPENSE</v>
      </c>
      <c r="C193" s="11"/>
      <c r="D193" s="6">
        <v>-2415.19</v>
      </c>
      <c r="E193" s="2"/>
      <c r="F193" s="7">
        <f t="shared" si="40"/>
        <v>-1.1608525745732626E-2</v>
      </c>
      <c r="G193" s="2"/>
      <c r="H193" s="6">
        <v>2720</v>
      </c>
      <c r="I193" s="2"/>
      <c r="J193" s="7">
        <f t="shared" si="41"/>
        <v>6.4622020967321798E-3</v>
      </c>
      <c r="K193" s="2"/>
      <c r="L193" s="6">
        <f t="shared" si="42"/>
        <v>-5135.1900000000005</v>
      </c>
      <c r="M193" s="2"/>
      <c r="N193" s="7">
        <f t="shared" si="43"/>
        <v>-1.8879375000000003</v>
      </c>
      <c r="O193" s="11"/>
      <c r="P193" s="6">
        <v>43056.3</v>
      </c>
      <c r="Q193" s="2"/>
      <c r="R193" s="7">
        <f t="shared" si="44"/>
        <v>4.6623925831882455E-3</v>
      </c>
      <c r="S193" s="2"/>
      <c r="T193" s="6">
        <v>71340</v>
      </c>
      <c r="U193" s="2"/>
      <c r="V193" s="7">
        <f t="shared" si="45"/>
        <v>5.9296257158624006E-3</v>
      </c>
      <c r="W193" s="2"/>
      <c r="X193" s="6">
        <f t="shared" si="46"/>
        <v>-28283.699999999997</v>
      </c>
      <c r="Y193" s="2"/>
      <c r="Z193" s="7">
        <f t="shared" si="47"/>
        <v>-0.39646341463414631</v>
      </c>
    </row>
    <row r="194" spans="1:26" s="26" customFormat="1" outlineLevel="1" collapsed="1" x14ac:dyDescent="0.25">
      <c r="A194" s="25"/>
      <c r="B194" s="12" t="str">
        <f>CONCATENATE("     ","Bad Debts/Over/Short                              ")</f>
        <v xml:space="preserve">     Bad Debts/Over/Short                              </v>
      </c>
      <c r="C194" s="12"/>
      <c r="D194" s="1">
        <f>SUM(OSRRefD22_3x_0)</f>
        <v>0</v>
      </c>
      <c r="E194" s="1"/>
      <c r="F194" s="5">
        <f t="shared" si="40"/>
        <v>0</v>
      </c>
      <c r="G194" s="1"/>
      <c r="H194" s="1">
        <f>SUM(OSRRefH22_3x_0)</f>
        <v>135</v>
      </c>
      <c r="I194" s="1"/>
      <c r="J194" s="5">
        <f t="shared" si="41"/>
        <v>3.2073429524222215E-4</v>
      </c>
      <c r="K194" s="1"/>
      <c r="L194" s="1">
        <f t="shared" si="42"/>
        <v>-135</v>
      </c>
      <c r="M194" s="1"/>
      <c r="N194" s="5">
        <f t="shared" si="43"/>
        <v>-1</v>
      </c>
      <c r="O194" s="12"/>
      <c r="P194" s="1">
        <f>SUM(OSRRefP22_3x_0)</f>
        <v>-30.92</v>
      </c>
      <c r="Q194" s="1"/>
      <c r="R194" s="5">
        <f t="shared" si="44"/>
        <v>-3.3482017421882642E-6</v>
      </c>
      <c r="S194" s="1"/>
      <c r="T194" s="1">
        <f>SUM(OSRRefT22_3x_0)</f>
        <v>1620</v>
      </c>
      <c r="U194" s="1"/>
      <c r="V194" s="5">
        <f t="shared" si="45"/>
        <v>1.3465087832488208E-4</v>
      </c>
      <c r="W194" s="1"/>
      <c r="X194" s="1">
        <f t="shared" si="46"/>
        <v>-1650.92</v>
      </c>
      <c r="Y194" s="1"/>
      <c r="Z194" s="5">
        <f t="shared" si="47"/>
        <v>-1.0190864197530864</v>
      </c>
    </row>
    <row r="195" spans="1:26" s="24" customFormat="1" hidden="1" outlineLevel="2" x14ac:dyDescent="0.25">
      <c r="A195" s="27"/>
      <c r="B195" s="11" t="str">
        <f>CONCATENATE("          ", "6272", " - ", "CASH (OVER/SHORT)")</f>
        <v xml:space="preserve">          6272 - CASH (OVER/SHORT)</v>
      </c>
      <c r="C195" s="11"/>
      <c r="D195" s="6"/>
      <c r="E195" s="2"/>
      <c r="F195" s="7">
        <f t="shared" si="40"/>
        <v>0</v>
      </c>
      <c r="G195" s="2"/>
      <c r="H195" s="6">
        <v>125</v>
      </c>
      <c r="I195" s="2"/>
      <c r="J195" s="7">
        <f t="shared" si="41"/>
        <v>2.9697619929835387E-4</v>
      </c>
      <c r="K195" s="2"/>
      <c r="L195" s="6">
        <f t="shared" si="42"/>
        <v>-125</v>
      </c>
      <c r="M195" s="2"/>
      <c r="N195" s="7">
        <f t="shared" si="43"/>
        <v>-1</v>
      </c>
      <c r="O195" s="11"/>
      <c r="P195" s="6">
        <v>-75.72</v>
      </c>
      <c r="Q195" s="2"/>
      <c r="R195" s="7">
        <f t="shared" si="44"/>
        <v>-8.1994125458763046E-6</v>
      </c>
      <c r="S195" s="2"/>
      <c r="T195" s="6">
        <v>1500</v>
      </c>
      <c r="U195" s="2"/>
      <c r="V195" s="7">
        <f t="shared" si="45"/>
        <v>1.2467673918970564E-4</v>
      </c>
      <c r="W195" s="2"/>
      <c r="X195" s="6">
        <f t="shared" si="46"/>
        <v>-1575.72</v>
      </c>
      <c r="Y195" s="2"/>
      <c r="Z195" s="7">
        <f t="shared" si="47"/>
        <v>-1.0504800000000001</v>
      </c>
    </row>
    <row r="196" spans="1:26" s="24" customFormat="1" hidden="1" outlineLevel="2" x14ac:dyDescent="0.25">
      <c r="A196" s="27"/>
      <c r="B196" s="11" t="str">
        <f>CONCATENATE("          ", "6342", " - ", "BAD DEBT")</f>
        <v xml:space="preserve">          6342 - BAD DEBT</v>
      </c>
      <c r="C196" s="11"/>
      <c r="D196" s="6"/>
      <c r="E196" s="2"/>
      <c r="F196" s="7">
        <f t="shared" si="40"/>
        <v>0</v>
      </c>
      <c r="G196" s="2"/>
      <c r="H196" s="6">
        <v>10</v>
      </c>
      <c r="I196" s="2"/>
      <c r="J196" s="7">
        <f t="shared" si="41"/>
        <v>2.3758095943868307E-5</v>
      </c>
      <c r="K196" s="2"/>
      <c r="L196" s="6">
        <f t="shared" si="42"/>
        <v>-10</v>
      </c>
      <c r="M196" s="2"/>
      <c r="N196" s="7">
        <f t="shared" si="43"/>
        <v>-1</v>
      </c>
      <c r="O196" s="11"/>
      <c r="P196" s="6">
        <v>44.8</v>
      </c>
      <c r="Q196" s="2"/>
      <c r="R196" s="7">
        <f t="shared" si="44"/>
        <v>4.8512108036880404E-6</v>
      </c>
      <c r="S196" s="2"/>
      <c r="T196" s="6">
        <v>120</v>
      </c>
      <c r="U196" s="2"/>
      <c r="V196" s="7">
        <f t="shared" si="45"/>
        <v>9.9741391351764515E-6</v>
      </c>
      <c r="W196" s="2"/>
      <c r="X196" s="6">
        <f t="shared" si="46"/>
        <v>-75.2</v>
      </c>
      <c r="Y196" s="2"/>
      <c r="Z196" s="7">
        <f t="shared" si="47"/>
        <v>-0.62666666666666671</v>
      </c>
    </row>
    <row r="197" spans="1:26" s="26" customFormat="1" outlineLevel="1" collapsed="1" x14ac:dyDescent="0.25">
      <c r="A197" s="25"/>
      <c r="B197" s="12" t="str">
        <f>CONCATENATE("     ","Bank/card Fees                                    ")</f>
        <v xml:space="preserve">     Bank/card Fees                                    </v>
      </c>
      <c r="C197" s="12"/>
      <c r="D197" s="1">
        <f>SUM(OSRRefD22_4x_0)</f>
        <v>3703.6</v>
      </c>
      <c r="E197" s="1"/>
      <c r="F197" s="5">
        <f t="shared" ref="F197:F203" si="48">IF(D$12=0,0,D197/D$12)</f>
        <v>1.7801223072261542E-2</v>
      </c>
      <c r="G197" s="1"/>
      <c r="H197" s="1">
        <f>SUM(OSRRefH22_4x_0)</f>
        <v>8900</v>
      </c>
      <c r="I197" s="1"/>
      <c r="J197" s="5">
        <f t="shared" ref="J197:J203" si="49">IF(H$12=0,0,H197/H$12)</f>
        <v>2.1144705390042793E-2</v>
      </c>
      <c r="K197" s="1"/>
      <c r="L197" s="1">
        <f t="shared" ref="L197:L203" si="50">+D197-H197</f>
        <v>-5196.3999999999996</v>
      </c>
      <c r="M197" s="1"/>
      <c r="N197" s="5">
        <f t="shared" ref="N197:N203" si="51">IF(H197=0,0,L197/H197)</f>
        <v>-0.5838651685393258</v>
      </c>
      <c r="O197" s="12"/>
      <c r="P197" s="1">
        <f>SUM(OSRRefP22_4x_0)</f>
        <v>148948.62999999998</v>
      </c>
      <c r="Q197" s="1"/>
      <c r="R197" s="5">
        <f t="shared" ref="R197:R203" si="52">IF(P$12=0,0,P197/P$12)</f>
        <v>1.6129044710949385E-2</v>
      </c>
      <c r="S197" s="1"/>
      <c r="T197" s="1">
        <f>SUM(OSRRefT22_4x_0)</f>
        <v>190285</v>
      </c>
      <c r="U197" s="1"/>
      <c r="V197" s="5">
        <f t="shared" ref="V197:V203" si="53">IF(T$12=0,0,T197/T$12)</f>
        <v>1.5816075544475425E-2</v>
      </c>
      <c r="W197" s="1"/>
      <c r="X197" s="1">
        <f t="shared" ref="X197:X203" si="54">+P197-T197</f>
        <v>-41336.370000000024</v>
      </c>
      <c r="Y197" s="1"/>
      <c r="Z197" s="5">
        <f t="shared" ref="Z197:Z203" si="55">IF(T197=0,0,X197/T197)</f>
        <v>-0.21723399111858541</v>
      </c>
    </row>
    <row r="198" spans="1:26" s="24" customFormat="1" hidden="1" outlineLevel="2" x14ac:dyDescent="0.25">
      <c r="A198" s="27"/>
      <c r="B198" s="11" t="str">
        <f>CONCATENATE("          ", "6381", " - ", "BANK/CREDIT CARD FEES")</f>
        <v xml:space="preserve">          6381 - BANK/CREDIT CARD FEES</v>
      </c>
      <c r="C198" s="11"/>
      <c r="D198" s="6">
        <v>3703.6</v>
      </c>
      <c r="E198" s="2"/>
      <c r="F198" s="7">
        <f t="shared" si="48"/>
        <v>1.7801223072261542E-2</v>
      </c>
      <c r="G198" s="2"/>
      <c r="H198" s="6">
        <v>8900</v>
      </c>
      <c r="I198" s="2"/>
      <c r="J198" s="7">
        <f t="shared" si="49"/>
        <v>2.1144705390042793E-2</v>
      </c>
      <c r="K198" s="2"/>
      <c r="L198" s="6">
        <f t="shared" si="50"/>
        <v>-5196.3999999999996</v>
      </c>
      <c r="M198" s="2"/>
      <c r="N198" s="7">
        <f t="shared" si="51"/>
        <v>-0.5838651685393258</v>
      </c>
      <c r="O198" s="11"/>
      <c r="P198" s="6">
        <v>148948.62999999998</v>
      </c>
      <c r="Q198" s="2"/>
      <c r="R198" s="7">
        <f t="shared" si="52"/>
        <v>1.6129044710949385E-2</v>
      </c>
      <c r="S198" s="2"/>
      <c r="T198" s="6">
        <v>190285</v>
      </c>
      <c r="U198" s="2"/>
      <c r="V198" s="7">
        <f t="shared" si="53"/>
        <v>1.5816075544475425E-2</v>
      </c>
      <c r="W198" s="2"/>
      <c r="X198" s="6">
        <f t="shared" si="54"/>
        <v>-41336.370000000024</v>
      </c>
      <c r="Y198" s="2"/>
      <c r="Z198" s="7">
        <f t="shared" si="55"/>
        <v>-0.21723399111858541</v>
      </c>
    </row>
    <row r="199" spans="1:26" s="26" customFormat="1" outlineLevel="1" collapsed="1" x14ac:dyDescent="0.25">
      <c r="A199" s="25"/>
      <c r="B199" s="12" t="str">
        <f>CONCATENATE("     ","Depreciation                                      ")</f>
        <v xml:space="preserve">     Depreciation                                      </v>
      </c>
      <c r="C199" s="12"/>
      <c r="D199" s="1">
        <f>SUM(OSRRefD22_5x_0)</f>
        <v>30349.21</v>
      </c>
      <c r="E199" s="1"/>
      <c r="F199" s="5">
        <f t="shared" si="48"/>
        <v>0.14587240989224287</v>
      </c>
      <c r="G199" s="1"/>
      <c r="H199" s="1">
        <f>SUM(OSRRefH22_5x_0)</f>
        <v>31271</v>
      </c>
      <c r="I199" s="1"/>
      <c r="J199" s="5">
        <f t="shared" si="49"/>
        <v>7.4293941826070589E-2</v>
      </c>
      <c r="K199" s="1"/>
      <c r="L199" s="1">
        <f t="shared" si="50"/>
        <v>-921.79000000000087</v>
      </c>
      <c r="M199" s="1"/>
      <c r="N199" s="5">
        <f t="shared" si="51"/>
        <v>-2.9477471139394355E-2</v>
      </c>
      <c r="O199" s="12"/>
      <c r="P199" s="1">
        <f>SUM(OSRRefP22_5x_0)</f>
        <v>359381.63</v>
      </c>
      <c r="Q199" s="1"/>
      <c r="R199" s="5">
        <f t="shared" si="52"/>
        <v>3.8915983171942371E-2</v>
      </c>
      <c r="S199" s="1"/>
      <c r="T199" s="1">
        <f>SUM(OSRRefT22_5x_0)</f>
        <v>369669</v>
      </c>
      <c r="U199" s="1"/>
      <c r="V199" s="5">
        <f t="shared" si="53"/>
        <v>3.0726083666346195E-2</v>
      </c>
      <c r="W199" s="1"/>
      <c r="X199" s="1">
        <f t="shared" si="54"/>
        <v>-10287.369999999995</v>
      </c>
      <c r="Y199" s="1"/>
      <c r="Z199" s="5">
        <f t="shared" si="55"/>
        <v>-2.7828598016063005E-2</v>
      </c>
    </row>
    <row r="200" spans="1:26" s="24" customFormat="1" hidden="1" outlineLevel="2" x14ac:dyDescent="0.25">
      <c r="A200" s="27"/>
      <c r="B200" s="11" t="str">
        <f>CONCATENATE("          ", "6321", " - ", "BUILDING DEPRECIATION")</f>
        <v xml:space="preserve">          6321 - BUILDING DEPRECIATION</v>
      </c>
      <c r="C200" s="11"/>
      <c r="D200" s="6">
        <v>16396.25</v>
      </c>
      <c r="E200" s="2"/>
      <c r="F200" s="7">
        <f t="shared" si="48"/>
        <v>7.8807998649575633E-2</v>
      </c>
      <c r="G200" s="2"/>
      <c r="H200" s="6">
        <v>16397</v>
      </c>
      <c r="I200" s="2"/>
      <c r="J200" s="7">
        <f t="shared" si="49"/>
        <v>3.8956149919160868E-2</v>
      </c>
      <c r="K200" s="2"/>
      <c r="L200" s="6">
        <f t="shared" si="50"/>
        <v>-0.75</v>
      </c>
      <c r="M200" s="2"/>
      <c r="N200" s="7">
        <f t="shared" si="51"/>
        <v>-4.574007440385436E-5</v>
      </c>
      <c r="O200" s="11"/>
      <c r="P200" s="6">
        <v>196757.97</v>
      </c>
      <c r="Q200" s="2"/>
      <c r="R200" s="7">
        <f t="shared" si="52"/>
        <v>2.1306124771779629E-2</v>
      </c>
      <c r="S200" s="2"/>
      <c r="T200" s="6">
        <v>196932</v>
      </c>
      <c r="U200" s="2"/>
      <c r="V200" s="7">
        <f t="shared" si="53"/>
        <v>1.6368559734738074E-2</v>
      </c>
      <c r="W200" s="2"/>
      <c r="X200" s="6">
        <f t="shared" si="54"/>
        <v>-174.02999999999884</v>
      </c>
      <c r="Y200" s="2"/>
      <c r="Z200" s="7">
        <f t="shared" si="55"/>
        <v>-8.8370605081956627E-4</v>
      </c>
    </row>
    <row r="201" spans="1:26" s="24" customFormat="1" hidden="1" outlineLevel="2" x14ac:dyDescent="0.25">
      <c r="A201" s="27"/>
      <c r="B201" s="11" t="str">
        <f>CONCATENATE("          ", "6322", " - ", "EQUIPMENT DEPRECIATION EXPENSE")</f>
        <v xml:space="preserve">          6322 - EQUIPMENT DEPRECIATION EXPENSE</v>
      </c>
      <c r="C201" s="11"/>
      <c r="D201" s="6">
        <v>13952.96</v>
      </c>
      <c r="E201" s="2"/>
      <c r="F201" s="7">
        <f t="shared" si="48"/>
        <v>6.7064411242667252E-2</v>
      </c>
      <c r="G201" s="2"/>
      <c r="H201" s="6">
        <v>13049</v>
      </c>
      <c r="I201" s="2"/>
      <c r="J201" s="7">
        <f t="shared" si="49"/>
        <v>3.1001939397153757E-2</v>
      </c>
      <c r="K201" s="2"/>
      <c r="L201" s="6">
        <f t="shared" si="50"/>
        <v>903.95999999999913</v>
      </c>
      <c r="M201" s="2"/>
      <c r="N201" s="7">
        <f t="shared" si="51"/>
        <v>6.9274273890719523E-2</v>
      </c>
      <c r="O201" s="11"/>
      <c r="P201" s="6">
        <v>162623.66</v>
      </c>
      <c r="Q201" s="2"/>
      <c r="R201" s="7">
        <f t="shared" si="52"/>
        <v>1.7609858400162739E-2</v>
      </c>
      <c r="S201" s="2"/>
      <c r="T201" s="6">
        <v>156588</v>
      </c>
      <c r="U201" s="2"/>
      <c r="V201" s="7">
        <f t="shared" si="53"/>
        <v>1.3015254157491751E-2</v>
      </c>
      <c r="W201" s="2"/>
      <c r="X201" s="6">
        <f t="shared" si="54"/>
        <v>6035.6600000000035</v>
      </c>
      <c r="Y201" s="2"/>
      <c r="Z201" s="7">
        <f t="shared" si="55"/>
        <v>3.8544843793905048E-2</v>
      </c>
    </row>
    <row r="202" spans="1:26" s="24" customFormat="1" hidden="1" outlineLevel="2" x14ac:dyDescent="0.25">
      <c r="A202" s="27"/>
      <c r="B202" s="11" t="str">
        <f>CONCATENATE("          ", "6324", " - ", "FURNITURE + FIXT DEPRECIATION")</f>
        <v xml:space="preserve">          6324 - FURNITURE + FIXT DEPRECIATION</v>
      </c>
      <c r="C202" s="11"/>
      <c r="D202" s="6"/>
      <c r="E202" s="2"/>
      <c r="F202" s="7">
        <f t="shared" si="48"/>
        <v>0</v>
      </c>
      <c r="G202" s="2"/>
      <c r="H202" s="6">
        <v>1492</v>
      </c>
      <c r="I202" s="2"/>
      <c r="J202" s="7">
        <f t="shared" si="49"/>
        <v>3.5447079148251516E-3</v>
      </c>
      <c r="K202" s="2"/>
      <c r="L202" s="6">
        <f t="shared" si="50"/>
        <v>-1492</v>
      </c>
      <c r="M202" s="2"/>
      <c r="N202" s="7">
        <f t="shared" si="51"/>
        <v>-1</v>
      </c>
      <c r="O202" s="11"/>
      <c r="P202" s="6"/>
      <c r="Q202" s="2"/>
      <c r="R202" s="7">
        <f t="shared" si="52"/>
        <v>0</v>
      </c>
      <c r="S202" s="2"/>
      <c r="T202" s="6">
        <v>13152</v>
      </c>
      <c r="U202" s="2"/>
      <c r="V202" s="7">
        <f t="shared" si="53"/>
        <v>1.0931656492153391E-3</v>
      </c>
      <c r="W202" s="2"/>
      <c r="X202" s="6">
        <f t="shared" si="54"/>
        <v>-13152</v>
      </c>
      <c r="Y202" s="2"/>
      <c r="Z202" s="7">
        <f t="shared" si="55"/>
        <v>-1</v>
      </c>
    </row>
    <row r="203" spans="1:26" s="24" customFormat="1" hidden="1" outlineLevel="2" x14ac:dyDescent="0.25">
      <c r="A203" s="27"/>
      <c r="B203" s="11" t="str">
        <f>CONCATENATE("          ", "6326", " - ", "VEHICLES DEPRECIATION EXPENSE")</f>
        <v xml:space="preserve">          6326 - VEHICLES DEPRECIATION EXPENSE</v>
      </c>
      <c r="C203" s="11"/>
      <c r="D203" s="6"/>
      <c r="E203" s="2"/>
      <c r="F203" s="7">
        <f t="shared" si="48"/>
        <v>0</v>
      </c>
      <c r="G203" s="2"/>
      <c r="H203" s="6">
        <v>333</v>
      </c>
      <c r="I203" s="2"/>
      <c r="J203" s="7">
        <f t="shared" si="49"/>
        <v>7.9114459493081471E-4</v>
      </c>
      <c r="K203" s="2"/>
      <c r="L203" s="6">
        <f t="shared" si="50"/>
        <v>-333</v>
      </c>
      <c r="M203" s="2"/>
      <c r="N203" s="7">
        <f t="shared" si="51"/>
        <v>-1</v>
      </c>
      <c r="O203" s="11"/>
      <c r="P203" s="6"/>
      <c r="Q203" s="2"/>
      <c r="R203" s="7">
        <f t="shared" si="52"/>
        <v>0</v>
      </c>
      <c r="S203" s="2"/>
      <c r="T203" s="6">
        <v>2997</v>
      </c>
      <c r="U203" s="2"/>
      <c r="V203" s="7">
        <f t="shared" si="53"/>
        <v>2.4910412490103189E-4</v>
      </c>
      <c r="W203" s="2"/>
      <c r="X203" s="6">
        <f t="shared" si="54"/>
        <v>-2997</v>
      </c>
      <c r="Y203" s="2"/>
      <c r="Z203" s="7">
        <f t="shared" si="55"/>
        <v>-1</v>
      </c>
    </row>
    <row r="204" spans="1:26" s="26" customFormat="1" outlineLevel="1" collapsed="1" x14ac:dyDescent="0.25">
      <c r="A204" s="25"/>
      <c r="B204" s="12" t="str">
        <f>CONCATENATE("     ","Discounts and Markdowns                           ")</f>
        <v xml:space="preserve">     Discounts and Markdowns                           </v>
      </c>
      <c r="C204" s="12"/>
      <c r="D204" s="1">
        <f>SUM(OSRRefD22_6x_0)</f>
        <v>39907.229999999996</v>
      </c>
      <c r="E204" s="1"/>
      <c r="F204" s="5">
        <f t="shared" ref="F204:F206" si="56">IF(D$12=0,0,D204/D$12)</f>
        <v>0.19181269668054002</v>
      </c>
      <c r="G204" s="1"/>
      <c r="H204" s="1">
        <f>SUM(OSRRefH22_6x_0)</f>
        <v>41225</v>
      </c>
      <c r="I204" s="1"/>
      <c r="J204" s="5">
        <f t="shared" ref="J204:J206" si="57">IF(H$12=0,0,H204/H$12)</f>
        <v>9.7942750528597106E-2</v>
      </c>
      <c r="K204" s="1"/>
      <c r="L204" s="1">
        <f t="shared" ref="L204:L206" si="58">+D204-H204</f>
        <v>-1317.7700000000041</v>
      </c>
      <c r="M204" s="1"/>
      <c r="N204" s="5">
        <f t="shared" ref="N204:N206" si="59">IF(H204=0,0,L204/H204)</f>
        <v>-3.1965312310491309E-2</v>
      </c>
      <c r="O204" s="12"/>
      <c r="P204" s="1">
        <f>SUM(OSRRefP22_6x_0)</f>
        <v>387319.51</v>
      </c>
      <c r="Q204" s="1"/>
      <c r="R204" s="5">
        <f t="shared" ref="R204:R206" si="60">IF(P$12=0,0,P204/P$12)</f>
        <v>4.1941263200695494E-2</v>
      </c>
      <c r="S204" s="1"/>
      <c r="T204" s="1">
        <f>SUM(OSRRefT22_6x_0)</f>
        <v>369500</v>
      </c>
      <c r="U204" s="1"/>
      <c r="V204" s="5">
        <f t="shared" ref="V204:V206" si="61">IF(T$12=0,0,T204/T$12)</f>
        <v>3.0712036753730822E-2</v>
      </c>
      <c r="W204" s="1"/>
      <c r="X204" s="1">
        <f t="shared" ref="X204:X206" si="62">+P204-T204</f>
        <v>17819.510000000009</v>
      </c>
      <c r="Y204" s="1"/>
      <c r="Z204" s="5">
        <f t="shared" ref="Z204:Z206" si="63">IF(T204=0,0,X204/T204)</f>
        <v>4.8226008119079865E-2</v>
      </c>
    </row>
    <row r="205" spans="1:26" s="24" customFormat="1" hidden="1" outlineLevel="2" x14ac:dyDescent="0.25">
      <c r="A205" s="27"/>
      <c r="B205" s="11" t="str">
        <f>CONCATENATE("          ", "6382", " - ", "DISCOUNTS/MARK DOWNS")</f>
        <v xml:space="preserve">          6382 - DISCOUNTS/MARK DOWNS</v>
      </c>
      <c r="C205" s="11"/>
      <c r="D205" s="6">
        <v>39910.089999999997</v>
      </c>
      <c r="E205" s="2"/>
      <c r="F205" s="7">
        <f t="shared" si="56"/>
        <v>0.19182644316989811</v>
      </c>
      <c r="G205" s="2"/>
      <c r="H205" s="6">
        <v>41225</v>
      </c>
      <c r="I205" s="2"/>
      <c r="J205" s="7">
        <f t="shared" si="57"/>
        <v>9.7942750528597106E-2</v>
      </c>
      <c r="K205" s="2"/>
      <c r="L205" s="6">
        <f t="shared" si="58"/>
        <v>-1314.9100000000035</v>
      </c>
      <c r="M205" s="2"/>
      <c r="N205" s="7">
        <f t="shared" si="59"/>
        <v>-3.1895936931473703E-2</v>
      </c>
      <c r="O205" s="11"/>
      <c r="P205" s="6">
        <v>390553.99</v>
      </c>
      <c r="Q205" s="2"/>
      <c r="R205" s="7">
        <f t="shared" si="60"/>
        <v>4.2291511957845335E-2</v>
      </c>
      <c r="S205" s="2"/>
      <c r="T205" s="6">
        <v>369500</v>
      </c>
      <c r="U205" s="2"/>
      <c r="V205" s="7">
        <f t="shared" si="61"/>
        <v>3.0712036753730822E-2</v>
      </c>
      <c r="W205" s="2"/>
      <c r="X205" s="6">
        <f t="shared" si="62"/>
        <v>21053.989999999991</v>
      </c>
      <c r="Y205" s="2"/>
      <c r="Z205" s="7">
        <f t="shared" si="63"/>
        <v>5.6979675236806471E-2</v>
      </c>
    </row>
    <row r="206" spans="1:26" s="24" customFormat="1" hidden="1" outlineLevel="2" x14ac:dyDescent="0.25">
      <c r="A206" s="27"/>
      <c r="B206" s="11" t="str">
        <f>CONCATENATE("          ", "9175", " - ", "EARNED DISCOUNTS")</f>
        <v xml:space="preserve">          9175 - EARNED DISCOUNTS</v>
      </c>
      <c r="C206" s="11"/>
      <c r="D206" s="6">
        <v>-2.86</v>
      </c>
      <c r="E206" s="2"/>
      <c r="F206" s="7">
        <f t="shared" si="56"/>
        <v>-1.374648935810239E-5</v>
      </c>
      <c r="G206" s="2"/>
      <c r="H206" s="6"/>
      <c r="I206" s="2"/>
      <c r="J206" s="7">
        <f t="shared" si="57"/>
        <v>0</v>
      </c>
      <c r="K206" s="2"/>
      <c r="L206" s="6">
        <f t="shared" si="58"/>
        <v>-2.86</v>
      </c>
      <c r="M206" s="2"/>
      <c r="N206" s="7">
        <f t="shared" si="59"/>
        <v>0</v>
      </c>
      <c r="O206" s="11"/>
      <c r="P206" s="6">
        <v>-3234.48</v>
      </c>
      <c r="Q206" s="2"/>
      <c r="R206" s="7">
        <f t="shared" si="60"/>
        <v>-3.5024875714984141E-4</v>
      </c>
      <c r="S206" s="2"/>
      <c r="T206" s="6"/>
      <c r="U206" s="2"/>
      <c r="V206" s="7">
        <f t="shared" si="61"/>
        <v>0</v>
      </c>
      <c r="W206" s="2"/>
      <c r="X206" s="6">
        <f t="shared" si="62"/>
        <v>-3234.48</v>
      </c>
      <c r="Y206" s="2"/>
      <c r="Z206" s="7">
        <f t="shared" si="63"/>
        <v>0</v>
      </c>
    </row>
    <row r="207" spans="1:26" s="26" customFormat="1" outlineLevel="1" collapsed="1" x14ac:dyDescent="0.25">
      <c r="A207" s="25"/>
      <c r="B207" s="12" t="str">
        <f>CONCATENATE("     ","Donations                                         ")</f>
        <v xml:space="preserve">     Donations                                         </v>
      </c>
      <c r="C207" s="12"/>
      <c r="D207" s="1">
        <f>SUM(OSRRefD22_7x_0)</f>
        <v>0</v>
      </c>
      <c r="E207" s="1"/>
      <c r="F207" s="5">
        <f t="shared" ref="F207:F209" si="64">IF(D$12=0,0,D207/D$12)</f>
        <v>0</v>
      </c>
      <c r="G207" s="1"/>
      <c r="H207" s="1">
        <f>SUM(OSRRefH22_7x_0)</f>
        <v>1025</v>
      </c>
      <c r="I207" s="1"/>
      <c r="J207" s="5">
        <f t="shared" ref="J207:J209" si="65">IF(H$12=0,0,H207/H$12)</f>
        <v>2.4352048342465016E-3</v>
      </c>
      <c r="K207" s="1"/>
      <c r="L207" s="1">
        <f t="shared" ref="L207:L209" si="66">+D207-H207</f>
        <v>-1025</v>
      </c>
      <c r="M207" s="1"/>
      <c r="N207" s="5">
        <f t="shared" ref="N207:N209" si="67">IF(H207=0,0,L207/H207)</f>
        <v>-1</v>
      </c>
      <c r="O207" s="12"/>
      <c r="P207" s="1">
        <f>SUM(OSRRefP22_7x_0)</f>
        <v>10985.64</v>
      </c>
      <c r="Q207" s="1"/>
      <c r="R207" s="5">
        <f t="shared" ref="R207:R209" si="68">IF(P$12=0,0,P207/P$12)</f>
        <v>1.1895905235140064E-3</v>
      </c>
      <c r="S207" s="1"/>
      <c r="T207" s="1">
        <f>SUM(OSRRefT22_7x_0)</f>
        <v>12400</v>
      </c>
      <c r="U207" s="1"/>
      <c r="V207" s="5">
        <f t="shared" ref="V207:V209" si="69">IF(T$12=0,0,T207/T$12)</f>
        <v>1.0306610439682333E-3</v>
      </c>
      <c r="W207" s="1"/>
      <c r="X207" s="1">
        <f t="shared" ref="X207:X209" si="70">+P207-T207</f>
        <v>-1414.3600000000006</v>
      </c>
      <c r="Y207" s="1"/>
      <c r="Z207" s="5">
        <f t="shared" ref="Z207:Z209" si="71">IF(T207=0,0,X207/T207)</f>
        <v>-0.11406129032258069</v>
      </c>
    </row>
    <row r="208" spans="1:26" s="24" customFormat="1" hidden="1" outlineLevel="2" x14ac:dyDescent="0.25">
      <c r="A208" s="27"/>
      <c r="B208" s="11" t="str">
        <f>CONCATENATE("          ", "6395", " - ", "DONATION-OFF CAMPUS")</f>
        <v xml:space="preserve">          6395 - DONATION-OFF CAMPUS</v>
      </c>
      <c r="C208" s="11"/>
      <c r="D208" s="6"/>
      <c r="E208" s="2"/>
      <c r="F208" s="7">
        <f t="shared" si="64"/>
        <v>0</v>
      </c>
      <c r="G208" s="2"/>
      <c r="H208" s="6">
        <v>1025</v>
      </c>
      <c r="I208" s="2"/>
      <c r="J208" s="7">
        <f t="shared" si="65"/>
        <v>2.4352048342465016E-3</v>
      </c>
      <c r="K208" s="2"/>
      <c r="L208" s="6">
        <f t="shared" si="66"/>
        <v>-1025</v>
      </c>
      <c r="M208" s="2"/>
      <c r="N208" s="7">
        <f t="shared" si="67"/>
        <v>-1</v>
      </c>
      <c r="O208" s="11"/>
      <c r="P208" s="6"/>
      <c r="Q208" s="2"/>
      <c r="R208" s="7">
        <f t="shared" si="68"/>
        <v>0</v>
      </c>
      <c r="S208" s="2"/>
      <c r="T208" s="6">
        <v>12400</v>
      </c>
      <c r="U208" s="2"/>
      <c r="V208" s="7">
        <f t="shared" si="69"/>
        <v>1.0306610439682333E-3</v>
      </c>
      <c r="W208" s="2"/>
      <c r="X208" s="6">
        <f t="shared" si="70"/>
        <v>-12400</v>
      </c>
      <c r="Y208" s="2"/>
      <c r="Z208" s="7">
        <f t="shared" si="71"/>
        <v>-1</v>
      </c>
    </row>
    <row r="209" spans="1:26" s="24" customFormat="1" hidden="1" outlineLevel="2" x14ac:dyDescent="0.25">
      <c r="A209" s="27"/>
      <c r="B209" s="11" t="str">
        <f>CONCATENATE("          ", "6399", " - ", "DONATION-ON CAMPUS")</f>
        <v xml:space="preserve">          6399 - DONATION-ON CAMPUS</v>
      </c>
      <c r="C209" s="11"/>
      <c r="D209" s="6"/>
      <c r="E209" s="2"/>
      <c r="F209" s="7">
        <f t="shared" si="64"/>
        <v>0</v>
      </c>
      <c r="G209" s="2"/>
      <c r="H209" s="6"/>
      <c r="I209" s="2"/>
      <c r="J209" s="7">
        <f t="shared" si="65"/>
        <v>0</v>
      </c>
      <c r="K209" s="2"/>
      <c r="L209" s="6">
        <f t="shared" si="66"/>
        <v>0</v>
      </c>
      <c r="M209" s="2"/>
      <c r="N209" s="7">
        <f t="shared" si="67"/>
        <v>0</v>
      </c>
      <c r="O209" s="11"/>
      <c r="P209" s="6">
        <v>10985.64</v>
      </c>
      <c r="Q209" s="2"/>
      <c r="R209" s="7">
        <f t="shared" si="68"/>
        <v>1.1895905235140064E-3</v>
      </c>
      <c r="S209" s="2"/>
      <c r="T209" s="6"/>
      <c r="U209" s="2"/>
      <c r="V209" s="7">
        <f t="shared" si="69"/>
        <v>0</v>
      </c>
      <c r="W209" s="2"/>
      <c r="X209" s="6">
        <f t="shared" si="70"/>
        <v>10985.64</v>
      </c>
      <c r="Y209" s="2"/>
      <c r="Z209" s="7">
        <f t="shared" si="71"/>
        <v>0</v>
      </c>
    </row>
    <row r="210" spans="1:26" s="26" customFormat="1" outlineLevel="1" collapsed="1" x14ac:dyDescent="0.25">
      <c r="A210" s="25"/>
      <c r="B210" s="12" t="str">
        <f>CONCATENATE("     ","Employees' Appreciation                           ")</f>
        <v xml:space="preserve">     Employees' Appreciation                           </v>
      </c>
      <c r="C210" s="12"/>
      <c r="D210" s="1">
        <f>SUM(OSRRefD22_8x_0)</f>
        <v>57</v>
      </c>
      <c r="E210" s="1"/>
      <c r="F210" s="5">
        <f t="shared" ref="F210:F216" si="72">IF(D$12=0,0,D210/D$12)</f>
        <v>2.7396849419994277E-4</v>
      </c>
      <c r="G210" s="1"/>
      <c r="H210" s="1">
        <f>SUM(OSRRefH22_8x_0)</f>
        <v>850</v>
      </c>
      <c r="I210" s="1"/>
      <c r="J210" s="5">
        <f t="shared" ref="J210:J216" si="73">IF(H$12=0,0,H210/H$12)</f>
        <v>2.0194381552288061E-3</v>
      </c>
      <c r="K210" s="1"/>
      <c r="L210" s="1">
        <f t="shared" ref="L210:L216" si="74">+D210-H210</f>
        <v>-793</v>
      </c>
      <c r="M210" s="1"/>
      <c r="N210" s="5">
        <f t="shared" ref="N210:N216" si="75">IF(H210=0,0,L210/H210)</f>
        <v>-0.93294117647058827</v>
      </c>
      <c r="O210" s="12"/>
      <c r="P210" s="1">
        <f>SUM(OSRRefP22_8x_0)</f>
        <v>1611.27</v>
      </c>
      <c r="Q210" s="1"/>
      <c r="R210" s="5">
        <f t="shared" ref="R210:R216" si="76">IF(P$12=0,0,P210/P$12)</f>
        <v>1.7447791142094707E-4</v>
      </c>
      <c r="S210" s="1"/>
      <c r="T210" s="1">
        <f>SUM(OSRRefT22_8x_0)</f>
        <v>8775</v>
      </c>
      <c r="U210" s="1"/>
      <c r="V210" s="5">
        <f t="shared" ref="V210:V216" si="77">IF(T$12=0,0,T210/T$12)</f>
        <v>7.2935892425977803E-4</v>
      </c>
      <c r="W210" s="1"/>
      <c r="X210" s="1">
        <f t="shared" ref="X210:X216" si="78">+P210-T210</f>
        <v>-7163.73</v>
      </c>
      <c r="Y210" s="1"/>
      <c r="Z210" s="5">
        <f t="shared" ref="Z210:Z216" si="79">IF(T210=0,0,X210/T210)</f>
        <v>-0.81637948717948716</v>
      </c>
    </row>
    <row r="211" spans="1:26" s="24" customFormat="1" hidden="1" outlineLevel="2" x14ac:dyDescent="0.25">
      <c r="A211" s="27"/>
      <c r="B211" s="11" t="str">
        <f>CONCATENATE("          ", "6277", " - ", "EMPLOYEE APPRECIATION")</f>
        <v xml:space="preserve">          6277 - EMPLOYEE APPRECIATION</v>
      </c>
      <c r="C211" s="11"/>
      <c r="D211" s="6">
        <v>57</v>
      </c>
      <c r="E211" s="2"/>
      <c r="F211" s="7">
        <f t="shared" si="72"/>
        <v>2.7396849419994277E-4</v>
      </c>
      <c r="G211" s="2"/>
      <c r="H211" s="6">
        <v>850</v>
      </c>
      <c r="I211" s="2"/>
      <c r="J211" s="7">
        <f t="shared" si="73"/>
        <v>2.0194381552288061E-3</v>
      </c>
      <c r="K211" s="2"/>
      <c r="L211" s="6">
        <f t="shared" si="74"/>
        <v>-793</v>
      </c>
      <c r="M211" s="2"/>
      <c r="N211" s="7">
        <f t="shared" si="75"/>
        <v>-0.93294117647058827</v>
      </c>
      <c r="O211" s="11"/>
      <c r="P211" s="6">
        <v>1611.27</v>
      </c>
      <c r="Q211" s="2"/>
      <c r="R211" s="7">
        <f t="shared" si="76"/>
        <v>1.7447791142094707E-4</v>
      </c>
      <c r="S211" s="2"/>
      <c r="T211" s="6">
        <v>8775</v>
      </c>
      <c r="U211" s="2"/>
      <c r="V211" s="7">
        <f t="shared" si="77"/>
        <v>7.2935892425977803E-4</v>
      </c>
      <c r="W211" s="2"/>
      <c r="X211" s="6">
        <f t="shared" si="78"/>
        <v>-7163.73</v>
      </c>
      <c r="Y211" s="2"/>
      <c r="Z211" s="7">
        <f t="shared" si="79"/>
        <v>-0.81637948717948716</v>
      </c>
    </row>
    <row r="212" spans="1:26" s="26" customFormat="1" outlineLevel="1" collapsed="1" x14ac:dyDescent="0.25">
      <c r="A212" s="25"/>
      <c r="B212" s="12" t="str">
        <f>CONCATENATE("     ","Equipment Rental                                  ")</f>
        <v xml:space="preserve">     Equipment Rental                                  </v>
      </c>
      <c r="C212" s="12"/>
      <c r="D212" s="1">
        <f>SUM(OSRRefD22_9x_0)</f>
        <v>1388.16</v>
      </c>
      <c r="E212" s="1"/>
      <c r="F212" s="5">
        <f t="shared" si="72"/>
        <v>6.6721421913788171E-3</v>
      </c>
      <c r="G212" s="1"/>
      <c r="H212" s="1">
        <f>SUM(OSRRefH22_9x_0)</f>
        <v>3225</v>
      </c>
      <c r="I212" s="1"/>
      <c r="J212" s="5">
        <f t="shared" si="73"/>
        <v>7.6619859418975292E-3</v>
      </c>
      <c r="K212" s="1"/>
      <c r="L212" s="1">
        <f t="shared" si="74"/>
        <v>-1836.84</v>
      </c>
      <c r="M212" s="1"/>
      <c r="N212" s="5">
        <f t="shared" si="75"/>
        <v>-0.56956279069767435</v>
      </c>
      <c r="O212" s="12"/>
      <c r="P212" s="1">
        <f>SUM(OSRRefP22_9x_0)</f>
        <v>19839.79</v>
      </c>
      <c r="Q212" s="1"/>
      <c r="R212" s="5">
        <f t="shared" si="76"/>
        <v>2.1483706158683473E-3</v>
      </c>
      <c r="S212" s="1"/>
      <c r="T212" s="1">
        <f>SUM(OSRRefT22_9x_0)</f>
        <v>38700</v>
      </c>
      <c r="U212" s="1"/>
      <c r="V212" s="5">
        <f t="shared" si="77"/>
        <v>3.2166598710944056E-3</v>
      </c>
      <c r="W212" s="1"/>
      <c r="X212" s="1">
        <f t="shared" si="78"/>
        <v>-18860.21</v>
      </c>
      <c r="Y212" s="1"/>
      <c r="Z212" s="5">
        <f t="shared" si="79"/>
        <v>-0.48734392764857881</v>
      </c>
    </row>
    <row r="213" spans="1:26" s="24" customFormat="1" hidden="1" outlineLevel="2" x14ac:dyDescent="0.25">
      <c r="A213" s="27"/>
      <c r="B213" s="11" t="str">
        <f>CONCATENATE("          ", "6351", " - ", "EQUIPMENT RENTAL")</f>
        <v xml:space="preserve">          6351 - EQUIPMENT RENTAL</v>
      </c>
      <c r="C213" s="11"/>
      <c r="D213" s="6">
        <v>1388.16</v>
      </c>
      <c r="E213" s="2"/>
      <c r="F213" s="7">
        <f t="shared" si="72"/>
        <v>6.6721421913788171E-3</v>
      </c>
      <c r="G213" s="2"/>
      <c r="H213" s="6">
        <v>3225</v>
      </c>
      <c r="I213" s="2"/>
      <c r="J213" s="7">
        <f t="shared" si="73"/>
        <v>7.6619859418975292E-3</v>
      </c>
      <c r="K213" s="2"/>
      <c r="L213" s="6">
        <f t="shared" si="74"/>
        <v>-1836.84</v>
      </c>
      <c r="M213" s="2"/>
      <c r="N213" s="7">
        <f t="shared" si="75"/>
        <v>-0.56956279069767435</v>
      </c>
      <c r="O213" s="11"/>
      <c r="P213" s="6">
        <v>19839.79</v>
      </c>
      <c r="Q213" s="2"/>
      <c r="R213" s="7">
        <f t="shared" si="76"/>
        <v>2.1483706158683473E-3</v>
      </c>
      <c r="S213" s="2"/>
      <c r="T213" s="6">
        <v>38700</v>
      </c>
      <c r="U213" s="2"/>
      <c r="V213" s="7">
        <f t="shared" si="77"/>
        <v>3.2166598710944056E-3</v>
      </c>
      <c r="W213" s="2"/>
      <c r="X213" s="6">
        <f t="shared" si="78"/>
        <v>-18860.21</v>
      </c>
      <c r="Y213" s="2"/>
      <c r="Z213" s="7">
        <f t="shared" si="79"/>
        <v>-0.48734392764857881</v>
      </c>
    </row>
    <row r="214" spans="1:26" s="26" customFormat="1" outlineLevel="1" collapsed="1" x14ac:dyDescent="0.25">
      <c r="A214" s="25"/>
      <c r="B214" s="12" t="str">
        <f>CONCATENATE("     ","Freight out/Postage                               ")</f>
        <v xml:space="preserve">     Freight out/Postage                               </v>
      </c>
      <c r="C214" s="12"/>
      <c r="D214" s="1">
        <f>SUM(OSRRefD22_10x_0)</f>
        <v>25658.549999999996</v>
      </c>
      <c r="E214" s="1"/>
      <c r="F214" s="5">
        <f t="shared" si="72"/>
        <v>0.12332691766410421</v>
      </c>
      <c r="G214" s="1"/>
      <c r="H214" s="1">
        <f>SUM(OSRRefH22_10x_0)</f>
        <v>-210</v>
      </c>
      <c r="I214" s="1"/>
      <c r="J214" s="5">
        <f t="shared" si="73"/>
        <v>-4.9892001482123444E-4</v>
      </c>
      <c r="K214" s="1"/>
      <c r="L214" s="1">
        <f t="shared" si="74"/>
        <v>25868.549999999996</v>
      </c>
      <c r="M214" s="1"/>
      <c r="N214" s="5">
        <f t="shared" si="75"/>
        <v>-123.18357142857141</v>
      </c>
      <c r="O214" s="12"/>
      <c r="P214" s="1">
        <f>SUM(OSRRefP22_10x_0)</f>
        <v>41650.919999999991</v>
      </c>
      <c r="Q214" s="1"/>
      <c r="R214" s="5">
        <f t="shared" si="76"/>
        <v>4.5102096671327287E-3</v>
      </c>
      <c r="S214" s="1"/>
      <c r="T214" s="1">
        <f>SUM(OSRRefT22_10x_0)</f>
        <v>-54720</v>
      </c>
      <c r="U214" s="1"/>
      <c r="V214" s="5">
        <f t="shared" si="77"/>
        <v>-4.5482074456404615E-3</v>
      </c>
      <c r="W214" s="1"/>
      <c r="X214" s="1">
        <f t="shared" si="78"/>
        <v>96370.919999999984</v>
      </c>
      <c r="Y214" s="1"/>
      <c r="Z214" s="5">
        <f t="shared" si="79"/>
        <v>-1.7611644736842103</v>
      </c>
    </row>
    <row r="215" spans="1:26" s="24" customFormat="1" hidden="1" outlineLevel="2" x14ac:dyDescent="0.25">
      <c r="A215" s="27"/>
      <c r="B215" s="11" t="str">
        <f>CONCATENATE("          ", "6305", " - ", "FREIGHT OUT")</f>
        <v xml:space="preserve">          6305 - FREIGHT OUT</v>
      </c>
      <c r="C215" s="11"/>
      <c r="D215" s="6">
        <v>32756.979999999996</v>
      </c>
      <c r="E215" s="2"/>
      <c r="F215" s="7">
        <f t="shared" si="72"/>
        <v>0.1574452716690814</v>
      </c>
      <c r="G215" s="2"/>
      <c r="H215" s="6">
        <v>-250</v>
      </c>
      <c r="I215" s="2"/>
      <c r="J215" s="7">
        <f t="shared" si="73"/>
        <v>-5.9395239859670775E-4</v>
      </c>
      <c r="K215" s="2"/>
      <c r="L215" s="6">
        <f t="shared" si="74"/>
        <v>33006.979999999996</v>
      </c>
      <c r="M215" s="2"/>
      <c r="N215" s="7">
        <f t="shared" si="75"/>
        <v>-132.02791999999999</v>
      </c>
      <c r="O215" s="11"/>
      <c r="P215" s="6">
        <v>102668.17</v>
      </c>
      <c r="Q215" s="2"/>
      <c r="R215" s="7">
        <f t="shared" si="76"/>
        <v>1.1117520881671438E-2</v>
      </c>
      <c r="S215" s="2"/>
      <c r="T215" s="6">
        <v>-55200</v>
      </c>
      <c r="U215" s="2"/>
      <c r="V215" s="7">
        <f t="shared" si="77"/>
        <v>-4.5881040021811675E-3</v>
      </c>
      <c r="W215" s="2"/>
      <c r="X215" s="6">
        <f t="shared" si="78"/>
        <v>157868.16999999998</v>
      </c>
      <c r="Y215" s="2"/>
      <c r="Z215" s="7">
        <f t="shared" si="79"/>
        <v>-2.8599306159420288</v>
      </c>
    </row>
    <row r="216" spans="1:26" s="24" customFormat="1" hidden="1" outlineLevel="2" x14ac:dyDescent="0.25">
      <c r="A216" s="27"/>
      <c r="B216" s="11" t="str">
        <f>CONCATENATE("          ", "6307", " - ", "POSTAGE")</f>
        <v xml:space="preserve">          6307 - POSTAGE</v>
      </c>
      <c r="C216" s="11"/>
      <c r="D216" s="6">
        <v>-7098.43</v>
      </c>
      <c r="E216" s="2"/>
      <c r="F216" s="7">
        <f t="shared" si="72"/>
        <v>-3.4118354004977189E-2</v>
      </c>
      <c r="G216" s="2"/>
      <c r="H216" s="6">
        <v>40</v>
      </c>
      <c r="I216" s="2"/>
      <c r="J216" s="7">
        <f t="shared" si="73"/>
        <v>9.5032383775473227E-5</v>
      </c>
      <c r="K216" s="2"/>
      <c r="L216" s="6">
        <f t="shared" si="74"/>
        <v>-7138.43</v>
      </c>
      <c r="M216" s="2"/>
      <c r="N216" s="7">
        <f t="shared" si="75"/>
        <v>-178.46075000000002</v>
      </c>
      <c r="O216" s="11"/>
      <c r="P216" s="6">
        <v>-61017.250000000007</v>
      </c>
      <c r="Q216" s="2"/>
      <c r="R216" s="7">
        <f t="shared" si="76"/>
        <v>-6.6073112145387082E-3</v>
      </c>
      <c r="S216" s="2"/>
      <c r="T216" s="6">
        <v>480</v>
      </c>
      <c r="U216" s="2"/>
      <c r="V216" s="7">
        <f t="shared" si="77"/>
        <v>3.9896556540705806E-5</v>
      </c>
      <c r="W216" s="2"/>
      <c r="X216" s="6">
        <f t="shared" si="78"/>
        <v>-61497.250000000007</v>
      </c>
      <c r="Y216" s="2"/>
      <c r="Z216" s="7">
        <f t="shared" si="79"/>
        <v>-128.11927083333336</v>
      </c>
    </row>
    <row r="217" spans="1:26" s="26" customFormat="1" outlineLevel="1" collapsed="1" x14ac:dyDescent="0.25">
      <c r="A217" s="25"/>
      <c r="B217" s="12" t="str">
        <f>CONCATENATE("     ","General                                           ")</f>
        <v xml:space="preserve">     General                                           </v>
      </c>
      <c r="C217" s="12"/>
      <c r="D217" s="1">
        <f>SUM(OSRRefD22_11x_0)</f>
        <v>-1613.24</v>
      </c>
      <c r="E217" s="1"/>
      <c r="F217" s="5">
        <f t="shared" ref="F217:F255" si="80">IF(D$12=0,0,D217/D$12)</f>
        <v>-7.7539812909318533E-3</v>
      </c>
      <c r="G217" s="1"/>
      <c r="H217" s="1">
        <f>SUM(OSRRefH22_11x_0)</f>
        <v>980</v>
      </c>
      <c r="I217" s="1"/>
      <c r="J217" s="5">
        <f t="shared" ref="J217:J255" si="81">IF(H$12=0,0,H217/H$12)</f>
        <v>2.3282934024990943E-3</v>
      </c>
      <c r="K217" s="1"/>
      <c r="L217" s="1">
        <f t="shared" ref="L217:L255" si="82">+D217-H217</f>
        <v>-2593.2399999999998</v>
      </c>
      <c r="M217" s="1"/>
      <c r="N217" s="5">
        <f t="shared" ref="N217:N255" si="83">IF(H217=0,0,L217/H217)</f>
        <v>-2.6461632653061224</v>
      </c>
      <c r="O217" s="12"/>
      <c r="P217" s="1">
        <f>SUM(OSRRefP22_11x_0)</f>
        <v>-3183.87</v>
      </c>
      <c r="Q217" s="1"/>
      <c r="R217" s="5">
        <f t="shared" ref="R217:R255" si="84">IF(P$12=0,0,P217/P$12)</f>
        <v>-3.4476840494505006E-4</v>
      </c>
      <c r="S217" s="1"/>
      <c r="T217" s="1">
        <f>SUM(OSRRefT22_11x_0)</f>
        <v>34145</v>
      </c>
      <c r="U217" s="1"/>
      <c r="V217" s="5">
        <f t="shared" ref="V217:V255" si="85">IF(T$12=0,0,T217/T$12)</f>
        <v>2.8380581730883328E-3</v>
      </c>
      <c r="W217" s="1"/>
      <c r="X217" s="1">
        <f t="shared" ref="X217:X255" si="86">+P217-T217</f>
        <v>-37328.870000000003</v>
      </c>
      <c r="Y217" s="1"/>
      <c r="Z217" s="5">
        <f t="shared" ref="Z217:Z255" si="87">IF(T217=0,0,X217/T217)</f>
        <v>-1.0932455703616928</v>
      </c>
    </row>
    <row r="218" spans="1:26" s="24" customFormat="1" hidden="1" outlineLevel="2" x14ac:dyDescent="0.25">
      <c r="A218" s="27"/>
      <c r="B218" s="11" t="str">
        <f>CONCATENATE("          ", "6279", " - ", "GENERAL EXPENSE")</f>
        <v xml:space="preserve">          6279 - GENERAL EXPENSE</v>
      </c>
      <c r="C218" s="11"/>
      <c r="D218" s="6">
        <v>-1613.24</v>
      </c>
      <c r="E218" s="2"/>
      <c r="F218" s="7">
        <f t="shared" si="80"/>
        <v>-7.7539812909318533E-3</v>
      </c>
      <c r="G218" s="2"/>
      <c r="H218" s="6">
        <v>980</v>
      </c>
      <c r="I218" s="2"/>
      <c r="J218" s="7">
        <f t="shared" si="81"/>
        <v>2.3282934024990943E-3</v>
      </c>
      <c r="K218" s="2"/>
      <c r="L218" s="6">
        <f t="shared" si="82"/>
        <v>-2593.2399999999998</v>
      </c>
      <c r="M218" s="2"/>
      <c r="N218" s="7">
        <f t="shared" si="83"/>
        <v>-2.6461632653061224</v>
      </c>
      <c r="O218" s="11"/>
      <c r="P218" s="6">
        <v>-3183.87</v>
      </c>
      <c r="Q218" s="2"/>
      <c r="R218" s="7">
        <f t="shared" si="84"/>
        <v>-3.4476840494505006E-4</v>
      </c>
      <c r="S218" s="2"/>
      <c r="T218" s="6">
        <v>34145</v>
      </c>
      <c r="U218" s="2"/>
      <c r="V218" s="7">
        <f t="shared" si="85"/>
        <v>2.8380581730883328E-3</v>
      </c>
      <c r="W218" s="2"/>
      <c r="X218" s="6">
        <f t="shared" si="86"/>
        <v>-37328.870000000003</v>
      </c>
      <c r="Y218" s="2"/>
      <c r="Z218" s="7">
        <f t="shared" si="87"/>
        <v>-1.0932455703616928</v>
      </c>
    </row>
    <row r="219" spans="1:26" s="26" customFormat="1" outlineLevel="1" collapsed="1" x14ac:dyDescent="0.25">
      <c r="A219" s="25"/>
      <c r="B219" s="12" t="str">
        <f>CONCATENATE("     ","Insurance                                         ")</f>
        <v xml:space="preserve">     Insurance                                         </v>
      </c>
      <c r="C219" s="12"/>
      <c r="D219" s="1">
        <f>SUM(OSRRefD22_12x_0)</f>
        <v>4044.74</v>
      </c>
      <c r="E219" s="1"/>
      <c r="F219" s="5">
        <f t="shared" si="80"/>
        <v>1.9440900477724146E-2</v>
      </c>
      <c r="G219" s="1"/>
      <c r="H219" s="1">
        <f>SUM(OSRRefH22_12x_0)</f>
        <v>3815</v>
      </c>
      <c r="I219" s="1"/>
      <c r="J219" s="5">
        <f t="shared" si="81"/>
        <v>9.0637136025857601E-3</v>
      </c>
      <c r="K219" s="1"/>
      <c r="L219" s="1">
        <f t="shared" si="82"/>
        <v>229.73999999999978</v>
      </c>
      <c r="M219" s="1"/>
      <c r="N219" s="5">
        <f t="shared" si="83"/>
        <v>6.0220183486238477E-2</v>
      </c>
      <c r="O219" s="12"/>
      <c r="P219" s="1">
        <f>SUM(OSRRefP22_12x_0)</f>
        <v>48536.88</v>
      </c>
      <c r="Q219" s="1"/>
      <c r="R219" s="5">
        <f t="shared" si="84"/>
        <v>5.2558624248506694E-3</v>
      </c>
      <c r="S219" s="1"/>
      <c r="T219" s="1">
        <f>SUM(OSRRefT22_12x_0)</f>
        <v>45780</v>
      </c>
      <c r="U219" s="1"/>
      <c r="V219" s="5">
        <f t="shared" si="85"/>
        <v>3.8051340800698162E-3</v>
      </c>
      <c r="W219" s="1"/>
      <c r="X219" s="1">
        <f t="shared" si="86"/>
        <v>2756.8799999999974</v>
      </c>
      <c r="Y219" s="1"/>
      <c r="Z219" s="5">
        <f t="shared" si="87"/>
        <v>6.0220183486238477E-2</v>
      </c>
    </row>
    <row r="220" spans="1:26" s="24" customFormat="1" hidden="1" outlineLevel="2" x14ac:dyDescent="0.25">
      <c r="A220" s="27"/>
      <c r="B220" s="11" t="str">
        <f>CONCATENATE("          ", "6314", " - ", "LIABILITY INSURANCE")</f>
        <v xml:space="preserve">          6314 - LIABILITY INSURANCE</v>
      </c>
      <c r="C220" s="11"/>
      <c r="D220" s="6">
        <v>4044.74</v>
      </c>
      <c r="E220" s="2"/>
      <c r="F220" s="7">
        <f t="shared" si="80"/>
        <v>1.9440900477724146E-2</v>
      </c>
      <c r="G220" s="2"/>
      <c r="H220" s="6">
        <v>3815</v>
      </c>
      <c r="I220" s="2"/>
      <c r="J220" s="7">
        <f t="shared" si="81"/>
        <v>9.0637136025857601E-3</v>
      </c>
      <c r="K220" s="2"/>
      <c r="L220" s="6">
        <f t="shared" si="82"/>
        <v>229.73999999999978</v>
      </c>
      <c r="M220" s="2"/>
      <c r="N220" s="7">
        <f t="shared" si="83"/>
        <v>6.0220183486238477E-2</v>
      </c>
      <c r="O220" s="11"/>
      <c r="P220" s="6">
        <v>48536.88</v>
      </c>
      <c r="Q220" s="2"/>
      <c r="R220" s="7">
        <f t="shared" si="84"/>
        <v>5.2558624248506694E-3</v>
      </c>
      <c r="S220" s="2"/>
      <c r="T220" s="6">
        <v>45780</v>
      </c>
      <c r="U220" s="2"/>
      <c r="V220" s="7">
        <f t="shared" si="85"/>
        <v>3.8051340800698162E-3</v>
      </c>
      <c r="W220" s="2"/>
      <c r="X220" s="6">
        <f t="shared" si="86"/>
        <v>2756.8799999999974</v>
      </c>
      <c r="Y220" s="2"/>
      <c r="Z220" s="7">
        <f t="shared" si="87"/>
        <v>6.0220183486238477E-2</v>
      </c>
    </row>
    <row r="221" spans="1:26" s="26" customFormat="1" outlineLevel="1" collapsed="1" x14ac:dyDescent="0.25">
      <c r="A221" s="25"/>
      <c r="B221" s="12" t="str">
        <f>CONCATENATE("     ","Inventory Adjustment                              ")</f>
        <v xml:space="preserve">     Inventory Adjustment                              </v>
      </c>
      <c r="C221" s="12"/>
      <c r="D221" s="1">
        <f>SUM(OSRRefD22_13x_0)</f>
        <v>-10114</v>
      </c>
      <c r="E221" s="1"/>
      <c r="F221" s="5">
        <f t="shared" si="80"/>
        <v>-4.8612585093653002E-2</v>
      </c>
      <c r="G221" s="1"/>
      <c r="H221" s="1">
        <f>SUM(OSRRefH22_13x_0)</f>
        <v>72050</v>
      </c>
      <c r="I221" s="1"/>
      <c r="J221" s="5">
        <f t="shared" si="81"/>
        <v>0.17117708127557116</v>
      </c>
      <c r="K221" s="1"/>
      <c r="L221" s="1">
        <f t="shared" si="82"/>
        <v>-82164</v>
      </c>
      <c r="M221" s="1"/>
      <c r="N221" s="5">
        <f t="shared" si="83"/>
        <v>-1.1403747397640527</v>
      </c>
      <c r="O221" s="12"/>
      <c r="P221" s="1">
        <f>SUM(OSRRefP22_13x_0)</f>
        <v>43236.000000000007</v>
      </c>
      <c r="Q221" s="1"/>
      <c r="R221" s="5">
        <f t="shared" si="84"/>
        <v>4.6818515693807178E-3</v>
      </c>
      <c r="S221" s="1"/>
      <c r="T221" s="1">
        <f>SUM(OSRRefT22_13x_0)</f>
        <v>125400</v>
      </c>
      <c r="U221" s="1"/>
      <c r="V221" s="5">
        <f t="shared" si="85"/>
        <v>1.0422975396259391E-2</v>
      </c>
      <c r="W221" s="1"/>
      <c r="X221" s="1">
        <f t="shared" si="86"/>
        <v>-82164</v>
      </c>
      <c r="Y221" s="1"/>
      <c r="Z221" s="5">
        <f t="shared" si="87"/>
        <v>-0.6552153110047847</v>
      </c>
    </row>
    <row r="222" spans="1:26" s="24" customFormat="1" hidden="1" outlineLevel="2" x14ac:dyDescent="0.25">
      <c r="A222" s="27"/>
      <c r="B222" s="11" t="str">
        <f>CONCATENATE("          ", "6408", " - ", "INVENTORY ADJUSTMENT")</f>
        <v xml:space="preserve">          6408 - INVENTORY ADJUSTMENT</v>
      </c>
      <c r="C222" s="11"/>
      <c r="D222" s="6">
        <v>-53350</v>
      </c>
      <c r="E222" s="2"/>
      <c r="F222" s="7">
        <f t="shared" si="80"/>
        <v>-0.25642489764152537</v>
      </c>
      <c r="G222" s="2"/>
      <c r="H222" s="6">
        <v>72050</v>
      </c>
      <c r="I222" s="2"/>
      <c r="J222" s="7">
        <f t="shared" si="81"/>
        <v>0.17117708127557116</v>
      </c>
      <c r="K222" s="2"/>
      <c r="L222" s="6">
        <f t="shared" si="82"/>
        <v>-125400</v>
      </c>
      <c r="M222" s="2"/>
      <c r="N222" s="7">
        <f t="shared" si="83"/>
        <v>-1.7404580152671756</v>
      </c>
      <c r="O222" s="11"/>
      <c r="P222" s="6">
        <v>0</v>
      </c>
      <c r="Q222" s="2"/>
      <c r="R222" s="7">
        <f t="shared" si="84"/>
        <v>0</v>
      </c>
      <c r="S222" s="2"/>
      <c r="T222" s="6">
        <v>125400</v>
      </c>
      <c r="U222" s="2"/>
      <c r="V222" s="7">
        <f t="shared" si="85"/>
        <v>1.0422975396259391E-2</v>
      </c>
      <c r="W222" s="2"/>
      <c r="X222" s="6">
        <f t="shared" si="86"/>
        <v>-125400</v>
      </c>
      <c r="Y222" s="2"/>
      <c r="Z222" s="7">
        <f t="shared" si="87"/>
        <v>-1</v>
      </c>
    </row>
    <row r="223" spans="1:26" s="24" customFormat="1" hidden="1" outlineLevel="2" x14ac:dyDescent="0.25">
      <c r="A223" s="27"/>
      <c r="B223" s="11" t="str">
        <f>CONCATENATE("          ", "7700", " - ", "INV. SHRINKAGE @ RETAIL-CONTRA")</f>
        <v xml:space="preserve">          7700 - INV. SHRINKAGE @ RETAIL-CONTRA</v>
      </c>
      <c r="C223" s="11"/>
      <c r="D223" s="6">
        <v>-99781</v>
      </c>
      <c r="E223" s="2"/>
      <c r="F223" s="7">
        <f t="shared" si="80"/>
        <v>-0.47959386525902609</v>
      </c>
      <c r="G223" s="2"/>
      <c r="H223" s="6"/>
      <c r="I223" s="2"/>
      <c r="J223" s="7">
        <f t="shared" si="81"/>
        <v>0</v>
      </c>
      <c r="K223" s="2"/>
      <c r="L223" s="6">
        <f t="shared" si="82"/>
        <v>-99781</v>
      </c>
      <c r="M223" s="2"/>
      <c r="N223" s="7">
        <f t="shared" si="83"/>
        <v>0</v>
      </c>
      <c r="O223" s="11"/>
      <c r="P223" s="6">
        <v>-99781</v>
      </c>
      <c r="Q223" s="2"/>
      <c r="R223" s="7">
        <f t="shared" si="84"/>
        <v>-1.0804880919705277E-2</v>
      </c>
      <c r="S223" s="2"/>
      <c r="T223" s="6"/>
      <c r="U223" s="2"/>
      <c r="V223" s="7">
        <f t="shared" si="85"/>
        <v>0</v>
      </c>
      <c r="W223" s="2"/>
      <c r="X223" s="6">
        <f t="shared" si="86"/>
        <v>-99781</v>
      </c>
      <c r="Y223" s="2"/>
      <c r="Z223" s="7">
        <f t="shared" si="87"/>
        <v>0</v>
      </c>
    </row>
    <row r="224" spans="1:26" s="24" customFormat="1" hidden="1" outlineLevel="2" x14ac:dyDescent="0.25">
      <c r="A224" s="27"/>
      <c r="B224" s="11" t="str">
        <f>CONCATENATE("          ", "7701", " - ", "INV. SHRINKAGE-NEW TEXT")</f>
        <v xml:space="preserve">          7701 - INV. SHRINKAGE-NEW TEXT</v>
      </c>
      <c r="C224" s="11"/>
      <c r="D224" s="6">
        <v>-4346</v>
      </c>
      <c r="E224" s="2"/>
      <c r="F224" s="7">
        <f t="shared" si="80"/>
        <v>-2.0888896066543004E-2</v>
      </c>
      <c r="G224" s="2"/>
      <c r="H224" s="6"/>
      <c r="I224" s="2"/>
      <c r="J224" s="7">
        <f t="shared" si="81"/>
        <v>0</v>
      </c>
      <c r="K224" s="2"/>
      <c r="L224" s="6">
        <f t="shared" si="82"/>
        <v>-4346</v>
      </c>
      <c r="M224" s="2"/>
      <c r="N224" s="7">
        <f t="shared" si="83"/>
        <v>0</v>
      </c>
      <c r="O224" s="11"/>
      <c r="P224" s="6">
        <v>-4346</v>
      </c>
      <c r="Q224" s="2"/>
      <c r="R224" s="7">
        <f t="shared" si="84"/>
        <v>-4.7061076233991574E-4</v>
      </c>
      <c r="S224" s="2"/>
      <c r="T224" s="6"/>
      <c r="U224" s="2"/>
      <c r="V224" s="7">
        <f t="shared" si="85"/>
        <v>0</v>
      </c>
      <c r="W224" s="2"/>
      <c r="X224" s="6">
        <f t="shared" si="86"/>
        <v>-4346</v>
      </c>
      <c r="Y224" s="2"/>
      <c r="Z224" s="7">
        <f t="shared" si="87"/>
        <v>0</v>
      </c>
    </row>
    <row r="225" spans="1:26" s="24" customFormat="1" hidden="1" outlineLevel="2" x14ac:dyDescent="0.25">
      <c r="A225" s="27"/>
      <c r="B225" s="11" t="str">
        <f>CONCATENATE("          ", "7702", " - ", "INV. SHRINKAGE-USED TEXT")</f>
        <v xml:space="preserve">          7702 - INV. SHRINKAGE-USED TEXT</v>
      </c>
      <c r="C225" s="11"/>
      <c r="D225" s="6">
        <v>-29494</v>
      </c>
      <c r="E225" s="2"/>
      <c r="F225" s="7">
        <f t="shared" si="80"/>
        <v>-0.14176187312163355</v>
      </c>
      <c r="G225" s="2"/>
      <c r="H225" s="6"/>
      <c r="I225" s="2"/>
      <c r="J225" s="7">
        <f t="shared" si="81"/>
        <v>0</v>
      </c>
      <c r="K225" s="2"/>
      <c r="L225" s="6">
        <f t="shared" si="82"/>
        <v>-29494</v>
      </c>
      <c r="M225" s="2"/>
      <c r="N225" s="7">
        <f t="shared" si="83"/>
        <v>0</v>
      </c>
      <c r="O225" s="11"/>
      <c r="P225" s="6">
        <v>-29494</v>
      </c>
      <c r="Q225" s="2"/>
      <c r="R225" s="7">
        <f t="shared" si="84"/>
        <v>-3.1937859697315865E-3</v>
      </c>
      <c r="S225" s="2"/>
      <c r="T225" s="6"/>
      <c r="U225" s="2"/>
      <c r="V225" s="7">
        <f t="shared" si="85"/>
        <v>0</v>
      </c>
      <c r="W225" s="2"/>
      <c r="X225" s="6">
        <f t="shared" si="86"/>
        <v>-29494</v>
      </c>
      <c r="Y225" s="2"/>
      <c r="Z225" s="7">
        <f t="shared" si="87"/>
        <v>0</v>
      </c>
    </row>
    <row r="226" spans="1:26" s="24" customFormat="1" hidden="1" outlineLevel="2" x14ac:dyDescent="0.25">
      <c r="A226" s="27"/>
      <c r="B226" s="11" t="str">
        <f>CONCATENATE("          ", "7703", " - ", "INV. SHRINKAGE-RENTAL TEXT")</f>
        <v xml:space="preserve">          7703 - INV. SHRINKAGE-RENTAL TEXT</v>
      </c>
      <c r="C226" s="11"/>
      <c r="D226" s="6">
        <v>526</v>
      </c>
      <c r="E226" s="2"/>
      <c r="F226" s="7">
        <f t="shared" si="80"/>
        <v>2.5282004903363136E-3</v>
      </c>
      <c r="G226" s="2"/>
      <c r="H226" s="6"/>
      <c r="I226" s="2"/>
      <c r="J226" s="7">
        <f t="shared" si="81"/>
        <v>0</v>
      </c>
      <c r="K226" s="2"/>
      <c r="L226" s="6">
        <f t="shared" si="82"/>
        <v>526</v>
      </c>
      <c r="M226" s="2"/>
      <c r="N226" s="7">
        <f t="shared" si="83"/>
        <v>0</v>
      </c>
      <c r="O226" s="11"/>
      <c r="P226" s="6">
        <v>526</v>
      </c>
      <c r="Q226" s="2"/>
      <c r="R226" s="7">
        <f t="shared" si="84"/>
        <v>5.695841256115869E-5</v>
      </c>
      <c r="S226" s="2"/>
      <c r="T226" s="6"/>
      <c r="U226" s="2"/>
      <c r="V226" s="7">
        <f t="shared" si="85"/>
        <v>0</v>
      </c>
      <c r="W226" s="2"/>
      <c r="X226" s="6">
        <f t="shared" si="86"/>
        <v>526</v>
      </c>
      <c r="Y226" s="2"/>
      <c r="Z226" s="7">
        <f t="shared" si="87"/>
        <v>0</v>
      </c>
    </row>
    <row r="227" spans="1:26" s="24" customFormat="1" hidden="1" outlineLevel="2" x14ac:dyDescent="0.25">
      <c r="A227" s="27"/>
      <c r="B227" s="11" t="str">
        <f>CONCATENATE("          ", "7704", " - ", "INV. SHRINKAGE-DIGITAL TEXT")</f>
        <v xml:space="preserve">          7704 - INV. SHRINKAGE-DIGITAL TEXT</v>
      </c>
      <c r="C227" s="11"/>
      <c r="D227" s="6">
        <v>816</v>
      </c>
      <c r="E227" s="2"/>
      <c r="F227" s="7">
        <f t="shared" si="80"/>
        <v>3.9220752853886542E-3</v>
      </c>
      <c r="G227" s="2"/>
      <c r="H227" s="6"/>
      <c r="I227" s="2"/>
      <c r="J227" s="7">
        <f t="shared" si="81"/>
        <v>0</v>
      </c>
      <c r="K227" s="2"/>
      <c r="L227" s="6">
        <f t="shared" si="82"/>
        <v>816</v>
      </c>
      <c r="M227" s="2"/>
      <c r="N227" s="7">
        <f t="shared" si="83"/>
        <v>0</v>
      </c>
      <c r="O227" s="11"/>
      <c r="P227" s="6">
        <v>816</v>
      </c>
      <c r="Q227" s="2"/>
      <c r="R227" s="7">
        <f t="shared" si="84"/>
        <v>8.8361339638603594E-5</v>
      </c>
      <c r="S227" s="2"/>
      <c r="T227" s="6"/>
      <c r="U227" s="2"/>
      <c r="V227" s="7">
        <f t="shared" si="85"/>
        <v>0</v>
      </c>
      <c r="W227" s="2"/>
      <c r="X227" s="6">
        <f t="shared" si="86"/>
        <v>816</v>
      </c>
      <c r="Y227" s="2"/>
      <c r="Z227" s="7">
        <f t="shared" si="87"/>
        <v>0</v>
      </c>
    </row>
    <row r="228" spans="1:26" s="24" customFormat="1" hidden="1" outlineLevel="2" x14ac:dyDescent="0.25">
      <c r="A228" s="27"/>
      <c r="B228" s="11" t="str">
        <f>CONCATENATE("          ", "7711", " - ", "INV. SHRINKAGE-NO VALUE TEXT")</f>
        <v xml:space="preserve">          7711 - INV. SHRINKAGE-NO VALUE TEXT</v>
      </c>
      <c r="C228" s="11"/>
      <c r="D228" s="6">
        <v>-1126</v>
      </c>
      <c r="E228" s="2"/>
      <c r="F228" s="7">
        <f t="shared" si="80"/>
        <v>-5.412079376651501E-3</v>
      </c>
      <c r="G228" s="2"/>
      <c r="H228" s="6"/>
      <c r="I228" s="2"/>
      <c r="J228" s="7">
        <f t="shared" si="81"/>
        <v>0</v>
      </c>
      <c r="K228" s="2"/>
      <c r="L228" s="6">
        <f t="shared" si="82"/>
        <v>-1126</v>
      </c>
      <c r="M228" s="2"/>
      <c r="N228" s="7">
        <f t="shared" si="83"/>
        <v>0</v>
      </c>
      <c r="O228" s="11"/>
      <c r="P228" s="6">
        <v>-1126</v>
      </c>
      <c r="Q228" s="2"/>
      <c r="R228" s="7">
        <f t="shared" si="84"/>
        <v>-1.2192998582483781E-4</v>
      </c>
      <c r="S228" s="2"/>
      <c r="T228" s="6"/>
      <c r="U228" s="2"/>
      <c r="V228" s="7">
        <f t="shared" si="85"/>
        <v>0</v>
      </c>
      <c r="W228" s="2"/>
      <c r="X228" s="6">
        <f t="shared" si="86"/>
        <v>-1126</v>
      </c>
      <c r="Y228" s="2"/>
      <c r="Z228" s="7">
        <f t="shared" si="87"/>
        <v>0</v>
      </c>
    </row>
    <row r="229" spans="1:26" s="24" customFormat="1" hidden="1" outlineLevel="2" x14ac:dyDescent="0.25">
      <c r="A229" s="27"/>
      <c r="B229" s="11" t="str">
        <f>CONCATENATE("          ", "7713", " - ", "INV. SHRINKAGE-TRADE BOOKS")</f>
        <v xml:space="preserve">          7713 - INV. SHRINKAGE-TRADE BOOKS</v>
      </c>
      <c r="C229" s="11"/>
      <c r="D229" s="6">
        <v>-385</v>
      </c>
      <c r="E229" s="2"/>
      <c r="F229" s="7">
        <f t="shared" si="80"/>
        <v>-1.8504889520522449E-3</v>
      </c>
      <c r="G229" s="2"/>
      <c r="H229" s="6"/>
      <c r="I229" s="2"/>
      <c r="J229" s="7">
        <f t="shared" si="81"/>
        <v>0</v>
      </c>
      <c r="K229" s="2"/>
      <c r="L229" s="6">
        <f t="shared" si="82"/>
        <v>-385</v>
      </c>
      <c r="M229" s="2"/>
      <c r="N229" s="7">
        <f t="shared" si="83"/>
        <v>0</v>
      </c>
      <c r="O229" s="11"/>
      <c r="P229" s="6">
        <v>-385</v>
      </c>
      <c r="Q229" s="2"/>
      <c r="R229" s="7">
        <f t="shared" si="84"/>
        <v>-4.16900928441941E-5</v>
      </c>
      <c r="S229" s="2"/>
      <c r="T229" s="6"/>
      <c r="U229" s="2"/>
      <c r="V229" s="7">
        <f t="shared" si="85"/>
        <v>0</v>
      </c>
      <c r="W229" s="2"/>
      <c r="X229" s="6">
        <f t="shared" si="86"/>
        <v>-385</v>
      </c>
      <c r="Y229" s="2"/>
      <c r="Z229" s="7">
        <f t="shared" si="87"/>
        <v>0</v>
      </c>
    </row>
    <row r="230" spans="1:26" s="24" customFormat="1" hidden="1" outlineLevel="2" x14ac:dyDescent="0.25">
      <c r="A230" s="27"/>
      <c r="B230" s="11" t="str">
        <f>CONCATENATE("          ", "7714", " - ", "INV. SHRINKAGE-REMAINDERS")</f>
        <v xml:space="preserve">          7714 - INV. SHRINKAGE-REMAINDERS</v>
      </c>
      <c r="C230" s="11"/>
      <c r="D230" s="6">
        <v>204</v>
      </c>
      <c r="E230" s="2"/>
      <c r="F230" s="7">
        <f t="shared" si="80"/>
        <v>9.8051882134716356E-4</v>
      </c>
      <c r="G230" s="2"/>
      <c r="H230" s="6"/>
      <c r="I230" s="2"/>
      <c r="J230" s="7">
        <f t="shared" si="81"/>
        <v>0</v>
      </c>
      <c r="K230" s="2"/>
      <c r="L230" s="6">
        <f t="shared" si="82"/>
        <v>204</v>
      </c>
      <c r="M230" s="2"/>
      <c r="N230" s="7">
        <f t="shared" si="83"/>
        <v>0</v>
      </c>
      <c r="O230" s="11"/>
      <c r="P230" s="6">
        <v>204</v>
      </c>
      <c r="Q230" s="2"/>
      <c r="R230" s="7">
        <f t="shared" si="84"/>
        <v>2.2090334909650899E-5</v>
      </c>
      <c r="S230" s="2"/>
      <c r="T230" s="6"/>
      <c r="U230" s="2"/>
      <c r="V230" s="7">
        <f t="shared" si="85"/>
        <v>0</v>
      </c>
      <c r="W230" s="2"/>
      <c r="X230" s="6">
        <f t="shared" si="86"/>
        <v>204</v>
      </c>
      <c r="Y230" s="2"/>
      <c r="Z230" s="7">
        <f t="shared" si="87"/>
        <v>0</v>
      </c>
    </row>
    <row r="231" spans="1:26" s="24" customFormat="1" hidden="1" outlineLevel="2" x14ac:dyDescent="0.25">
      <c r="A231" s="27"/>
      <c r="B231" s="11" t="str">
        <f>CONCATENATE("          ", "7717", " - ", "INV. SHRINKAGE-DORM/HOUSEWARES")</f>
        <v xml:space="preserve">          7717 - INV. SHRINKAGE-DORM/HOUSEWARES</v>
      </c>
      <c r="C231" s="11"/>
      <c r="D231" s="6">
        <v>-254</v>
      </c>
      <c r="E231" s="2"/>
      <c r="F231" s="7">
        <f t="shared" si="80"/>
        <v>-1.2208420618734291E-3</v>
      </c>
      <c r="G231" s="2"/>
      <c r="H231" s="6"/>
      <c r="I231" s="2"/>
      <c r="J231" s="7">
        <f t="shared" si="81"/>
        <v>0</v>
      </c>
      <c r="K231" s="2"/>
      <c r="L231" s="6">
        <f t="shared" si="82"/>
        <v>-254</v>
      </c>
      <c r="M231" s="2"/>
      <c r="N231" s="7">
        <f t="shared" si="83"/>
        <v>0</v>
      </c>
      <c r="O231" s="11"/>
      <c r="P231" s="6">
        <v>-254</v>
      </c>
      <c r="Q231" s="2"/>
      <c r="R231" s="7">
        <f t="shared" si="84"/>
        <v>-2.7504632681624159E-5</v>
      </c>
      <c r="S231" s="2"/>
      <c r="T231" s="6"/>
      <c r="U231" s="2"/>
      <c r="V231" s="7">
        <f t="shared" si="85"/>
        <v>0</v>
      </c>
      <c r="W231" s="2"/>
      <c r="X231" s="6">
        <f t="shared" si="86"/>
        <v>-254</v>
      </c>
      <c r="Y231" s="2"/>
      <c r="Z231" s="7">
        <f t="shared" si="87"/>
        <v>0</v>
      </c>
    </row>
    <row r="232" spans="1:26" s="24" customFormat="1" hidden="1" outlineLevel="2" x14ac:dyDescent="0.25">
      <c r="A232" s="27"/>
      <c r="B232" s="11" t="str">
        <f>CONCATENATE("          ", "7718", " - ", "INV. SHRINKAGE-STUDY GUIDES")</f>
        <v xml:space="preserve">          7718 - INV. SHRINKAGE-STUDY GUIDES</v>
      </c>
      <c r="C232" s="11"/>
      <c r="D232" s="6">
        <v>458</v>
      </c>
      <c r="E232" s="2"/>
      <c r="F232" s="7">
        <f t="shared" si="80"/>
        <v>2.2013608832205924E-3</v>
      </c>
      <c r="G232" s="2"/>
      <c r="H232" s="6"/>
      <c r="I232" s="2"/>
      <c r="J232" s="7">
        <f t="shared" si="81"/>
        <v>0</v>
      </c>
      <c r="K232" s="2"/>
      <c r="L232" s="6">
        <f t="shared" si="82"/>
        <v>458</v>
      </c>
      <c r="M232" s="2"/>
      <c r="N232" s="7">
        <f t="shared" si="83"/>
        <v>0</v>
      </c>
      <c r="O232" s="11"/>
      <c r="P232" s="6">
        <v>458</v>
      </c>
      <c r="Q232" s="2"/>
      <c r="R232" s="7">
        <f t="shared" si="84"/>
        <v>4.9594967591275061E-5</v>
      </c>
      <c r="S232" s="2"/>
      <c r="T232" s="6"/>
      <c r="U232" s="2"/>
      <c r="V232" s="7">
        <f t="shared" si="85"/>
        <v>0</v>
      </c>
      <c r="W232" s="2"/>
      <c r="X232" s="6">
        <f t="shared" si="86"/>
        <v>458</v>
      </c>
      <c r="Y232" s="2"/>
      <c r="Z232" s="7">
        <f t="shared" si="87"/>
        <v>0</v>
      </c>
    </row>
    <row r="233" spans="1:26" s="24" customFormat="1" hidden="1" outlineLevel="2" x14ac:dyDescent="0.25">
      <c r="A233" s="27"/>
      <c r="B233" s="11" t="str">
        <f>CONCATENATE("          ", "7719", " - ", "INV. SHRINKAGE-BOOK RELATED")</f>
        <v xml:space="preserve">          7719 - INV. SHRINKAGE-BOOK RELATED</v>
      </c>
      <c r="C233" s="11"/>
      <c r="D233" s="6">
        <v>-43</v>
      </c>
      <c r="E233" s="2"/>
      <c r="F233" s="7">
        <f t="shared" si="80"/>
        <v>-2.0667798685258839E-4</v>
      </c>
      <c r="G233" s="2"/>
      <c r="H233" s="6"/>
      <c r="I233" s="2"/>
      <c r="J233" s="7">
        <f t="shared" si="81"/>
        <v>0</v>
      </c>
      <c r="K233" s="2"/>
      <c r="L233" s="6">
        <f t="shared" si="82"/>
        <v>-43</v>
      </c>
      <c r="M233" s="2"/>
      <c r="N233" s="7">
        <f t="shared" si="83"/>
        <v>0</v>
      </c>
      <c r="O233" s="11"/>
      <c r="P233" s="6">
        <v>-43</v>
      </c>
      <c r="Q233" s="2"/>
      <c r="R233" s="7">
        <f t="shared" si="84"/>
        <v>-4.6562960838970037E-6</v>
      </c>
      <c r="S233" s="2"/>
      <c r="T233" s="6"/>
      <c r="U233" s="2"/>
      <c r="V233" s="7">
        <f t="shared" si="85"/>
        <v>0</v>
      </c>
      <c r="W233" s="2"/>
      <c r="X233" s="6">
        <f t="shared" si="86"/>
        <v>-43</v>
      </c>
      <c r="Y233" s="2"/>
      <c r="Z233" s="7">
        <f t="shared" si="87"/>
        <v>0</v>
      </c>
    </row>
    <row r="234" spans="1:26" s="24" customFormat="1" hidden="1" outlineLevel="2" x14ac:dyDescent="0.25">
      <c r="A234" s="27"/>
      <c r="B234" s="11" t="str">
        <f>CONCATENATE("          ", "7725", " - ", "INV. SHRINKAGE-TEST FORMS")</f>
        <v xml:space="preserve">          7725 - INV. SHRINKAGE-TEST FORMS</v>
      </c>
      <c r="C234" s="11"/>
      <c r="D234" s="6">
        <v>3987</v>
      </c>
      <c r="E234" s="2"/>
      <c r="F234" s="7">
        <f t="shared" si="80"/>
        <v>1.9163375199564417E-2</v>
      </c>
      <c r="G234" s="2"/>
      <c r="H234" s="6"/>
      <c r="I234" s="2"/>
      <c r="J234" s="7">
        <f t="shared" si="81"/>
        <v>0</v>
      </c>
      <c r="K234" s="2"/>
      <c r="L234" s="6">
        <f t="shared" si="82"/>
        <v>3987</v>
      </c>
      <c r="M234" s="2"/>
      <c r="N234" s="7">
        <f t="shared" si="83"/>
        <v>0</v>
      </c>
      <c r="O234" s="11"/>
      <c r="P234" s="6">
        <v>3987</v>
      </c>
      <c r="Q234" s="2"/>
      <c r="R234" s="7">
        <f t="shared" si="84"/>
        <v>4.3173610433714776E-4</v>
      </c>
      <c r="S234" s="2"/>
      <c r="T234" s="6"/>
      <c r="U234" s="2"/>
      <c r="V234" s="7">
        <f t="shared" si="85"/>
        <v>0</v>
      </c>
      <c r="W234" s="2"/>
      <c r="X234" s="6">
        <f t="shared" si="86"/>
        <v>3987</v>
      </c>
      <c r="Y234" s="2"/>
      <c r="Z234" s="7">
        <f t="shared" si="87"/>
        <v>0</v>
      </c>
    </row>
    <row r="235" spans="1:26" s="24" customFormat="1" hidden="1" outlineLevel="2" x14ac:dyDescent="0.25">
      <c r="A235" s="27"/>
      <c r="B235" s="11" t="str">
        <f>CONCATENATE("          ", "7726", " - ", "INV. SHRINKAGE-WRITING INSTRUM")</f>
        <v xml:space="preserve">          7726 - INV. SHRINKAGE-WRITING INSTRUM</v>
      </c>
      <c r="C235" s="11"/>
      <c r="D235" s="6">
        <v>9153</v>
      </c>
      <c r="E235" s="2"/>
      <c r="F235" s="7">
        <f t="shared" si="80"/>
        <v>4.3993572410738174E-2</v>
      </c>
      <c r="G235" s="2"/>
      <c r="H235" s="6"/>
      <c r="I235" s="2"/>
      <c r="J235" s="7">
        <f t="shared" si="81"/>
        <v>0</v>
      </c>
      <c r="K235" s="2"/>
      <c r="L235" s="6">
        <f t="shared" si="82"/>
        <v>9153</v>
      </c>
      <c r="M235" s="2"/>
      <c r="N235" s="7">
        <f t="shared" si="83"/>
        <v>0</v>
      </c>
      <c r="O235" s="11"/>
      <c r="P235" s="6">
        <v>9153</v>
      </c>
      <c r="Q235" s="2"/>
      <c r="R235" s="7">
        <f t="shared" si="84"/>
        <v>9.9114135013742498E-4</v>
      </c>
      <c r="S235" s="2"/>
      <c r="T235" s="6"/>
      <c r="U235" s="2"/>
      <c r="V235" s="7">
        <f t="shared" si="85"/>
        <v>0</v>
      </c>
      <c r="W235" s="2"/>
      <c r="X235" s="6">
        <f t="shared" si="86"/>
        <v>9153</v>
      </c>
      <c r="Y235" s="2"/>
      <c r="Z235" s="7">
        <f t="shared" si="87"/>
        <v>0</v>
      </c>
    </row>
    <row r="236" spans="1:26" s="24" customFormat="1" hidden="1" outlineLevel="2" x14ac:dyDescent="0.25">
      <c r="A236" s="27"/>
      <c r="B236" s="11" t="str">
        <f>CONCATENATE("          ", "7727", " - ", "INV. SHRINKAGE-SCHOOL SUPPLIES")</f>
        <v xml:space="preserve">          7727 - INV. SHRINKAGE-SCHOOL SUPPLIES</v>
      </c>
      <c r="C236" s="11"/>
      <c r="D236" s="6">
        <v>9822</v>
      </c>
      <c r="E236" s="2"/>
      <c r="F236" s="7">
        <f t="shared" si="80"/>
        <v>4.7209097368979609E-2</v>
      </c>
      <c r="G236" s="2"/>
      <c r="H236" s="6"/>
      <c r="I236" s="2"/>
      <c r="J236" s="7">
        <f t="shared" si="81"/>
        <v>0</v>
      </c>
      <c r="K236" s="2"/>
      <c r="L236" s="6">
        <f t="shared" si="82"/>
        <v>9822</v>
      </c>
      <c r="M236" s="2"/>
      <c r="N236" s="7">
        <f t="shared" si="83"/>
        <v>0</v>
      </c>
      <c r="O236" s="11"/>
      <c r="P236" s="6">
        <v>9822</v>
      </c>
      <c r="Q236" s="2"/>
      <c r="R236" s="7">
        <f t="shared" si="84"/>
        <v>1.0635846543264273E-3</v>
      </c>
      <c r="S236" s="2"/>
      <c r="T236" s="6"/>
      <c r="U236" s="2"/>
      <c r="V236" s="7">
        <f t="shared" si="85"/>
        <v>0</v>
      </c>
      <c r="W236" s="2"/>
      <c r="X236" s="6">
        <f t="shared" si="86"/>
        <v>9822</v>
      </c>
      <c r="Y236" s="2"/>
      <c r="Z236" s="7">
        <f t="shared" si="87"/>
        <v>0</v>
      </c>
    </row>
    <row r="237" spans="1:26" s="24" customFormat="1" hidden="1" outlineLevel="2" x14ac:dyDescent="0.25">
      <c r="A237" s="27"/>
      <c r="B237" s="11" t="str">
        <f>CONCATENATE("          ", "7728", " - ", "INV. SHRINKAGE-ART/TECH")</f>
        <v xml:space="preserve">          7728 - INV. SHRINKAGE-ART/TECH</v>
      </c>
      <c r="C237" s="11"/>
      <c r="D237" s="6">
        <v>8990</v>
      </c>
      <c r="E237" s="2"/>
      <c r="F237" s="7">
        <f t="shared" si="80"/>
        <v>4.3210118646622553E-2</v>
      </c>
      <c r="G237" s="2"/>
      <c r="H237" s="6"/>
      <c r="I237" s="2"/>
      <c r="J237" s="7">
        <f t="shared" si="81"/>
        <v>0</v>
      </c>
      <c r="K237" s="2"/>
      <c r="L237" s="6">
        <f t="shared" si="82"/>
        <v>8990</v>
      </c>
      <c r="M237" s="2"/>
      <c r="N237" s="7">
        <f t="shared" si="83"/>
        <v>0</v>
      </c>
      <c r="O237" s="11"/>
      <c r="P237" s="6">
        <v>8990</v>
      </c>
      <c r="Q237" s="2"/>
      <c r="R237" s="7">
        <f t="shared" si="84"/>
        <v>9.7349073940079215E-4</v>
      </c>
      <c r="S237" s="2"/>
      <c r="T237" s="6"/>
      <c r="U237" s="2"/>
      <c r="V237" s="7">
        <f t="shared" si="85"/>
        <v>0</v>
      </c>
      <c r="W237" s="2"/>
      <c r="X237" s="6">
        <f t="shared" si="86"/>
        <v>8990</v>
      </c>
      <c r="Y237" s="2"/>
      <c r="Z237" s="7">
        <f t="shared" si="87"/>
        <v>0</v>
      </c>
    </row>
    <row r="238" spans="1:26" s="24" customFormat="1" hidden="1" outlineLevel="2" x14ac:dyDescent="0.25">
      <c r="A238" s="27"/>
      <c r="B238" s="11" t="str">
        <f>CONCATENATE("          ", "7731", " - ", "INV. SHRINKAGE-FOOD")</f>
        <v xml:space="preserve">          7731 - INV. SHRINKAGE-FOOD</v>
      </c>
      <c r="C238" s="11"/>
      <c r="D238" s="6">
        <v>6964</v>
      </c>
      <c r="E238" s="2"/>
      <c r="F238" s="7">
        <f t="shared" si="80"/>
        <v>3.3472220940498267E-2</v>
      </c>
      <c r="G238" s="2"/>
      <c r="H238" s="6"/>
      <c r="I238" s="2"/>
      <c r="J238" s="7">
        <f t="shared" si="81"/>
        <v>0</v>
      </c>
      <c r="K238" s="2"/>
      <c r="L238" s="6">
        <f t="shared" si="82"/>
        <v>6964</v>
      </c>
      <c r="M238" s="2"/>
      <c r="N238" s="7">
        <f t="shared" si="83"/>
        <v>0</v>
      </c>
      <c r="O238" s="11"/>
      <c r="P238" s="6">
        <v>6964</v>
      </c>
      <c r="Q238" s="2"/>
      <c r="R238" s="7">
        <f t="shared" si="84"/>
        <v>7.5410339368043558E-4</v>
      </c>
      <c r="S238" s="2"/>
      <c r="T238" s="6"/>
      <c r="U238" s="2"/>
      <c r="V238" s="7">
        <f t="shared" si="85"/>
        <v>0</v>
      </c>
      <c r="W238" s="2"/>
      <c r="X238" s="6">
        <f t="shared" si="86"/>
        <v>6964</v>
      </c>
      <c r="Y238" s="2"/>
      <c r="Z238" s="7">
        <f t="shared" si="87"/>
        <v>0</v>
      </c>
    </row>
    <row r="239" spans="1:26" s="24" customFormat="1" hidden="1" outlineLevel="2" x14ac:dyDescent="0.25">
      <c r="A239" s="27"/>
      <c r="B239" s="11" t="str">
        <f>CONCATENATE("          ", "7732", " - ", "INV. SHRINKAGE-JUICE")</f>
        <v xml:space="preserve">          7732 - INV. SHRINKAGE-JUICE</v>
      </c>
      <c r="C239" s="11"/>
      <c r="D239" s="6">
        <v>-1942</v>
      </c>
      <c r="E239" s="2"/>
      <c r="F239" s="7">
        <f t="shared" si="80"/>
        <v>-9.3341546620401544E-3</v>
      </c>
      <c r="G239" s="2"/>
      <c r="H239" s="6"/>
      <c r="I239" s="2"/>
      <c r="J239" s="7">
        <f t="shared" si="81"/>
        <v>0</v>
      </c>
      <c r="K239" s="2"/>
      <c r="L239" s="6">
        <f t="shared" si="82"/>
        <v>-1942</v>
      </c>
      <c r="M239" s="2"/>
      <c r="N239" s="7">
        <f t="shared" si="83"/>
        <v>0</v>
      </c>
      <c r="O239" s="11"/>
      <c r="P239" s="6">
        <v>-1942</v>
      </c>
      <c r="Q239" s="2"/>
      <c r="R239" s="7">
        <f t="shared" si="84"/>
        <v>-2.1029132546344142E-4</v>
      </c>
      <c r="S239" s="2"/>
      <c r="T239" s="6"/>
      <c r="U239" s="2"/>
      <c r="V239" s="7">
        <f t="shared" si="85"/>
        <v>0</v>
      </c>
      <c r="W239" s="2"/>
      <c r="X239" s="6">
        <f t="shared" si="86"/>
        <v>-1942</v>
      </c>
      <c r="Y239" s="2"/>
      <c r="Z239" s="7">
        <f t="shared" si="87"/>
        <v>0</v>
      </c>
    </row>
    <row r="240" spans="1:26" s="24" customFormat="1" hidden="1" outlineLevel="2" x14ac:dyDescent="0.25">
      <c r="A240" s="27"/>
      <c r="B240" s="11" t="str">
        <f>CONCATENATE("          ", "7733", " - ", "INV. SHRINKAGE-CANDY")</f>
        <v xml:space="preserve">          7733 - INV. SHRINKAGE-CANDY</v>
      </c>
      <c r="C240" s="11"/>
      <c r="D240" s="6">
        <v>2710</v>
      </c>
      <c r="E240" s="2"/>
      <c r="F240" s="7">
        <f t="shared" si="80"/>
        <v>1.3025519636523594E-2</v>
      </c>
      <c r="G240" s="2"/>
      <c r="H240" s="6"/>
      <c r="I240" s="2"/>
      <c r="J240" s="7">
        <f t="shared" si="81"/>
        <v>0</v>
      </c>
      <c r="K240" s="2"/>
      <c r="L240" s="6">
        <f t="shared" si="82"/>
        <v>2710</v>
      </c>
      <c r="M240" s="2"/>
      <c r="N240" s="7">
        <f t="shared" si="83"/>
        <v>0</v>
      </c>
      <c r="O240" s="11"/>
      <c r="P240" s="6">
        <v>2710</v>
      </c>
      <c r="Q240" s="2"/>
      <c r="R240" s="7">
        <f t="shared" si="84"/>
        <v>2.9345493924095071E-4</v>
      </c>
      <c r="S240" s="2"/>
      <c r="T240" s="6"/>
      <c r="U240" s="2"/>
      <c r="V240" s="7">
        <f t="shared" si="85"/>
        <v>0</v>
      </c>
      <c r="W240" s="2"/>
      <c r="X240" s="6">
        <f t="shared" si="86"/>
        <v>2710</v>
      </c>
      <c r="Y240" s="2"/>
      <c r="Z240" s="7">
        <f t="shared" si="87"/>
        <v>0</v>
      </c>
    </row>
    <row r="241" spans="1:26" s="24" customFormat="1" hidden="1" outlineLevel="2" x14ac:dyDescent="0.25">
      <c r="A241" s="27"/>
      <c r="B241" s="11" t="str">
        <f>CONCATENATE("          ", "7734", " - ", "INV. SHRINKAGE-SODA")</f>
        <v xml:space="preserve">          7734 - INV. SHRINKAGE-SODA</v>
      </c>
      <c r="C241" s="11"/>
      <c r="D241" s="6">
        <v>1253</v>
      </c>
      <c r="E241" s="2"/>
      <c r="F241" s="7">
        <f t="shared" si="80"/>
        <v>6.022500407588215E-3</v>
      </c>
      <c r="G241" s="2"/>
      <c r="H241" s="6"/>
      <c r="I241" s="2"/>
      <c r="J241" s="7">
        <f t="shared" si="81"/>
        <v>0</v>
      </c>
      <c r="K241" s="2"/>
      <c r="L241" s="6">
        <f t="shared" si="82"/>
        <v>1253</v>
      </c>
      <c r="M241" s="2"/>
      <c r="N241" s="7">
        <f t="shared" si="83"/>
        <v>0</v>
      </c>
      <c r="O241" s="11"/>
      <c r="P241" s="6">
        <v>1253</v>
      </c>
      <c r="Q241" s="2"/>
      <c r="R241" s="7">
        <f t="shared" si="84"/>
        <v>1.356823021656499E-4</v>
      </c>
      <c r="S241" s="2"/>
      <c r="T241" s="6"/>
      <c r="U241" s="2"/>
      <c r="V241" s="7">
        <f t="shared" si="85"/>
        <v>0</v>
      </c>
      <c r="W241" s="2"/>
      <c r="X241" s="6">
        <f t="shared" si="86"/>
        <v>1253</v>
      </c>
      <c r="Y241" s="2"/>
      <c r="Z241" s="7">
        <f t="shared" si="87"/>
        <v>0</v>
      </c>
    </row>
    <row r="242" spans="1:26" s="24" customFormat="1" hidden="1" outlineLevel="2" x14ac:dyDescent="0.25">
      <c r="A242" s="27"/>
      <c r="B242" s="11" t="str">
        <f>CONCATENATE("          ", "7735", " - ", "INV. SHRINKAGE-HEALTH/BEAUTY")</f>
        <v xml:space="preserve">          7735 - INV. SHRINKAGE-HEALTH/BEAUTY</v>
      </c>
      <c r="C242" s="11"/>
      <c r="D242" s="6">
        <v>369</v>
      </c>
      <c r="E242" s="2"/>
      <c r="F242" s="7">
        <f t="shared" si="80"/>
        <v>1.77358551508384E-3</v>
      </c>
      <c r="G242" s="2"/>
      <c r="H242" s="6"/>
      <c r="I242" s="2"/>
      <c r="J242" s="7">
        <f t="shared" si="81"/>
        <v>0</v>
      </c>
      <c r="K242" s="2"/>
      <c r="L242" s="6">
        <f t="shared" si="82"/>
        <v>369</v>
      </c>
      <c r="M242" s="2"/>
      <c r="N242" s="7">
        <f t="shared" si="83"/>
        <v>0</v>
      </c>
      <c r="O242" s="11"/>
      <c r="P242" s="6">
        <v>369</v>
      </c>
      <c r="Q242" s="2"/>
      <c r="R242" s="7">
        <f t="shared" si="84"/>
        <v>3.9957517557162658E-5</v>
      </c>
      <c r="S242" s="2"/>
      <c r="T242" s="6"/>
      <c r="U242" s="2"/>
      <c r="V242" s="7">
        <f t="shared" si="85"/>
        <v>0</v>
      </c>
      <c r="W242" s="2"/>
      <c r="X242" s="6">
        <f t="shared" si="86"/>
        <v>369</v>
      </c>
      <c r="Y242" s="2"/>
      <c r="Z242" s="7">
        <f t="shared" si="87"/>
        <v>0</v>
      </c>
    </row>
    <row r="243" spans="1:26" s="24" customFormat="1" hidden="1" outlineLevel="2" x14ac:dyDescent="0.25">
      <c r="A243" s="27"/>
      <c r="B243" s="11" t="str">
        <f>CONCATENATE("          ", "7737", " - ", "INV. SHRINKAGE-WATER")</f>
        <v xml:space="preserve">          7737 - INV. SHRINKAGE-WATER</v>
      </c>
      <c r="C243" s="11"/>
      <c r="D243" s="6">
        <v>763</v>
      </c>
      <c r="E243" s="2"/>
      <c r="F243" s="7">
        <f t="shared" si="80"/>
        <v>3.6673326504308127E-3</v>
      </c>
      <c r="G243" s="2"/>
      <c r="H243" s="6"/>
      <c r="I243" s="2"/>
      <c r="J243" s="7">
        <f t="shared" si="81"/>
        <v>0</v>
      </c>
      <c r="K243" s="2"/>
      <c r="L243" s="6">
        <f t="shared" si="82"/>
        <v>763</v>
      </c>
      <c r="M243" s="2"/>
      <c r="N243" s="7">
        <f t="shared" si="83"/>
        <v>0</v>
      </c>
      <c r="O243" s="11"/>
      <c r="P243" s="6">
        <v>763</v>
      </c>
      <c r="Q243" s="2"/>
      <c r="R243" s="7">
        <f t="shared" si="84"/>
        <v>8.2622184000311945E-5</v>
      </c>
      <c r="S243" s="2"/>
      <c r="T243" s="6"/>
      <c r="U243" s="2"/>
      <c r="V243" s="7">
        <f t="shared" si="85"/>
        <v>0</v>
      </c>
      <c r="W243" s="2"/>
      <c r="X243" s="6">
        <f t="shared" si="86"/>
        <v>763</v>
      </c>
      <c r="Y243" s="2"/>
      <c r="Z243" s="7">
        <f t="shared" si="87"/>
        <v>0</v>
      </c>
    </row>
    <row r="244" spans="1:26" s="24" customFormat="1" hidden="1" outlineLevel="2" x14ac:dyDescent="0.25">
      <c r="A244" s="27"/>
      <c r="B244" s="11" t="str">
        <f>CONCATENATE("          ", "7740", " - ", "INV. SHRINKAGE-LOGO CLOTHING")</f>
        <v xml:space="preserve">          7740 - INV. SHRINKAGE-LOGO CLOTHING</v>
      </c>
      <c r="C244" s="11"/>
      <c r="D244" s="6">
        <v>62007.000000000007</v>
      </c>
      <c r="E244" s="2"/>
      <c r="F244" s="7">
        <f t="shared" si="80"/>
        <v>0.29803446350624302</v>
      </c>
      <c r="G244" s="2"/>
      <c r="H244" s="6"/>
      <c r="I244" s="2"/>
      <c r="J244" s="7">
        <f t="shared" si="81"/>
        <v>0</v>
      </c>
      <c r="K244" s="2"/>
      <c r="L244" s="6">
        <f t="shared" si="82"/>
        <v>62007.000000000007</v>
      </c>
      <c r="M244" s="2"/>
      <c r="N244" s="7">
        <f t="shared" si="83"/>
        <v>0</v>
      </c>
      <c r="O244" s="11"/>
      <c r="P244" s="6">
        <v>62007.000000000007</v>
      </c>
      <c r="Q244" s="2"/>
      <c r="R244" s="7">
        <f t="shared" si="84"/>
        <v>6.7144872389349195E-3</v>
      </c>
      <c r="S244" s="2"/>
      <c r="T244" s="6"/>
      <c r="U244" s="2"/>
      <c r="V244" s="7">
        <f t="shared" si="85"/>
        <v>0</v>
      </c>
      <c r="W244" s="2"/>
      <c r="X244" s="6">
        <f t="shared" si="86"/>
        <v>62007.000000000007</v>
      </c>
      <c r="Y244" s="2"/>
      <c r="Z244" s="7">
        <f t="shared" si="87"/>
        <v>0</v>
      </c>
    </row>
    <row r="245" spans="1:26" s="24" customFormat="1" hidden="1" outlineLevel="2" x14ac:dyDescent="0.25">
      <c r="A245" s="27"/>
      <c r="B245" s="11" t="str">
        <f>CONCATENATE("          ", "7741", " - ", "INV. SHRINKAGE-LOGO GIFTS")</f>
        <v xml:space="preserve">          7741 - INV. SHRINKAGE-LOGO GIFTS</v>
      </c>
      <c r="C245" s="11"/>
      <c r="D245" s="6">
        <v>30707</v>
      </c>
      <c r="E245" s="2"/>
      <c r="F245" s="7">
        <f t="shared" si="80"/>
        <v>0.14759211493680074</v>
      </c>
      <c r="G245" s="2"/>
      <c r="H245" s="6"/>
      <c r="I245" s="2"/>
      <c r="J245" s="7">
        <f t="shared" si="81"/>
        <v>0</v>
      </c>
      <c r="K245" s="2"/>
      <c r="L245" s="6">
        <f t="shared" si="82"/>
        <v>30707</v>
      </c>
      <c r="M245" s="2"/>
      <c r="N245" s="7">
        <f t="shared" si="83"/>
        <v>0</v>
      </c>
      <c r="O245" s="11"/>
      <c r="P245" s="6">
        <v>30707</v>
      </c>
      <c r="Q245" s="2"/>
      <c r="R245" s="7">
        <f t="shared" si="84"/>
        <v>3.3251368336796577E-3</v>
      </c>
      <c r="S245" s="2"/>
      <c r="T245" s="6"/>
      <c r="U245" s="2"/>
      <c r="V245" s="7">
        <f t="shared" si="85"/>
        <v>0</v>
      </c>
      <c r="W245" s="2"/>
      <c r="X245" s="6">
        <f t="shared" si="86"/>
        <v>30707</v>
      </c>
      <c r="Y245" s="2"/>
      <c r="Z245" s="7">
        <f t="shared" si="87"/>
        <v>0</v>
      </c>
    </row>
    <row r="246" spans="1:26" s="24" customFormat="1" hidden="1" outlineLevel="2" x14ac:dyDescent="0.25">
      <c r="A246" s="27"/>
      <c r="B246" s="11" t="str">
        <f>CONCATENATE("          ", "7742", " - ", "INV. SHRINKAGE-EVERYDAY GIFTS")</f>
        <v xml:space="preserve">          7742 - INV. SHRINKAGE-EVERYDAY GIFTS</v>
      </c>
      <c r="C246" s="11"/>
      <c r="D246" s="6">
        <v>26197</v>
      </c>
      <c r="E246" s="2"/>
      <c r="F246" s="7">
        <f t="shared" si="80"/>
        <v>0.12591495864133159</v>
      </c>
      <c r="G246" s="2"/>
      <c r="H246" s="6"/>
      <c r="I246" s="2"/>
      <c r="J246" s="7">
        <f t="shared" si="81"/>
        <v>0</v>
      </c>
      <c r="K246" s="2"/>
      <c r="L246" s="6">
        <f t="shared" si="82"/>
        <v>26197</v>
      </c>
      <c r="M246" s="2"/>
      <c r="N246" s="7">
        <f t="shared" si="83"/>
        <v>0</v>
      </c>
      <c r="O246" s="11"/>
      <c r="P246" s="6">
        <v>26197</v>
      </c>
      <c r="Q246" s="2"/>
      <c r="R246" s="7">
        <f t="shared" si="84"/>
        <v>2.8367671746476696E-3</v>
      </c>
      <c r="S246" s="2"/>
      <c r="T246" s="6"/>
      <c r="U246" s="2"/>
      <c r="V246" s="7">
        <f t="shared" si="85"/>
        <v>0</v>
      </c>
      <c r="W246" s="2"/>
      <c r="X246" s="6">
        <f t="shared" si="86"/>
        <v>26197</v>
      </c>
      <c r="Y246" s="2"/>
      <c r="Z246" s="7">
        <f t="shared" si="87"/>
        <v>0</v>
      </c>
    </row>
    <row r="247" spans="1:26" s="24" customFormat="1" hidden="1" outlineLevel="2" x14ac:dyDescent="0.25">
      <c r="A247" s="27"/>
      <c r="B247" s="11" t="str">
        <f>CONCATENATE("          ", "7743", " - ", "INV. SHRINKAGE-CARDS")</f>
        <v xml:space="preserve">          7743 - INV. SHRINKAGE-CARDS</v>
      </c>
      <c r="C247" s="11"/>
      <c r="D247" s="6">
        <v>-12818</v>
      </c>
      <c r="E247" s="2"/>
      <c r="F247" s="7">
        <f t="shared" si="80"/>
        <v>-6.160926594131344E-2</v>
      </c>
      <c r="G247" s="2"/>
      <c r="H247" s="6"/>
      <c r="I247" s="2"/>
      <c r="J247" s="7">
        <f t="shared" si="81"/>
        <v>0</v>
      </c>
      <c r="K247" s="2"/>
      <c r="L247" s="6">
        <f t="shared" si="82"/>
        <v>-12818</v>
      </c>
      <c r="M247" s="2"/>
      <c r="N247" s="7">
        <f t="shared" si="83"/>
        <v>0</v>
      </c>
      <c r="O247" s="11"/>
      <c r="P247" s="6">
        <v>-12818</v>
      </c>
      <c r="Q247" s="2"/>
      <c r="R247" s="7">
        <f t="shared" si="84"/>
        <v>-1.3880093768230649E-3</v>
      </c>
      <c r="S247" s="2"/>
      <c r="T247" s="6"/>
      <c r="U247" s="2"/>
      <c r="V247" s="7">
        <f t="shared" si="85"/>
        <v>0</v>
      </c>
      <c r="W247" s="2"/>
      <c r="X247" s="6">
        <f t="shared" si="86"/>
        <v>-12818</v>
      </c>
      <c r="Y247" s="2"/>
      <c r="Z247" s="7">
        <f t="shared" si="87"/>
        <v>0</v>
      </c>
    </row>
    <row r="248" spans="1:26" s="24" customFormat="1" hidden="1" outlineLevel="2" x14ac:dyDescent="0.25">
      <c r="A248" s="27"/>
      <c r="B248" s="11" t="str">
        <f>CONCATENATE("          ", "7744", " - ", "INV. SHRINKAGE-ACCESSORIES")</f>
        <v xml:space="preserve">          7744 - INV. SHRINKAGE-ACCESSORIES</v>
      </c>
      <c r="C248" s="11"/>
      <c r="D248" s="6">
        <v>-16780</v>
      </c>
      <c r="E248" s="2"/>
      <c r="F248" s="7">
        <f t="shared" si="80"/>
        <v>-8.0652479520614731E-2</v>
      </c>
      <c r="G248" s="2"/>
      <c r="H248" s="6"/>
      <c r="I248" s="2"/>
      <c r="J248" s="7">
        <f t="shared" si="81"/>
        <v>0</v>
      </c>
      <c r="K248" s="2"/>
      <c r="L248" s="6">
        <f t="shared" si="82"/>
        <v>-16780</v>
      </c>
      <c r="M248" s="2"/>
      <c r="N248" s="7">
        <f t="shared" si="83"/>
        <v>0</v>
      </c>
      <c r="O248" s="11"/>
      <c r="P248" s="6">
        <v>-16780</v>
      </c>
      <c r="Q248" s="2"/>
      <c r="R248" s="7">
        <f t="shared" si="84"/>
        <v>-1.8170383322742259E-3</v>
      </c>
      <c r="S248" s="2"/>
      <c r="T248" s="6"/>
      <c r="U248" s="2"/>
      <c r="V248" s="7">
        <f t="shared" si="85"/>
        <v>0</v>
      </c>
      <c r="W248" s="2"/>
      <c r="X248" s="6">
        <f t="shared" si="86"/>
        <v>-16780</v>
      </c>
      <c r="Y248" s="2"/>
      <c r="Z248" s="7">
        <f t="shared" si="87"/>
        <v>0</v>
      </c>
    </row>
    <row r="249" spans="1:26" s="24" customFormat="1" hidden="1" outlineLevel="2" x14ac:dyDescent="0.25">
      <c r="A249" s="27"/>
      <c r="B249" s="11" t="str">
        <f>CONCATENATE("          ", "7745", " - ", "INV. SHRINKAGE-SPECIAL ORDERS")</f>
        <v xml:space="preserve">          7745 - INV. SHRINKAGE-SPECIAL ORDERS</v>
      </c>
      <c r="C249" s="11"/>
      <c r="D249" s="6">
        <v>44531</v>
      </c>
      <c r="E249" s="2"/>
      <c r="F249" s="7">
        <f t="shared" si="80"/>
        <v>0.21403668447750265</v>
      </c>
      <c r="G249" s="2"/>
      <c r="H249" s="6"/>
      <c r="I249" s="2"/>
      <c r="J249" s="7">
        <f t="shared" si="81"/>
        <v>0</v>
      </c>
      <c r="K249" s="2"/>
      <c r="L249" s="6">
        <f t="shared" si="82"/>
        <v>44531</v>
      </c>
      <c r="M249" s="2"/>
      <c r="N249" s="7">
        <f t="shared" si="83"/>
        <v>0</v>
      </c>
      <c r="O249" s="11"/>
      <c r="P249" s="6">
        <v>44531</v>
      </c>
      <c r="Q249" s="2"/>
      <c r="R249" s="7">
        <f t="shared" si="84"/>
        <v>4.8220818816748249E-3</v>
      </c>
      <c r="S249" s="2"/>
      <c r="T249" s="6"/>
      <c r="U249" s="2"/>
      <c r="V249" s="7">
        <f t="shared" si="85"/>
        <v>0</v>
      </c>
      <c r="W249" s="2"/>
      <c r="X249" s="6">
        <f t="shared" si="86"/>
        <v>44531</v>
      </c>
      <c r="Y249" s="2"/>
      <c r="Z249" s="7">
        <f t="shared" si="87"/>
        <v>0</v>
      </c>
    </row>
    <row r="250" spans="1:26" s="24" customFormat="1" hidden="1" outlineLevel="2" x14ac:dyDescent="0.25">
      <c r="A250" s="27"/>
      <c r="B250" s="11" t="str">
        <f>CONCATENATE("          ", "7781", " - ", "INV. SHRINKAGE-ELECTRONICS")</f>
        <v xml:space="preserve">          7781 - INV. SHRINKAGE-ELECTRONICS</v>
      </c>
      <c r="C250" s="11"/>
      <c r="D250" s="6">
        <v>-28</v>
      </c>
      <c r="E250" s="2"/>
      <c r="F250" s="7">
        <f t="shared" si="80"/>
        <v>-1.3458101469470871E-4</v>
      </c>
      <c r="G250" s="2"/>
      <c r="H250" s="6"/>
      <c r="I250" s="2"/>
      <c r="J250" s="7">
        <f t="shared" si="81"/>
        <v>0</v>
      </c>
      <c r="K250" s="2"/>
      <c r="L250" s="6">
        <f t="shared" si="82"/>
        <v>-28</v>
      </c>
      <c r="M250" s="2"/>
      <c r="N250" s="7">
        <f t="shared" si="83"/>
        <v>0</v>
      </c>
      <c r="O250" s="11"/>
      <c r="P250" s="6">
        <v>-28</v>
      </c>
      <c r="Q250" s="2"/>
      <c r="R250" s="7">
        <f t="shared" si="84"/>
        <v>-3.0320067523050253E-6</v>
      </c>
      <c r="S250" s="2"/>
      <c r="T250" s="6"/>
      <c r="U250" s="2"/>
      <c r="V250" s="7">
        <f t="shared" si="85"/>
        <v>0</v>
      </c>
      <c r="W250" s="2"/>
      <c r="X250" s="6">
        <f t="shared" si="86"/>
        <v>-28</v>
      </c>
      <c r="Y250" s="2"/>
      <c r="Z250" s="7">
        <f t="shared" si="87"/>
        <v>0</v>
      </c>
    </row>
    <row r="251" spans="1:26" s="24" customFormat="1" hidden="1" outlineLevel="2" x14ac:dyDescent="0.25">
      <c r="A251" s="27"/>
      <c r="B251" s="11" t="str">
        <f>CONCATENATE("          ", "7782", " - ", "INV. SHRINKAGE-COMPUTER HARDWA")</f>
        <v xml:space="preserve">          7782 - INV. SHRINKAGE-COMPUTER HARDWA</v>
      </c>
      <c r="C251" s="11"/>
      <c r="D251" s="6">
        <v>69</v>
      </c>
      <c r="E251" s="2"/>
      <c r="F251" s="7">
        <f t="shared" si="80"/>
        <v>3.3164607192624648E-4</v>
      </c>
      <c r="G251" s="2"/>
      <c r="H251" s="6"/>
      <c r="I251" s="2"/>
      <c r="J251" s="7">
        <f t="shared" si="81"/>
        <v>0</v>
      </c>
      <c r="K251" s="2"/>
      <c r="L251" s="6">
        <f t="shared" si="82"/>
        <v>69</v>
      </c>
      <c r="M251" s="2"/>
      <c r="N251" s="7">
        <f t="shared" si="83"/>
        <v>0</v>
      </c>
      <c r="O251" s="11"/>
      <c r="P251" s="6">
        <v>69</v>
      </c>
      <c r="Q251" s="2"/>
      <c r="R251" s="7">
        <f t="shared" si="84"/>
        <v>7.4717309253230984E-6</v>
      </c>
      <c r="S251" s="2"/>
      <c r="T251" s="6"/>
      <c r="U251" s="2"/>
      <c r="V251" s="7">
        <f t="shared" si="85"/>
        <v>0</v>
      </c>
      <c r="W251" s="2"/>
      <c r="X251" s="6">
        <f t="shared" si="86"/>
        <v>69</v>
      </c>
      <c r="Y251" s="2"/>
      <c r="Z251" s="7">
        <f t="shared" si="87"/>
        <v>0</v>
      </c>
    </row>
    <row r="252" spans="1:26" s="24" customFormat="1" hidden="1" outlineLevel="2" x14ac:dyDescent="0.25">
      <c r="A252" s="27"/>
      <c r="B252" s="11" t="str">
        <f>CONCATENATE("          ", "7783", " - ", "INV. SHRINKAGE-COMPUTER EQUIPM")</f>
        <v xml:space="preserve">          7783 - INV. SHRINKAGE-COMPUTER EQUIPM</v>
      </c>
      <c r="C252" s="11"/>
      <c r="D252" s="6">
        <v>266</v>
      </c>
      <c r="E252" s="2"/>
      <c r="F252" s="7">
        <f t="shared" si="80"/>
        <v>1.2785196395997329E-3</v>
      </c>
      <c r="G252" s="2"/>
      <c r="H252" s="6"/>
      <c r="I252" s="2"/>
      <c r="J252" s="7">
        <f t="shared" si="81"/>
        <v>0</v>
      </c>
      <c r="K252" s="2"/>
      <c r="L252" s="6">
        <f t="shared" si="82"/>
        <v>266</v>
      </c>
      <c r="M252" s="2"/>
      <c r="N252" s="7">
        <f t="shared" si="83"/>
        <v>0</v>
      </c>
      <c r="O252" s="11"/>
      <c r="P252" s="6">
        <v>266</v>
      </c>
      <c r="Q252" s="2"/>
      <c r="R252" s="7">
        <f t="shared" si="84"/>
        <v>2.8804064146897742E-5</v>
      </c>
      <c r="S252" s="2"/>
      <c r="T252" s="6"/>
      <c r="U252" s="2"/>
      <c r="V252" s="7">
        <f t="shared" si="85"/>
        <v>0</v>
      </c>
      <c r="W252" s="2"/>
      <c r="X252" s="6">
        <f t="shared" si="86"/>
        <v>266</v>
      </c>
      <c r="Y252" s="2"/>
      <c r="Z252" s="7">
        <f t="shared" si="87"/>
        <v>0</v>
      </c>
    </row>
    <row r="253" spans="1:26" s="24" customFormat="1" hidden="1" outlineLevel="2" x14ac:dyDescent="0.25">
      <c r="A253" s="27"/>
      <c r="B253" s="11" t="str">
        <f>CONCATENATE("          ", "7786", " - ", "INV. SHRINKAGE-COMPUTER SUPPLI")</f>
        <v xml:space="preserve">          7786 - INV. SHRINKAGE-COMPUTER SUPPLI</v>
      </c>
      <c r="C253" s="11"/>
      <c r="D253" s="6">
        <v>38</v>
      </c>
      <c r="E253" s="2"/>
      <c r="F253" s="7">
        <f t="shared" si="80"/>
        <v>1.8264566279996183E-4</v>
      </c>
      <c r="G253" s="2"/>
      <c r="H253" s="6"/>
      <c r="I253" s="2"/>
      <c r="J253" s="7">
        <f t="shared" si="81"/>
        <v>0</v>
      </c>
      <c r="K253" s="2"/>
      <c r="L253" s="6">
        <f t="shared" si="82"/>
        <v>38</v>
      </c>
      <c r="M253" s="2"/>
      <c r="N253" s="7">
        <f t="shared" si="83"/>
        <v>0</v>
      </c>
      <c r="O253" s="11"/>
      <c r="P253" s="6">
        <v>38</v>
      </c>
      <c r="Q253" s="2"/>
      <c r="R253" s="7">
        <f t="shared" si="84"/>
        <v>4.1148663066996777E-6</v>
      </c>
      <c r="S253" s="2"/>
      <c r="T253" s="6"/>
      <c r="U253" s="2"/>
      <c r="V253" s="7">
        <f t="shared" si="85"/>
        <v>0</v>
      </c>
      <c r="W253" s="2"/>
      <c r="X253" s="6">
        <f t="shared" si="86"/>
        <v>38</v>
      </c>
      <c r="Y253" s="2"/>
      <c r="Z253" s="7">
        <f t="shared" si="87"/>
        <v>0</v>
      </c>
    </row>
    <row r="254" spans="1:26" s="24" customFormat="1" hidden="1" outlineLevel="2" x14ac:dyDescent="0.25">
      <c r="A254" s="27"/>
      <c r="B254" s="11" t="str">
        <f>CONCATENATE("          ", "7792", " - ", "INV. SHRINKAGE-GRAD MERCH")</f>
        <v xml:space="preserve">          7792 - INV. SHRINKAGE-GRAD MERCH</v>
      </c>
      <c r="C254" s="11"/>
      <c r="D254" s="6">
        <v>535</v>
      </c>
      <c r="E254" s="2"/>
      <c r="F254" s="7">
        <f t="shared" si="80"/>
        <v>2.5714586736310416E-3</v>
      </c>
      <c r="G254" s="2"/>
      <c r="H254" s="6"/>
      <c r="I254" s="2"/>
      <c r="J254" s="7">
        <f t="shared" si="81"/>
        <v>0</v>
      </c>
      <c r="K254" s="2"/>
      <c r="L254" s="6">
        <f t="shared" si="82"/>
        <v>535</v>
      </c>
      <c r="M254" s="2"/>
      <c r="N254" s="7">
        <f t="shared" si="83"/>
        <v>0</v>
      </c>
      <c r="O254" s="11"/>
      <c r="P254" s="6">
        <v>535</v>
      </c>
      <c r="Q254" s="2"/>
      <c r="R254" s="7">
        <f t="shared" si="84"/>
        <v>5.7932986160113883E-5</v>
      </c>
      <c r="S254" s="2"/>
      <c r="T254" s="6"/>
      <c r="U254" s="2"/>
      <c r="V254" s="7">
        <f t="shared" si="85"/>
        <v>0</v>
      </c>
      <c r="W254" s="2"/>
      <c r="X254" s="6">
        <f t="shared" si="86"/>
        <v>535</v>
      </c>
      <c r="Y254" s="2"/>
      <c r="Z254" s="7">
        <f t="shared" si="87"/>
        <v>0</v>
      </c>
    </row>
    <row r="255" spans="1:26" s="24" customFormat="1" hidden="1" outlineLevel="2" x14ac:dyDescent="0.25">
      <c r="A255" s="27"/>
      <c r="B255" s="11" t="str">
        <f>CONCATENATE("          ", "7795", " - ", "INV. SHRINKAGE-CUSTOMER SERVIC")</f>
        <v xml:space="preserve">          7795 - INV. SHRINKAGE-CUSTOMER SERVIC</v>
      </c>
      <c r="C255" s="11"/>
      <c r="D255" s="6">
        <v>-132</v>
      </c>
      <c r="E255" s="2"/>
      <c r="F255" s="7">
        <f t="shared" si="80"/>
        <v>-6.3445335498934108E-4</v>
      </c>
      <c r="G255" s="2"/>
      <c r="H255" s="6"/>
      <c r="I255" s="2"/>
      <c r="J255" s="7">
        <f t="shared" si="81"/>
        <v>0</v>
      </c>
      <c r="K255" s="2"/>
      <c r="L255" s="6">
        <f t="shared" si="82"/>
        <v>-132</v>
      </c>
      <c r="M255" s="2"/>
      <c r="N255" s="7">
        <f t="shared" si="83"/>
        <v>0</v>
      </c>
      <c r="O255" s="11"/>
      <c r="P255" s="6">
        <v>-132</v>
      </c>
      <c r="Q255" s="2"/>
      <c r="R255" s="7">
        <f t="shared" si="84"/>
        <v>-1.4293746118009405E-5</v>
      </c>
      <c r="S255" s="2"/>
      <c r="T255" s="6"/>
      <c r="U255" s="2"/>
      <c r="V255" s="7">
        <f t="shared" si="85"/>
        <v>0</v>
      </c>
      <c r="W255" s="2"/>
      <c r="X255" s="6">
        <f t="shared" si="86"/>
        <v>-132</v>
      </c>
      <c r="Y255" s="2"/>
      <c r="Z255" s="7">
        <f t="shared" si="87"/>
        <v>0</v>
      </c>
    </row>
    <row r="256" spans="1:26" s="26" customFormat="1" outlineLevel="1" collapsed="1" x14ac:dyDescent="0.25">
      <c r="A256" s="25"/>
      <c r="B256" s="12" t="str">
        <f>CONCATENATE("     ","Professional Services                             ")</f>
        <v xml:space="preserve">     Professional Services                             </v>
      </c>
      <c r="C256" s="12"/>
      <c r="D256" s="1">
        <f>SUM(OSRRefD22_14x_0)</f>
        <v>8441.9599999999991</v>
      </c>
      <c r="E256" s="1"/>
      <c r="F256" s="5">
        <f t="shared" ref="F256:F264" si="88">IF(D$12=0,0,D256/D$12)</f>
        <v>4.0575983671862256E-2</v>
      </c>
      <c r="G256" s="1"/>
      <c r="H256" s="1">
        <f>SUM(OSRRefH22_14x_0)</f>
        <v>1015</v>
      </c>
      <c r="I256" s="1"/>
      <c r="J256" s="5">
        <f t="shared" ref="J256:J264" si="89">IF(H$12=0,0,H256/H$12)</f>
        <v>2.4114467383026333E-3</v>
      </c>
      <c r="K256" s="1"/>
      <c r="L256" s="1">
        <f t="shared" ref="L256:L264" si="90">+D256-H256</f>
        <v>7426.9599999999991</v>
      </c>
      <c r="M256" s="1"/>
      <c r="N256" s="5">
        <f t="shared" ref="N256:N264" si="91">IF(H256=0,0,L256/H256)</f>
        <v>7.3172019704433486</v>
      </c>
      <c r="O256" s="12"/>
      <c r="P256" s="1">
        <f>SUM(OSRRefP22_14x_0)</f>
        <v>17571.52</v>
      </c>
      <c r="Q256" s="1"/>
      <c r="R256" s="5">
        <f t="shared" ref="R256:R264" si="92">IF(P$12=0,0,P256/P$12)</f>
        <v>1.9027488317236716E-3</v>
      </c>
      <c r="S256" s="1"/>
      <c r="T256" s="1">
        <f>SUM(OSRRefT22_14x_0)</f>
        <v>15330</v>
      </c>
      <c r="U256" s="1"/>
      <c r="V256" s="5">
        <f t="shared" ref="V256:V264" si="93">IF(T$12=0,0,T256/T$12)</f>
        <v>1.2741962745187916E-3</v>
      </c>
      <c r="W256" s="1"/>
      <c r="X256" s="1">
        <f t="shared" ref="X256:X264" si="94">+P256-T256</f>
        <v>2241.5200000000004</v>
      </c>
      <c r="Y256" s="1"/>
      <c r="Z256" s="5">
        <f t="shared" ref="Z256:Z264" si="95">IF(T256=0,0,X256/T256)</f>
        <v>0.14621787345075019</v>
      </c>
    </row>
    <row r="257" spans="1:26" s="24" customFormat="1" hidden="1" outlineLevel="2" x14ac:dyDescent="0.25">
      <c r="A257" s="27"/>
      <c r="B257" s="11" t="str">
        <f>CONCATENATE("          ", "6336", " - ", "PROFESSIONAL SERVICES")</f>
        <v xml:space="preserve">          6336 - PROFESSIONAL SERVICES</v>
      </c>
      <c r="C257" s="11"/>
      <c r="D257" s="6">
        <v>8441.9599999999991</v>
      </c>
      <c r="E257" s="2"/>
      <c r="F257" s="7">
        <f t="shared" si="88"/>
        <v>4.0575983671862256E-2</v>
      </c>
      <c r="G257" s="2"/>
      <c r="H257" s="6">
        <v>1015</v>
      </c>
      <c r="I257" s="2"/>
      <c r="J257" s="7">
        <f t="shared" si="89"/>
        <v>2.4114467383026333E-3</v>
      </c>
      <c r="K257" s="2"/>
      <c r="L257" s="6">
        <f t="shared" si="90"/>
        <v>7426.9599999999991</v>
      </c>
      <c r="M257" s="2"/>
      <c r="N257" s="7">
        <f t="shared" si="91"/>
        <v>7.3172019704433486</v>
      </c>
      <c r="O257" s="11"/>
      <c r="P257" s="6">
        <v>17571.52</v>
      </c>
      <c r="Q257" s="2"/>
      <c r="R257" s="7">
        <f t="shared" si="92"/>
        <v>1.9027488317236716E-3</v>
      </c>
      <c r="S257" s="2"/>
      <c r="T257" s="6">
        <v>15330</v>
      </c>
      <c r="U257" s="2"/>
      <c r="V257" s="7">
        <f t="shared" si="93"/>
        <v>1.2741962745187916E-3</v>
      </c>
      <c r="W257" s="2"/>
      <c r="X257" s="6">
        <f t="shared" si="94"/>
        <v>2241.5200000000004</v>
      </c>
      <c r="Y257" s="2"/>
      <c r="Z257" s="7">
        <f t="shared" si="95"/>
        <v>0.14621787345075019</v>
      </c>
    </row>
    <row r="258" spans="1:26" s="26" customFormat="1" outlineLevel="1" collapsed="1" x14ac:dyDescent="0.25">
      <c r="A258" s="25"/>
      <c r="B258" s="12" t="str">
        <f>CONCATENATE("     ","Rent                                              ")</f>
        <v xml:space="preserve">     Rent                                              </v>
      </c>
      <c r="C258" s="12"/>
      <c r="D258" s="1">
        <f>SUM(OSRRefD22_15x_0)</f>
        <v>6100</v>
      </c>
      <c r="E258" s="1"/>
      <c r="F258" s="5">
        <f t="shared" si="88"/>
        <v>2.9319435344204399E-2</v>
      </c>
      <c r="G258" s="1"/>
      <c r="H258" s="1">
        <f>SUM(OSRRefH22_15x_0)</f>
        <v>6400</v>
      </c>
      <c r="I258" s="1"/>
      <c r="J258" s="5">
        <f t="shared" si="89"/>
        <v>1.5205181404075717E-2</v>
      </c>
      <c r="K258" s="1"/>
      <c r="L258" s="1">
        <f t="shared" si="90"/>
        <v>-300</v>
      </c>
      <c r="M258" s="1"/>
      <c r="N258" s="5">
        <f t="shared" si="91"/>
        <v>-4.6875E-2</v>
      </c>
      <c r="O258" s="12"/>
      <c r="P258" s="1">
        <f>SUM(OSRRefP22_15x_0)</f>
        <v>74800</v>
      </c>
      <c r="Q258" s="1"/>
      <c r="R258" s="5">
        <f t="shared" si="92"/>
        <v>8.0997894668719973E-3</v>
      </c>
      <c r="S258" s="1"/>
      <c r="T258" s="1">
        <f>SUM(OSRRefT22_15x_0)</f>
        <v>76800</v>
      </c>
      <c r="U258" s="1"/>
      <c r="V258" s="5">
        <f t="shared" si="93"/>
        <v>6.3834490465129292E-3</v>
      </c>
      <c r="W258" s="1"/>
      <c r="X258" s="1">
        <f t="shared" si="94"/>
        <v>-2000</v>
      </c>
      <c r="Y258" s="1"/>
      <c r="Z258" s="5">
        <f t="shared" si="95"/>
        <v>-2.6041666666666668E-2</v>
      </c>
    </row>
    <row r="259" spans="1:26" s="24" customFormat="1" hidden="1" outlineLevel="2" x14ac:dyDescent="0.25">
      <c r="A259" s="27"/>
      <c r="B259" s="11" t="str">
        <f>CONCATENATE("          ", "6273", " - ", "RENT")</f>
        <v xml:space="preserve">          6273 - RENT</v>
      </c>
      <c r="C259" s="11"/>
      <c r="D259" s="6">
        <v>6100</v>
      </c>
      <c r="E259" s="2"/>
      <c r="F259" s="7">
        <f t="shared" si="88"/>
        <v>2.9319435344204399E-2</v>
      </c>
      <c r="G259" s="2"/>
      <c r="H259" s="6">
        <v>6400</v>
      </c>
      <c r="I259" s="2"/>
      <c r="J259" s="7">
        <f t="shared" si="89"/>
        <v>1.5205181404075717E-2</v>
      </c>
      <c r="K259" s="2"/>
      <c r="L259" s="6">
        <f t="shared" si="90"/>
        <v>-300</v>
      </c>
      <c r="M259" s="2"/>
      <c r="N259" s="7">
        <f t="shared" si="91"/>
        <v>-4.6875E-2</v>
      </c>
      <c r="O259" s="11"/>
      <c r="P259" s="6">
        <v>74800</v>
      </c>
      <c r="Q259" s="2"/>
      <c r="R259" s="7">
        <f t="shared" si="92"/>
        <v>8.0997894668719973E-3</v>
      </c>
      <c r="S259" s="2"/>
      <c r="T259" s="6">
        <v>76800</v>
      </c>
      <c r="U259" s="2"/>
      <c r="V259" s="7">
        <f t="shared" si="93"/>
        <v>6.3834490465129292E-3</v>
      </c>
      <c r="W259" s="2"/>
      <c r="X259" s="6">
        <f t="shared" si="94"/>
        <v>-2000</v>
      </c>
      <c r="Y259" s="2"/>
      <c r="Z259" s="7">
        <f t="shared" si="95"/>
        <v>-2.6041666666666668E-2</v>
      </c>
    </row>
    <row r="260" spans="1:26" s="26" customFormat="1" outlineLevel="1" collapsed="1" x14ac:dyDescent="0.25">
      <c r="A260" s="25"/>
      <c r="B260" s="12" t="str">
        <f>CONCATENATE("     ","Repair and Maintenance                            ")</f>
        <v xml:space="preserve">     Repair and Maintenance                            </v>
      </c>
      <c r="C260" s="12"/>
      <c r="D260" s="1">
        <f>SUM(OSRRefD22_16x_0)</f>
        <v>26294.07</v>
      </c>
      <c r="E260" s="1"/>
      <c r="F260" s="5">
        <f t="shared" si="88"/>
        <v>0.12638152218048929</v>
      </c>
      <c r="G260" s="1"/>
      <c r="H260" s="1">
        <f>SUM(OSRRefH22_16x_0)</f>
        <v>14590</v>
      </c>
      <c r="I260" s="1"/>
      <c r="J260" s="5">
        <f t="shared" si="89"/>
        <v>3.4663061982103859E-2</v>
      </c>
      <c r="K260" s="1"/>
      <c r="L260" s="1">
        <f t="shared" si="90"/>
        <v>11704.07</v>
      </c>
      <c r="M260" s="1"/>
      <c r="N260" s="5">
        <f t="shared" si="91"/>
        <v>0.80219808087731326</v>
      </c>
      <c r="O260" s="12"/>
      <c r="P260" s="1">
        <f>SUM(OSRRefP22_16x_0)</f>
        <v>159933.65999999997</v>
      </c>
      <c r="Q260" s="1"/>
      <c r="R260" s="5">
        <f t="shared" si="92"/>
        <v>1.7318569180030576E-2</v>
      </c>
      <c r="S260" s="1"/>
      <c r="T260" s="1">
        <f>SUM(OSRRefT22_16x_0)</f>
        <v>231165</v>
      </c>
      <c r="U260" s="1"/>
      <c r="V260" s="5">
        <f t="shared" si="93"/>
        <v>1.9213932276525538E-2</v>
      </c>
      <c r="W260" s="1"/>
      <c r="X260" s="1">
        <f t="shared" si="94"/>
        <v>-71231.340000000026</v>
      </c>
      <c r="Y260" s="1"/>
      <c r="Z260" s="5">
        <f t="shared" si="95"/>
        <v>-0.3081406787359679</v>
      </c>
    </row>
    <row r="261" spans="1:26" s="24" customFormat="1" hidden="1" outlineLevel="2" x14ac:dyDescent="0.25">
      <c r="A261" s="27"/>
      <c r="B261" s="11" t="str">
        <f>CONCATENATE("          ", "6371", " - ", "COMPUTER SOFTWARE MAINTENANCE")</f>
        <v xml:space="preserve">          6371 - COMPUTER SOFTWARE MAINTENANCE</v>
      </c>
      <c r="C261" s="11"/>
      <c r="D261" s="6">
        <v>12181.05</v>
      </c>
      <c r="E261" s="2"/>
      <c r="F261" s="7">
        <f t="shared" si="88"/>
        <v>5.854778818024934E-2</v>
      </c>
      <c r="G261" s="2"/>
      <c r="H261" s="6"/>
      <c r="I261" s="2"/>
      <c r="J261" s="7">
        <f t="shared" si="89"/>
        <v>0</v>
      </c>
      <c r="K261" s="2"/>
      <c r="L261" s="6">
        <f t="shared" si="90"/>
        <v>12181.05</v>
      </c>
      <c r="M261" s="2"/>
      <c r="N261" s="7">
        <f t="shared" si="91"/>
        <v>0</v>
      </c>
      <c r="O261" s="11"/>
      <c r="P261" s="6">
        <v>28598.550000000003</v>
      </c>
      <c r="Q261" s="2"/>
      <c r="R261" s="7">
        <f t="shared" si="92"/>
        <v>3.0968213109333178E-3</v>
      </c>
      <c r="S261" s="2"/>
      <c r="T261" s="6">
        <v>60535.000000000007</v>
      </c>
      <c r="U261" s="2"/>
      <c r="V261" s="7">
        <f t="shared" si="93"/>
        <v>5.0315376045658878E-3</v>
      </c>
      <c r="W261" s="2"/>
      <c r="X261" s="6">
        <f t="shared" si="94"/>
        <v>-31936.450000000004</v>
      </c>
      <c r="Y261" s="2"/>
      <c r="Z261" s="7">
        <f t="shared" si="95"/>
        <v>-0.5275700008259685</v>
      </c>
    </row>
    <row r="262" spans="1:26" s="24" customFormat="1" hidden="1" outlineLevel="2" x14ac:dyDescent="0.25">
      <c r="A262" s="27"/>
      <c r="B262" s="11" t="str">
        <f>CONCATENATE("          ", "6372", " - ", "COMPUTER HARDWARE MAINTENANCE")</f>
        <v xml:space="preserve">          6372 - COMPUTER HARDWARE MAINTENANCE</v>
      </c>
      <c r="C262" s="11"/>
      <c r="D262" s="6">
        <v>-2</v>
      </c>
      <c r="E262" s="2"/>
      <c r="F262" s="7">
        <f t="shared" si="88"/>
        <v>-9.6129296210506234E-6</v>
      </c>
      <c r="G262" s="2"/>
      <c r="H262" s="6"/>
      <c r="I262" s="2"/>
      <c r="J262" s="7">
        <f t="shared" si="89"/>
        <v>0</v>
      </c>
      <c r="K262" s="2"/>
      <c r="L262" s="6">
        <f t="shared" si="90"/>
        <v>-2</v>
      </c>
      <c r="M262" s="2"/>
      <c r="N262" s="7">
        <f t="shared" si="91"/>
        <v>0</v>
      </c>
      <c r="O262" s="11"/>
      <c r="P262" s="6">
        <v>50.32</v>
      </c>
      <c r="Q262" s="2"/>
      <c r="R262" s="7">
        <f t="shared" si="92"/>
        <v>5.4489492777138891E-6</v>
      </c>
      <c r="S262" s="2"/>
      <c r="T262" s="6">
        <v>2000</v>
      </c>
      <c r="U262" s="2"/>
      <c r="V262" s="7">
        <f t="shared" si="93"/>
        <v>1.6623565225294085E-4</v>
      </c>
      <c r="W262" s="2"/>
      <c r="X262" s="6">
        <f t="shared" si="94"/>
        <v>-1949.68</v>
      </c>
      <c r="Y262" s="2"/>
      <c r="Z262" s="7">
        <f t="shared" si="95"/>
        <v>-0.97484000000000004</v>
      </c>
    </row>
    <row r="263" spans="1:26" s="24" customFormat="1" hidden="1" outlineLevel="2" x14ac:dyDescent="0.25">
      <c r="A263" s="27"/>
      <c r="B263" s="11" t="str">
        <f>CONCATENATE("          ", "6373", " - ", "MAINTENANCE CONTRACTS")</f>
        <v xml:space="preserve">          6373 - MAINTENANCE CONTRACTS</v>
      </c>
      <c r="C263" s="11"/>
      <c r="D263" s="6">
        <v>12461.73</v>
      </c>
      <c r="E263" s="2"/>
      <c r="F263" s="7">
        <f t="shared" si="88"/>
        <v>5.9896866723267585E-2</v>
      </c>
      <c r="G263" s="2"/>
      <c r="H263" s="6">
        <v>7040</v>
      </c>
      <c r="I263" s="2"/>
      <c r="J263" s="7">
        <f t="shared" si="89"/>
        <v>1.6725699544483288E-2</v>
      </c>
      <c r="K263" s="2"/>
      <c r="L263" s="6">
        <f t="shared" si="90"/>
        <v>5421.73</v>
      </c>
      <c r="M263" s="2"/>
      <c r="N263" s="7">
        <f t="shared" si="91"/>
        <v>0.77013210227272721</v>
      </c>
      <c r="O263" s="11"/>
      <c r="P263" s="6">
        <v>91135.78</v>
      </c>
      <c r="Q263" s="2"/>
      <c r="R263" s="7">
        <f t="shared" si="92"/>
        <v>9.8687250120209034E-3</v>
      </c>
      <c r="S263" s="2"/>
      <c r="T263" s="6">
        <v>84555</v>
      </c>
      <c r="U263" s="2"/>
      <c r="V263" s="7">
        <f t="shared" si="93"/>
        <v>7.028027788123707E-3</v>
      </c>
      <c r="W263" s="2"/>
      <c r="X263" s="6">
        <f t="shared" si="94"/>
        <v>6580.7799999999988</v>
      </c>
      <c r="Y263" s="2"/>
      <c r="Z263" s="7">
        <f t="shared" si="95"/>
        <v>7.7828395718762919E-2</v>
      </c>
    </row>
    <row r="264" spans="1:26" s="24" customFormat="1" hidden="1" outlineLevel="2" x14ac:dyDescent="0.25">
      <c r="A264" s="27"/>
      <c r="B264" s="11" t="str">
        <f>CONCATENATE("          ", "6375", " - ", "OUTSIDE REPAIRS &amp; MAINTENANCE")</f>
        <v xml:space="preserve">          6375 - OUTSIDE REPAIRS &amp; MAINTENANCE</v>
      </c>
      <c r="C264" s="11"/>
      <c r="D264" s="6">
        <v>1653.29</v>
      </c>
      <c r="E264" s="2"/>
      <c r="F264" s="7">
        <f t="shared" si="88"/>
        <v>7.9464802065933923E-3</v>
      </c>
      <c r="G264" s="2"/>
      <c r="H264" s="6">
        <v>7550</v>
      </c>
      <c r="I264" s="2"/>
      <c r="J264" s="7">
        <f t="shared" si="89"/>
        <v>1.7937362437620574E-2</v>
      </c>
      <c r="K264" s="2"/>
      <c r="L264" s="6">
        <f t="shared" si="90"/>
        <v>-5896.71</v>
      </c>
      <c r="M264" s="2"/>
      <c r="N264" s="7">
        <f t="shared" si="91"/>
        <v>-0.78102119205298015</v>
      </c>
      <c r="O264" s="11"/>
      <c r="P264" s="6">
        <v>40149.009999999995</v>
      </c>
      <c r="Q264" s="2"/>
      <c r="R264" s="7">
        <f t="shared" si="92"/>
        <v>4.3475739077986422E-3</v>
      </c>
      <c r="S264" s="2"/>
      <c r="T264" s="6">
        <v>84075</v>
      </c>
      <c r="U264" s="2"/>
      <c r="V264" s="7">
        <f t="shared" si="93"/>
        <v>6.9881312315830009E-3</v>
      </c>
      <c r="W264" s="2"/>
      <c r="X264" s="6">
        <f t="shared" si="94"/>
        <v>-43925.990000000005</v>
      </c>
      <c r="Y264" s="2"/>
      <c r="Z264" s="7">
        <f t="shared" si="95"/>
        <v>-0.5224619684805234</v>
      </c>
    </row>
    <row r="265" spans="1:26" s="26" customFormat="1" outlineLevel="1" collapsed="1" x14ac:dyDescent="0.25">
      <c r="A265" s="25"/>
      <c r="B265" s="12" t="str">
        <f>CONCATENATE("     ","Royalty &amp; Commissions                             ")</f>
        <v xml:space="preserve">     Royalty &amp; Commissions                             </v>
      </c>
      <c r="C265" s="12"/>
      <c r="D265" s="1">
        <f>SUM(OSRRefD22_17x_0)</f>
        <v>0</v>
      </c>
      <c r="E265" s="1"/>
      <c r="F265" s="5">
        <f t="shared" ref="F265:F269" si="96">IF(D$12=0,0,D265/D$12)</f>
        <v>0</v>
      </c>
      <c r="G265" s="1"/>
      <c r="H265" s="1">
        <f>SUM(OSRRefH22_17x_0)</f>
        <v>16485</v>
      </c>
      <c r="I265" s="1"/>
      <c r="J265" s="5">
        <f t="shared" ref="J265:J269" si="97">IF(H$12=0,0,H265/H$12)</f>
        <v>3.9165221163466907E-2</v>
      </c>
      <c r="K265" s="1"/>
      <c r="L265" s="1">
        <f t="shared" ref="L265:L269" si="98">+D265-H265</f>
        <v>-16485</v>
      </c>
      <c r="M265" s="1"/>
      <c r="N265" s="5">
        <f t="shared" ref="N265:N269" si="99">IF(H265=0,0,L265/H265)</f>
        <v>-1</v>
      </c>
      <c r="O265" s="12"/>
      <c r="P265" s="1">
        <f>SUM(OSRRefP22_17x_0)</f>
        <v>123449.40000000001</v>
      </c>
      <c r="Q265" s="1"/>
      <c r="R265" s="5">
        <f t="shared" ref="R265:R269" si="100">IF(P$12=0,0,P265/P$12)</f>
        <v>1.3367836227428716E-2</v>
      </c>
      <c r="S265" s="1"/>
      <c r="T265" s="1">
        <f>SUM(OSRRefT22_17x_0)</f>
        <v>197820</v>
      </c>
      <c r="U265" s="1"/>
      <c r="V265" s="5">
        <f t="shared" ref="V265:V269" si="101">IF(T$12=0,0,T265/T$12)</f>
        <v>1.6442368364338381E-2</v>
      </c>
      <c r="W265" s="1"/>
      <c r="X265" s="1">
        <f t="shared" ref="X265:X269" si="102">+P265-T265</f>
        <v>-74370.599999999991</v>
      </c>
      <c r="Y265" s="1"/>
      <c r="Z265" s="5">
        <f t="shared" ref="Z265:Z269" si="103">IF(T265=0,0,X265/T265)</f>
        <v>-0.37595086442220194</v>
      </c>
    </row>
    <row r="266" spans="1:26" s="24" customFormat="1" hidden="1" outlineLevel="2" x14ac:dyDescent="0.25">
      <c r="A266" s="27"/>
      <c r="B266" s="11" t="str">
        <f>CONCATENATE("          ", "6252", " - ", "ROYALTY DUE CSTV")</f>
        <v xml:space="preserve">          6252 - ROYALTY DUE CSTV</v>
      </c>
      <c r="C266" s="11"/>
      <c r="D266" s="6"/>
      <c r="E266" s="2"/>
      <c r="F266" s="7">
        <f t="shared" si="96"/>
        <v>0</v>
      </c>
      <c r="G266" s="2"/>
      <c r="H266" s="6">
        <v>1085</v>
      </c>
      <c r="I266" s="2"/>
      <c r="J266" s="7">
        <f t="shared" si="97"/>
        <v>2.5777534099097115E-3</v>
      </c>
      <c r="K266" s="2"/>
      <c r="L266" s="6">
        <f t="shared" si="98"/>
        <v>-1085</v>
      </c>
      <c r="M266" s="2"/>
      <c r="N266" s="7">
        <f t="shared" si="99"/>
        <v>-1</v>
      </c>
      <c r="O266" s="11"/>
      <c r="P266" s="6"/>
      <c r="Q266" s="2"/>
      <c r="R266" s="7">
        <f t="shared" si="100"/>
        <v>0</v>
      </c>
      <c r="S266" s="2"/>
      <c r="T266" s="6">
        <v>13020</v>
      </c>
      <c r="U266" s="2"/>
      <c r="V266" s="7">
        <f t="shared" si="101"/>
        <v>1.082194096166645E-3</v>
      </c>
      <c r="W266" s="2"/>
      <c r="X266" s="6">
        <f t="shared" si="102"/>
        <v>-13020</v>
      </c>
      <c r="Y266" s="2"/>
      <c r="Z266" s="7">
        <f t="shared" si="103"/>
        <v>-1</v>
      </c>
    </row>
    <row r="267" spans="1:26" s="24" customFormat="1" hidden="1" outlineLevel="2" x14ac:dyDescent="0.25">
      <c r="A267" s="27"/>
      <c r="B267" s="11" t="str">
        <f>CONCATENATE("          ", "6253", " - ", "ROYALTY DUE ATHLETICS-LRG")</f>
        <v xml:space="preserve">          6253 - ROYALTY DUE ATHLETICS-LRG</v>
      </c>
      <c r="C267" s="11"/>
      <c r="D267" s="6"/>
      <c r="E267" s="2"/>
      <c r="F267" s="7">
        <f t="shared" si="96"/>
        <v>0</v>
      </c>
      <c r="G267" s="2"/>
      <c r="H267" s="6">
        <v>3700</v>
      </c>
      <c r="I267" s="2"/>
      <c r="J267" s="7">
        <f t="shared" si="97"/>
        <v>8.790495499231275E-3</v>
      </c>
      <c r="K267" s="2"/>
      <c r="L267" s="6">
        <f t="shared" si="98"/>
        <v>-3700</v>
      </c>
      <c r="M267" s="2"/>
      <c r="N267" s="7">
        <f t="shared" si="99"/>
        <v>-1</v>
      </c>
      <c r="O267" s="11"/>
      <c r="P267" s="6">
        <v>32870.44</v>
      </c>
      <c r="Q267" s="2"/>
      <c r="R267" s="7">
        <f t="shared" si="100"/>
        <v>3.5594070011156147E-3</v>
      </c>
      <c r="S267" s="2"/>
      <c r="T267" s="6">
        <v>44400</v>
      </c>
      <c r="U267" s="2"/>
      <c r="V267" s="7">
        <f t="shared" si="101"/>
        <v>3.6904314800152872E-3</v>
      </c>
      <c r="W267" s="2"/>
      <c r="X267" s="6">
        <f t="shared" si="102"/>
        <v>-11529.559999999998</v>
      </c>
      <c r="Y267" s="2"/>
      <c r="Z267" s="7">
        <f t="shared" si="103"/>
        <v>-0.25967477477477474</v>
      </c>
    </row>
    <row r="268" spans="1:26" s="24" customFormat="1" hidden="1" outlineLevel="2" x14ac:dyDescent="0.25">
      <c r="A268" s="27"/>
      <c r="B268" s="11" t="str">
        <f>CONCATENATE("          ", "6254", " - ", "ROYALTY &amp; COMMISSIONS")</f>
        <v xml:space="preserve">          6254 - ROYALTY &amp; COMMISSIONS</v>
      </c>
      <c r="C268" s="11"/>
      <c r="D268" s="6"/>
      <c r="E268" s="2"/>
      <c r="F268" s="7">
        <f t="shared" si="96"/>
        <v>0</v>
      </c>
      <c r="G268" s="2"/>
      <c r="H268" s="6">
        <v>11700</v>
      </c>
      <c r="I268" s="2"/>
      <c r="J268" s="7">
        <f t="shared" si="97"/>
        <v>2.7796972254325921E-2</v>
      </c>
      <c r="K268" s="2"/>
      <c r="L268" s="6">
        <f t="shared" si="98"/>
        <v>-11700</v>
      </c>
      <c r="M268" s="2"/>
      <c r="N268" s="7">
        <f t="shared" si="99"/>
        <v>-1</v>
      </c>
      <c r="O268" s="11"/>
      <c r="P268" s="6">
        <v>7971.22</v>
      </c>
      <c r="Q268" s="2"/>
      <c r="R268" s="7">
        <f t="shared" si="100"/>
        <v>8.6317117371817378E-4</v>
      </c>
      <c r="S268" s="2"/>
      <c r="T268" s="6">
        <v>140400</v>
      </c>
      <c r="U268" s="2"/>
      <c r="V268" s="7">
        <f t="shared" si="101"/>
        <v>1.1669742788156448E-2</v>
      </c>
      <c r="W268" s="2"/>
      <c r="X268" s="6">
        <f t="shared" si="102"/>
        <v>-132428.78</v>
      </c>
      <c r="Y268" s="2"/>
      <c r="Z268" s="7">
        <f t="shared" si="103"/>
        <v>-0.94322492877492881</v>
      </c>
    </row>
    <row r="269" spans="1:26" s="24" customFormat="1" hidden="1" outlineLevel="2" x14ac:dyDescent="0.25">
      <c r="A269" s="27"/>
      <c r="B269" s="11" t="str">
        <f>CONCATENATE("          ", "6259", " - ", "ROYALTY &amp; COMMISSIONS")</f>
        <v xml:space="preserve">          6259 - ROYALTY &amp; COMMISSIONS</v>
      </c>
      <c r="C269" s="11"/>
      <c r="D269" s="6"/>
      <c r="E269" s="2"/>
      <c r="F269" s="7">
        <f t="shared" si="96"/>
        <v>0</v>
      </c>
      <c r="G269" s="2"/>
      <c r="H269" s="6"/>
      <c r="I269" s="2"/>
      <c r="J269" s="7">
        <f t="shared" si="97"/>
        <v>0</v>
      </c>
      <c r="K269" s="2"/>
      <c r="L269" s="6">
        <f t="shared" si="98"/>
        <v>0</v>
      </c>
      <c r="M269" s="2"/>
      <c r="N269" s="7">
        <f t="shared" si="99"/>
        <v>0</v>
      </c>
      <c r="O269" s="11"/>
      <c r="P269" s="6">
        <v>82607.740000000005</v>
      </c>
      <c r="Q269" s="2"/>
      <c r="R269" s="7">
        <f t="shared" si="100"/>
        <v>8.9452580525949277E-3</v>
      </c>
      <c r="S269" s="2"/>
      <c r="T269" s="6"/>
      <c r="U269" s="2"/>
      <c r="V269" s="7">
        <f t="shared" si="101"/>
        <v>0</v>
      </c>
      <c r="W269" s="2"/>
      <c r="X269" s="6">
        <f t="shared" si="102"/>
        <v>82607.740000000005</v>
      </c>
      <c r="Y269" s="2"/>
      <c r="Z269" s="7">
        <f t="shared" si="103"/>
        <v>0</v>
      </c>
    </row>
    <row r="270" spans="1:26" s="26" customFormat="1" outlineLevel="1" collapsed="1" x14ac:dyDescent="0.25">
      <c r="A270" s="25"/>
      <c r="B270" s="12" t="str">
        <f>CONCATENATE("     ","Services                                          ")</f>
        <v xml:space="preserve">     Services                                          </v>
      </c>
      <c r="C270" s="12"/>
      <c r="D270" s="1">
        <f>SUM(OSRRefD22_18x_0)</f>
        <v>8372.83</v>
      </c>
      <c r="E270" s="1"/>
      <c r="F270" s="5">
        <f t="shared" ref="F270:F274" si="104">IF(D$12=0,0,D270/D$12)</f>
        <v>4.0243712759510643E-2</v>
      </c>
      <c r="G270" s="1"/>
      <c r="H270" s="1">
        <f>SUM(OSRRefH22_18x_0)</f>
        <v>4442.5</v>
      </c>
      <c r="I270" s="1"/>
      <c r="J270" s="5">
        <f t="shared" ref="J270:J274" si="105">IF(H$12=0,0,H270/H$12)</f>
        <v>1.0554534123063496E-2</v>
      </c>
      <c r="K270" s="1"/>
      <c r="L270" s="1">
        <f t="shared" ref="L270:L274" si="106">+D270-H270</f>
        <v>3930.33</v>
      </c>
      <c r="M270" s="1"/>
      <c r="N270" s="5">
        <f t="shared" ref="N270:N274" si="107">IF(H270=0,0,L270/H270)</f>
        <v>0.88471131119864943</v>
      </c>
      <c r="O270" s="12"/>
      <c r="P270" s="1">
        <f>SUM(OSRRefP22_18x_0)</f>
        <v>59006.079999999994</v>
      </c>
      <c r="Q270" s="1"/>
      <c r="R270" s="5">
        <f t="shared" ref="R270:R274" si="108">IF(P$12=0,0,P270/P$12)</f>
        <v>6.3895297495375177E-3</v>
      </c>
      <c r="S270" s="1"/>
      <c r="T270" s="1">
        <f>SUM(OSRRefT22_18x_0)</f>
        <v>53575</v>
      </c>
      <c r="U270" s="1"/>
      <c r="V270" s="5">
        <f t="shared" ref="V270:V274" si="109">IF(T$12=0,0,T270/T$12)</f>
        <v>4.4530375347256535E-3</v>
      </c>
      <c r="W270" s="1"/>
      <c r="X270" s="1">
        <f t="shared" ref="X270:X274" si="110">+P270-T270</f>
        <v>5431.0799999999945</v>
      </c>
      <c r="Y270" s="1"/>
      <c r="Z270" s="5">
        <f t="shared" ref="Z270:Z274" si="111">IF(T270=0,0,X270/T270)</f>
        <v>0.10137340177321502</v>
      </c>
    </row>
    <row r="271" spans="1:26" s="24" customFormat="1" hidden="1" outlineLevel="2" x14ac:dyDescent="0.25">
      <c r="A271" s="27"/>
      <c r="B271" s="11" t="str">
        <f>CONCATENATE("          ", "6282", " - ", "JANITORIAL/EXTERMINATOR EXPENS")</f>
        <v xml:space="preserve">          6282 - JANITORIAL/EXTERMINATOR EXPENS</v>
      </c>
      <c r="C271" s="11"/>
      <c r="D271" s="6">
        <v>816.86</v>
      </c>
      <c r="E271" s="2"/>
      <c r="F271" s="7">
        <f t="shared" si="104"/>
        <v>3.926208845125706E-3</v>
      </c>
      <c r="G271" s="2"/>
      <c r="H271" s="6">
        <v>50</v>
      </c>
      <c r="I271" s="2"/>
      <c r="J271" s="7">
        <f t="shared" si="105"/>
        <v>1.1879047971934154E-4</v>
      </c>
      <c r="K271" s="2"/>
      <c r="L271" s="6">
        <f t="shared" si="106"/>
        <v>766.86</v>
      </c>
      <c r="M271" s="2"/>
      <c r="N271" s="7">
        <f t="shared" si="107"/>
        <v>15.337200000000001</v>
      </c>
      <c r="O271" s="11"/>
      <c r="P271" s="6">
        <v>3502.88</v>
      </c>
      <c r="Q271" s="2"/>
      <c r="R271" s="7">
        <f t="shared" si="108"/>
        <v>3.7931270758979386E-4</v>
      </c>
      <c r="S271" s="2"/>
      <c r="T271" s="6">
        <v>600</v>
      </c>
      <c r="U271" s="2"/>
      <c r="V271" s="7">
        <f t="shared" si="109"/>
        <v>4.9870695675882259E-5</v>
      </c>
      <c r="W271" s="2"/>
      <c r="X271" s="6">
        <f t="shared" si="110"/>
        <v>2902.88</v>
      </c>
      <c r="Y271" s="2"/>
      <c r="Z271" s="7">
        <f t="shared" si="111"/>
        <v>4.8381333333333334</v>
      </c>
    </row>
    <row r="272" spans="1:26" s="24" customFormat="1" hidden="1" outlineLevel="2" x14ac:dyDescent="0.25">
      <c r="A272" s="27"/>
      <c r="B272" s="11" t="str">
        <f>CONCATENATE("          ", "6283", " - ", "PLANT SERVICE")</f>
        <v xml:space="preserve">          6283 - PLANT SERVICE</v>
      </c>
      <c r="C272" s="11"/>
      <c r="D272" s="6"/>
      <c r="E272" s="2"/>
      <c r="F272" s="7">
        <f t="shared" si="104"/>
        <v>0</v>
      </c>
      <c r="G272" s="2"/>
      <c r="H272" s="6">
        <v>60</v>
      </c>
      <c r="I272" s="2"/>
      <c r="J272" s="7">
        <f t="shared" si="105"/>
        <v>1.4254857566320985E-4</v>
      </c>
      <c r="K272" s="2"/>
      <c r="L272" s="6">
        <f t="shared" si="106"/>
        <v>-60</v>
      </c>
      <c r="M272" s="2"/>
      <c r="N272" s="7">
        <f t="shared" si="107"/>
        <v>-1</v>
      </c>
      <c r="O272" s="11"/>
      <c r="P272" s="6">
        <v>541.98</v>
      </c>
      <c r="Q272" s="2"/>
      <c r="R272" s="7">
        <f t="shared" si="108"/>
        <v>5.868882212908135E-5</v>
      </c>
      <c r="S272" s="2"/>
      <c r="T272" s="6">
        <v>720</v>
      </c>
      <c r="U272" s="2"/>
      <c r="V272" s="7">
        <f t="shared" si="109"/>
        <v>5.9844834811058706E-5</v>
      </c>
      <c r="W272" s="2"/>
      <c r="X272" s="6">
        <f t="shared" si="110"/>
        <v>-178.01999999999998</v>
      </c>
      <c r="Y272" s="2"/>
      <c r="Z272" s="7">
        <f t="shared" si="111"/>
        <v>-0.24724999999999997</v>
      </c>
    </row>
    <row r="273" spans="1:26" s="24" customFormat="1" hidden="1" outlineLevel="2" x14ac:dyDescent="0.25">
      <c r="A273" s="27"/>
      <c r="B273" s="11" t="str">
        <f>CONCATENATE("          ", "6284", " - ", "TRASH REMOVAL EXPENSE")</f>
        <v xml:space="preserve">          6284 - TRASH REMOVAL EXPENSE</v>
      </c>
      <c r="C273" s="11"/>
      <c r="D273" s="6">
        <v>134.82</v>
      </c>
      <c r="E273" s="2"/>
      <c r="F273" s="7">
        <f t="shared" si="104"/>
        <v>6.4800758575502243E-4</v>
      </c>
      <c r="G273" s="2"/>
      <c r="H273" s="6">
        <v>62.5</v>
      </c>
      <c r="I273" s="2"/>
      <c r="J273" s="7">
        <f t="shared" si="105"/>
        <v>1.4848809964917694E-4</v>
      </c>
      <c r="K273" s="2"/>
      <c r="L273" s="6">
        <f t="shared" si="106"/>
        <v>72.319999999999993</v>
      </c>
      <c r="M273" s="2"/>
      <c r="N273" s="7">
        <f t="shared" si="107"/>
        <v>1.1571199999999999</v>
      </c>
      <c r="O273" s="11"/>
      <c r="P273" s="6">
        <v>1617.84</v>
      </c>
      <c r="Q273" s="2"/>
      <c r="R273" s="7">
        <f t="shared" si="108"/>
        <v>1.7518935014818437E-4</v>
      </c>
      <c r="S273" s="2"/>
      <c r="T273" s="6">
        <v>750</v>
      </c>
      <c r="U273" s="2"/>
      <c r="V273" s="7">
        <f t="shared" si="109"/>
        <v>6.2338369594852822E-5</v>
      </c>
      <c r="W273" s="2"/>
      <c r="X273" s="6">
        <f t="shared" si="110"/>
        <v>867.83999999999992</v>
      </c>
      <c r="Y273" s="2"/>
      <c r="Z273" s="7">
        <f t="shared" si="111"/>
        <v>1.1571199999999999</v>
      </c>
    </row>
    <row r="274" spans="1:26" s="24" customFormat="1" hidden="1" outlineLevel="2" x14ac:dyDescent="0.25">
      <c r="A274" s="27"/>
      <c r="B274" s="11" t="str">
        <f>CONCATENATE("          ", "6285", " - ", "JANITORIAL SERVICES")</f>
        <v xml:space="preserve">          6285 - JANITORIAL SERVICES</v>
      </c>
      <c r="C274" s="11"/>
      <c r="D274" s="6">
        <v>7421.15</v>
      </c>
      <c r="E274" s="2"/>
      <c r="F274" s="7">
        <f t="shared" si="104"/>
        <v>3.566949632862991E-2</v>
      </c>
      <c r="G274" s="2"/>
      <c r="H274" s="6">
        <v>4270</v>
      </c>
      <c r="I274" s="2"/>
      <c r="J274" s="7">
        <f t="shared" si="105"/>
        <v>1.0144706968031767E-2</v>
      </c>
      <c r="K274" s="2"/>
      <c r="L274" s="6">
        <f t="shared" si="106"/>
        <v>3151.1499999999996</v>
      </c>
      <c r="M274" s="2"/>
      <c r="N274" s="7">
        <f t="shared" si="107"/>
        <v>0.7379742388758781</v>
      </c>
      <c r="O274" s="11"/>
      <c r="P274" s="6">
        <v>53343.38</v>
      </c>
      <c r="Q274" s="2"/>
      <c r="R274" s="7">
        <f t="shared" si="108"/>
        <v>5.7763388696704587E-3</v>
      </c>
      <c r="S274" s="2"/>
      <c r="T274" s="6">
        <v>51505</v>
      </c>
      <c r="U274" s="2"/>
      <c r="V274" s="7">
        <f t="shared" si="109"/>
        <v>4.2809836346438595E-3</v>
      </c>
      <c r="W274" s="2"/>
      <c r="X274" s="6">
        <f t="shared" si="110"/>
        <v>1838.3799999999974</v>
      </c>
      <c r="Y274" s="2"/>
      <c r="Z274" s="7">
        <f t="shared" si="111"/>
        <v>3.569323366663426E-2</v>
      </c>
    </row>
    <row r="275" spans="1:26" s="26" customFormat="1" outlineLevel="1" collapsed="1" x14ac:dyDescent="0.25">
      <c r="A275" s="25"/>
      <c r="B275" s="12" t="str">
        <f>CONCATENATE("     ","Subscriptions &amp; Dues                              ")</f>
        <v xml:space="preserve">     Subscriptions &amp; Dues                              </v>
      </c>
      <c r="C275" s="12"/>
      <c r="D275" s="1">
        <f>SUM(OSRRefD22_19x_0)</f>
        <v>1101.25</v>
      </c>
      <c r="E275" s="1"/>
      <c r="F275" s="5">
        <f t="shared" ref="F275:F277" si="112">IF(D$12=0,0,D275/D$12)</f>
        <v>5.2931193725909995E-3</v>
      </c>
      <c r="G275" s="1"/>
      <c r="H275" s="1">
        <f>SUM(OSRRefH22_19x_0)</f>
        <v>1015</v>
      </c>
      <c r="I275" s="1"/>
      <c r="J275" s="5">
        <f t="shared" ref="J275:J277" si="113">IF(H$12=0,0,H275/H$12)</f>
        <v>2.4114467383026333E-3</v>
      </c>
      <c r="K275" s="1"/>
      <c r="L275" s="1">
        <f t="shared" ref="L275:L277" si="114">+D275-H275</f>
        <v>86.25</v>
      </c>
      <c r="M275" s="1"/>
      <c r="N275" s="5">
        <f t="shared" ref="N275:N277" si="115">IF(H275=0,0,L275/H275)</f>
        <v>8.4975369458128072E-2</v>
      </c>
      <c r="O275" s="12"/>
      <c r="P275" s="1">
        <f>SUM(OSRRefP22_19x_0)</f>
        <v>8460.1</v>
      </c>
      <c r="Q275" s="1"/>
      <c r="R275" s="5">
        <f t="shared" ref="R275:R277" si="116">IF(P$12=0,0,P275/P$12)</f>
        <v>9.1611001161341957E-4</v>
      </c>
      <c r="S275" s="1"/>
      <c r="T275" s="1">
        <f>SUM(OSRRefT22_19x_0)</f>
        <v>21870</v>
      </c>
      <c r="U275" s="1"/>
      <c r="V275" s="5">
        <f t="shared" ref="V275:V277" si="117">IF(T$12=0,0,T275/T$12)</f>
        <v>1.8177868573859082E-3</v>
      </c>
      <c r="W275" s="1"/>
      <c r="X275" s="1">
        <f t="shared" ref="X275:X277" si="118">+P275-T275</f>
        <v>-13409.9</v>
      </c>
      <c r="Y275" s="1"/>
      <c r="Z275" s="5">
        <f t="shared" ref="Z275:Z277" si="119">IF(T275=0,0,X275/T275)</f>
        <v>-0.61316415180612704</v>
      </c>
    </row>
    <row r="276" spans="1:26" s="24" customFormat="1" hidden="1" outlineLevel="2" x14ac:dyDescent="0.25">
      <c r="A276" s="27"/>
      <c r="B276" s="11" t="str">
        <f>CONCATENATE("          ", "6258", " - ", "MEMBERSHIP DUES")</f>
        <v xml:space="preserve">          6258 - MEMBERSHIP DUES</v>
      </c>
      <c r="C276" s="11"/>
      <c r="D276" s="6">
        <v>1101.25</v>
      </c>
      <c r="E276" s="2"/>
      <c r="F276" s="7">
        <f t="shared" si="112"/>
        <v>5.2931193725909995E-3</v>
      </c>
      <c r="G276" s="2"/>
      <c r="H276" s="6">
        <v>700</v>
      </c>
      <c r="I276" s="2"/>
      <c r="J276" s="7">
        <f t="shared" si="113"/>
        <v>1.6630667160707816E-3</v>
      </c>
      <c r="K276" s="2"/>
      <c r="L276" s="6">
        <f t="shared" si="114"/>
        <v>401.25</v>
      </c>
      <c r="M276" s="2"/>
      <c r="N276" s="7">
        <f t="shared" si="115"/>
        <v>0.57321428571428568</v>
      </c>
      <c r="O276" s="11"/>
      <c r="P276" s="6">
        <v>5667.66</v>
      </c>
      <c r="Q276" s="2"/>
      <c r="R276" s="7">
        <f t="shared" si="116"/>
        <v>6.1372797820603928E-4</v>
      </c>
      <c r="S276" s="2"/>
      <c r="T276" s="6">
        <v>16140</v>
      </c>
      <c r="U276" s="2"/>
      <c r="V276" s="7">
        <f t="shared" si="117"/>
        <v>1.3415217136812326E-3</v>
      </c>
      <c r="W276" s="2"/>
      <c r="X276" s="6">
        <f t="shared" si="118"/>
        <v>-10472.34</v>
      </c>
      <c r="Y276" s="2"/>
      <c r="Z276" s="7">
        <f t="shared" si="119"/>
        <v>-0.64884386617100376</v>
      </c>
    </row>
    <row r="277" spans="1:26" s="24" customFormat="1" hidden="1" outlineLevel="2" x14ac:dyDescent="0.25">
      <c r="A277" s="27"/>
      <c r="B277" s="11" t="str">
        <f>CONCATENATE("          ", "6275", " - ", "SUBSCRIPTIONS")</f>
        <v xml:space="preserve">          6275 - SUBSCRIPTIONS</v>
      </c>
      <c r="C277" s="11"/>
      <c r="D277" s="6"/>
      <c r="E277" s="2"/>
      <c r="F277" s="7">
        <f t="shared" si="112"/>
        <v>0</v>
      </c>
      <c r="G277" s="2"/>
      <c r="H277" s="6">
        <v>315</v>
      </c>
      <c r="I277" s="2"/>
      <c r="J277" s="7">
        <f t="shared" si="113"/>
        <v>7.4838002223185176E-4</v>
      </c>
      <c r="K277" s="2"/>
      <c r="L277" s="6">
        <f t="shared" si="114"/>
        <v>-315</v>
      </c>
      <c r="M277" s="2"/>
      <c r="N277" s="7">
        <f t="shared" si="115"/>
        <v>-1</v>
      </c>
      <c r="O277" s="11"/>
      <c r="P277" s="6">
        <v>2792.44</v>
      </c>
      <c r="Q277" s="2"/>
      <c r="R277" s="7">
        <f t="shared" si="116"/>
        <v>3.0238203340738018E-4</v>
      </c>
      <c r="S277" s="2"/>
      <c r="T277" s="6">
        <v>5730</v>
      </c>
      <c r="U277" s="2"/>
      <c r="V277" s="7">
        <f t="shared" si="117"/>
        <v>4.7626514370467557E-4</v>
      </c>
      <c r="W277" s="2"/>
      <c r="X277" s="6">
        <f t="shared" si="118"/>
        <v>-2937.56</v>
      </c>
      <c r="Y277" s="2"/>
      <c r="Z277" s="7">
        <f t="shared" si="119"/>
        <v>-0.51266317626527047</v>
      </c>
    </row>
    <row r="278" spans="1:26" s="26" customFormat="1" outlineLevel="1" collapsed="1" x14ac:dyDescent="0.25">
      <c r="A278" s="25"/>
      <c r="B278" s="12" t="str">
        <f>CONCATENATE("     ","Supplies                                          ")</f>
        <v xml:space="preserve">     Supplies                                          </v>
      </c>
      <c r="C278" s="12"/>
      <c r="D278" s="1">
        <f>SUM(OSRRefD22_20x_0)</f>
        <v>15976.59</v>
      </c>
      <c r="E278" s="1"/>
      <c r="F278" s="5">
        <f t="shared" ref="F278:F286" si="120">IF(D$12=0,0,D278/D$12)</f>
        <v>7.6790917627190591E-2</v>
      </c>
      <c r="G278" s="1"/>
      <c r="H278" s="1">
        <f>SUM(OSRRefH22_20x_0)</f>
        <v>16250</v>
      </c>
      <c r="I278" s="1"/>
      <c r="J278" s="5">
        <f t="shared" ref="J278:J286" si="121">IF(H$12=0,0,H278/H$12)</f>
        <v>3.8606905908786002E-2</v>
      </c>
      <c r="K278" s="1"/>
      <c r="L278" s="1">
        <f t="shared" ref="L278:L286" si="122">+D278-H278</f>
        <v>-273.40999999999985</v>
      </c>
      <c r="M278" s="1"/>
      <c r="N278" s="5">
        <f t="shared" ref="N278:N286" si="123">IF(H278=0,0,L278/H278)</f>
        <v>-1.6825230769230759E-2</v>
      </c>
      <c r="O278" s="12"/>
      <c r="P278" s="1">
        <f>SUM(OSRRefP22_20x_0)</f>
        <v>109079.15000000001</v>
      </c>
      <c r="Q278" s="1"/>
      <c r="R278" s="5">
        <f t="shared" ref="R278:R286" si="124">IF(P$12=0,0,P278/P$12)</f>
        <v>1.1811739976274742E-2</v>
      </c>
      <c r="S278" s="1"/>
      <c r="T278" s="1">
        <f>SUM(OSRRefT22_20x_0)</f>
        <v>204590</v>
      </c>
      <c r="U278" s="1"/>
      <c r="V278" s="5">
        <f t="shared" ref="V278:V286" si="125">IF(T$12=0,0,T278/T$12)</f>
        <v>1.7005076047214584E-2</v>
      </c>
      <c r="W278" s="1"/>
      <c r="X278" s="1">
        <f t="shared" ref="X278:X286" si="126">+P278-T278</f>
        <v>-95510.849999999991</v>
      </c>
      <c r="Y278" s="1"/>
      <c r="Z278" s="5">
        <f t="shared" ref="Z278:Z286" si="127">IF(T278=0,0,X278/T278)</f>
        <v>-0.46684026589764893</v>
      </c>
    </row>
    <row r="279" spans="1:26" s="24" customFormat="1" hidden="1" outlineLevel="2" x14ac:dyDescent="0.25">
      <c r="A279" s="27"/>
      <c r="B279" s="11" t="str">
        <f>CONCATENATE("          ", "6234", " - ", "EXPENDABLE SUPPLIES &amp; EQUIPMEN")</f>
        <v xml:space="preserve">          6234 - EXPENDABLE SUPPLIES &amp; EQUIPMEN</v>
      </c>
      <c r="C279" s="11"/>
      <c r="D279" s="6">
        <v>4356.1000000000004</v>
      </c>
      <c r="E279" s="2"/>
      <c r="F279" s="7">
        <f t="shared" si="120"/>
        <v>2.0937441361129312E-2</v>
      </c>
      <c r="G279" s="2"/>
      <c r="H279" s="6">
        <v>1200</v>
      </c>
      <c r="I279" s="2"/>
      <c r="J279" s="7">
        <f t="shared" si="121"/>
        <v>2.8509715132641971E-3</v>
      </c>
      <c r="K279" s="2"/>
      <c r="L279" s="6">
        <f t="shared" si="122"/>
        <v>3156.1000000000004</v>
      </c>
      <c r="M279" s="2"/>
      <c r="N279" s="7">
        <f t="shared" si="123"/>
        <v>2.6300833333333338</v>
      </c>
      <c r="O279" s="11"/>
      <c r="P279" s="6">
        <v>8498.66</v>
      </c>
      <c r="Q279" s="2"/>
      <c r="R279" s="7">
        <f t="shared" si="124"/>
        <v>9.2028551805516524E-4</v>
      </c>
      <c r="S279" s="2"/>
      <c r="T279" s="6">
        <v>8450</v>
      </c>
      <c r="U279" s="2"/>
      <c r="V279" s="7">
        <f t="shared" si="125"/>
        <v>7.0234563076867508E-4</v>
      </c>
      <c r="W279" s="2"/>
      <c r="X279" s="6">
        <f t="shared" si="126"/>
        <v>48.659999999999854</v>
      </c>
      <c r="Y279" s="2"/>
      <c r="Z279" s="7">
        <f t="shared" si="127"/>
        <v>5.7585798816567873E-3</v>
      </c>
    </row>
    <row r="280" spans="1:26" s="24" customFormat="1" hidden="1" outlineLevel="2" x14ac:dyDescent="0.25">
      <c r="A280" s="27"/>
      <c r="B280" s="11" t="str">
        <f>CONCATENATE("          ", "6235", " - ", "COVID-19 EXPENSES")</f>
        <v xml:space="preserve">          6235 - COVID-19 EXPENSES</v>
      </c>
      <c r="C280" s="11"/>
      <c r="D280" s="6">
        <v>3511.67</v>
      </c>
      <c r="E280" s="2"/>
      <c r="F280" s="7">
        <f t="shared" si="120"/>
        <v>1.6878718281177419E-2</v>
      </c>
      <c r="G280" s="2"/>
      <c r="H280" s="6"/>
      <c r="I280" s="2"/>
      <c r="J280" s="7">
        <f t="shared" si="121"/>
        <v>0</v>
      </c>
      <c r="K280" s="2"/>
      <c r="L280" s="6">
        <f t="shared" si="122"/>
        <v>3511.67</v>
      </c>
      <c r="M280" s="2"/>
      <c r="N280" s="7">
        <f t="shared" si="123"/>
        <v>0</v>
      </c>
      <c r="O280" s="11"/>
      <c r="P280" s="6">
        <v>5061.67</v>
      </c>
      <c r="Q280" s="2"/>
      <c r="R280" s="7">
        <f t="shared" si="124"/>
        <v>5.481077720692778E-4</v>
      </c>
      <c r="S280" s="2"/>
      <c r="T280" s="6"/>
      <c r="U280" s="2"/>
      <c r="V280" s="7">
        <f t="shared" si="125"/>
        <v>0</v>
      </c>
      <c r="W280" s="2"/>
      <c r="X280" s="6">
        <f t="shared" si="126"/>
        <v>5061.67</v>
      </c>
      <c r="Y280" s="2"/>
      <c r="Z280" s="7">
        <f t="shared" si="127"/>
        <v>0</v>
      </c>
    </row>
    <row r="281" spans="1:26" s="24" customFormat="1" hidden="1" outlineLevel="2" x14ac:dyDescent="0.25">
      <c r="A281" s="27"/>
      <c r="B281" s="11" t="str">
        <f>CONCATENATE("          ", "6237", " - ", "JANITORIAL SUPPLIES")</f>
        <v xml:space="preserve">          6237 - JANITORIAL SUPPLIES</v>
      </c>
      <c r="C281" s="11"/>
      <c r="D281" s="6">
        <v>1763.02</v>
      </c>
      <c r="E281" s="2"/>
      <c r="F281" s="7">
        <f t="shared" si="120"/>
        <v>8.4738935902523346E-3</v>
      </c>
      <c r="G281" s="2"/>
      <c r="H281" s="6">
        <v>225</v>
      </c>
      <c r="I281" s="2"/>
      <c r="J281" s="7">
        <f t="shared" si="121"/>
        <v>5.3455715873703693E-4</v>
      </c>
      <c r="K281" s="2"/>
      <c r="L281" s="6">
        <f t="shared" si="122"/>
        <v>1538.02</v>
      </c>
      <c r="M281" s="2"/>
      <c r="N281" s="7">
        <f t="shared" si="123"/>
        <v>6.8356444444444442</v>
      </c>
      <c r="O281" s="11"/>
      <c r="P281" s="6">
        <v>7068.06</v>
      </c>
      <c r="Q281" s="2"/>
      <c r="R281" s="7">
        <f t="shared" si="124"/>
        <v>7.6537163020346639E-4</v>
      </c>
      <c r="S281" s="2"/>
      <c r="T281" s="6">
        <v>715</v>
      </c>
      <c r="U281" s="2"/>
      <c r="V281" s="7">
        <f t="shared" si="125"/>
        <v>5.9429245680426357E-5</v>
      </c>
      <c r="W281" s="2"/>
      <c r="X281" s="6">
        <f t="shared" si="126"/>
        <v>6353.06</v>
      </c>
      <c r="Y281" s="2"/>
      <c r="Z281" s="7">
        <f t="shared" si="127"/>
        <v>8.8853986013986024</v>
      </c>
    </row>
    <row r="282" spans="1:26" s="24" customFormat="1" hidden="1" outlineLevel="2" x14ac:dyDescent="0.25">
      <c r="A282" s="27"/>
      <c r="B282" s="11" t="str">
        <f>CONCATENATE("          ", "6241", " - ", "OFFICE EXPENSE")</f>
        <v xml:space="preserve">          6241 - OFFICE EXPENSE</v>
      </c>
      <c r="C282" s="11"/>
      <c r="D282" s="6">
        <v>652.34</v>
      </c>
      <c r="E282" s="2"/>
      <c r="F282" s="7">
        <f t="shared" si="120"/>
        <v>3.1354492544980817E-3</v>
      </c>
      <c r="G282" s="2"/>
      <c r="H282" s="6">
        <v>2375</v>
      </c>
      <c r="I282" s="2"/>
      <c r="J282" s="7">
        <f t="shared" si="121"/>
        <v>5.6425477866687236E-3</v>
      </c>
      <c r="K282" s="2"/>
      <c r="L282" s="6">
        <f t="shared" si="122"/>
        <v>-1722.6599999999999</v>
      </c>
      <c r="M282" s="2"/>
      <c r="N282" s="7">
        <f t="shared" si="123"/>
        <v>-0.72533052631578943</v>
      </c>
      <c r="O282" s="11"/>
      <c r="P282" s="6">
        <v>25032.89</v>
      </c>
      <c r="Q282" s="2"/>
      <c r="R282" s="7">
        <f t="shared" si="124"/>
        <v>2.710710411061034E-3</v>
      </c>
      <c r="S282" s="2"/>
      <c r="T282" s="6">
        <v>19175</v>
      </c>
      <c r="U282" s="2"/>
      <c r="V282" s="7">
        <f t="shared" si="125"/>
        <v>1.5937843159750705E-3</v>
      </c>
      <c r="W282" s="2"/>
      <c r="X282" s="6">
        <f t="shared" si="126"/>
        <v>5857.8899999999994</v>
      </c>
      <c r="Y282" s="2"/>
      <c r="Z282" s="7">
        <f t="shared" si="127"/>
        <v>0.30549621903520208</v>
      </c>
    </row>
    <row r="283" spans="1:26" s="24" customFormat="1" hidden="1" outlineLevel="2" x14ac:dyDescent="0.25">
      <c r="A283" s="27"/>
      <c r="B283" s="11" t="str">
        <f>CONCATENATE("          ", "6243", " - ", "PAPER SUPPLIES")</f>
        <v xml:space="preserve">          6243 - PAPER SUPPLIES</v>
      </c>
      <c r="C283" s="11"/>
      <c r="D283" s="6">
        <v>508.47</v>
      </c>
      <c r="E283" s="2"/>
      <c r="F283" s="7">
        <f t="shared" si="120"/>
        <v>2.4439431622078054E-3</v>
      </c>
      <c r="G283" s="2"/>
      <c r="H283" s="6">
        <v>250</v>
      </c>
      <c r="I283" s="2"/>
      <c r="J283" s="7">
        <f t="shared" si="121"/>
        <v>5.9395239859670775E-4</v>
      </c>
      <c r="K283" s="2"/>
      <c r="L283" s="6">
        <f t="shared" si="122"/>
        <v>258.47000000000003</v>
      </c>
      <c r="M283" s="2"/>
      <c r="N283" s="7">
        <f t="shared" si="123"/>
        <v>1.0338800000000001</v>
      </c>
      <c r="O283" s="11"/>
      <c r="P283" s="6">
        <v>18447.68</v>
      </c>
      <c r="Q283" s="2"/>
      <c r="R283" s="7">
        <f t="shared" si="124"/>
        <v>1.9976246544415135E-3</v>
      </c>
      <c r="S283" s="2"/>
      <c r="T283" s="6">
        <v>4000</v>
      </c>
      <c r="U283" s="2"/>
      <c r="V283" s="7">
        <f t="shared" si="125"/>
        <v>3.324713045058817E-4</v>
      </c>
      <c r="W283" s="2"/>
      <c r="X283" s="6">
        <f t="shared" si="126"/>
        <v>14447.68</v>
      </c>
      <c r="Y283" s="2"/>
      <c r="Z283" s="7">
        <f t="shared" si="127"/>
        <v>3.61192</v>
      </c>
    </row>
    <row r="284" spans="1:26" s="24" customFormat="1" hidden="1" outlineLevel="2" x14ac:dyDescent="0.25">
      <c r="A284" s="27"/>
      <c r="B284" s="11" t="str">
        <f>CONCATENATE("          ", "6245", " - ", "PRINTING")</f>
        <v xml:space="preserve">          6245 - PRINTING</v>
      </c>
      <c r="C284" s="11"/>
      <c r="D284" s="6">
        <v>158.76</v>
      </c>
      <c r="E284" s="2"/>
      <c r="F284" s="7">
        <f t="shared" si="120"/>
        <v>7.6307435331899839E-4</v>
      </c>
      <c r="G284" s="2"/>
      <c r="H284" s="6">
        <v>100</v>
      </c>
      <c r="I284" s="2"/>
      <c r="J284" s="7">
        <f t="shared" si="121"/>
        <v>2.3758095943868308E-4</v>
      </c>
      <c r="K284" s="2"/>
      <c r="L284" s="6">
        <f t="shared" si="122"/>
        <v>58.759999999999991</v>
      </c>
      <c r="M284" s="2"/>
      <c r="N284" s="7">
        <f t="shared" si="123"/>
        <v>0.5875999999999999</v>
      </c>
      <c r="O284" s="11"/>
      <c r="P284" s="6">
        <v>10786.36</v>
      </c>
      <c r="Q284" s="2"/>
      <c r="R284" s="7">
        <f t="shared" si="124"/>
        <v>1.1680112983140298E-3</v>
      </c>
      <c r="S284" s="2"/>
      <c r="T284" s="6">
        <v>2800</v>
      </c>
      <c r="U284" s="2"/>
      <c r="V284" s="7">
        <f t="shared" si="125"/>
        <v>2.327299131541172E-4</v>
      </c>
      <c r="W284" s="2"/>
      <c r="X284" s="6">
        <f t="shared" si="126"/>
        <v>7986.3600000000006</v>
      </c>
      <c r="Y284" s="2"/>
      <c r="Z284" s="7">
        <f t="shared" si="127"/>
        <v>2.8522714285714286</v>
      </c>
    </row>
    <row r="285" spans="1:26" s="24" customFormat="1" hidden="1" outlineLevel="2" x14ac:dyDescent="0.25">
      <c r="A285" s="27"/>
      <c r="B285" s="11" t="str">
        <f>CONCATENATE("          ", "6247", " - ", "STORE SUPPLIES")</f>
        <v xml:space="preserve">          6247 - STORE SUPPLIES</v>
      </c>
      <c r="C285" s="11"/>
      <c r="D285" s="6">
        <v>5026.2299999999996</v>
      </c>
      <c r="E285" s="2"/>
      <c r="F285" s="7">
        <f t="shared" si="120"/>
        <v>2.4158397624606635E-2</v>
      </c>
      <c r="G285" s="2"/>
      <c r="H285" s="6">
        <v>11100</v>
      </c>
      <c r="I285" s="2"/>
      <c r="J285" s="7">
        <f t="shared" si="121"/>
        <v>2.6371486497693823E-2</v>
      </c>
      <c r="K285" s="2"/>
      <c r="L285" s="6">
        <f t="shared" si="122"/>
        <v>-6073.77</v>
      </c>
      <c r="M285" s="2"/>
      <c r="N285" s="7">
        <f t="shared" si="123"/>
        <v>-0.54718648648648649</v>
      </c>
      <c r="O285" s="11"/>
      <c r="P285" s="6">
        <v>34139.919999999998</v>
      </c>
      <c r="Q285" s="2"/>
      <c r="R285" s="7">
        <f t="shared" si="124"/>
        <v>3.6968738558269066E-3</v>
      </c>
      <c r="S285" s="2"/>
      <c r="T285" s="6">
        <v>156950</v>
      </c>
      <c r="U285" s="2"/>
      <c r="V285" s="7">
        <f t="shared" si="125"/>
        <v>1.3045342810549533E-2</v>
      </c>
      <c r="W285" s="2"/>
      <c r="X285" s="6">
        <f t="shared" si="126"/>
        <v>-122810.08</v>
      </c>
      <c r="Y285" s="2"/>
      <c r="Z285" s="7">
        <f t="shared" si="127"/>
        <v>-0.78247900605288312</v>
      </c>
    </row>
    <row r="286" spans="1:26" s="24" customFormat="1" hidden="1" outlineLevel="2" x14ac:dyDescent="0.25">
      <c r="A286" s="27"/>
      <c r="B286" s="11" t="str">
        <f>CONCATENATE("          ", "6248", " - ", "UNIFORMS")</f>
        <v xml:space="preserve">          6248 - UNIFORMS</v>
      </c>
      <c r="C286" s="11"/>
      <c r="D286" s="6"/>
      <c r="E286" s="2"/>
      <c r="F286" s="7">
        <f t="shared" si="120"/>
        <v>0</v>
      </c>
      <c r="G286" s="2"/>
      <c r="H286" s="6">
        <v>1000</v>
      </c>
      <c r="I286" s="2"/>
      <c r="J286" s="7">
        <f t="shared" si="121"/>
        <v>2.375809594386831E-3</v>
      </c>
      <c r="K286" s="2"/>
      <c r="L286" s="6">
        <f t="shared" si="122"/>
        <v>-1000</v>
      </c>
      <c r="M286" s="2"/>
      <c r="N286" s="7">
        <f t="shared" si="123"/>
        <v>-1</v>
      </c>
      <c r="O286" s="11"/>
      <c r="P286" s="6">
        <v>43.91</v>
      </c>
      <c r="Q286" s="2"/>
      <c r="R286" s="7">
        <f t="shared" si="124"/>
        <v>4.7548363033469166E-6</v>
      </c>
      <c r="S286" s="2"/>
      <c r="T286" s="6">
        <v>12500</v>
      </c>
      <c r="U286" s="2"/>
      <c r="V286" s="7">
        <f t="shared" si="125"/>
        <v>1.0389728265808803E-3</v>
      </c>
      <c r="W286" s="2"/>
      <c r="X286" s="6">
        <f t="shared" si="126"/>
        <v>-12456.09</v>
      </c>
      <c r="Y286" s="2"/>
      <c r="Z286" s="7">
        <f t="shared" si="127"/>
        <v>-0.99648720000000002</v>
      </c>
    </row>
    <row r="287" spans="1:26" s="26" customFormat="1" outlineLevel="1" collapsed="1" x14ac:dyDescent="0.25">
      <c r="A287" s="25"/>
      <c r="B287" s="12" t="str">
        <f>CONCATENATE("     ","Telephone/Data Lines                              ")</f>
        <v xml:space="preserve">     Telephone/Data Lines                              </v>
      </c>
      <c r="C287" s="12"/>
      <c r="D287" s="1">
        <f>SUM(OSRRefD22_21x_0)</f>
        <v>678.84</v>
      </c>
      <c r="E287" s="1"/>
      <c r="F287" s="5">
        <f t="shared" ref="F287:F289" si="128">IF(D$12=0,0,D287/D$12)</f>
        <v>3.2628205719770027E-3</v>
      </c>
      <c r="G287" s="1"/>
      <c r="H287" s="1">
        <f>SUM(OSRRefH22_21x_0)</f>
        <v>2290</v>
      </c>
      <c r="I287" s="1"/>
      <c r="J287" s="5">
        <f t="shared" ref="J287:J289" si="129">IF(H$12=0,0,H287/H$12)</f>
        <v>5.440603971145843E-3</v>
      </c>
      <c r="K287" s="1"/>
      <c r="L287" s="1">
        <f t="shared" ref="L287:L289" si="130">+D287-H287</f>
        <v>-1611.1599999999999</v>
      </c>
      <c r="M287" s="1"/>
      <c r="N287" s="5">
        <f t="shared" ref="N287:N289" si="131">IF(H287=0,0,L287/H287)</f>
        <v>-0.7035633187772925</v>
      </c>
      <c r="O287" s="12"/>
      <c r="P287" s="1">
        <f>SUM(OSRRefP22_21x_0)</f>
        <v>28535.31</v>
      </c>
      <c r="Q287" s="1"/>
      <c r="R287" s="5">
        <f t="shared" ref="R287:R289" si="132">IF(P$12=0,0,P287/P$12)</f>
        <v>3.0899733071113257E-3</v>
      </c>
      <c r="S287" s="1"/>
      <c r="T287" s="1">
        <f>SUM(OSRRefT22_21x_0)</f>
        <v>34055</v>
      </c>
      <c r="U287" s="1"/>
      <c r="V287" s="5">
        <f t="shared" ref="V287:V289" si="133">IF(T$12=0,0,T287/T$12)</f>
        <v>2.8305775687369502E-3</v>
      </c>
      <c r="W287" s="1"/>
      <c r="X287" s="1">
        <f t="shared" ref="X287:X289" si="134">+P287-T287</f>
        <v>-5519.6899999999987</v>
      </c>
      <c r="Y287" s="1"/>
      <c r="Z287" s="5">
        <f t="shared" ref="Z287:Z289" si="135">IF(T287=0,0,X287/T287)</f>
        <v>-0.16208163265306119</v>
      </c>
    </row>
    <row r="288" spans="1:26" s="24" customFormat="1" hidden="1" outlineLevel="2" x14ac:dyDescent="0.25">
      <c r="A288" s="27"/>
      <c r="B288" s="11" t="str">
        <f>CONCATENATE("          ", "6303", " - ", "DATA PHONE LINES")</f>
        <v xml:space="preserve">          6303 - DATA PHONE LINES</v>
      </c>
      <c r="C288" s="11"/>
      <c r="D288" s="6"/>
      <c r="E288" s="2"/>
      <c r="F288" s="7">
        <f t="shared" si="128"/>
        <v>0</v>
      </c>
      <c r="G288" s="2"/>
      <c r="H288" s="6">
        <v>950</v>
      </c>
      <c r="I288" s="2"/>
      <c r="J288" s="7">
        <f t="shared" si="129"/>
        <v>2.2570191146674893E-3</v>
      </c>
      <c r="K288" s="2"/>
      <c r="L288" s="6">
        <f t="shared" si="130"/>
        <v>-950</v>
      </c>
      <c r="M288" s="2"/>
      <c r="N288" s="7">
        <f t="shared" si="131"/>
        <v>-1</v>
      </c>
      <c r="O288" s="11"/>
      <c r="P288" s="6">
        <v>2950</v>
      </c>
      <c r="Q288" s="2"/>
      <c r="R288" s="7">
        <f t="shared" si="132"/>
        <v>3.1944356854642233E-4</v>
      </c>
      <c r="S288" s="2"/>
      <c r="T288" s="6">
        <v>12725</v>
      </c>
      <c r="U288" s="2"/>
      <c r="V288" s="7">
        <f t="shared" si="133"/>
        <v>1.0576743374593363E-3</v>
      </c>
      <c r="W288" s="2"/>
      <c r="X288" s="6">
        <f t="shared" si="134"/>
        <v>-9775</v>
      </c>
      <c r="Y288" s="2"/>
      <c r="Z288" s="7">
        <f t="shared" si="135"/>
        <v>-0.76817288801571704</v>
      </c>
    </row>
    <row r="289" spans="1:26" s="24" customFormat="1" hidden="1" outlineLevel="2" x14ac:dyDescent="0.25">
      <c r="A289" s="27"/>
      <c r="B289" s="11" t="str">
        <f>CONCATENATE("          ", "6309", " - ", "TELEPHONE")</f>
        <v xml:space="preserve">          6309 - TELEPHONE</v>
      </c>
      <c r="C289" s="11"/>
      <c r="D289" s="6">
        <v>678.84</v>
      </c>
      <c r="E289" s="2"/>
      <c r="F289" s="7">
        <f t="shared" si="128"/>
        <v>3.2628205719770027E-3</v>
      </c>
      <c r="G289" s="2"/>
      <c r="H289" s="6">
        <v>1340</v>
      </c>
      <c r="I289" s="2"/>
      <c r="J289" s="7">
        <f t="shared" si="129"/>
        <v>3.1835848564783532E-3</v>
      </c>
      <c r="K289" s="2"/>
      <c r="L289" s="6">
        <f t="shared" si="130"/>
        <v>-661.16</v>
      </c>
      <c r="M289" s="2"/>
      <c r="N289" s="7">
        <f t="shared" si="131"/>
        <v>-0.49340298507462682</v>
      </c>
      <c r="O289" s="11"/>
      <c r="P289" s="6">
        <v>25585.31</v>
      </c>
      <c r="Q289" s="2"/>
      <c r="R289" s="7">
        <f t="shared" si="132"/>
        <v>2.7705297385649036E-3</v>
      </c>
      <c r="S289" s="2"/>
      <c r="T289" s="6">
        <v>21330</v>
      </c>
      <c r="U289" s="2"/>
      <c r="V289" s="7">
        <f t="shared" si="133"/>
        <v>1.7729032312776142E-3</v>
      </c>
      <c r="W289" s="2"/>
      <c r="X289" s="6">
        <f t="shared" si="134"/>
        <v>4255.3100000000013</v>
      </c>
      <c r="Y289" s="2"/>
      <c r="Z289" s="7">
        <f t="shared" si="135"/>
        <v>0.19949882794186599</v>
      </c>
    </row>
    <row r="290" spans="1:26" s="26" customFormat="1" outlineLevel="1" collapsed="1" x14ac:dyDescent="0.25">
      <c r="A290" s="25"/>
      <c r="B290" s="12" t="str">
        <f>CONCATENATE("     ","Training                                          ")</f>
        <v xml:space="preserve">     Training                                          </v>
      </c>
      <c r="C290" s="12"/>
      <c r="D290" s="1">
        <f>SUM(OSRRefD22_22x_0)</f>
        <v>0</v>
      </c>
      <c r="E290" s="1"/>
      <c r="F290" s="5">
        <f t="shared" ref="F290:F295" si="136">IF(D$12=0,0,D290/D$12)</f>
        <v>0</v>
      </c>
      <c r="G290" s="1"/>
      <c r="H290" s="1">
        <f>SUM(OSRRefH22_22x_0)</f>
        <v>1600</v>
      </c>
      <c r="I290" s="1"/>
      <c r="J290" s="5">
        <f t="shared" ref="J290:J295" si="137">IF(H$12=0,0,H290/H$12)</f>
        <v>3.8012953510189293E-3</v>
      </c>
      <c r="K290" s="1"/>
      <c r="L290" s="1">
        <f t="shared" ref="L290:L295" si="138">+D290-H290</f>
        <v>-1600</v>
      </c>
      <c r="M290" s="1"/>
      <c r="N290" s="5">
        <f t="shared" ref="N290:N295" si="139">IF(H290=0,0,L290/H290)</f>
        <v>-1</v>
      </c>
      <c r="O290" s="12"/>
      <c r="P290" s="1">
        <f>SUM(OSRRefP22_22x_0)</f>
        <v>23857.01</v>
      </c>
      <c r="Q290" s="1"/>
      <c r="R290" s="5">
        <f t="shared" ref="R290:R295" si="140">IF(P$12=0,0,P290/P$12)</f>
        <v>2.5833791217788754E-3</v>
      </c>
      <c r="S290" s="1"/>
      <c r="T290" s="1">
        <f>SUM(OSRRefT22_22x_0)</f>
        <v>29800</v>
      </c>
      <c r="U290" s="1"/>
      <c r="V290" s="5">
        <f t="shared" ref="V290:V295" si="141">IF(T$12=0,0,T290/T$12)</f>
        <v>2.4769112185688189E-3</v>
      </c>
      <c r="W290" s="1"/>
      <c r="X290" s="1">
        <f t="shared" ref="X290:X295" si="142">+P290-T290</f>
        <v>-5942.9900000000016</v>
      </c>
      <c r="Y290" s="1"/>
      <c r="Z290" s="5">
        <f t="shared" ref="Z290:Z295" si="143">IF(T290=0,0,X290/T290)</f>
        <v>-0.19942919463087252</v>
      </c>
    </row>
    <row r="291" spans="1:26" s="24" customFormat="1" hidden="1" outlineLevel="2" x14ac:dyDescent="0.25">
      <c r="A291" s="27"/>
      <c r="B291" s="11" t="str">
        <f>CONCATENATE("          ", "6376", " - ", "TRAINING")</f>
        <v xml:space="preserve">          6376 - TRAINING</v>
      </c>
      <c r="C291" s="11"/>
      <c r="D291" s="6"/>
      <c r="E291" s="2"/>
      <c r="F291" s="7">
        <f t="shared" si="136"/>
        <v>0</v>
      </c>
      <c r="G291" s="2"/>
      <c r="H291" s="6">
        <v>1600</v>
      </c>
      <c r="I291" s="2"/>
      <c r="J291" s="7">
        <f t="shared" si="137"/>
        <v>3.8012953510189293E-3</v>
      </c>
      <c r="K291" s="2"/>
      <c r="L291" s="6">
        <f t="shared" si="138"/>
        <v>-1600</v>
      </c>
      <c r="M291" s="2"/>
      <c r="N291" s="7">
        <f t="shared" si="139"/>
        <v>-1</v>
      </c>
      <c r="O291" s="11"/>
      <c r="P291" s="6">
        <v>23857.01</v>
      </c>
      <c r="Q291" s="2"/>
      <c r="R291" s="7">
        <f t="shared" si="140"/>
        <v>2.5833791217788754E-3</v>
      </c>
      <c r="S291" s="2"/>
      <c r="T291" s="6">
        <v>29800</v>
      </c>
      <c r="U291" s="2"/>
      <c r="V291" s="7">
        <f t="shared" si="141"/>
        <v>2.4769112185688189E-3</v>
      </c>
      <c r="W291" s="2"/>
      <c r="X291" s="6">
        <f t="shared" si="142"/>
        <v>-5942.9900000000016</v>
      </c>
      <c r="Y291" s="2"/>
      <c r="Z291" s="7">
        <f t="shared" si="143"/>
        <v>-0.19942919463087252</v>
      </c>
    </row>
    <row r="292" spans="1:26" s="26" customFormat="1" outlineLevel="1" collapsed="1" x14ac:dyDescent="0.25">
      <c r="A292" s="25"/>
      <c r="B292" s="12" t="str">
        <f>CONCATENATE("     ","Travel                                            ")</f>
        <v xml:space="preserve">     Travel                                            </v>
      </c>
      <c r="C292" s="12"/>
      <c r="D292" s="1">
        <f>SUM(OSRRefD22_23x_0)</f>
        <v>0</v>
      </c>
      <c r="E292" s="1"/>
      <c r="F292" s="5">
        <f t="shared" si="136"/>
        <v>0</v>
      </c>
      <c r="G292" s="1"/>
      <c r="H292" s="1">
        <f>SUM(OSRRefH22_23x_0)</f>
        <v>125</v>
      </c>
      <c r="I292" s="1"/>
      <c r="J292" s="5">
        <f t="shared" si="137"/>
        <v>2.9697619929835387E-4</v>
      </c>
      <c r="K292" s="1"/>
      <c r="L292" s="1">
        <f t="shared" si="138"/>
        <v>-125</v>
      </c>
      <c r="M292" s="1"/>
      <c r="N292" s="5">
        <f t="shared" si="139"/>
        <v>-1</v>
      </c>
      <c r="O292" s="12"/>
      <c r="P292" s="1">
        <f>SUM(OSRRefP22_23x_0)</f>
        <v>1317.79</v>
      </c>
      <c r="Q292" s="1"/>
      <c r="R292" s="5">
        <f t="shared" si="140"/>
        <v>1.4269814921857285E-4</v>
      </c>
      <c r="S292" s="1"/>
      <c r="T292" s="1">
        <f>SUM(OSRRefT22_23x_0)</f>
        <v>1760</v>
      </c>
      <c r="U292" s="1"/>
      <c r="V292" s="5">
        <f t="shared" si="141"/>
        <v>1.4628737398258794E-4</v>
      </c>
      <c r="W292" s="1"/>
      <c r="X292" s="1">
        <f t="shared" si="142"/>
        <v>-442.21000000000004</v>
      </c>
      <c r="Y292" s="1"/>
      <c r="Z292" s="5">
        <f t="shared" si="143"/>
        <v>-0.25125568181818186</v>
      </c>
    </row>
    <row r="293" spans="1:26" s="24" customFormat="1" hidden="1" outlineLevel="2" x14ac:dyDescent="0.25">
      <c r="A293" s="27"/>
      <c r="B293" s="11" t="str">
        <f>CONCATENATE("          ", "6292", " - ", "TRAVEL/CONFERENCE")</f>
        <v xml:space="preserve">          6292 - TRAVEL/CONFERENCE</v>
      </c>
      <c r="C293" s="11"/>
      <c r="D293" s="6"/>
      <c r="E293" s="2"/>
      <c r="F293" s="7">
        <f t="shared" si="136"/>
        <v>0</v>
      </c>
      <c r="G293" s="2"/>
      <c r="H293" s="6"/>
      <c r="I293" s="2"/>
      <c r="J293" s="7">
        <f t="shared" si="137"/>
        <v>0</v>
      </c>
      <c r="K293" s="2"/>
      <c r="L293" s="6">
        <f t="shared" si="138"/>
        <v>0</v>
      </c>
      <c r="M293" s="2"/>
      <c r="N293" s="7">
        <f t="shared" si="139"/>
        <v>0</v>
      </c>
      <c r="O293" s="11"/>
      <c r="P293" s="6">
        <v>504.66</v>
      </c>
      <c r="Q293" s="2"/>
      <c r="R293" s="7">
        <f t="shared" si="140"/>
        <v>5.4647590272080509E-5</v>
      </c>
      <c r="S293" s="2"/>
      <c r="T293" s="6"/>
      <c r="U293" s="2"/>
      <c r="V293" s="7">
        <f t="shared" si="141"/>
        <v>0</v>
      </c>
      <c r="W293" s="2"/>
      <c r="X293" s="6">
        <f t="shared" si="142"/>
        <v>504.66</v>
      </c>
      <c r="Y293" s="2"/>
      <c r="Z293" s="7">
        <f t="shared" si="143"/>
        <v>0</v>
      </c>
    </row>
    <row r="294" spans="1:26" s="24" customFormat="1" hidden="1" outlineLevel="2" x14ac:dyDescent="0.25">
      <c r="A294" s="27"/>
      <c r="B294" s="11" t="str">
        <f>CONCATENATE("          ", "6294", " - ", "TRAVEL OPERATIONAL")</f>
        <v xml:space="preserve">          6294 - TRAVEL OPERATIONAL</v>
      </c>
      <c r="C294" s="11"/>
      <c r="D294" s="6"/>
      <c r="E294" s="2"/>
      <c r="F294" s="7">
        <f t="shared" si="136"/>
        <v>0</v>
      </c>
      <c r="G294" s="2"/>
      <c r="H294" s="6">
        <v>125</v>
      </c>
      <c r="I294" s="2"/>
      <c r="J294" s="7">
        <f t="shared" si="137"/>
        <v>2.9697619929835387E-4</v>
      </c>
      <c r="K294" s="2"/>
      <c r="L294" s="6">
        <f t="shared" si="138"/>
        <v>-125</v>
      </c>
      <c r="M294" s="2"/>
      <c r="N294" s="7">
        <f t="shared" si="139"/>
        <v>-1</v>
      </c>
      <c r="O294" s="11"/>
      <c r="P294" s="6">
        <v>361.61</v>
      </c>
      <c r="Q294" s="2"/>
      <c r="R294" s="7">
        <f t="shared" si="140"/>
        <v>3.9157284346465012E-5</v>
      </c>
      <c r="S294" s="2"/>
      <c r="T294" s="6">
        <v>1210</v>
      </c>
      <c r="U294" s="2"/>
      <c r="V294" s="7">
        <f t="shared" si="141"/>
        <v>1.0057256961302921E-4</v>
      </c>
      <c r="W294" s="2"/>
      <c r="X294" s="6">
        <f t="shared" si="142"/>
        <v>-848.39</v>
      </c>
      <c r="Y294" s="2"/>
      <c r="Z294" s="7">
        <f t="shared" si="143"/>
        <v>-0.70114876033057849</v>
      </c>
    </row>
    <row r="295" spans="1:26" s="24" customFormat="1" hidden="1" outlineLevel="2" x14ac:dyDescent="0.25">
      <c r="A295" s="27"/>
      <c r="B295" s="11" t="str">
        <f>CONCATENATE("          ", "6298", " - ", "VEHICLE MILEAGE")</f>
        <v xml:space="preserve">          6298 - VEHICLE MILEAGE</v>
      </c>
      <c r="C295" s="11"/>
      <c r="D295" s="6"/>
      <c r="E295" s="2"/>
      <c r="F295" s="7">
        <f t="shared" si="136"/>
        <v>0</v>
      </c>
      <c r="G295" s="2"/>
      <c r="H295" s="6"/>
      <c r="I295" s="2"/>
      <c r="J295" s="7">
        <f t="shared" si="137"/>
        <v>0</v>
      </c>
      <c r="K295" s="2"/>
      <c r="L295" s="6">
        <f t="shared" si="138"/>
        <v>0</v>
      </c>
      <c r="M295" s="2"/>
      <c r="N295" s="7">
        <f t="shared" si="139"/>
        <v>0</v>
      </c>
      <c r="O295" s="11"/>
      <c r="P295" s="6">
        <v>451.52</v>
      </c>
      <c r="Q295" s="2"/>
      <c r="R295" s="7">
        <f t="shared" si="140"/>
        <v>4.8893274600027322E-5</v>
      </c>
      <c r="S295" s="2"/>
      <c r="T295" s="6">
        <v>550</v>
      </c>
      <c r="U295" s="2"/>
      <c r="V295" s="7">
        <f t="shared" si="141"/>
        <v>4.5714804369558736E-5</v>
      </c>
      <c r="W295" s="2"/>
      <c r="X295" s="6">
        <f t="shared" si="142"/>
        <v>-98.480000000000018</v>
      </c>
      <c r="Y295" s="2"/>
      <c r="Z295" s="7">
        <f t="shared" si="143"/>
        <v>-0.17905454545454549</v>
      </c>
    </row>
    <row r="296" spans="1:26" s="26" customFormat="1" outlineLevel="1" collapsed="1" x14ac:dyDescent="0.25">
      <c r="A296" s="25"/>
      <c r="B296" s="12" t="str">
        <f>CONCATENATE("     ","Utilities                                         ")</f>
        <v xml:space="preserve">     Utilities                                         </v>
      </c>
      <c r="C296" s="12"/>
      <c r="D296" s="1">
        <f>SUM(OSRRefD22_24x_0)</f>
        <v>6161.8</v>
      </c>
      <c r="E296" s="1"/>
      <c r="F296" s="5">
        <f t="shared" ref="F296:F297" si="144">IF(D$12=0,0,D296/D$12)</f>
        <v>2.9616474869494865E-2</v>
      </c>
      <c r="G296" s="1"/>
      <c r="H296" s="1">
        <f>SUM(OSRRefH22_24x_0)</f>
        <v>5105</v>
      </c>
      <c r="I296" s="1"/>
      <c r="J296" s="5">
        <f t="shared" ref="J296:J297" si="145">IF(H$12=0,0,H296/H$12)</f>
        <v>1.2128507979344772E-2</v>
      </c>
      <c r="K296" s="1"/>
      <c r="L296" s="1">
        <f t="shared" ref="L296:L297" si="146">+D296-H296</f>
        <v>1056.8000000000002</v>
      </c>
      <c r="M296" s="1"/>
      <c r="N296" s="5">
        <f t="shared" ref="N296:N297" si="147">IF(H296=0,0,L296/H296)</f>
        <v>0.20701273261508329</v>
      </c>
      <c r="O296" s="12"/>
      <c r="P296" s="1">
        <f>SUM(OSRRefP22_24x_0)</f>
        <v>71526.58</v>
      </c>
      <c r="Q296" s="1"/>
      <c r="R296" s="5">
        <f t="shared" ref="R296:R297" si="148">IF(P$12=0,0,P296/P$12)</f>
        <v>7.7453240546173424E-3</v>
      </c>
      <c r="S296" s="1"/>
      <c r="T296" s="1">
        <f>SUM(OSRRefT22_24x_0)</f>
        <v>64155.000000000007</v>
      </c>
      <c r="U296" s="1"/>
      <c r="V296" s="5">
        <f t="shared" ref="V296:V297" si="149">IF(T$12=0,0,T296/T$12)</f>
        <v>5.332424135143711E-3</v>
      </c>
      <c r="W296" s="1"/>
      <c r="X296" s="1">
        <f t="shared" ref="X296:X297" si="150">+P296-T296</f>
        <v>7371.5799999999945</v>
      </c>
      <c r="Y296" s="1"/>
      <c r="Z296" s="5">
        <f t="shared" ref="Z296:Z297" si="151">IF(T296=0,0,X296/T296)</f>
        <v>0.11490265762606178</v>
      </c>
    </row>
    <row r="297" spans="1:26" s="24" customFormat="1" hidden="1" outlineLevel="2" x14ac:dyDescent="0.25">
      <c r="A297" s="27"/>
      <c r="B297" s="11" t="str">
        <f>CONCATENATE("          ", "6274", " - ", "UTILITIES")</f>
        <v xml:space="preserve">          6274 - UTILITIES</v>
      </c>
      <c r="C297" s="11"/>
      <c r="D297" s="6">
        <v>6161.8</v>
      </c>
      <c r="E297" s="2"/>
      <c r="F297" s="7">
        <f t="shared" si="144"/>
        <v>2.9616474869494865E-2</v>
      </c>
      <c r="G297" s="2"/>
      <c r="H297" s="6">
        <v>5105</v>
      </c>
      <c r="I297" s="2"/>
      <c r="J297" s="7">
        <f t="shared" si="145"/>
        <v>1.2128507979344772E-2</v>
      </c>
      <c r="K297" s="2"/>
      <c r="L297" s="6">
        <f t="shared" si="146"/>
        <v>1056.8000000000002</v>
      </c>
      <c r="M297" s="2"/>
      <c r="N297" s="7">
        <f t="shared" si="147"/>
        <v>0.20701273261508329</v>
      </c>
      <c r="O297" s="11"/>
      <c r="P297" s="6">
        <v>71526.58</v>
      </c>
      <c r="Q297" s="2"/>
      <c r="R297" s="7">
        <f t="shared" si="148"/>
        <v>7.7453240546173424E-3</v>
      </c>
      <c r="S297" s="2"/>
      <c r="T297" s="6">
        <v>64155.000000000007</v>
      </c>
      <c r="U297" s="2"/>
      <c r="V297" s="7">
        <f t="shared" si="149"/>
        <v>5.332424135143711E-3</v>
      </c>
      <c r="W297" s="2"/>
      <c r="X297" s="6">
        <f t="shared" si="150"/>
        <v>7371.5799999999945</v>
      </c>
      <c r="Y297" s="2"/>
      <c r="Z297" s="7">
        <f t="shared" si="151"/>
        <v>0.11490265762606178</v>
      </c>
    </row>
    <row r="298" spans="1:26" s="60" customFormat="1" x14ac:dyDescent="0.25">
      <c r="A298" s="36"/>
      <c r="B298" s="36"/>
      <c r="C298" s="36"/>
      <c r="D298" s="1"/>
      <c r="E298" s="1"/>
      <c r="F298" s="5"/>
      <c r="G298" s="1"/>
      <c r="H298" s="1"/>
      <c r="I298" s="1"/>
      <c r="J298" s="5"/>
      <c r="K298" s="1"/>
      <c r="L298" s="1"/>
      <c r="M298" s="1"/>
      <c r="N298" s="5"/>
      <c r="O298" s="36"/>
      <c r="P298" s="1"/>
      <c r="Q298" s="1"/>
      <c r="R298" s="5"/>
      <c r="S298" s="1"/>
      <c r="T298" s="1"/>
      <c r="U298" s="1"/>
      <c r="V298" s="5"/>
      <c r="W298" s="1"/>
      <c r="X298" s="1"/>
      <c r="Y298" s="1"/>
      <c r="Z298" s="5"/>
    </row>
    <row r="299" spans="1:26" s="23" customFormat="1" collapsed="1" x14ac:dyDescent="0.25">
      <c r="A299" s="10"/>
      <c r="B299" s="28" t="s">
        <v>0</v>
      </c>
      <c r="C299" s="10"/>
      <c r="D299" s="4">
        <f>SUM(OSRRefD25x_0)</f>
        <v>38229.74</v>
      </c>
      <c r="E299" s="4"/>
      <c r="F299" s="13">
        <f t="shared" ref="F299:F308" si="152">IF(D$12=0,0,D299/D$12)</f>
        <v>0.1837499000255319</v>
      </c>
      <c r="G299" s="4"/>
      <c r="H299" s="4">
        <f>SUM(OSRRefH25x_0)</f>
        <v>73875</v>
      </c>
      <c r="I299" s="4"/>
      <c r="J299" s="13">
        <f t="shared" ref="J299:J308" si="153">IF(H$12=0,0,H299/H$12)</f>
        <v>0.17551293378532712</v>
      </c>
      <c r="K299" s="4"/>
      <c r="L299" s="4">
        <f t="shared" ref="L299:L308" si="154">+D299-H299</f>
        <v>-35645.26</v>
      </c>
      <c r="M299" s="4"/>
      <c r="N299" s="13">
        <f t="shared" ref="N299:N308" si="155">IF(H299=0,0,L299/H299)</f>
        <v>-0.48250774957698817</v>
      </c>
      <c r="O299" s="10"/>
      <c r="P299" s="4">
        <f>SUM(OSRRefP25x_0)</f>
        <v>1207334.8899999999</v>
      </c>
      <c r="Q299" s="4"/>
      <c r="R299" s="13">
        <f t="shared" ref="R299:R308" si="156">IF(P$12=0,0,P299/P$12)</f>
        <v>0.1307374120990516</v>
      </c>
      <c r="S299" s="4"/>
      <c r="T299" s="4">
        <f>SUM(OSRRefT25x_0)</f>
        <v>897250</v>
      </c>
      <c r="U299" s="4"/>
      <c r="V299" s="13">
        <f t="shared" ref="V299:V308" si="157">IF(T$12=0,0,T299/T$12)</f>
        <v>7.4577469491975593E-2</v>
      </c>
      <c r="W299" s="4"/>
      <c r="X299" s="4">
        <f t="shared" ref="X299:X308" si="158">+P299-T299</f>
        <v>310084.8899999999</v>
      </c>
      <c r="Y299" s="4"/>
      <c r="Z299" s="13">
        <f t="shared" ref="Z299:Z308" si="159">IF(T299=0,0,X299/T299)</f>
        <v>0.34559475062691547</v>
      </c>
    </row>
    <row r="300" spans="1:26" s="24" customFormat="1" hidden="1" outlineLevel="1" x14ac:dyDescent="0.25">
      <c r="A300" s="44"/>
      <c r="B300" s="11" t="str">
        <f>CONCATENATE("          ", "4098", " - ", "TAXABLE SALES-GRAD RENTALS")</f>
        <v xml:space="preserve">          4098 - TAXABLE SALES-GRAD RENTALS</v>
      </c>
      <c r="C300" s="11"/>
      <c r="D300" s="2">
        <f t="shared" ref="D300:D302" si="160">0</f>
        <v>0</v>
      </c>
      <c r="E300" s="2"/>
      <c r="F300" s="19">
        <f t="shared" si="152"/>
        <v>0</v>
      </c>
      <c r="G300" s="2"/>
      <c r="H300" s="2"/>
      <c r="I300" s="2"/>
      <c r="J300" s="19">
        <f t="shared" si="153"/>
        <v>0</v>
      </c>
      <c r="K300" s="2"/>
      <c r="L300" s="2">
        <f t="shared" si="154"/>
        <v>0</v>
      </c>
      <c r="M300" s="2"/>
      <c r="N300" s="19">
        <f t="shared" si="155"/>
        <v>0</v>
      </c>
      <c r="O300" s="11"/>
      <c r="P300" s="2">
        <f>--1946.85</f>
        <v>1946.85</v>
      </c>
      <c r="Q300" s="2"/>
      <c r="R300" s="19">
        <f t="shared" si="156"/>
        <v>2.1081651234732281E-4</v>
      </c>
      <c r="S300" s="2"/>
      <c r="T300" s="2"/>
      <c r="U300" s="2"/>
      <c r="V300" s="19">
        <f t="shared" si="157"/>
        <v>0</v>
      </c>
      <c r="W300" s="2"/>
      <c r="X300" s="2">
        <f t="shared" si="158"/>
        <v>1946.85</v>
      </c>
      <c r="Y300" s="2"/>
      <c r="Z300" s="19">
        <f t="shared" si="159"/>
        <v>0</v>
      </c>
    </row>
    <row r="301" spans="1:26" s="24" customFormat="1" hidden="1" outlineLevel="1" x14ac:dyDescent="0.25">
      <c r="A301" s="44"/>
      <c r="B301" s="11" t="str">
        <f>CONCATENATE("          ", "4197", " - ", "NON-TAXABLE SALES-RETURNED CHE")</f>
        <v xml:space="preserve">          4197 - NON-TAXABLE SALES-RETURNED CHE</v>
      </c>
      <c r="C301" s="11"/>
      <c r="D301" s="2">
        <f t="shared" si="160"/>
        <v>0</v>
      </c>
      <c r="E301" s="2"/>
      <c r="F301" s="19">
        <f t="shared" si="152"/>
        <v>0</v>
      </c>
      <c r="G301" s="2"/>
      <c r="H301" s="2"/>
      <c r="I301" s="2"/>
      <c r="J301" s="19">
        <f t="shared" si="153"/>
        <v>0</v>
      </c>
      <c r="K301" s="2"/>
      <c r="L301" s="2">
        <f t="shared" si="154"/>
        <v>0</v>
      </c>
      <c r="M301" s="2"/>
      <c r="N301" s="19">
        <f t="shared" si="155"/>
        <v>0</v>
      </c>
      <c r="O301" s="11"/>
      <c r="P301" s="2">
        <f>--30</f>
        <v>30</v>
      </c>
      <c r="Q301" s="2"/>
      <c r="R301" s="19">
        <f t="shared" si="156"/>
        <v>3.248578663183956E-6</v>
      </c>
      <c r="S301" s="2"/>
      <c r="T301" s="2"/>
      <c r="U301" s="2"/>
      <c r="V301" s="19">
        <f t="shared" si="157"/>
        <v>0</v>
      </c>
      <c r="W301" s="2"/>
      <c r="X301" s="2">
        <f t="shared" si="158"/>
        <v>30</v>
      </c>
      <c r="Y301" s="2"/>
      <c r="Z301" s="19">
        <f t="shared" si="159"/>
        <v>0</v>
      </c>
    </row>
    <row r="302" spans="1:26" s="24" customFormat="1" hidden="1" outlineLevel="1" x14ac:dyDescent="0.25">
      <c r="A302" s="44"/>
      <c r="B302" s="11" t="str">
        <f>CONCATENATE("          ", "4198", " - ", "NON-TAXABLE SALES-GRAD RENTALS")</f>
        <v xml:space="preserve">          4198 - NON-TAXABLE SALES-GRAD RENTALS</v>
      </c>
      <c r="C302" s="11"/>
      <c r="D302" s="2">
        <f t="shared" si="160"/>
        <v>0</v>
      </c>
      <c r="E302" s="2"/>
      <c r="F302" s="19">
        <f t="shared" si="152"/>
        <v>0</v>
      </c>
      <c r="G302" s="2"/>
      <c r="H302" s="2"/>
      <c r="I302" s="2"/>
      <c r="J302" s="19">
        <f t="shared" si="153"/>
        <v>0</v>
      </c>
      <c r="K302" s="2"/>
      <c r="L302" s="2">
        <f t="shared" si="154"/>
        <v>0</v>
      </c>
      <c r="M302" s="2"/>
      <c r="N302" s="19">
        <f t="shared" si="155"/>
        <v>0</v>
      </c>
      <c r="O302" s="11"/>
      <c r="P302" s="2">
        <f>--163.76</f>
        <v>163.76</v>
      </c>
      <c r="Q302" s="2"/>
      <c r="R302" s="19">
        <f t="shared" si="156"/>
        <v>1.7732908062766818E-5</v>
      </c>
      <c r="S302" s="2"/>
      <c r="T302" s="2"/>
      <c r="U302" s="2"/>
      <c r="V302" s="19">
        <f t="shared" si="157"/>
        <v>0</v>
      </c>
      <c r="W302" s="2"/>
      <c r="X302" s="2">
        <f t="shared" si="158"/>
        <v>163.76</v>
      </c>
      <c r="Y302" s="2"/>
      <c r="Z302" s="19">
        <f t="shared" si="159"/>
        <v>0</v>
      </c>
    </row>
    <row r="303" spans="1:26" s="24" customFormat="1" hidden="1" outlineLevel="1" x14ac:dyDescent="0.25">
      <c r="A303" s="44"/>
      <c r="B303" s="11" t="str">
        <f>CONCATENATE("          ", "9150", " - ", "MISC. INCOME")</f>
        <v xml:space="preserve">          9150 - MISC. INCOME</v>
      </c>
      <c r="C303" s="11"/>
      <c r="D303" s="2">
        <f>--56165.1</f>
        <v>56165.1</v>
      </c>
      <c r="E303" s="2"/>
      <c r="F303" s="19">
        <f t="shared" si="152"/>
        <v>0.26995557672963516</v>
      </c>
      <c r="G303" s="2"/>
      <c r="H303" s="2">
        <v>29225</v>
      </c>
      <c r="I303" s="2"/>
      <c r="J303" s="19">
        <f t="shared" si="153"/>
        <v>6.9433035395955134E-2</v>
      </c>
      <c r="K303" s="2"/>
      <c r="L303" s="2">
        <f t="shared" si="154"/>
        <v>26940.1</v>
      </c>
      <c r="M303" s="2"/>
      <c r="N303" s="19">
        <f t="shared" si="155"/>
        <v>0.9218169375534645</v>
      </c>
      <c r="O303" s="11"/>
      <c r="P303" s="2">
        <f>--532203.21</f>
        <v>532203.21</v>
      </c>
      <c r="Q303" s="2"/>
      <c r="R303" s="19">
        <f t="shared" si="156"/>
        <v>5.7630133082800336E-2</v>
      </c>
      <c r="S303" s="2"/>
      <c r="T303" s="2">
        <v>362950</v>
      </c>
      <c r="U303" s="2"/>
      <c r="V303" s="19">
        <f t="shared" si="157"/>
        <v>3.016761499260244E-2</v>
      </c>
      <c r="W303" s="2"/>
      <c r="X303" s="2">
        <f t="shared" si="158"/>
        <v>169253.20999999996</v>
      </c>
      <c r="Y303" s="2"/>
      <c r="Z303" s="19">
        <f t="shared" si="159"/>
        <v>0.46632651880424292</v>
      </c>
    </row>
    <row r="304" spans="1:26" s="24" customFormat="1" hidden="1" outlineLevel="1" x14ac:dyDescent="0.25">
      <c r="A304" s="44"/>
      <c r="B304" s="11" t="str">
        <f>CONCATENATE("          ", "9151", " - ", "MISC. INCOME")</f>
        <v xml:space="preserve">          9151 - MISC. INCOME</v>
      </c>
      <c r="C304" s="11"/>
      <c r="D304" s="2">
        <f>-18698.07</f>
        <v>-18698.07</v>
      </c>
      <c r="E304" s="2"/>
      <c r="F304" s="19">
        <f t="shared" si="152"/>
        <v>-8.9871615479739014E-2</v>
      </c>
      <c r="G304" s="2"/>
      <c r="H304" s="2">
        <v>12850</v>
      </c>
      <c r="I304" s="2"/>
      <c r="J304" s="19">
        <f t="shared" si="153"/>
        <v>3.0529153287870776E-2</v>
      </c>
      <c r="K304" s="2"/>
      <c r="L304" s="2">
        <f t="shared" si="154"/>
        <v>-31548.07</v>
      </c>
      <c r="M304" s="2"/>
      <c r="N304" s="19">
        <f t="shared" si="155"/>
        <v>-2.4551027237354086</v>
      </c>
      <c r="O304" s="11"/>
      <c r="P304" s="2">
        <f>--150694.63</f>
        <v>150694.63</v>
      </c>
      <c r="Q304" s="2"/>
      <c r="R304" s="19">
        <f t="shared" si="156"/>
        <v>1.6318111989146695E-2</v>
      </c>
      <c r="S304" s="2"/>
      <c r="T304" s="2">
        <v>141950</v>
      </c>
      <c r="U304" s="2"/>
      <c r="V304" s="19">
        <f t="shared" si="157"/>
        <v>1.1798575418652478E-2</v>
      </c>
      <c r="W304" s="2"/>
      <c r="X304" s="2">
        <f t="shared" si="158"/>
        <v>8744.6300000000047</v>
      </c>
      <c r="Y304" s="2"/>
      <c r="Z304" s="19">
        <f t="shared" si="159"/>
        <v>6.1603592814371291E-2</v>
      </c>
    </row>
    <row r="305" spans="1:26" s="24" customFormat="1" hidden="1" outlineLevel="1" x14ac:dyDescent="0.25">
      <c r="A305" s="44"/>
      <c r="B305" s="11" t="str">
        <f>CONCATENATE("          ", "9152", " - ", "MISC. INCOME")</f>
        <v xml:space="preserve">          9152 - MISC. INCOME</v>
      </c>
      <c r="C305" s="11"/>
      <c r="D305" s="2">
        <f>--762.71</f>
        <v>762.71</v>
      </c>
      <c r="E305" s="2"/>
      <c r="F305" s="19">
        <f t="shared" si="152"/>
        <v>3.6659387756357606E-3</v>
      </c>
      <c r="G305" s="2"/>
      <c r="H305" s="2"/>
      <c r="I305" s="2"/>
      <c r="J305" s="19">
        <f t="shared" si="153"/>
        <v>0</v>
      </c>
      <c r="K305" s="2"/>
      <c r="L305" s="2">
        <f t="shared" si="154"/>
        <v>762.71</v>
      </c>
      <c r="M305" s="2"/>
      <c r="N305" s="19">
        <f t="shared" si="155"/>
        <v>0</v>
      </c>
      <c r="O305" s="11"/>
      <c r="P305" s="2">
        <f>--10637.6</f>
        <v>10637.6</v>
      </c>
      <c r="Q305" s="2"/>
      <c r="R305" s="19">
        <f t="shared" si="156"/>
        <v>1.1519026795828551E-3</v>
      </c>
      <c r="S305" s="2"/>
      <c r="T305" s="2"/>
      <c r="U305" s="2"/>
      <c r="V305" s="19">
        <f t="shared" si="157"/>
        <v>0</v>
      </c>
      <c r="W305" s="2"/>
      <c r="X305" s="2">
        <f t="shared" si="158"/>
        <v>10637.6</v>
      </c>
      <c r="Y305" s="2"/>
      <c r="Z305" s="19">
        <f t="shared" si="159"/>
        <v>0</v>
      </c>
    </row>
    <row r="306" spans="1:26" s="24" customFormat="1" hidden="1" outlineLevel="1" x14ac:dyDescent="0.25">
      <c r="A306" s="44"/>
      <c r="B306" s="11" t="str">
        <f>CONCATENATE("          ", "9153", " - ", "MISC. INCOME")</f>
        <v xml:space="preserve">          9153 - MISC. INCOME</v>
      </c>
      <c r="C306" s="11"/>
      <c r="D306" s="2">
        <f t="shared" ref="D306:D308" si="161">0</f>
        <v>0</v>
      </c>
      <c r="E306" s="2"/>
      <c r="F306" s="19">
        <f t="shared" si="152"/>
        <v>0</v>
      </c>
      <c r="G306" s="2"/>
      <c r="H306" s="2"/>
      <c r="I306" s="2"/>
      <c r="J306" s="19">
        <f t="shared" si="153"/>
        <v>0</v>
      </c>
      <c r="K306" s="2"/>
      <c r="L306" s="2">
        <f t="shared" si="154"/>
        <v>0</v>
      </c>
      <c r="M306" s="2"/>
      <c r="N306" s="19">
        <f t="shared" si="155"/>
        <v>0</v>
      </c>
      <c r="O306" s="11"/>
      <c r="P306" s="2">
        <f>--450</f>
        <v>450</v>
      </c>
      <c r="Q306" s="2"/>
      <c r="R306" s="19">
        <f t="shared" si="156"/>
        <v>4.8728679947759336E-5</v>
      </c>
      <c r="S306" s="2"/>
      <c r="T306" s="2"/>
      <c r="U306" s="2"/>
      <c r="V306" s="19">
        <f t="shared" si="157"/>
        <v>0</v>
      </c>
      <c r="W306" s="2"/>
      <c r="X306" s="2">
        <f t="shared" si="158"/>
        <v>450</v>
      </c>
      <c r="Y306" s="2"/>
      <c r="Z306" s="19">
        <f t="shared" si="159"/>
        <v>0</v>
      </c>
    </row>
    <row r="307" spans="1:26" s="24" customFormat="1" hidden="1" outlineLevel="1" x14ac:dyDescent="0.25">
      <c r="A307" s="44"/>
      <c r="B307" s="11" t="str">
        <f>CONCATENATE("          ", "9160", " - ", "MISC. INCOME")</f>
        <v xml:space="preserve">          9160 - MISC. INCOME</v>
      </c>
      <c r="C307" s="11"/>
      <c r="D307" s="2">
        <f t="shared" si="161"/>
        <v>0</v>
      </c>
      <c r="E307" s="2"/>
      <c r="F307" s="19">
        <f t="shared" si="152"/>
        <v>0</v>
      </c>
      <c r="G307" s="2"/>
      <c r="H307" s="2">
        <v>31800</v>
      </c>
      <c r="I307" s="2"/>
      <c r="J307" s="19">
        <f t="shared" si="153"/>
        <v>7.5550745101501227E-2</v>
      </c>
      <c r="K307" s="2"/>
      <c r="L307" s="2">
        <f t="shared" si="154"/>
        <v>-31800</v>
      </c>
      <c r="M307" s="2"/>
      <c r="N307" s="19">
        <f t="shared" si="155"/>
        <v>-1</v>
      </c>
      <c r="O307" s="11"/>
      <c r="P307" s="2">
        <f>--22475</f>
        <v>22475</v>
      </c>
      <c r="Q307" s="2"/>
      <c r="R307" s="19">
        <f t="shared" si="156"/>
        <v>2.4337268485019803E-3</v>
      </c>
      <c r="S307" s="2"/>
      <c r="T307" s="2">
        <v>392350</v>
      </c>
      <c r="U307" s="2"/>
      <c r="V307" s="19">
        <f t="shared" si="157"/>
        <v>3.2611279080720673E-2</v>
      </c>
      <c r="W307" s="2"/>
      <c r="X307" s="2">
        <f t="shared" si="158"/>
        <v>-369875</v>
      </c>
      <c r="Y307" s="2"/>
      <c r="Z307" s="19">
        <f t="shared" si="159"/>
        <v>-0.94271696189626608</v>
      </c>
    </row>
    <row r="308" spans="1:26" s="24" customFormat="1" hidden="1" outlineLevel="1" x14ac:dyDescent="0.25">
      <c r="A308" s="44"/>
      <c r="B308" s="11" t="str">
        <f>CONCATENATE("          ", "9163", " - ", "MISC. INCOME")</f>
        <v xml:space="preserve">          9163 - MISC. INCOME</v>
      </c>
      <c r="C308" s="11"/>
      <c r="D308" s="2">
        <f t="shared" si="161"/>
        <v>0</v>
      </c>
      <c r="E308" s="2"/>
      <c r="F308" s="19">
        <f t="shared" si="152"/>
        <v>0</v>
      </c>
      <c r="G308" s="2"/>
      <c r="H308" s="2"/>
      <c r="I308" s="2"/>
      <c r="J308" s="19">
        <f t="shared" si="153"/>
        <v>0</v>
      </c>
      <c r="K308" s="2"/>
      <c r="L308" s="2">
        <f t="shared" si="154"/>
        <v>0</v>
      </c>
      <c r="M308" s="2"/>
      <c r="N308" s="19">
        <f t="shared" si="155"/>
        <v>0</v>
      </c>
      <c r="O308" s="11"/>
      <c r="P308" s="2">
        <f>--488733.84</f>
        <v>488733.84</v>
      </c>
      <c r="Q308" s="2"/>
      <c r="R308" s="19">
        <f t="shared" si="156"/>
        <v>5.2923010819998714E-2</v>
      </c>
      <c r="S308" s="2"/>
      <c r="T308" s="2"/>
      <c r="U308" s="2"/>
      <c r="V308" s="19">
        <f t="shared" si="157"/>
        <v>0</v>
      </c>
      <c r="W308" s="2"/>
      <c r="X308" s="2">
        <f t="shared" si="158"/>
        <v>488733.84</v>
      </c>
      <c r="Y308" s="2"/>
      <c r="Z308" s="19">
        <f t="shared" si="159"/>
        <v>0</v>
      </c>
    </row>
    <row r="309" spans="1:26" x14ac:dyDescent="0.25">
      <c r="A309" s="9"/>
      <c r="B309" s="10"/>
      <c r="C309" s="10"/>
      <c r="D309" s="3"/>
      <c r="E309" s="3"/>
      <c r="F309" s="8"/>
      <c r="G309" s="3"/>
      <c r="H309" s="3"/>
      <c r="I309" s="3"/>
      <c r="J309" s="8"/>
      <c r="K309" s="3"/>
      <c r="L309" s="3"/>
      <c r="M309" s="3"/>
      <c r="N309" s="8"/>
      <c r="O309" s="10"/>
      <c r="P309" s="3"/>
      <c r="Q309" s="3"/>
      <c r="R309" s="8"/>
      <c r="S309" s="3"/>
      <c r="T309" s="3"/>
      <c r="U309" s="3"/>
      <c r="V309" s="8"/>
      <c r="W309" s="3"/>
      <c r="X309" s="3"/>
      <c r="Y309" s="3"/>
      <c r="Z309" s="8"/>
    </row>
    <row r="310" spans="1:26" s="23" customFormat="1" x14ac:dyDescent="0.25">
      <c r="A310" s="10"/>
      <c r="B310" s="29" t="s">
        <v>3</v>
      </c>
      <c r="C310" s="29"/>
      <c r="D310" s="22">
        <f>+D167-D169+D299</f>
        <v>-311480.66999999993</v>
      </c>
      <c r="E310" s="14"/>
      <c r="F310" s="20">
        <f>IF(D$12=0,0,D310/D$12)</f>
        <v>-1.4971208795138466</v>
      </c>
      <c r="G310" s="14"/>
      <c r="H310" s="22">
        <f>+H167-H169+H299</f>
        <v>-126192.56807822519</v>
      </c>
      <c r="I310" s="14"/>
      <c r="J310" s="20">
        <f>IF(H$12=0,0,H310/H$12)</f>
        <v>-0.29980951398056072</v>
      </c>
      <c r="K310" s="15"/>
      <c r="L310" s="22">
        <f>+D310-H310</f>
        <v>-185288.10192177474</v>
      </c>
      <c r="M310" s="15"/>
      <c r="N310" s="20">
        <f>IF(H310=0,0,L310/H310)</f>
        <v>1.4682964674030325</v>
      </c>
      <c r="O310" s="28"/>
      <c r="P310" s="22">
        <f>+P167-P169+P299</f>
        <v>740770.51000000141</v>
      </c>
      <c r="Q310" s="14"/>
      <c r="R310" s="20">
        <f>IF(P$12=0,0,P310/P$12)</f>
        <v>8.0215042436730055E-2</v>
      </c>
      <c r="S310" s="14"/>
      <c r="T310" s="22">
        <f>+T167-T169+T299</f>
        <v>1423067.2438490465</v>
      </c>
      <c r="U310" s="14"/>
      <c r="V310" s="20">
        <f>IF(T$12=0,0,T310/T$12)</f>
        <v>0.11828225574052054</v>
      </c>
      <c r="W310" s="15"/>
      <c r="X310" s="22">
        <f>+P310-T310</f>
        <v>-682296.73384904512</v>
      </c>
      <c r="Y310" s="15"/>
      <c r="Z310" s="20">
        <f>IF(T310=0,0,X310/T310)</f>
        <v>-0.47945501999160661</v>
      </c>
    </row>
    <row r="311" spans="1:26" x14ac:dyDescent="0.25">
      <c r="A311" s="9"/>
      <c r="B311" s="10"/>
      <c r="C311" s="9"/>
      <c r="D311" s="3"/>
      <c r="E311" s="3"/>
      <c r="F311" s="8"/>
      <c r="G311" s="3"/>
      <c r="H311" s="3"/>
      <c r="I311" s="3"/>
      <c r="J311" s="8"/>
      <c r="K311" s="3"/>
      <c r="L311" s="3"/>
      <c r="M311" s="3"/>
      <c r="N311" s="8"/>
      <c r="P311" s="3"/>
      <c r="Q311" s="3"/>
      <c r="R311" s="8"/>
      <c r="S311" s="3"/>
      <c r="T311" s="3"/>
      <c r="U311" s="3"/>
      <c r="V311" s="8"/>
      <c r="W311" s="3"/>
      <c r="X311" s="3"/>
      <c r="Y311" s="3"/>
      <c r="Z311" s="8"/>
    </row>
    <row r="312" spans="1:26" s="23" customFormat="1" x14ac:dyDescent="0.25">
      <c r="A312" s="52"/>
      <c r="B312" s="10" t="s">
        <v>14</v>
      </c>
      <c r="C312" s="10"/>
      <c r="D312" s="4">
        <v>329554.25</v>
      </c>
      <c r="E312" s="4"/>
      <c r="F312" s="13">
        <f>IF(D$12=0,0,D312/D$12)</f>
        <v>1.5839909057840611</v>
      </c>
      <c r="G312" s="4"/>
      <c r="H312" s="4">
        <v>211716</v>
      </c>
      <c r="I312" s="4"/>
      <c r="J312" s="13">
        <f>IF(H$12=0,0,H312/H$12)</f>
        <v>0.50299690408520226</v>
      </c>
      <c r="K312" s="4"/>
      <c r="L312" s="4">
        <f>+D312-H312</f>
        <v>117838.25</v>
      </c>
      <c r="M312" s="4"/>
      <c r="N312" s="13">
        <f>IF(H312=0,0,L312/H312)</f>
        <v>0.55658641765383821</v>
      </c>
      <c r="O312" s="10"/>
      <c r="P312" s="4">
        <v>1398507.74</v>
      </c>
      <c r="Q312" s="4"/>
      <c r="R312" s="13">
        <f>IF(P$12=0,0,P312/P$12)</f>
        <v>0.15143874681538719</v>
      </c>
      <c r="S312" s="4"/>
      <c r="T312" s="4">
        <v>1556474</v>
      </c>
      <c r="U312" s="4"/>
      <c r="V312" s="13">
        <f>IF(T$12=0,0,T312/T$12)</f>
        <v>0.12937073530237192</v>
      </c>
      <c r="W312" s="4"/>
      <c r="X312" s="4">
        <f>+P312-T312</f>
        <v>-157966.26</v>
      </c>
      <c r="Y312" s="4"/>
      <c r="Z312" s="13">
        <f>IF(T312=0,0,X312/T312)</f>
        <v>-0.10148981608430338</v>
      </c>
    </row>
    <row r="313" spans="1:26" x14ac:dyDescent="0.25">
      <c r="A313" s="9"/>
      <c r="B313" s="10"/>
      <c r="C313" s="10"/>
      <c r="D313" s="3"/>
      <c r="E313" s="3"/>
      <c r="F313" s="8"/>
      <c r="G313" s="3"/>
      <c r="H313" s="3"/>
      <c r="I313" s="3"/>
      <c r="J313" s="8"/>
      <c r="K313" s="3"/>
      <c r="L313" s="3"/>
      <c r="M313" s="3"/>
      <c r="N313" s="8"/>
      <c r="O313" s="10"/>
      <c r="P313" s="3"/>
      <c r="Q313" s="3"/>
      <c r="R313" s="8"/>
      <c r="S313" s="3"/>
      <c r="T313" s="3"/>
      <c r="U313" s="3"/>
      <c r="V313" s="8"/>
      <c r="W313" s="3"/>
      <c r="X313" s="3"/>
      <c r="Y313" s="3"/>
      <c r="Z313" s="8"/>
    </row>
    <row r="314" spans="1:26" s="23" customFormat="1" ht="15.75" thickBot="1" x14ac:dyDescent="0.3">
      <c r="A314" s="10"/>
      <c r="B314" s="29" t="s">
        <v>4</v>
      </c>
      <c r="C314" s="29"/>
      <c r="D314" s="31">
        <f>+D310-D312</f>
        <v>-641034.91999999993</v>
      </c>
      <c r="E314" s="14"/>
      <c r="F314" s="33">
        <f>IF(D$12=0,0,D314/D$12)</f>
        <v>-3.081111785297908</v>
      </c>
      <c r="G314" s="14"/>
      <c r="H314" s="31">
        <f>+H310-H312</f>
        <v>-337908.56807822519</v>
      </c>
      <c r="I314" s="14"/>
      <c r="J314" s="33">
        <f>IF(H$12=0,0,H314/H$12)</f>
        <v>-0.80280641806576303</v>
      </c>
      <c r="K314" s="15"/>
      <c r="L314" s="31">
        <f>D314-H314</f>
        <v>-303126.35192177474</v>
      </c>
      <c r="M314" s="15"/>
      <c r="N314" s="33">
        <f>IF(H314=0,0,L314/H314)</f>
        <v>0.89706619055484138</v>
      </c>
      <c r="O314" s="28"/>
      <c r="P314" s="31">
        <f>+P310-P312</f>
        <v>-657737.22999999858</v>
      </c>
      <c r="Q314" s="14"/>
      <c r="R314" s="33">
        <f>IF(P$12=0,0,P314/P$12)</f>
        <v>-7.1223704378657118E-2</v>
      </c>
      <c r="S314" s="14"/>
      <c r="T314" s="31">
        <f>+T310-T312</f>
        <v>-133406.75615095347</v>
      </c>
      <c r="U314" s="14"/>
      <c r="V314" s="33">
        <f>IF(T$12=0,0,T314/T$12)</f>
        <v>-1.108847956185139E-2</v>
      </c>
      <c r="W314" s="15"/>
      <c r="X314" s="31">
        <f>P314-T314</f>
        <v>-524330.47384904511</v>
      </c>
      <c r="Y314" s="15"/>
      <c r="Z314" s="33">
        <f>IF(T314=0,0,X314/T314)</f>
        <v>3.9303142432737852</v>
      </c>
    </row>
    <row r="315" spans="1:26" ht="15.75" thickTop="1" x14ac:dyDescent="0.25">
      <c r="A315" s="9"/>
      <c r="B315" s="9"/>
      <c r="C315" s="9"/>
      <c r="D315" s="3"/>
      <c r="E315" s="3"/>
      <c r="F315" s="8"/>
      <c r="G315" s="3"/>
      <c r="H315" s="3"/>
      <c r="I315" s="3"/>
      <c r="J315" s="8"/>
      <c r="K315" s="3"/>
      <c r="L315" s="3"/>
      <c r="M315" s="3"/>
      <c r="N315" s="8"/>
      <c r="P315" s="3"/>
      <c r="Q315" s="3"/>
      <c r="R315" s="8"/>
      <c r="S315" s="3"/>
      <c r="T315" s="3"/>
      <c r="U315" s="3"/>
      <c r="V315" s="8"/>
      <c r="W315" s="3"/>
      <c r="X315" s="3"/>
      <c r="Y315" s="3"/>
      <c r="Z315" s="8"/>
    </row>
    <row r="316" spans="1:26" x14ac:dyDescent="0.25">
      <c r="A316" s="9"/>
      <c r="B316" s="9"/>
      <c r="C316" s="9"/>
      <c r="D316" s="3"/>
      <c r="E316" s="3"/>
      <c r="F316" s="8"/>
      <c r="G316" s="3"/>
      <c r="H316" s="3"/>
      <c r="I316" s="3"/>
      <c r="J316" s="8"/>
      <c r="K316" s="3"/>
      <c r="L316" s="3"/>
      <c r="M316" s="3"/>
      <c r="N316" s="8"/>
      <c r="P316" s="3"/>
      <c r="Q316" s="3"/>
      <c r="R316" s="8"/>
      <c r="S316" s="3"/>
      <c r="T316" s="3"/>
      <c r="U316" s="3"/>
      <c r="V316" s="8"/>
      <c r="W316" s="3"/>
      <c r="X316" s="3"/>
      <c r="Y316" s="3"/>
      <c r="Z316" s="8"/>
    </row>
    <row r="317" spans="1:26" s="23" customFormat="1" ht="15.75" thickBot="1" x14ac:dyDescent="0.3">
      <c r="A317" s="10"/>
      <c r="B317" s="29" t="s">
        <v>5</v>
      </c>
      <c r="C317" s="29"/>
      <c r="D317" s="34">
        <f>SUM(D314:D316)</f>
        <v>-641034.91999999993</v>
      </c>
      <c r="E317" s="14"/>
      <c r="F317" s="35">
        <f>IF(D$12=0,0,D317/D$12)</f>
        <v>-3.081111785297908</v>
      </c>
      <c r="G317" s="14"/>
      <c r="H317" s="34">
        <f>SUM(H314:H316)</f>
        <v>-337908.56807822519</v>
      </c>
      <c r="I317" s="14"/>
      <c r="J317" s="35">
        <f>IF(H$12=0,0,H317/H$12)</f>
        <v>-0.80280641806576303</v>
      </c>
      <c r="K317" s="15"/>
      <c r="L317" s="34">
        <f>+D317-H317</f>
        <v>-303126.35192177474</v>
      </c>
      <c r="M317" s="15"/>
      <c r="N317" s="35">
        <f>IF(H317=0,0,L317/H317)</f>
        <v>0.89706619055484138</v>
      </c>
      <c r="O317" s="28"/>
      <c r="P317" s="34">
        <f>SUM(P314:P316)</f>
        <v>-657737.22999999858</v>
      </c>
      <c r="Q317" s="14"/>
      <c r="R317" s="35">
        <f>IF(P$12=0,0,P317/P$12)</f>
        <v>-7.1223704378657118E-2</v>
      </c>
      <c r="S317" s="14"/>
      <c r="T317" s="34">
        <f>SUM(T314:T316)</f>
        <v>-133406.75615095347</v>
      </c>
      <c r="U317" s="14"/>
      <c r="V317" s="35">
        <f>IF(T$12=0,0,T317/T$12)</f>
        <v>-1.108847956185139E-2</v>
      </c>
      <c r="W317" s="15"/>
      <c r="X317" s="34">
        <f>+P317-T317</f>
        <v>-524330.47384904511</v>
      </c>
      <c r="Y317" s="15"/>
      <c r="Z317" s="35">
        <f>IF(T317=0,0,X317/T317)</f>
        <v>3.9303142432737852</v>
      </c>
    </row>
    <row r="318" spans="1:26" ht="15.75" thickTop="1" x14ac:dyDescent="0.25">
      <c r="A318" s="9"/>
      <c r="C318" s="9"/>
      <c r="D318" s="17"/>
      <c r="E318" s="17"/>
      <c r="G318" s="17"/>
      <c r="H318" s="17"/>
      <c r="I318" s="17"/>
      <c r="J318" s="43"/>
      <c r="K318" s="17"/>
      <c r="L318" s="17"/>
      <c r="M318" s="17"/>
      <c r="P318" s="17"/>
      <c r="Q318" s="17"/>
      <c r="R318" s="43"/>
      <c r="S318" s="17"/>
      <c r="T318" s="17"/>
      <c r="U318" s="17"/>
      <c r="V318" s="43"/>
      <c r="W318" s="17"/>
      <c r="X318" s="17"/>
    </row>
    <row r="319" spans="1:26" x14ac:dyDescent="0.25">
      <c r="A319" s="9"/>
      <c r="B319" s="55">
        <v>44043.472863923613</v>
      </c>
      <c r="D319" s="17"/>
      <c r="E319" s="17"/>
      <c r="G319" s="17"/>
      <c r="H319" s="17"/>
      <c r="I319" s="17"/>
      <c r="J319" s="43"/>
      <c r="K319" s="17"/>
      <c r="L319" s="17"/>
      <c r="M319" s="17"/>
      <c r="P319" s="17"/>
      <c r="Q319" s="17"/>
      <c r="R319" s="43"/>
      <c r="S319" s="17"/>
      <c r="T319" s="17"/>
      <c r="U319" s="17"/>
      <c r="V319" s="43"/>
      <c r="W319" s="17"/>
      <c r="X319" s="17"/>
    </row>
    <row r="320" spans="1:26" x14ac:dyDescent="0.25">
      <c r="A320" s="9"/>
      <c r="B320" s="62" t="s">
        <v>314</v>
      </c>
      <c r="D320" s="17"/>
      <c r="E320" s="17"/>
      <c r="G320" s="17"/>
      <c r="H320" s="17"/>
      <c r="I320" s="17"/>
      <c r="J320" s="43"/>
      <c r="K320" s="17"/>
      <c r="L320" s="17"/>
      <c r="M320" s="17"/>
      <c r="P320" s="17"/>
      <c r="Q320" s="17"/>
      <c r="R320" s="43"/>
      <c r="S320" s="17"/>
      <c r="T320" s="17"/>
      <c r="U320" s="17"/>
      <c r="V320" s="43"/>
      <c r="W320" s="17"/>
      <c r="X320" s="17"/>
    </row>
    <row r="321" spans="1:24" x14ac:dyDescent="0.25">
      <c r="A321" s="9"/>
      <c r="B321" s="63"/>
      <c r="D321" s="17"/>
      <c r="E321" s="17"/>
      <c r="G321" s="17"/>
      <c r="H321" s="17"/>
      <c r="I321" s="17"/>
      <c r="J321" s="43"/>
      <c r="K321" s="17"/>
      <c r="L321" s="17"/>
      <c r="M321" s="17"/>
      <c r="P321" s="17"/>
      <c r="Q321" s="17"/>
      <c r="R321" s="43"/>
      <c r="S321" s="17"/>
      <c r="T321" s="17"/>
      <c r="U321" s="17"/>
      <c r="V321" s="43"/>
      <c r="W321" s="17"/>
      <c r="X321" s="17"/>
    </row>
    <row r="322" spans="1:24" x14ac:dyDescent="0.25">
      <c r="D322" s="17"/>
      <c r="E322" s="17"/>
      <c r="G322" s="17"/>
      <c r="H322" s="17"/>
      <c r="I322" s="17"/>
      <c r="J322" s="43"/>
      <c r="K322" s="17"/>
      <c r="L322" s="17"/>
      <c r="M322" s="17"/>
      <c r="P322" s="17"/>
      <c r="Q322" s="17"/>
      <c r="R322" s="43"/>
      <c r="S322" s="17"/>
      <c r="T322" s="17"/>
      <c r="U322" s="17"/>
      <c r="V322" s="43"/>
      <c r="W322" s="17"/>
      <c r="X322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297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5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312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655664.05999999982</v>
      </c>
      <c r="E12" s="4"/>
      <c r="F12" s="13"/>
      <c r="G12" s="4"/>
      <c r="H12" s="4">
        <f>SUM(OSRRefH13x_0)</f>
        <v>872594.15128999995</v>
      </c>
      <c r="I12" s="4"/>
      <c r="J12" s="13"/>
      <c r="K12" s="4"/>
      <c r="L12" s="4">
        <f t="shared" ref="L12:L130" si="0">+D12-H12</f>
        <v>-216930.09129000013</v>
      </c>
      <c r="M12" s="4"/>
      <c r="N12" s="13">
        <f t="shared" ref="N12:N130" si="1">IF(H12=0,0,L12/H12)</f>
        <v>-0.24860365035601192</v>
      </c>
      <c r="O12" s="10"/>
      <c r="P12" s="4">
        <f>SUM(OSRRefP13x_0)</f>
        <v>12119898.290000001</v>
      </c>
      <c r="Q12" s="4"/>
      <c r="R12" s="13"/>
      <c r="S12" s="4"/>
      <c r="T12" s="4">
        <f>SUM(OSRRefT13x_0)</f>
        <v>14935563.499989999</v>
      </c>
      <c r="U12" s="4"/>
      <c r="V12" s="13"/>
      <c r="W12" s="4"/>
      <c r="X12" s="4">
        <f t="shared" ref="X12:X130" si="2">+P12-T12</f>
        <v>-2815665.2099899985</v>
      </c>
      <c r="Y12" s="4"/>
      <c r="Z12" s="13">
        <f t="shared" ref="Z12:Z130" si="3">IF(T12=0,0,X12/T12)</f>
        <v>-0.18852085560694673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764594.15128999995</v>
      </c>
      <c r="I13" s="2"/>
      <c r="J13" s="19"/>
      <c r="K13" s="2"/>
      <c r="L13" s="2">
        <f t="shared" si="0"/>
        <v>-764594.15128999995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8334926.4999899995</v>
      </c>
      <c r="U13" s="2"/>
      <c r="V13" s="19"/>
      <c r="W13" s="2"/>
      <c r="X13" s="2">
        <f t="shared" si="2"/>
        <v>-8334926.4999899995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--15904.07</f>
        <v>15904.07</v>
      </c>
      <c r="E14" s="2"/>
      <c r="F14" s="19"/>
      <c r="G14" s="2"/>
      <c r="H14" s="2"/>
      <c r="I14" s="2"/>
      <c r="J14" s="19"/>
      <c r="K14" s="2"/>
      <c r="L14" s="2">
        <f t="shared" si="0"/>
        <v>15904.07</v>
      </c>
      <c r="M14" s="2"/>
      <c r="N14" s="19">
        <f t="shared" si="1"/>
        <v>0</v>
      </c>
      <c r="O14" s="11"/>
      <c r="P14" s="2">
        <f>--2451163.71</f>
        <v>2451163.71</v>
      </c>
      <c r="Q14" s="2"/>
      <c r="R14" s="19"/>
      <c r="S14" s="2"/>
      <c r="T14" s="2"/>
      <c r="U14" s="2"/>
      <c r="V14" s="19"/>
      <c r="W14" s="2"/>
      <c r="X14" s="2">
        <f t="shared" si="2"/>
        <v>2451163.71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--15376.45</f>
        <v>15376.45</v>
      </c>
      <c r="E15" s="2"/>
      <c r="F15" s="19"/>
      <c r="G15" s="2"/>
      <c r="H15" s="2"/>
      <c r="I15" s="2"/>
      <c r="J15" s="19"/>
      <c r="K15" s="2"/>
      <c r="L15" s="2">
        <f t="shared" si="0"/>
        <v>15376.45</v>
      </c>
      <c r="M15" s="2"/>
      <c r="N15" s="19">
        <f t="shared" si="1"/>
        <v>0</v>
      </c>
      <c r="O15" s="11"/>
      <c r="P15" s="2">
        <f>--1271803.19</f>
        <v>1271803.19</v>
      </c>
      <c r="Q15" s="2"/>
      <c r="R15" s="19"/>
      <c r="S15" s="2"/>
      <c r="T15" s="2"/>
      <c r="U15" s="2"/>
      <c r="V15" s="19"/>
      <c r="W15" s="2"/>
      <c r="X15" s="2">
        <f t="shared" si="2"/>
        <v>1271803.19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--895</f>
        <v>895</v>
      </c>
      <c r="E16" s="2"/>
      <c r="F16" s="19"/>
      <c r="G16" s="2"/>
      <c r="H16" s="2"/>
      <c r="I16" s="2"/>
      <c r="J16" s="19"/>
      <c r="K16" s="2"/>
      <c r="L16" s="2">
        <f t="shared" si="0"/>
        <v>895</v>
      </c>
      <c r="M16" s="2"/>
      <c r="N16" s="19">
        <f t="shared" si="1"/>
        <v>0</v>
      </c>
      <c r="O16" s="11"/>
      <c r="P16" s="2">
        <f>--34659.88</f>
        <v>34659.879999999997</v>
      </c>
      <c r="Q16" s="2"/>
      <c r="R16" s="19"/>
      <c r="S16" s="2"/>
      <c r="T16" s="2"/>
      <c r="U16" s="2"/>
      <c r="V16" s="19"/>
      <c r="W16" s="2"/>
      <c r="X16" s="2">
        <f t="shared" si="2"/>
        <v>34659.879999999997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--64.99</f>
        <v>64.989999999999995</v>
      </c>
      <c r="E19" s="2"/>
      <c r="F19" s="19"/>
      <c r="G19" s="2"/>
      <c r="H19" s="2"/>
      <c r="I19" s="2"/>
      <c r="J19" s="19"/>
      <c r="K19" s="2"/>
      <c r="L19" s="2">
        <f t="shared" si="0"/>
        <v>64.989999999999995</v>
      </c>
      <c r="M19" s="2"/>
      <c r="N19" s="19">
        <f t="shared" si="1"/>
        <v>0</v>
      </c>
      <c r="O19" s="11"/>
      <c r="P19" s="2">
        <f>--2778.35</f>
        <v>2778.35</v>
      </c>
      <c r="Q19" s="2"/>
      <c r="R19" s="19"/>
      <c r="S19" s="2"/>
      <c r="T19" s="2"/>
      <c r="U19" s="2"/>
      <c r="V19" s="19"/>
      <c r="W19" s="2"/>
      <c r="X19" s="2">
        <f t="shared" si="2"/>
        <v>2778.35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--13.9</f>
        <v>13.9</v>
      </c>
      <c r="E20" s="2"/>
      <c r="F20" s="19"/>
      <c r="G20" s="2"/>
      <c r="H20" s="2"/>
      <c r="I20" s="2"/>
      <c r="J20" s="19"/>
      <c r="K20" s="2"/>
      <c r="L20" s="2">
        <f t="shared" si="0"/>
        <v>13.9</v>
      </c>
      <c r="M20" s="2"/>
      <c r="N20" s="19">
        <f t="shared" si="1"/>
        <v>0</v>
      </c>
      <c r="O20" s="11"/>
      <c r="P20" s="2">
        <f>--1233.88</f>
        <v>1233.8800000000001</v>
      </c>
      <c r="Q20" s="2"/>
      <c r="R20" s="19"/>
      <c r="S20" s="2"/>
      <c r="T20" s="2"/>
      <c r="U20" s="2"/>
      <c r="V20" s="19"/>
      <c r="W20" s="2"/>
      <c r="X20" s="2">
        <f t="shared" si="2"/>
        <v>1233.8800000000001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 t="shared" ref="D21:D23" si="5"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--4179.3</f>
        <v>4179.3</v>
      </c>
      <c r="Q22" s="2"/>
      <c r="R22" s="19"/>
      <c r="S22" s="2"/>
      <c r="T22" s="2"/>
      <c r="U22" s="2"/>
      <c r="V22" s="19"/>
      <c r="W22" s="2"/>
      <c r="X22" s="2">
        <f t="shared" si="2"/>
        <v>4179.3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--3099.74</f>
        <v>3099.74</v>
      </c>
      <c r="E24" s="2"/>
      <c r="F24" s="19"/>
      <c r="G24" s="2"/>
      <c r="H24" s="2"/>
      <c r="I24" s="2"/>
      <c r="J24" s="19"/>
      <c r="K24" s="2"/>
      <c r="L24" s="2">
        <f t="shared" si="0"/>
        <v>3099.74</v>
      </c>
      <c r="M24" s="2"/>
      <c r="N24" s="19">
        <f t="shared" si="1"/>
        <v>0</v>
      </c>
      <c r="O24" s="11"/>
      <c r="P24" s="2">
        <f>--57819.85</f>
        <v>57819.85</v>
      </c>
      <c r="Q24" s="2"/>
      <c r="R24" s="19"/>
      <c r="S24" s="2"/>
      <c r="T24" s="2"/>
      <c r="U24" s="2"/>
      <c r="V24" s="19"/>
      <c r="W24" s="2"/>
      <c r="X24" s="2">
        <f t="shared" si="2"/>
        <v>57819.85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--2531.99</f>
        <v>2531.9899999999998</v>
      </c>
      <c r="E25" s="2"/>
      <c r="F25" s="19"/>
      <c r="G25" s="2"/>
      <c r="H25" s="2"/>
      <c r="I25" s="2"/>
      <c r="J25" s="19"/>
      <c r="K25" s="2"/>
      <c r="L25" s="2">
        <f t="shared" si="0"/>
        <v>2531.9899999999998</v>
      </c>
      <c r="M25" s="2"/>
      <c r="N25" s="19">
        <f t="shared" si="1"/>
        <v>0</v>
      </c>
      <c r="O25" s="11"/>
      <c r="P25" s="2">
        <f>--83341.48</f>
        <v>83341.48</v>
      </c>
      <c r="Q25" s="2"/>
      <c r="R25" s="19"/>
      <c r="S25" s="2"/>
      <c r="T25" s="2"/>
      <c r="U25" s="2"/>
      <c r="V25" s="19"/>
      <c r="W25" s="2"/>
      <c r="X25" s="2">
        <f t="shared" si="2"/>
        <v>83341.48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--4073.06</f>
        <v>4073.06</v>
      </c>
      <c r="E26" s="2"/>
      <c r="F26" s="19"/>
      <c r="G26" s="2"/>
      <c r="H26" s="2"/>
      <c r="I26" s="2"/>
      <c r="J26" s="19"/>
      <c r="K26" s="2"/>
      <c r="L26" s="2">
        <f t="shared" si="0"/>
        <v>4073.06</v>
      </c>
      <c r="M26" s="2"/>
      <c r="N26" s="19">
        <f t="shared" si="1"/>
        <v>0</v>
      </c>
      <c r="O26" s="11"/>
      <c r="P26" s="2">
        <f>--280850.13</f>
        <v>280850.13</v>
      </c>
      <c r="Q26" s="2"/>
      <c r="R26" s="19"/>
      <c r="S26" s="2"/>
      <c r="T26" s="2"/>
      <c r="U26" s="2"/>
      <c r="V26" s="19"/>
      <c r="W26" s="2"/>
      <c r="X26" s="2">
        <f t="shared" si="2"/>
        <v>280850.13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--386.59</f>
        <v>386.59</v>
      </c>
      <c r="E27" s="2"/>
      <c r="F27" s="19"/>
      <c r="G27" s="2"/>
      <c r="H27" s="2"/>
      <c r="I27" s="2"/>
      <c r="J27" s="19"/>
      <c r="K27" s="2"/>
      <c r="L27" s="2">
        <f t="shared" si="0"/>
        <v>386.59</v>
      </c>
      <c r="M27" s="2"/>
      <c r="N27" s="19">
        <f t="shared" si="1"/>
        <v>0</v>
      </c>
      <c r="O27" s="11"/>
      <c r="P27" s="2">
        <f>--293577.64</f>
        <v>293577.64</v>
      </c>
      <c r="Q27" s="2"/>
      <c r="R27" s="19"/>
      <c r="S27" s="2"/>
      <c r="T27" s="2"/>
      <c r="U27" s="2"/>
      <c r="V27" s="19"/>
      <c r="W27" s="2"/>
      <c r="X27" s="2">
        <f t="shared" si="2"/>
        <v>293577.64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--1905.06</f>
        <v>1905.06</v>
      </c>
      <c r="Q29" s="2"/>
      <c r="R29" s="19"/>
      <c r="S29" s="2"/>
      <c r="T29" s="2"/>
      <c r="U29" s="2"/>
      <c r="V29" s="19"/>
      <c r="W29" s="2"/>
      <c r="X29" s="2">
        <f t="shared" si="2"/>
        <v>1905.06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--7803.51</f>
        <v>7803.51</v>
      </c>
      <c r="Q31" s="2"/>
      <c r="R31" s="19"/>
      <c r="S31" s="2"/>
      <c r="T31" s="2"/>
      <c r="U31" s="2"/>
      <c r="V31" s="19"/>
      <c r="W31" s="2"/>
      <c r="X31" s="2">
        <f t="shared" si="2"/>
        <v>7803.51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--46364.3</f>
        <v>46364.3</v>
      </c>
      <c r="E34" s="2"/>
      <c r="F34" s="19"/>
      <c r="G34" s="2"/>
      <c r="H34" s="2"/>
      <c r="I34" s="2"/>
      <c r="J34" s="19"/>
      <c r="K34" s="2"/>
      <c r="L34" s="2">
        <f t="shared" si="0"/>
        <v>46364.3</v>
      </c>
      <c r="M34" s="2"/>
      <c r="N34" s="19">
        <f t="shared" si="1"/>
        <v>0</v>
      </c>
      <c r="O34" s="11"/>
      <c r="P34" s="2">
        <f>--1941274.42</f>
        <v>1941274.42</v>
      </c>
      <c r="Q34" s="2"/>
      <c r="R34" s="19"/>
      <c r="S34" s="2"/>
      <c r="T34" s="2"/>
      <c r="U34" s="2"/>
      <c r="V34" s="19"/>
      <c r="W34" s="2"/>
      <c r="X34" s="2">
        <f t="shared" si="2"/>
        <v>1941274.42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--29904.23</f>
        <v>29904.23</v>
      </c>
      <c r="E35" s="2"/>
      <c r="F35" s="19"/>
      <c r="G35" s="2"/>
      <c r="H35" s="2"/>
      <c r="I35" s="2"/>
      <c r="J35" s="19"/>
      <c r="K35" s="2"/>
      <c r="L35" s="2">
        <f t="shared" si="0"/>
        <v>29904.23</v>
      </c>
      <c r="M35" s="2"/>
      <c r="N35" s="19">
        <f t="shared" si="1"/>
        <v>0</v>
      </c>
      <c r="O35" s="11"/>
      <c r="P35" s="2">
        <f>--556536.79</f>
        <v>556536.79</v>
      </c>
      <c r="Q35" s="2"/>
      <c r="R35" s="19"/>
      <c r="S35" s="2"/>
      <c r="T35" s="2"/>
      <c r="U35" s="2"/>
      <c r="V35" s="19"/>
      <c r="W35" s="2"/>
      <c r="X35" s="2">
        <f t="shared" si="2"/>
        <v>556536.79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--2836.85</f>
        <v>2836.85</v>
      </c>
      <c r="E36" s="2"/>
      <c r="F36" s="19"/>
      <c r="G36" s="2"/>
      <c r="H36" s="2"/>
      <c r="I36" s="2"/>
      <c r="J36" s="19"/>
      <c r="K36" s="2"/>
      <c r="L36" s="2">
        <f t="shared" si="0"/>
        <v>2836.85</v>
      </c>
      <c r="M36" s="2"/>
      <c r="N36" s="19">
        <f t="shared" si="1"/>
        <v>0</v>
      </c>
      <c r="O36" s="11"/>
      <c r="P36" s="2">
        <f>--285558.05</f>
        <v>285558.05</v>
      </c>
      <c r="Q36" s="2"/>
      <c r="R36" s="19"/>
      <c r="S36" s="2"/>
      <c r="T36" s="2"/>
      <c r="U36" s="2"/>
      <c r="V36" s="19"/>
      <c r="W36" s="2"/>
      <c r="X36" s="2">
        <f t="shared" si="2"/>
        <v>285558.05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--54.96</f>
        <v>54.96</v>
      </c>
      <c r="E37" s="2"/>
      <c r="F37" s="19"/>
      <c r="G37" s="2"/>
      <c r="H37" s="2"/>
      <c r="I37" s="2"/>
      <c r="J37" s="19"/>
      <c r="K37" s="2"/>
      <c r="L37" s="2">
        <f t="shared" si="0"/>
        <v>54.96</v>
      </c>
      <c r="M37" s="2"/>
      <c r="N37" s="19">
        <f t="shared" si="1"/>
        <v>0</v>
      </c>
      <c r="O37" s="11"/>
      <c r="P37" s="2">
        <f>--77324.14</f>
        <v>77324.14</v>
      </c>
      <c r="Q37" s="2"/>
      <c r="R37" s="19"/>
      <c r="S37" s="2"/>
      <c r="T37" s="2"/>
      <c r="U37" s="2"/>
      <c r="V37" s="19"/>
      <c r="W37" s="2"/>
      <c r="X37" s="2">
        <f t="shared" si="2"/>
        <v>77324.14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--2524.8</f>
        <v>2524.8000000000002</v>
      </c>
      <c r="E38" s="2"/>
      <c r="F38" s="19"/>
      <c r="G38" s="2"/>
      <c r="H38" s="2"/>
      <c r="I38" s="2"/>
      <c r="J38" s="19"/>
      <c r="K38" s="2"/>
      <c r="L38" s="2">
        <f t="shared" si="0"/>
        <v>2524.8000000000002</v>
      </c>
      <c r="M38" s="2"/>
      <c r="N38" s="19">
        <f t="shared" si="1"/>
        <v>0</v>
      </c>
      <c r="O38" s="11"/>
      <c r="P38" s="2">
        <f>--73780.56</f>
        <v>73780.56</v>
      </c>
      <c r="Q38" s="2"/>
      <c r="R38" s="19"/>
      <c r="S38" s="2"/>
      <c r="T38" s="2"/>
      <c r="U38" s="2"/>
      <c r="V38" s="19"/>
      <c r="W38" s="2"/>
      <c r="X38" s="2">
        <f t="shared" si="2"/>
        <v>73780.56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--26263.53</f>
        <v>26263.53</v>
      </c>
      <c r="E39" s="2"/>
      <c r="F39" s="19"/>
      <c r="G39" s="2"/>
      <c r="H39" s="2"/>
      <c r="I39" s="2"/>
      <c r="J39" s="19"/>
      <c r="K39" s="2"/>
      <c r="L39" s="2">
        <f t="shared" si="0"/>
        <v>26263.53</v>
      </c>
      <c r="M39" s="2"/>
      <c r="N39" s="19">
        <f t="shared" si="1"/>
        <v>0</v>
      </c>
      <c r="O39" s="11"/>
      <c r="P39" s="2">
        <f>--123103.09</f>
        <v>123103.09</v>
      </c>
      <c r="Q39" s="2"/>
      <c r="R39" s="19"/>
      <c r="S39" s="2"/>
      <c r="T39" s="2"/>
      <c r="U39" s="2"/>
      <c r="V39" s="19"/>
      <c r="W39" s="2"/>
      <c r="X39" s="2">
        <f t="shared" si="2"/>
        <v>123103.09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--1708.99</f>
        <v>1708.99</v>
      </c>
      <c r="E41" s="2"/>
      <c r="F41" s="19"/>
      <c r="G41" s="2"/>
      <c r="H41" s="2"/>
      <c r="I41" s="2"/>
      <c r="J41" s="19"/>
      <c r="K41" s="2"/>
      <c r="L41" s="2">
        <f t="shared" si="0"/>
        <v>1708.99</v>
      </c>
      <c r="M41" s="2"/>
      <c r="N41" s="19">
        <f t="shared" si="1"/>
        <v>0</v>
      </c>
      <c r="O41" s="11"/>
      <c r="P41" s="2">
        <f>--318043.95</f>
        <v>318043.95</v>
      </c>
      <c r="Q41" s="2"/>
      <c r="R41" s="19"/>
      <c r="S41" s="2"/>
      <c r="T41" s="2"/>
      <c r="U41" s="2"/>
      <c r="V41" s="19"/>
      <c r="W41" s="2"/>
      <c r="X41" s="2">
        <f t="shared" si="2"/>
        <v>318043.95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--391247.66</f>
        <v>391247.66</v>
      </c>
      <c r="E42" s="2"/>
      <c r="F42" s="19"/>
      <c r="G42" s="2"/>
      <c r="H42" s="2"/>
      <c r="I42" s="2"/>
      <c r="J42" s="19"/>
      <c r="K42" s="2"/>
      <c r="L42" s="2">
        <f t="shared" si="0"/>
        <v>391247.66</v>
      </c>
      <c r="M42" s="2"/>
      <c r="N42" s="19">
        <f t="shared" si="1"/>
        <v>0</v>
      </c>
      <c r="O42" s="11"/>
      <c r="P42" s="2">
        <f>--2373850.38</f>
        <v>2373850.38</v>
      </c>
      <c r="Q42" s="2"/>
      <c r="R42" s="19"/>
      <c r="S42" s="2"/>
      <c r="T42" s="2"/>
      <c r="U42" s="2"/>
      <c r="V42" s="19"/>
      <c r="W42" s="2"/>
      <c r="X42" s="2">
        <f t="shared" si="2"/>
        <v>2373850.38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--32731.49</f>
        <v>32731.49</v>
      </c>
      <c r="E43" s="2"/>
      <c r="F43" s="19"/>
      <c r="G43" s="2"/>
      <c r="H43" s="2"/>
      <c r="I43" s="2"/>
      <c r="J43" s="19"/>
      <c r="K43" s="2"/>
      <c r="L43" s="2">
        <f t="shared" si="0"/>
        <v>32731.49</v>
      </c>
      <c r="M43" s="2"/>
      <c r="N43" s="19">
        <f t="shared" si="1"/>
        <v>0</v>
      </c>
      <c r="O43" s="11"/>
      <c r="P43" s="2">
        <f>--139149.89</f>
        <v>139149.89000000001</v>
      </c>
      <c r="Q43" s="2"/>
      <c r="R43" s="19"/>
      <c r="S43" s="2"/>
      <c r="T43" s="2"/>
      <c r="U43" s="2"/>
      <c r="V43" s="19"/>
      <c r="W43" s="2"/>
      <c r="X43" s="2">
        <f t="shared" si="2"/>
        <v>139149.89000000001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7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/>
      <c r="U44" s="2"/>
      <c r="V44" s="19"/>
      <c r="W44" s="2"/>
      <c r="X44" s="2">
        <f t="shared" si="2"/>
        <v>129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7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--4587.93</f>
        <v>4587.93</v>
      </c>
      <c r="Q45" s="2"/>
      <c r="R45" s="19"/>
      <c r="S45" s="2"/>
      <c r="T45" s="2"/>
      <c r="U45" s="2"/>
      <c r="V45" s="19"/>
      <c r="W45" s="2"/>
      <c r="X45" s="2">
        <f t="shared" si="2"/>
        <v>4587.93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--114.95</f>
        <v>114.95</v>
      </c>
      <c r="E46" s="2"/>
      <c r="F46" s="19"/>
      <c r="G46" s="2"/>
      <c r="H46" s="2"/>
      <c r="I46" s="2"/>
      <c r="J46" s="19"/>
      <c r="K46" s="2"/>
      <c r="L46" s="2">
        <f t="shared" si="0"/>
        <v>114.95</v>
      </c>
      <c r="M46" s="2"/>
      <c r="N46" s="19">
        <f t="shared" si="1"/>
        <v>0</v>
      </c>
      <c r="O46" s="11"/>
      <c r="P46" s="2">
        <f>--49644.41</f>
        <v>49644.41</v>
      </c>
      <c r="Q46" s="2"/>
      <c r="R46" s="19"/>
      <c r="S46" s="2"/>
      <c r="T46" s="2"/>
      <c r="U46" s="2"/>
      <c r="V46" s="19"/>
      <c r="W46" s="2"/>
      <c r="X46" s="2">
        <f t="shared" si="2"/>
        <v>49644.41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--356</f>
        <v>356</v>
      </c>
      <c r="E47" s="2"/>
      <c r="F47" s="19"/>
      <c r="G47" s="2"/>
      <c r="H47" s="2"/>
      <c r="I47" s="2"/>
      <c r="J47" s="19"/>
      <c r="K47" s="2"/>
      <c r="L47" s="2">
        <f t="shared" si="0"/>
        <v>356</v>
      </c>
      <c r="M47" s="2"/>
      <c r="N47" s="19">
        <f t="shared" si="1"/>
        <v>0</v>
      </c>
      <c r="O47" s="11"/>
      <c r="P47" s="2">
        <f>--3151.75</f>
        <v>3151.75</v>
      </c>
      <c r="Q47" s="2"/>
      <c r="R47" s="19"/>
      <c r="S47" s="2"/>
      <c r="T47" s="2"/>
      <c r="U47" s="2"/>
      <c r="V47" s="19"/>
      <c r="W47" s="2"/>
      <c r="X47" s="2">
        <f t="shared" si="2"/>
        <v>3151.75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>--6332.23</f>
        <v>6332.23</v>
      </c>
      <c r="E48" s="2"/>
      <c r="F48" s="19"/>
      <c r="G48" s="2"/>
      <c r="H48" s="2"/>
      <c r="I48" s="2"/>
      <c r="J48" s="19"/>
      <c r="K48" s="2"/>
      <c r="L48" s="2">
        <f t="shared" si="0"/>
        <v>6332.23</v>
      </c>
      <c r="M48" s="2"/>
      <c r="N48" s="19">
        <f t="shared" si="1"/>
        <v>0</v>
      </c>
      <c r="O48" s="11"/>
      <c r="P48" s="2">
        <f>--41685.94</f>
        <v>41685.94</v>
      </c>
      <c r="Q48" s="2"/>
      <c r="R48" s="19"/>
      <c r="S48" s="2"/>
      <c r="T48" s="2"/>
      <c r="U48" s="2"/>
      <c r="V48" s="19"/>
      <c r="W48" s="2"/>
      <c r="X48" s="2">
        <f t="shared" si="2"/>
        <v>41685.94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--309.26</f>
        <v>309.26</v>
      </c>
      <c r="Q49" s="2"/>
      <c r="R49" s="19"/>
      <c r="S49" s="2"/>
      <c r="T49" s="2"/>
      <c r="U49" s="2"/>
      <c r="V49" s="19"/>
      <c r="W49" s="2"/>
      <c r="X49" s="2">
        <f t="shared" si="2"/>
        <v>309.26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-16200.52</f>
        <v>-16200.52</v>
      </c>
      <c r="E50" s="2"/>
      <c r="F50" s="19"/>
      <c r="G50" s="2"/>
      <c r="H50" s="2">
        <v>108000</v>
      </c>
      <c r="I50" s="2"/>
      <c r="J50" s="19"/>
      <c r="K50" s="2"/>
      <c r="L50" s="2">
        <f t="shared" si="0"/>
        <v>-124200.52</v>
      </c>
      <c r="M50" s="2"/>
      <c r="N50" s="19">
        <f t="shared" si="1"/>
        <v>-1.1500048148148148</v>
      </c>
      <c r="O50" s="11"/>
      <c r="P50" s="2">
        <f>--591246.5</f>
        <v>591246.5</v>
      </c>
      <c r="Q50" s="2"/>
      <c r="R50" s="19"/>
      <c r="S50" s="2"/>
      <c r="T50" s="2">
        <v>6600637</v>
      </c>
      <c r="U50" s="2"/>
      <c r="V50" s="19"/>
      <c r="W50" s="2"/>
      <c r="X50" s="2">
        <f t="shared" si="2"/>
        <v>-6009390.5</v>
      </c>
      <c r="Y50" s="2"/>
      <c r="Z50" s="19">
        <f t="shared" si="3"/>
        <v>-0.91042584223310563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--2671.34</f>
        <v>2671.34</v>
      </c>
      <c r="E51" s="2"/>
      <c r="F51" s="19"/>
      <c r="G51" s="2"/>
      <c r="H51" s="2"/>
      <c r="I51" s="2"/>
      <c r="J51" s="19"/>
      <c r="K51" s="2"/>
      <c r="L51" s="2">
        <f t="shared" si="0"/>
        <v>2671.34</v>
      </c>
      <c r="M51" s="2"/>
      <c r="N51" s="19">
        <f t="shared" si="1"/>
        <v>0</v>
      </c>
      <c r="O51" s="11"/>
      <c r="P51" s="2">
        <f>--153953.68</f>
        <v>153953.68</v>
      </c>
      <c r="Q51" s="2"/>
      <c r="R51" s="19"/>
      <c r="S51" s="2"/>
      <c r="T51" s="2"/>
      <c r="U51" s="2"/>
      <c r="V51" s="19"/>
      <c r="W51" s="2"/>
      <c r="X51" s="2">
        <f t="shared" si="2"/>
        <v>153953.68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--1718.15</f>
        <v>1718.15</v>
      </c>
      <c r="E52" s="2"/>
      <c r="F52" s="19"/>
      <c r="G52" s="2"/>
      <c r="H52" s="2"/>
      <c r="I52" s="2"/>
      <c r="J52" s="19"/>
      <c r="K52" s="2"/>
      <c r="L52" s="2">
        <f t="shared" si="0"/>
        <v>1718.15</v>
      </c>
      <c r="M52" s="2"/>
      <c r="N52" s="19">
        <f t="shared" si="1"/>
        <v>0</v>
      </c>
      <c r="O52" s="11"/>
      <c r="P52" s="2">
        <f>--71943.61</f>
        <v>71943.61</v>
      </c>
      <c r="Q52" s="2"/>
      <c r="R52" s="19"/>
      <c r="S52" s="2"/>
      <c r="T52" s="2"/>
      <c r="U52" s="2"/>
      <c r="V52" s="19"/>
      <c r="W52" s="2"/>
      <c r="X52" s="2">
        <f t="shared" si="2"/>
        <v>71943.61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--664.97</f>
        <v>664.97</v>
      </c>
      <c r="Q53" s="2"/>
      <c r="R53" s="19"/>
      <c r="S53" s="2"/>
      <c r="T53" s="2"/>
      <c r="U53" s="2"/>
      <c r="V53" s="19"/>
      <c r="W53" s="2"/>
      <c r="X53" s="2">
        <f t="shared" si="2"/>
        <v>664.97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--1836.93</f>
        <v>1836.93</v>
      </c>
      <c r="E54" s="2"/>
      <c r="F54" s="19"/>
      <c r="G54" s="2"/>
      <c r="H54" s="2"/>
      <c r="I54" s="2"/>
      <c r="J54" s="19"/>
      <c r="K54" s="2"/>
      <c r="L54" s="2">
        <f t="shared" si="0"/>
        <v>1836.93</v>
      </c>
      <c r="M54" s="2"/>
      <c r="N54" s="19">
        <f t="shared" si="1"/>
        <v>0</v>
      </c>
      <c r="O54" s="11"/>
      <c r="P54" s="2">
        <f>--533640.31</f>
        <v>533640.31000000006</v>
      </c>
      <c r="Q54" s="2"/>
      <c r="R54" s="19"/>
      <c r="S54" s="2"/>
      <c r="T54" s="2"/>
      <c r="U54" s="2"/>
      <c r="V54" s="19"/>
      <c r="W54" s="2"/>
      <c r="X54" s="2">
        <f t="shared" si="2"/>
        <v>533640.31000000006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--679.21</f>
        <v>679.21</v>
      </c>
      <c r="E55" s="2"/>
      <c r="F55" s="19"/>
      <c r="G55" s="2"/>
      <c r="H55" s="2"/>
      <c r="I55" s="2"/>
      <c r="J55" s="19"/>
      <c r="K55" s="2"/>
      <c r="L55" s="2">
        <f t="shared" si="0"/>
        <v>679.21</v>
      </c>
      <c r="M55" s="2"/>
      <c r="N55" s="19">
        <f t="shared" si="1"/>
        <v>0</v>
      </c>
      <c r="O55" s="11"/>
      <c r="P55" s="2">
        <f>--16342.67</f>
        <v>16342.67</v>
      </c>
      <c r="Q55" s="2"/>
      <c r="R55" s="19"/>
      <c r="S55" s="2"/>
      <c r="T55" s="2"/>
      <c r="U55" s="2"/>
      <c r="V55" s="19"/>
      <c r="W55" s="2"/>
      <c r="X55" s="2">
        <f t="shared" si="2"/>
        <v>16342.67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 t="shared" ref="D56:D57" si="8"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--8266.16</f>
        <v>8266.16</v>
      </c>
      <c r="Q56" s="2"/>
      <c r="R56" s="19"/>
      <c r="S56" s="2"/>
      <c r="T56" s="2"/>
      <c r="U56" s="2"/>
      <c r="V56" s="19"/>
      <c r="W56" s="2"/>
      <c r="X56" s="2">
        <f t="shared" si="2"/>
        <v>8266.16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"4114", " - ", "NON-TAXABLE SALES-REMAINDERS")</f>
        <v xml:space="preserve">          4114 - NON-TAXABLE SALES-REMAINDERS</v>
      </c>
      <c r="C57" s="11"/>
      <c r="D57" s="2">
        <f t="shared" si="8"/>
        <v>0</v>
      </c>
      <c r="E57" s="2"/>
      <c r="F57" s="19"/>
      <c r="G57" s="2"/>
      <c r="H57" s="2"/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--3.19</f>
        <v>3.19</v>
      </c>
      <c r="Q57" s="2"/>
      <c r="R57" s="19"/>
      <c r="S57" s="2"/>
      <c r="T57" s="2"/>
      <c r="U57" s="2"/>
      <c r="V57" s="19"/>
      <c r="W57" s="2"/>
      <c r="X57" s="2">
        <f t="shared" si="2"/>
        <v>3.19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"4118", " - ", "NON-TAXABLE SALES-STUDY GUIDES")</f>
        <v xml:space="preserve">          4118 - NON-TAXABLE SALES-STUDY GUIDES</v>
      </c>
      <c r="C58" s="11"/>
      <c r="D58" s="2">
        <f>--10.09</f>
        <v>10.09</v>
      </c>
      <c r="E58" s="2"/>
      <c r="F58" s="19"/>
      <c r="G58" s="2"/>
      <c r="H58" s="2"/>
      <c r="I58" s="2"/>
      <c r="J58" s="19"/>
      <c r="K58" s="2"/>
      <c r="L58" s="2">
        <f t="shared" si="0"/>
        <v>10.09</v>
      </c>
      <c r="M58" s="2"/>
      <c r="N58" s="19">
        <f t="shared" si="1"/>
        <v>0</v>
      </c>
      <c r="O58" s="11"/>
      <c r="P58" s="2">
        <f>--126.03</f>
        <v>126.03</v>
      </c>
      <c r="Q58" s="2"/>
      <c r="R58" s="19"/>
      <c r="S58" s="2"/>
      <c r="T58" s="2"/>
      <c r="U58" s="2"/>
      <c r="V58" s="19"/>
      <c r="W58" s="2"/>
      <c r="X58" s="2">
        <f t="shared" si="2"/>
        <v>126.03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"4125", " - ", "NON-TAXABLE SALES-TEST FORMS")</f>
        <v xml:space="preserve">          4125 - NON-TAXABLE SALES-TEST FORMS</v>
      </c>
      <c r="C59" s="11"/>
      <c r="D59" s="2">
        <f>--185</f>
        <v>185</v>
      </c>
      <c r="E59" s="2"/>
      <c r="F59" s="19"/>
      <c r="G59" s="2"/>
      <c r="H59" s="2"/>
      <c r="I59" s="2"/>
      <c r="J59" s="19"/>
      <c r="K59" s="2"/>
      <c r="L59" s="2">
        <f t="shared" si="0"/>
        <v>185</v>
      </c>
      <c r="M59" s="2"/>
      <c r="N59" s="19">
        <f t="shared" si="1"/>
        <v>0</v>
      </c>
      <c r="O59" s="11"/>
      <c r="P59" s="2">
        <f>--452.61</f>
        <v>452.61</v>
      </c>
      <c r="Q59" s="2"/>
      <c r="R59" s="19"/>
      <c r="S59" s="2"/>
      <c r="T59" s="2"/>
      <c r="U59" s="2"/>
      <c r="V59" s="19"/>
      <c r="W59" s="2"/>
      <c r="X59" s="2">
        <f t="shared" si="2"/>
        <v>452.61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"4126", " - ", "NON-TAXABLE SALES-WRITING INST")</f>
        <v xml:space="preserve">          4126 - NON-TAXABLE SALES-WRITING INST</v>
      </c>
      <c r="C60" s="11"/>
      <c r="D60" s="2">
        <f>--168.02</f>
        <v>168.02</v>
      </c>
      <c r="E60" s="2"/>
      <c r="F60" s="19"/>
      <c r="G60" s="2"/>
      <c r="H60" s="2"/>
      <c r="I60" s="2"/>
      <c r="J60" s="19"/>
      <c r="K60" s="2"/>
      <c r="L60" s="2">
        <f t="shared" si="0"/>
        <v>168.02</v>
      </c>
      <c r="M60" s="2"/>
      <c r="N60" s="19">
        <f t="shared" si="1"/>
        <v>0</v>
      </c>
      <c r="O60" s="11"/>
      <c r="P60" s="2">
        <f>--3301.44</f>
        <v>3301.44</v>
      </c>
      <c r="Q60" s="2"/>
      <c r="R60" s="19"/>
      <c r="S60" s="2"/>
      <c r="T60" s="2"/>
      <c r="U60" s="2"/>
      <c r="V60" s="19"/>
      <c r="W60" s="2"/>
      <c r="X60" s="2">
        <f t="shared" si="2"/>
        <v>3301.44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"4127", " - ", "NON-TAXABLE SALES-SCHOOL SUPPL")</f>
        <v xml:space="preserve">          4127 - NON-TAXABLE SALES-SCHOOL SUPPL</v>
      </c>
      <c r="C61" s="11"/>
      <c r="D61" s="2">
        <f>--97.62</f>
        <v>97.62</v>
      </c>
      <c r="E61" s="2"/>
      <c r="F61" s="19"/>
      <c r="G61" s="2"/>
      <c r="H61" s="2"/>
      <c r="I61" s="2"/>
      <c r="J61" s="19"/>
      <c r="K61" s="2"/>
      <c r="L61" s="2">
        <f t="shared" si="0"/>
        <v>97.62</v>
      </c>
      <c r="M61" s="2"/>
      <c r="N61" s="19">
        <f t="shared" si="1"/>
        <v>0</v>
      </c>
      <c r="O61" s="11"/>
      <c r="P61" s="2">
        <f>--6471.33</f>
        <v>6471.33</v>
      </c>
      <c r="Q61" s="2"/>
      <c r="R61" s="19"/>
      <c r="S61" s="2"/>
      <c r="T61" s="2"/>
      <c r="U61" s="2"/>
      <c r="V61" s="19"/>
      <c r="W61" s="2"/>
      <c r="X61" s="2">
        <f t="shared" si="2"/>
        <v>6471.33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"4128", " - ", "NON-TAXABLE SALES-ART/TECH")</f>
        <v xml:space="preserve">          4128 - NON-TAXABLE SALES-ART/TECH</v>
      </c>
      <c r="C62" s="11"/>
      <c r="D62" s="2">
        <f>--0.74</f>
        <v>0.74</v>
      </c>
      <c r="E62" s="2"/>
      <c r="F62" s="19"/>
      <c r="G62" s="2"/>
      <c r="H62" s="2"/>
      <c r="I62" s="2"/>
      <c r="J62" s="19"/>
      <c r="K62" s="2"/>
      <c r="L62" s="2">
        <f t="shared" si="0"/>
        <v>0.74</v>
      </c>
      <c r="M62" s="2"/>
      <c r="N62" s="19">
        <f t="shared" si="1"/>
        <v>0</v>
      </c>
      <c r="O62" s="11"/>
      <c r="P62" s="2">
        <f>--731.36</f>
        <v>731.36</v>
      </c>
      <c r="Q62" s="2"/>
      <c r="R62" s="19"/>
      <c r="S62" s="2"/>
      <c r="T62" s="2"/>
      <c r="U62" s="2"/>
      <c r="V62" s="19"/>
      <c r="W62" s="2"/>
      <c r="X62" s="2">
        <f t="shared" si="2"/>
        <v>731.36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"4131", " - ", "NON-TAXABLE SALES-FOOD")</f>
        <v xml:space="preserve">          4131 - NON-TAXABLE SALES-FOOD</v>
      </c>
      <c r="C63" s="11"/>
      <c r="D63" s="2">
        <f>--64.14</f>
        <v>64.14</v>
      </c>
      <c r="E63" s="2"/>
      <c r="F63" s="19"/>
      <c r="G63" s="2"/>
      <c r="H63" s="2"/>
      <c r="I63" s="2"/>
      <c r="J63" s="19"/>
      <c r="K63" s="2"/>
      <c r="L63" s="2">
        <f t="shared" si="0"/>
        <v>64.14</v>
      </c>
      <c r="M63" s="2"/>
      <c r="N63" s="19">
        <f t="shared" si="1"/>
        <v>0</v>
      </c>
      <c r="O63" s="11"/>
      <c r="P63" s="2">
        <f>--57957.84</f>
        <v>57957.84</v>
      </c>
      <c r="Q63" s="2"/>
      <c r="R63" s="19"/>
      <c r="S63" s="2"/>
      <c r="T63" s="2"/>
      <c r="U63" s="2"/>
      <c r="V63" s="19"/>
      <c r="W63" s="2"/>
      <c r="X63" s="2">
        <f t="shared" si="2"/>
        <v>57957.84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"4132", " - ", "NON-TAXABLE SALES-JUICE")</f>
        <v xml:space="preserve">          4132 - NON-TAXABLE SALES-JUICE</v>
      </c>
      <c r="C64" s="11"/>
      <c r="D64" s="2">
        <f>0</f>
        <v>0</v>
      </c>
      <c r="E64" s="2"/>
      <c r="F64" s="19"/>
      <c r="G64" s="2"/>
      <c r="H64" s="2"/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--16199.63</f>
        <v>16199.63</v>
      </c>
      <c r="Q64" s="2"/>
      <c r="R64" s="19"/>
      <c r="S64" s="2"/>
      <c r="T64" s="2"/>
      <c r="U64" s="2"/>
      <c r="V64" s="19"/>
      <c r="W64" s="2"/>
      <c r="X64" s="2">
        <f t="shared" si="2"/>
        <v>16199.63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"4133", " - ", "NON-TAXABLE SALES-CANDY")</f>
        <v xml:space="preserve">          4133 - NON-TAXABLE SALES-CANDY</v>
      </c>
      <c r="C65" s="11"/>
      <c r="D65" s="2">
        <f>--13.47</f>
        <v>13.47</v>
      </c>
      <c r="E65" s="2"/>
      <c r="F65" s="19"/>
      <c r="G65" s="2"/>
      <c r="H65" s="2"/>
      <c r="I65" s="2"/>
      <c r="J65" s="19"/>
      <c r="K65" s="2"/>
      <c r="L65" s="2">
        <f t="shared" si="0"/>
        <v>13.47</v>
      </c>
      <c r="M65" s="2"/>
      <c r="N65" s="19">
        <f t="shared" si="1"/>
        <v>0</v>
      </c>
      <c r="O65" s="11"/>
      <c r="P65" s="2">
        <f>--18150.2</f>
        <v>18150.2</v>
      </c>
      <c r="Q65" s="2"/>
      <c r="R65" s="19"/>
      <c r="S65" s="2"/>
      <c r="T65" s="2"/>
      <c r="U65" s="2"/>
      <c r="V65" s="19"/>
      <c r="W65" s="2"/>
      <c r="X65" s="2">
        <f t="shared" si="2"/>
        <v>18150.2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"4134", " - ", "NON-TAXABLE SALES-SODA")</f>
        <v xml:space="preserve">          4134 - NON-TAXABLE SALES-SODA</v>
      </c>
      <c r="C66" s="11"/>
      <c r="D66" s="2">
        <f t="shared" ref="D66:D68" si="9">0</f>
        <v>0</v>
      </c>
      <c r="E66" s="2"/>
      <c r="F66" s="19"/>
      <c r="G66" s="2"/>
      <c r="H66" s="2"/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--1.89</f>
        <v>1.89</v>
      </c>
      <c r="Q66" s="2"/>
      <c r="R66" s="19"/>
      <c r="S66" s="2"/>
      <c r="T66" s="2"/>
      <c r="U66" s="2"/>
      <c r="V66" s="19"/>
      <c r="W66" s="2"/>
      <c r="X66" s="2">
        <f t="shared" si="2"/>
        <v>1.89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"4135", " - ", "NON-TAXABLE SALES")</f>
        <v xml:space="preserve">          4135 - NON-TAXABLE SALES</v>
      </c>
      <c r="C67" s="11"/>
      <c r="D67" s="2">
        <f t="shared" si="9"/>
        <v>0</v>
      </c>
      <c r="E67" s="2"/>
      <c r="F67" s="19"/>
      <c r="G67" s="2"/>
      <c r="H67" s="2"/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>--161.4</f>
        <v>161.4</v>
      </c>
      <c r="Q67" s="2"/>
      <c r="R67" s="19"/>
      <c r="S67" s="2"/>
      <c r="T67" s="2"/>
      <c r="U67" s="2"/>
      <c r="V67" s="19"/>
      <c r="W67" s="2"/>
      <c r="X67" s="2">
        <f t="shared" si="2"/>
        <v>161.4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"4137", " - ", "NON-TAXABLE SALES-WATER")</f>
        <v xml:space="preserve">          4137 - NON-TAXABLE SALES-WATER</v>
      </c>
      <c r="C68" s="11"/>
      <c r="D68" s="2">
        <f t="shared" si="9"/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--8519.06</f>
        <v>8519.06</v>
      </c>
      <c r="Q68" s="2"/>
      <c r="R68" s="19"/>
      <c r="S68" s="2"/>
      <c r="T68" s="2"/>
      <c r="U68" s="2"/>
      <c r="V68" s="19"/>
      <c r="W68" s="2"/>
      <c r="X68" s="2">
        <f t="shared" si="2"/>
        <v>8519.06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"4140", " - ", "NON-TAXABLE SALES-LOGO CLOTHIN")</f>
        <v xml:space="preserve">          4140 - NON-TAXABLE SALES-LOGO CLOTHIN</v>
      </c>
      <c r="C69" s="11"/>
      <c r="D69" s="2">
        <f>--40740.37</f>
        <v>40740.370000000003</v>
      </c>
      <c r="E69" s="2"/>
      <c r="F69" s="19"/>
      <c r="G69" s="2"/>
      <c r="H69" s="2"/>
      <c r="I69" s="2"/>
      <c r="J69" s="19"/>
      <c r="K69" s="2"/>
      <c r="L69" s="2">
        <f t="shared" si="0"/>
        <v>40740.370000000003</v>
      </c>
      <c r="M69" s="2"/>
      <c r="N69" s="19">
        <f t="shared" si="1"/>
        <v>0</v>
      </c>
      <c r="O69" s="11"/>
      <c r="P69" s="2">
        <f>--176221.13</f>
        <v>176221.13</v>
      </c>
      <c r="Q69" s="2"/>
      <c r="R69" s="19"/>
      <c r="S69" s="2"/>
      <c r="T69" s="2"/>
      <c r="U69" s="2"/>
      <c r="V69" s="19"/>
      <c r="W69" s="2"/>
      <c r="X69" s="2">
        <f t="shared" si="2"/>
        <v>176221.13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"4141", " - ", "NON-TAXABLE SALES-LOGO GIFTS")</f>
        <v xml:space="preserve">          4141 - NON-TAXABLE SALES-LOGO GIFTS</v>
      </c>
      <c r="C70" s="11"/>
      <c r="D70" s="2">
        <f>--6641.14</f>
        <v>6641.14</v>
      </c>
      <c r="E70" s="2"/>
      <c r="F70" s="19"/>
      <c r="G70" s="2"/>
      <c r="H70" s="2"/>
      <c r="I70" s="2"/>
      <c r="J70" s="19"/>
      <c r="K70" s="2"/>
      <c r="L70" s="2">
        <f t="shared" si="0"/>
        <v>6641.14</v>
      </c>
      <c r="M70" s="2"/>
      <c r="N70" s="19">
        <f t="shared" si="1"/>
        <v>0</v>
      </c>
      <c r="O70" s="11"/>
      <c r="P70" s="2">
        <f>--23601.45</f>
        <v>23601.45</v>
      </c>
      <c r="Q70" s="2"/>
      <c r="R70" s="19"/>
      <c r="S70" s="2"/>
      <c r="T70" s="2"/>
      <c r="U70" s="2"/>
      <c r="V70" s="19"/>
      <c r="W70" s="2"/>
      <c r="X70" s="2">
        <f t="shared" si="2"/>
        <v>23601.45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"4142", " - ", "NON-TAXABLE SALES-EVERYDAY GIF")</f>
        <v xml:space="preserve">          4142 - NON-TAXABLE SALES-EVERYDAY GIF</v>
      </c>
      <c r="C71" s="11"/>
      <c r="D71" s="2">
        <f>--1018.52</f>
        <v>1018.52</v>
      </c>
      <c r="E71" s="2"/>
      <c r="F71" s="19"/>
      <c r="G71" s="2"/>
      <c r="H71" s="2"/>
      <c r="I71" s="2"/>
      <c r="J71" s="19"/>
      <c r="K71" s="2"/>
      <c r="L71" s="2">
        <f t="shared" si="0"/>
        <v>1018.52</v>
      </c>
      <c r="M71" s="2"/>
      <c r="N71" s="19">
        <f t="shared" si="1"/>
        <v>0</v>
      </c>
      <c r="O71" s="11"/>
      <c r="P71" s="2">
        <f>--16350.74</f>
        <v>16350.74</v>
      </c>
      <c r="Q71" s="2"/>
      <c r="R71" s="19"/>
      <c r="S71" s="2"/>
      <c r="T71" s="2"/>
      <c r="U71" s="2"/>
      <c r="V71" s="19"/>
      <c r="W71" s="2"/>
      <c r="X71" s="2">
        <f t="shared" si="2"/>
        <v>16350.74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"4143", " - ", "NON-TAXABLE SALES-CARDS")</f>
        <v xml:space="preserve">          4143 - NON-TAXABLE SALES-CARDS</v>
      </c>
      <c r="C72" s="11"/>
      <c r="D72" s="2">
        <f>0</f>
        <v>0</v>
      </c>
      <c r="E72" s="2"/>
      <c r="F72" s="19"/>
      <c r="G72" s="2"/>
      <c r="H72" s="2"/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>--19.98</f>
        <v>19.98</v>
      </c>
      <c r="Q72" s="2"/>
      <c r="R72" s="19"/>
      <c r="S72" s="2"/>
      <c r="T72" s="2"/>
      <c r="U72" s="2"/>
      <c r="V72" s="19"/>
      <c r="W72" s="2"/>
      <c r="X72" s="2">
        <f t="shared" si="2"/>
        <v>19.98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"4144", " - ", "NON-TAXABLE SALES-ACCESSORIES")</f>
        <v xml:space="preserve">          4144 - NON-TAXABLE SALES-ACCESSORIES</v>
      </c>
      <c r="C73" s="11"/>
      <c r="D73" s="2">
        <f>--386.9</f>
        <v>386.9</v>
      </c>
      <c r="E73" s="2"/>
      <c r="F73" s="19"/>
      <c r="G73" s="2"/>
      <c r="H73" s="2"/>
      <c r="I73" s="2"/>
      <c r="J73" s="19"/>
      <c r="K73" s="2"/>
      <c r="L73" s="2">
        <f t="shared" si="0"/>
        <v>386.9</v>
      </c>
      <c r="M73" s="2"/>
      <c r="N73" s="19">
        <f t="shared" si="1"/>
        <v>0</v>
      </c>
      <c r="O73" s="11"/>
      <c r="P73" s="2">
        <f>--3710.92</f>
        <v>3710.92</v>
      </c>
      <c r="Q73" s="2"/>
      <c r="R73" s="19"/>
      <c r="S73" s="2"/>
      <c r="T73" s="2"/>
      <c r="U73" s="2"/>
      <c r="V73" s="19"/>
      <c r="W73" s="2"/>
      <c r="X73" s="2">
        <f t="shared" si="2"/>
        <v>3710.92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"4145", " - ", "NON-TAXABLE SALES-SPECIAL ORDE")</f>
        <v xml:space="preserve">          4145 - NON-TAXABLE SALES-SPECIAL ORDE</v>
      </c>
      <c r="C74" s="11"/>
      <c r="D74" s="2">
        <f>--19379.5</f>
        <v>19379.5</v>
      </c>
      <c r="E74" s="2"/>
      <c r="F74" s="19"/>
      <c r="G74" s="2"/>
      <c r="H74" s="2"/>
      <c r="I74" s="2"/>
      <c r="J74" s="19"/>
      <c r="K74" s="2"/>
      <c r="L74" s="2">
        <f t="shared" si="0"/>
        <v>19379.5</v>
      </c>
      <c r="M74" s="2"/>
      <c r="N74" s="19">
        <f t="shared" si="1"/>
        <v>0</v>
      </c>
      <c r="O74" s="11"/>
      <c r="P74" s="2">
        <f>--27208.18</f>
        <v>27208.18</v>
      </c>
      <c r="Q74" s="2"/>
      <c r="R74" s="19"/>
      <c r="S74" s="2"/>
      <c r="T74" s="2"/>
      <c r="U74" s="2"/>
      <c r="V74" s="19"/>
      <c r="W74" s="2"/>
      <c r="X74" s="2">
        <f t="shared" si="2"/>
        <v>27208.18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"4146", " - ", "NON-TAXABLE SALES-COIN OP MACH")</f>
        <v xml:space="preserve">          4146 - NON-TAXABLE SALES-COIN OP MACH</v>
      </c>
      <c r="C75" s="11"/>
      <c r="D75" s="2">
        <f t="shared" ref="D75:D76" si="10">0</f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--205908.65</f>
        <v>205908.65</v>
      </c>
      <c r="Q75" s="2"/>
      <c r="R75" s="19"/>
      <c r="S75" s="2"/>
      <c r="T75" s="2"/>
      <c r="U75" s="2"/>
      <c r="V75" s="19"/>
      <c r="W75" s="2"/>
      <c r="X75" s="2">
        <f t="shared" si="2"/>
        <v>205908.65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"4147", " - ", "NON-TAXABLE SALES-MISC")</f>
        <v xml:space="preserve">          4147 - NON-TAXABLE SALES-MISC</v>
      </c>
      <c r="C76" s="11"/>
      <c r="D76" s="2">
        <f t="shared" si="10"/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--3446.37</f>
        <v>3446.37</v>
      </c>
      <c r="Q76" s="2"/>
      <c r="R76" s="19"/>
      <c r="S76" s="2"/>
      <c r="T76" s="2"/>
      <c r="U76" s="2"/>
      <c r="V76" s="19"/>
      <c r="W76" s="2"/>
      <c r="X76" s="2">
        <f t="shared" si="2"/>
        <v>3446.37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"4181", " - ", "NON-TAXABLE SALES-ELECTRONICS")</f>
        <v xml:space="preserve">          4181 - NON-TAXABLE SALES-ELECTRONICS</v>
      </c>
      <c r="C77" s="11"/>
      <c r="D77" s="2">
        <f>--1267.95</f>
        <v>1267.95</v>
      </c>
      <c r="E77" s="2"/>
      <c r="F77" s="19"/>
      <c r="G77" s="2"/>
      <c r="H77" s="2"/>
      <c r="I77" s="2"/>
      <c r="J77" s="19"/>
      <c r="K77" s="2"/>
      <c r="L77" s="2">
        <f t="shared" si="0"/>
        <v>1267.95</v>
      </c>
      <c r="M77" s="2"/>
      <c r="N77" s="19">
        <f t="shared" si="1"/>
        <v>0</v>
      </c>
      <c r="O77" s="11"/>
      <c r="P77" s="2">
        <f>--3925.74</f>
        <v>3925.74</v>
      </c>
      <c r="Q77" s="2"/>
      <c r="R77" s="19"/>
      <c r="S77" s="2"/>
      <c r="T77" s="2"/>
      <c r="U77" s="2"/>
      <c r="V77" s="19"/>
      <c r="W77" s="2"/>
      <c r="X77" s="2">
        <f t="shared" si="2"/>
        <v>3925.74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"4182", " - ", "NON-TAXABLE SALES-COMPUTER HAR")</f>
        <v xml:space="preserve">          4182 - NON-TAXABLE SALES-COMPUTER HAR</v>
      </c>
      <c r="C78" s="11"/>
      <c r="D78" s="2">
        <f>--45022.25</f>
        <v>45022.25</v>
      </c>
      <c r="E78" s="2"/>
      <c r="F78" s="19"/>
      <c r="G78" s="2"/>
      <c r="H78" s="2"/>
      <c r="I78" s="2"/>
      <c r="J78" s="19"/>
      <c r="K78" s="2"/>
      <c r="L78" s="2">
        <f t="shared" si="0"/>
        <v>45022.25</v>
      </c>
      <c r="M78" s="2"/>
      <c r="N78" s="19">
        <f t="shared" si="1"/>
        <v>0</v>
      </c>
      <c r="O78" s="11"/>
      <c r="P78" s="2">
        <f>--221223.79</f>
        <v>221223.79</v>
      </c>
      <c r="Q78" s="2"/>
      <c r="R78" s="19"/>
      <c r="S78" s="2"/>
      <c r="T78" s="2"/>
      <c r="U78" s="2"/>
      <c r="V78" s="19"/>
      <c r="W78" s="2"/>
      <c r="X78" s="2">
        <f t="shared" si="2"/>
        <v>221223.79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"4183", " - ", "NON-TAXABLE SALES-COMPUTER EQU")</f>
        <v xml:space="preserve">          4183 - NON-TAXABLE SALES-COMPUTER EQU</v>
      </c>
      <c r="C79" s="11"/>
      <c r="D79" s="2">
        <f>--1394.82</f>
        <v>1394.82</v>
      </c>
      <c r="E79" s="2"/>
      <c r="F79" s="19"/>
      <c r="G79" s="2"/>
      <c r="H79" s="2"/>
      <c r="I79" s="2"/>
      <c r="J79" s="19"/>
      <c r="K79" s="2"/>
      <c r="L79" s="2">
        <f t="shared" si="0"/>
        <v>1394.82</v>
      </c>
      <c r="M79" s="2"/>
      <c r="N79" s="19">
        <f t="shared" si="1"/>
        <v>0</v>
      </c>
      <c r="O79" s="11"/>
      <c r="P79" s="2">
        <f>--12822.38</f>
        <v>12822.38</v>
      </c>
      <c r="Q79" s="2"/>
      <c r="R79" s="19"/>
      <c r="S79" s="2"/>
      <c r="T79" s="2"/>
      <c r="U79" s="2"/>
      <c r="V79" s="19"/>
      <c r="W79" s="2"/>
      <c r="X79" s="2">
        <f t="shared" si="2"/>
        <v>12822.38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"4184", " - ", "NON-TAXABLE SALES-SOFTWARE LIC")</f>
        <v xml:space="preserve">          4184 - NON-TAXABLE SALES-SOFTWARE LIC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--2728</f>
        <v>2728</v>
      </c>
      <c r="Q80" s="2"/>
      <c r="R80" s="19"/>
      <c r="S80" s="2"/>
      <c r="T80" s="2"/>
      <c r="U80" s="2"/>
      <c r="V80" s="19"/>
      <c r="W80" s="2"/>
      <c r="X80" s="2">
        <f t="shared" si="2"/>
        <v>2728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"4185", " - ", "NON-TAXABLE SALES-SOFTWARE")</f>
        <v xml:space="preserve">          4185 - NON-TAXABLE SALES-SOFTWARE</v>
      </c>
      <c r="C81" s="11"/>
      <c r="D81" s="2">
        <f>--5267.75</f>
        <v>5267.75</v>
      </c>
      <c r="E81" s="2"/>
      <c r="F81" s="19"/>
      <c r="G81" s="2"/>
      <c r="H81" s="2"/>
      <c r="I81" s="2"/>
      <c r="J81" s="19"/>
      <c r="K81" s="2"/>
      <c r="L81" s="2">
        <f t="shared" si="0"/>
        <v>5267.75</v>
      </c>
      <c r="M81" s="2"/>
      <c r="N81" s="19">
        <f t="shared" si="1"/>
        <v>0</v>
      </c>
      <c r="O81" s="11"/>
      <c r="P81" s="2">
        <f>--25792.1</f>
        <v>25792.1</v>
      </c>
      <c r="Q81" s="2"/>
      <c r="R81" s="19"/>
      <c r="S81" s="2"/>
      <c r="T81" s="2"/>
      <c r="U81" s="2"/>
      <c r="V81" s="19"/>
      <c r="W81" s="2"/>
      <c r="X81" s="2">
        <f t="shared" si="2"/>
        <v>25792.1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"4186", " - ", "NON-TAXABLE SALES-COMPUTER SUP")</f>
        <v xml:space="preserve">          4186 - NON-TAXABLE SALES-COMPUTER SUP</v>
      </c>
      <c r="C82" s="11"/>
      <c r="D82" s="2">
        <f>--431.97</f>
        <v>431.97</v>
      </c>
      <c r="E82" s="2"/>
      <c r="F82" s="19"/>
      <c r="G82" s="2"/>
      <c r="H82" s="2"/>
      <c r="I82" s="2"/>
      <c r="J82" s="19"/>
      <c r="K82" s="2"/>
      <c r="L82" s="2">
        <f t="shared" si="0"/>
        <v>431.97</v>
      </c>
      <c r="M82" s="2"/>
      <c r="N82" s="19">
        <f t="shared" si="1"/>
        <v>0</v>
      </c>
      <c r="O82" s="11"/>
      <c r="P82" s="2">
        <f>--3327.08</f>
        <v>3327.08</v>
      </c>
      <c r="Q82" s="2"/>
      <c r="R82" s="19"/>
      <c r="S82" s="2"/>
      <c r="T82" s="2"/>
      <c r="U82" s="2"/>
      <c r="V82" s="19"/>
      <c r="W82" s="2"/>
      <c r="X82" s="2">
        <f t="shared" si="2"/>
        <v>3327.08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"4188", " - ", "NON-TAXABLE SALES-MUSIC")</f>
        <v xml:space="preserve">          4188 - NON-TAXABLE SALES-MUSIC</v>
      </c>
      <c r="C83" s="11"/>
      <c r="D83" s="2">
        <f t="shared" ref="D83:D85" si="11">0</f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--343.94</f>
        <v>343.94</v>
      </c>
      <c r="Q83" s="2"/>
      <c r="R83" s="19"/>
      <c r="S83" s="2"/>
      <c r="T83" s="2"/>
      <c r="U83" s="2"/>
      <c r="V83" s="19"/>
      <c r="W83" s="2"/>
      <c r="X83" s="2">
        <f t="shared" si="2"/>
        <v>343.94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"4192", " - ", "NON-TAXABLE SALES-GRAD MERCH")</f>
        <v xml:space="preserve">          4192 - NON-TAXABLE SALES-GRAD MERCH</v>
      </c>
      <c r="C84" s="11"/>
      <c r="D84" s="2">
        <f t="shared" si="11"/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--119.4</f>
        <v>119.4</v>
      </c>
      <c r="Q84" s="2"/>
      <c r="R84" s="19"/>
      <c r="S84" s="2"/>
      <c r="T84" s="2"/>
      <c r="U84" s="2"/>
      <c r="V84" s="19"/>
      <c r="W84" s="2"/>
      <c r="X84" s="2">
        <f t="shared" si="2"/>
        <v>119.4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"4201", " - ", "SALES RETURN TAXABLE-NEW TEXT")</f>
        <v xml:space="preserve">          4201 - SALES RETURN TAXABLE-NEW TEXT</v>
      </c>
      <c r="C85" s="11"/>
      <c r="D85" s="2">
        <f t="shared" si="11"/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-121451.61</f>
        <v>-121451.61</v>
      </c>
      <c r="Q85" s="2"/>
      <c r="R85" s="19"/>
      <c r="S85" s="2"/>
      <c r="T85" s="2"/>
      <c r="U85" s="2"/>
      <c r="V85" s="19"/>
      <c r="W85" s="2"/>
      <c r="X85" s="2">
        <f t="shared" si="2"/>
        <v>-121451.61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"4202", " - ", "SALES RETURN TAXABLE-USED TEXT")</f>
        <v xml:space="preserve">          4202 - SALES RETURN TAXABLE-USED TEXT</v>
      </c>
      <c r="C86" s="11"/>
      <c r="D86" s="2">
        <f>-186.35</f>
        <v>-186.35</v>
      </c>
      <c r="E86" s="2"/>
      <c r="F86" s="19"/>
      <c r="G86" s="2"/>
      <c r="H86" s="2"/>
      <c r="I86" s="2"/>
      <c r="J86" s="19"/>
      <c r="K86" s="2"/>
      <c r="L86" s="2">
        <f t="shared" si="0"/>
        <v>-186.35</v>
      </c>
      <c r="M86" s="2"/>
      <c r="N86" s="19">
        <f t="shared" si="1"/>
        <v>0</v>
      </c>
      <c r="O86" s="11"/>
      <c r="P86" s="2">
        <f>-45799.46</f>
        <v>-45799.46</v>
      </c>
      <c r="Q86" s="2"/>
      <c r="R86" s="19"/>
      <c r="S86" s="2"/>
      <c r="T86" s="2"/>
      <c r="U86" s="2"/>
      <c r="V86" s="19"/>
      <c r="W86" s="2"/>
      <c r="X86" s="2">
        <f t="shared" si="2"/>
        <v>-45799.46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"4203", " - ", "SALES RETURN TAXABLE-RENTAL TE")</f>
        <v xml:space="preserve">          4203 - SALES RETURN TAXABLE-RENTAL TE</v>
      </c>
      <c r="C87" s="11"/>
      <c r="D87" s="2">
        <f t="shared" ref="D87:D88" si="12">0</f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-144.99</f>
        <v>-144.99</v>
      </c>
      <c r="Q87" s="2"/>
      <c r="R87" s="19"/>
      <c r="S87" s="2"/>
      <c r="T87" s="2"/>
      <c r="U87" s="2"/>
      <c r="V87" s="19"/>
      <c r="W87" s="2"/>
      <c r="X87" s="2">
        <f t="shared" si="2"/>
        <v>-144.99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"4204", " - ", "SALES RETURN TAXABLE-DIGITAL T")</f>
        <v xml:space="preserve">          4204 - SALES RETURN TAXABLE-DIGITAL T</v>
      </c>
      <c r="C88" s="11"/>
      <c r="D88" s="2">
        <f t="shared" si="12"/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-17255.33</f>
        <v>-17255.330000000002</v>
      </c>
      <c r="Q88" s="2"/>
      <c r="R88" s="19"/>
      <c r="S88" s="2"/>
      <c r="T88" s="2"/>
      <c r="U88" s="2"/>
      <c r="V88" s="19"/>
      <c r="W88" s="2"/>
      <c r="X88" s="2">
        <f t="shared" si="2"/>
        <v>-17255.330000000002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"4213", " - ", "NON-TAXABLE SALES-TRADE BOOKS")</f>
        <v xml:space="preserve">          4213 - NON-TAXABLE SALES-TRADE BOOKS</v>
      </c>
      <c r="C89" s="11"/>
      <c r="D89" s="2">
        <f>-100.7</f>
        <v>-100.7</v>
      </c>
      <c r="E89" s="2"/>
      <c r="F89" s="19"/>
      <c r="G89" s="2"/>
      <c r="H89" s="2"/>
      <c r="I89" s="2"/>
      <c r="J89" s="19"/>
      <c r="K89" s="2"/>
      <c r="L89" s="2">
        <f t="shared" si="0"/>
        <v>-100.7</v>
      </c>
      <c r="M89" s="2"/>
      <c r="N89" s="19">
        <f t="shared" si="1"/>
        <v>0</v>
      </c>
      <c r="O89" s="11"/>
      <c r="P89" s="2">
        <f>-2869.37</f>
        <v>-2869.37</v>
      </c>
      <c r="Q89" s="2"/>
      <c r="R89" s="19"/>
      <c r="S89" s="2"/>
      <c r="T89" s="2"/>
      <c r="U89" s="2"/>
      <c r="V89" s="19"/>
      <c r="W89" s="2"/>
      <c r="X89" s="2">
        <f t="shared" si="2"/>
        <v>-2869.37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"4214", " - ", "SALES RETURN TAXABLE-REMAINDER")</f>
        <v xml:space="preserve">          4214 - SALES RETURN TAXABLE-REMAINDER</v>
      </c>
      <c r="C90" s="11"/>
      <c r="D90" s="2">
        <f t="shared" ref="D90:D94" si="13">0</f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-11.94</f>
        <v>-11.94</v>
      </c>
      <c r="Q90" s="2"/>
      <c r="R90" s="19"/>
      <c r="S90" s="2"/>
      <c r="T90" s="2"/>
      <c r="U90" s="2"/>
      <c r="V90" s="19"/>
      <c r="W90" s="2"/>
      <c r="X90" s="2">
        <f t="shared" si="2"/>
        <v>-11.94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"4217", " - ", "NON-TAXABLE SALES-DORM/HOUSEWA")</f>
        <v xml:space="preserve">          4217 - NON-TAXABLE SALES-DORM/HOUSEWA</v>
      </c>
      <c r="C91" s="11"/>
      <c r="D91" s="2">
        <f t="shared" si="13"/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-2.98</f>
        <v>-2.98</v>
      </c>
      <c r="Q91" s="2"/>
      <c r="R91" s="19"/>
      <c r="S91" s="2"/>
      <c r="T91" s="2"/>
      <c r="U91" s="2"/>
      <c r="V91" s="19"/>
      <c r="W91" s="2"/>
      <c r="X91" s="2">
        <f t="shared" si="2"/>
        <v>-2.98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"4218", " - ", "SALES RETURN TAXABLE-STUDY GUI")</f>
        <v xml:space="preserve">          4218 - SALES RETURN TAXABLE-STUDY GUI</v>
      </c>
      <c r="C92" s="11"/>
      <c r="D92" s="2">
        <f t="shared" si="13"/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-39.25</f>
        <v>-39.25</v>
      </c>
      <c r="Q92" s="2"/>
      <c r="R92" s="19"/>
      <c r="S92" s="2"/>
      <c r="T92" s="2"/>
      <c r="U92" s="2"/>
      <c r="V92" s="19"/>
      <c r="W92" s="2"/>
      <c r="X92" s="2">
        <f t="shared" si="2"/>
        <v>-39.25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"4225", " - ", "SALES RETURN TAXABLE-TEST FORM")</f>
        <v xml:space="preserve">          4225 - SALES RETURN TAXABLE-TEST FORM</v>
      </c>
      <c r="C93" s="11"/>
      <c r="D93" s="2">
        <f t="shared" si="13"/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-205.91</f>
        <v>-205.91</v>
      </c>
      <c r="Q93" s="2"/>
      <c r="R93" s="19"/>
      <c r="S93" s="2"/>
      <c r="T93" s="2"/>
      <c r="U93" s="2"/>
      <c r="V93" s="19"/>
      <c r="W93" s="2"/>
      <c r="X93" s="2">
        <f t="shared" si="2"/>
        <v>-205.91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"4226", " - ", "SALES RETURN TAXABLE-WRITING I")</f>
        <v xml:space="preserve">          4226 - SALES RETURN TAXABLE-WRITING I</v>
      </c>
      <c r="C94" s="11"/>
      <c r="D94" s="2">
        <f t="shared" si="13"/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-924.44</f>
        <v>-924.44</v>
      </c>
      <c r="Q94" s="2"/>
      <c r="R94" s="19"/>
      <c r="S94" s="2"/>
      <c r="T94" s="2"/>
      <c r="U94" s="2"/>
      <c r="V94" s="19"/>
      <c r="W94" s="2"/>
      <c r="X94" s="2">
        <f t="shared" si="2"/>
        <v>-924.44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"4227", " - ", "SALES RETURN TAXABLE-SCHOOL SU")</f>
        <v xml:space="preserve">          4227 - SALES RETURN TAXABLE-SCHOOL SU</v>
      </c>
      <c r="C95" s="11"/>
      <c r="D95" s="2">
        <f>-81.87</f>
        <v>-81.87</v>
      </c>
      <c r="E95" s="2"/>
      <c r="F95" s="19"/>
      <c r="G95" s="2"/>
      <c r="H95" s="2"/>
      <c r="I95" s="2"/>
      <c r="J95" s="19"/>
      <c r="K95" s="2"/>
      <c r="L95" s="2">
        <f t="shared" si="0"/>
        <v>-81.87</v>
      </c>
      <c r="M95" s="2"/>
      <c r="N95" s="19">
        <f t="shared" si="1"/>
        <v>0</v>
      </c>
      <c r="O95" s="11"/>
      <c r="P95" s="2">
        <f>-8728.9</f>
        <v>-8728.9</v>
      </c>
      <c r="Q95" s="2"/>
      <c r="R95" s="19"/>
      <c r="S95" s="2"/>
      <c r="T95" s="2"/>
      <c r="U95" s="2"/>
      <c r="V95" s="19"/>
      <c r="W95" s="2"/>
      <c r="X95" s="2">
        <f t="shared" si="2"/>
        <v>-8728.9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"4228", " - ", "SALES RETURN TAXABLE-ART/TECH")</f>
        <v xml:space="preserve">          4228 - SALES RETURN TAXABLE-ART/TECH</v>
      </c>
      <c r="C96" s="11"/>
      <c r="D96" s="2">
        <f t="shared" ref="D96:D97" si="14">0</f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-4739.1</f>
        <v>-4739.1000000000004</v>
      </c>
      <c r="Q96" s="2"/>
      <c r="R96" s="19"/>
      <c r="S96" s="2"/>
      <c r="T96" s="2"/>
      <c r="U96" s="2"/>
      <c r="V96" s="19"/>
      <c r="W96" s="2"/>
      <c r="X96" s="2">
        <f t="shared" si="2"/>
        <v>-4739.1000000000004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"4233", " - ", "SALES RETURN TAXABLE-CANDY")</f>
        <v xml:space="preserve">          4233 - SALES RETURN TAXABLE-CANDY</v>
      </c>
      <c r="C97" s="11"/>
      <c r="D97" s="2">
        <f t="shared" si="14"/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-8.25</f>
        <v>-8.25</v>
      </c>
      <c r="Q97" s="2"/>
      <c r="R97" s="19"/>
      <c r="S97" s="2"/>
      <c r="T97" s="2"/>
      <c r="U97" s="2"/>
      <c r="V97" s="19"/>
      <c r="W97" s="2"/>
      <c r="X97" s="2">
        <f t="shared" si="2"/>
        <v>-8.25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"4240", " - ", "SALES RETURN TAXABLE-LOGO CLOT")</f>
        <v xml:space="preserve">          4240 - SALES RETURN TAXABLE-LOGO CLOT</v>
      </c>
      <c r="C98" s="11"/>
      <c r="D98" s="2">
        <f>-2702.34</f>
        <v>-2702.34</v>
      </c>
      <c r="E98" s="2"/>
      <c r="F98" s="19"/>
      <c r="G98" s="2"/>
      <c r="H98" s="2"/>
      <c r="I98" s="2"/>
      <c r="J98" s="19"/>
      <c r="K98" s="2"/>
      <c r="L98" s="2">
        <f t="shared" si="0"/>
        <v>-2702.34</v>
      </c>
      <c r="M98" s="2"/>
      <c r="N98" s="19">
        <f t="shared" si="1"/>
        <v>0</v>
      </c>
      <c r="O98" s="11"/>
      <c r="P98" s="2">
        <f>-80387.11</f>
        <v>-80387.11</v>
      </c>
      <c r="Q98" s="2"/>
      <c r="R98" s="19"/>
      <c r="S98" s="2"/>
      <c r="T98" s="2"/>
      <c r="U98" s="2"/>
      <c r="V98" s="19"/>
      <c r="W98" s="2"/>
      <c r="X98" s="2">
        <f t="shared" si="2"/>
        <v>-80387.11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"4241", " - ", "SALES RETURN TAXABLE-LOGO GIFT")</f>
        <v xml:space="preserve">          4241 - SALES RETURN TAXABLE-LOGO GIFT</v>
      </c>
      <c r="C99" s="11"/>
      <c r="D99" s="2">
        <f>-525.51</f>
        <v>-525.51</v>
      </c>
      <c r="E99" s="2"/>
      <c r="F99" s="19"/>
      <c r="G99" s="2"/>
      <c r="H99" s="2"/>
      <c r="I99" s="2"/>
      <c r="J99" s="19"/>
      <c r="K99" s="2"/>
      <c r="L99" s="2">
        <f t="shared" si="0"/>
        <v>-525.51</v>
      </c>
      <c r="M99" s="2"/>
      <c r="N99" s="19">
        <f t="shared" si="1"/>
        <v>0</v>
      </c>
      <c r="O99" s="11"/>
      <c r="P99" s="2">
        <f>-7990.78</f>
        <v>-7990.78</v>
      </c>
      <c r="Q99" s="2"/>
      <c r="R99" s="19"/>
      <c r="S99" s="2"/>
      <c r="T99" s="2"/>
      <c r="U99" s="2"/>
      <c r="V99" s="19"/>
      <c r="W99" s="2"/>
      <c r="X99" s="2">
        <f t="shared" si="2"/>
        <v>-7990.78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"4242", " - ", "SALES RETURN TAXABLE-EVERYDAY")</f>
        <v xml:space="preserve">          4242 - SALES RETURN TAXABLE-EVERYDAY</v>
      </c>
      <c r="C100" s="11"/>
      <c r="D100" s="2">
        <f>-51.44</f>
        <v>-51.44</v>
      </c>
      <c r="E100" s="2"/>
      <c r="F100" s="19"/>
      <c r="G100" s="2"/>
      <c r="H100" s="2"/>
      <c r="I100" s="2"/>
      <c r="J100" s="19"/>
      <c r="K100" s="2"/>
      <c r="L100" s="2">
        <f t="shared" si="0"/>
        <v>-51.44</v>
      </c>
      <c r="M100" s="2"/>
      <c r="N100" s="19">
        <f t="shared" si="1"/>
        <v>0</v>
      </c>
      <c r="O100" s="11"/>
      <c r="P100" s="2">
        <f>-4232.85</f>
        <v>-4232.8500000000004</v>
      </c>
      <c r="Q100" s="2"/>
      <c r="R100" s="19"/>
      <c r="S100" s="2"/>
      <c r="T100" s="2"/>
      <c r="U100" s="2"/>
      <c r="V100" s="19"/>
      <c r="W100" s="2"/>
      <c r="X100" s="2">
        <f t="shared" si="2"/>
        <v>-4232.8500000000004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"4243", " - ", "SALES RETURN TAXABLE-CARDS")</f>
        <v xml:space="preserve">          4243 - SALES RETURN TAXABLE-CARDS</v>
      </c>
      <c r="C101" s="11"/>
      <c r="D101" s="2">
        <f>-19.99</f>
        <v>-19.989999999999998</v>
      </c>
      <c r="E101" s="2"/>
      <c r="F101" s="19"/>
      <c r="G101" s="2"/>
      <c r="H101" s="2"/>
      <c r="I101" s="2"/>
      <c r="J101" s="19"/>
      <c r="K101" s="2"/>
      <c r="L101" s="2">
        <f t="shared" si="0"/>
        <v>-19.989999999999998</v>
      </c>
      <c r="M101" s="2"/>
      <c r="N101" s="19">
        <f t="shared" si="1"/>
        <v>0</v>
      </c>
      <c r="O101" s="11"/>
      <c r="P101" s="2">
        <f>-3026.3</f>
        <v>-3026.3</v>
      </c>
      <c r="Q101" s="2"/>
      <c r="R101" s="19"/>
      <c r="S101" s="2"/>
      <c r="T101" s="2"/>
      <c r="U101" s="2"/>
      <c r="V101" s="19"/>
      <c r="W101" s="2"/>
      <c r="X101" s="2">
        <f t="shared" si="2"/>
        <v>-3026.3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"4244", " - ", "SALES RETURN TAXABLE-ACCESSORI")</f>
        <v xml:space="preserve">          4244 - SALES RETURN TAXABLE-ACCESSORI</v>
      </c>
      <c r="C102" s="11"/>
      <c r="D102" s="2">
        <f>0</f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-2726.41</f>
        <v>-2726.41</v>
      </c>
      <c r="Q102" s="2"/>
      <c r="R102" s="19"/>
      <c r="S102" s="2"/>
      <c r="T102" s="2"/>
      <c r="U102" s="2"/>
      <c r="V102" s="19"/>
      <c r="W102" s="2"/>
      <c r="X102" s="2">
        <f t="shared" si="2"/>
        <v>-2726.41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"4245", " - ", "SALES RETURN TAXABLE-SPECIAL O")</f>
        <v xml:space="preserve">          4245 - SALES RETURN TAXABLE-SPECIAL O</v>
      </c>
      <c r="C103" s="11"/>
      <c r="D103" s="2">
        <f>-2187.5</f>
        <v>-2187.5</v>
      </c>
      <c r="E103" s="2"/>
      <c r="F103" s="19"/>
      <c r="G103" s="2"/>
      <c r="H103" s="2"/>
      <c r="I103" s="2"/>
      <c r="J103" s="19"/>
      <c r="K103" s="2"/>
      <c r="L103" s="2">
        <f t="shared" si="0"/>
        <v>-2187.5</v>
      </c>
      <c r="M103" s="2"/>
      <c r="N103" s="19">
        <f t="shared" si="1"/>
        <v>0</v>
      </c>
      <c r="O103" s="11"/>
      <c r="P103" s="2">
        <f>-4097.53</f>
        <v>-4097.53</v>
      </c>
      <c r="Q103" s="2"/>
      <c r="R103" s="19"/>
      <c r="S103" s="2"/>
      <c r="T103" s="2"/>
      <c r="U103" s="2"/>
      <c r="V103" s="19"/>
      <c r="W103" s="2"/>
      <c r="X103" s="2">
        <f t="shared" si="2"/>
        <v>-4097.53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"4281", " - ", "SALES RETURN TAXABLE-ELECTRONI")</f>
        <v xml:space="preserve">          4281 - SALES RETURN TAXABLE-ELECTRONI</v>
      </c>
      <c r="C104" s="11"/>
      <c r="D104" s="2">
        <f>-159</f>
        <v>-159</v>
      </c>
      <c r="E104" s="2"/>
      <c r="F104" s="19"/>
      <c r="G104" s="2"/>
      <c r="H104" s="2"/>
      <c r="I104" s="2"/>
      <c r="J104" s="19"/>
      <c r="K104" s="2"/>
      <c r="L104" s="2">
        <f t="shared" si="0"/>
        <v>-159</v>
      </c>
      <c r="M104" s="2"/>
      <c r="N104" s="19">
        <f t="shared" si="1"/>
        <v>0</v>
      </c>
      <c r="O104" s="11"/>
      <c r="P104" s="2">
        <f>-8154.67</f>
        <v>-8154.67</v>
      </c>
      <c r="Q104" s="2"/>
      <c r="R104" s="19"/>
      <c r="S104" s="2"/>
      <c r="T104" s="2"/>
      <c r="U104" s="2"/>
      <c r="V104" s="19"/>
      <c r="W104" s="2"/>
      <c r="X104" s="2">
        <f t="shared" si="2"/>
        <v>-8154.67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"4282", " - ", "SALES RETURN TAXABLE-COMPUTER")</f>
        <v xml:space="preserve">          4282 - SALES RETURN TAXABLE-COMPUTER</v>
      </c>
      <c r="C105" s="11"/>
      <c r="D105" s="2">
        <f>-31763.9</f>
        <v>-31763.9</v>
      </c>
      <c r="E105" s="2"/>
      <c r="F105" s="19"/>
      <c r="G105" s="2"/>
      <c r="H105" s="2"/>
      <c r="I105" s="2"/>
      <c r="J105" s="19"/>
      <c r="K105" s="2"/>
      <c r="L105" s="2">
        <f t="shared" si="0"/>
        <v>-31763.9</v>
      </c>
      <c r="M105" s="2"/>
      <c r="N105" s="19">
        <f t="shared" si="1"/>
        <v>0</v>
      </c>
      <c r="O105" s="11"/>
      <c r="P105" s="2">
        <f>-247392.7</f>
        <v>-247392.7</v>
      </c>
      <c r="Q105" s="2"/>
      <c r="R105" s="19"/>
      <c r="S105" s="2"/>
      <c r="T105" s="2"/>
      <c r="U105" s="2"/>
      <c r="V105" s="19"/>
      <c r="W105" s="2"/>
      <c r="X105" s="2">
        <f t="shared" si="2"/>
        <v>-247392.7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"4283", " - ", "SALES RETURN TAXABLE-COMPUTER")</f>
        <v xml:space="preserve">          4283 - SALES RETURN TAXABLE-COMPUTER</v>
      </c>
      <c r="C106" s="11"/>
      <c r="D106" s="2">
        <f>-9.99</f>
        <v>-9.99</v>
      </c>
      <c r="E106" s="2"/>
      <c r="F106" s="19"/>
      <c r="G106" s="2"/>
      <c r="H106" s="2"/>
      <c r="I106" s="2"/>
      <c r="J106" s="19"/>
      <c r="K106" s="2"/>
      <c r="L106" s="2">
        <f t="shared" si="0"/>
        <v>-9.99</v>
      </c>
      <c r="M106" s="2"/>
      <c r="N106" s="19">
        <f t="shared" si="1"/>
        <v>0</v>
      </c>
      <c r="O106" s="11"/>
      <c r="P106" s="2">
        <f>-6718.01</f>
        <v>-6718.01</v>
      </c>
      <c r="Q106" s="2"/>
      <c r="R106" s="19"/>
      <c r="S106" s="2"/>
      <c r="T106" s="2"/>
      <c r="U106" s="2"/>
      <c r="V106" s="19"/>
      <c r="W106" s="2"/>
      <c r="X106" s="2">
        <f t="shared" si="2"/>
        <v>-6718.01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"4284", " - ", "SALES RETURN TAXABLE-SOFTWARE")</f>
        <v xml:space="preserve">          4284 - SALES RETURN TAXABLE-SOFTWARE</v>
      </c>
      <c r="C107" s="11"/>
      <c r="D107" s="2">
        <f t="shared" ref="D107:D110" si="15">0</f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-129</f>
        <v>-129</v>
      </c>
      <c r="Q107" s="2"/>
      <c r="R107" s="19"/>
      <c r="S107" s="2"/>
      <c r="T107" s="2"/>
      <c r="U107" s="2"/>
      <c r="V107" s="19"/>
      <c r="W107" s="2"/>
      <c r="X107" s="2">
        <f t="shared" si="2"/>
        <v>-129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"4285", " - ", "SALES RETURN TAXABLE-SOFTWARE")</f>
        <v xml:space="preserve">          4285 - SALES RETURN TAXABLE-SOFTWARE</v>
      </c>
      <c r="C108" s="11"/>
      <c r="D108" s="2">
        <f t="shared" si="15"/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-805.97</f>
        <v>-805.97</v>
      </c>
      <c r="Q108" s="2"/>
      <c r="R108" s="19"/>
      <c r="S108" s="2"/>
      <c r="T108" s="2"/>
      <c r="U108" s="2"/>
      <c r="V108" s="19"/>
      <c r="W108" s="2"/>
      <c r="X108" s="2">
        <f t="shared" si="2"/>
        <v>-805.97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"4286", " - ", "SALES RETURN TAXABLE-COMPUTER")</f>
        <v xml:space="preserve">          4286 - SALES RETURN TAXABLE-COMPUTER</v>
      </c>
      <c r="C109" s="11"/>
      <c r="D109" s="2">
        <f t="shared" si="15"/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-3660.86</f>
        <v>-3660.86</v>
      </c>
      <c r="Q109" s="2"/>
      <c r="R109" s="19"/>
      <c r="S109" s="2"/>
      <c r="T109" s="2"/>
      <c r="U109" s="2"/>
      <c r="V109" s="19"/>
      <c r="W109" s="2"/>
      <c r="X109" s="2">
        <f t="shared" si="2"/>
        <v>-3660.86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"4288", " - ", "TAXABLE SALES RETURN-MUSIC")</f>
        <v xml:space="preserve">          4288 - TAXABLE SALES RETURN-MUSIC</v>
      </c>
      <c r="C110" s="11"/>
      <c r="D110" s="2">
        <f t="shared" si="15"/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-152.99</f>
        <v>-152.99</v>
      </c>
      <c r="Q110" s="2"/>
      <c r="R110" s="19"/>
      <c r="S110" s="2"/>
      <c r="T110" s="2"/>
      <c r="U110" s="2"/>
      <c r="V110" s="19"/>
      <c r="W110" s="2"/>
      <c r="X110" s="2">
        <f t="shared" si="2"/>
        <v>-152.99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"4292", " - ", "SALES RETURN TAXABLE-GRAD MERC")</f>
        <v xml:space="preserve">          4292 - SALES RETURN TAXABLE-GRAD MERC</v>
      </c>
      <c r="C111" s="11"/>
      <c r="D111" s="2">
        <f>-214.68</f>
        <v>-214.68</v>
      </c>
      <c r="E111" s="2"/>
      <c r="F111" s="19"/>
      <c r="G111" s="2"/>
      <c r="H111" s="2"/>
      <c r="I111" s="2"/>
      <c r="J111" s="19"/>
      <c r="K111" s="2"/>
      <c r="L111" s="2">
        <f t="shared" si="0"/>
        <v>-214.68</v>
      </c>
      <c r="M111" s="2"/>
      <c r="N111" s="19">
        <f t="shared" si="1"/>
        <v>0</v>
      </c>
      <c r="O111" s="11"/>
      <c r="P111" s="2">
        <f>-793.52</f>
        <v>-793.52</v>
      </c>
      <c r="Q111" s="2"/>
      <c r="R111" s="19"/>
      <c r="S111" s="2"/>
      <c r="T111" s="2"/>
      <c r="U111" s="2"/>
      <c r="V111" s="19"/>
      <c r="W111" s="2"/>
      <c r="X111" s="2">
        <f t="shared" si="2"/>
        <v>-793.52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"4295", " - ", "SALES RETURN TAXABLE-CUSTOMER")</f>
        <v xml:space="preserve">          4295 - SALES RETURN TAXABLE-CUSTOMER</v>
      </c>
      <c r="C112" s="11"/>
      <c r="D112" s="2">
        <f>0</f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--0.99</f>
        <v>0.99</v>
      </c>
      <c r="Q112" s="2"/>
      <c r="R112" s="19"/>
      <c r="S112" s="2"/>
      <c r="T112" s="2"/>
      <c r="U112" s="2"/>
      <c r="V112" s="19"/>
      <c r="W112" s="2"/>
      <c r="X112" s="2">
        <f t="shared" si="2"/>
        <v>0.99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"4301", " - ", "SALES RETURN NON TAXABLE-NEW T")</f>
        <v xml:space="preserve">          4301 - SALES RETURN NON TAXABLE-NEW T</v>
      </c>
      <c r="C113" s="11"/>
      <c r="D113" s="2">
        <f>-253.49</f>
        <v>-253.49</v>
      </c>
      <c r="E113" s="2"/>
      <c r="F113" s="19"/>
      <c r="G113" s="2"/>
      <c r="H113" s="2"/>
      <c r="I113" s="2"/>
      <c r="J113" s="19"/>
      <c r="K113" s="2"/>
      <c r="L113" s="2">
        <f t="shared" si="0"/>
        <v>-253.49</v>
      </c>
      <c r="M113" s="2"/>
      <c r="N113" s="19">
        <f t="shared" si="1"/>
        <v>0</v>
      </c>
      <c r="O113" s="11"/>
      <c r="P113" s="2">
        <f>-21543.36</f>
        <v>-21543.360000000001</v>
      </c>
      <c r="Q113" s="2"/>
      <c r="R113" s="19"/>
      <c r="S113" s="2"/>
      <c r="T113" s="2"/>
      <c r="U113" s="2"/>
      <c r="V113" s="19"/>
      <c r="W113" s="2"/>
      <c r="X113" s="2">
        <f t="shared" si="2"/>
        <v>-21543.360000000001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"4302", " - ", "SALES RETURN NON TAXABLE-TEXT")</f>
        <v xml:space="preserve">          4302 - SALES RETURN NON TAXABLE-TEXT</v>
      </c>
      <c r="C114" s="11"/>
      <c r="D114" s="2">
        <f>-95.75</f>
        <v>-95.75</v>
      </c>
      <c r="E114" s="2"/>
      <c r="F114" s="19"/>
      <c r="G114" s="2"/>
      <c r="H114" s="2"/>
      <c r="I114" s="2"/>
      <c r="J114" s="19"/>
      <c r="K114" s="2"/>
      <c r="L114" s="2">
        <f t="shared" si="0"/>
        <v>-95.75</v>
      </c>
      <c r="M114" s="2"/>
      <c r="N114" s="19">
        <f t="shared" si="1"/>
        <v>0</v>
      </c>
      <c r="O114" s="11"/>
      <c r="P114" s="2">
        <f>-1475.62</f>
        <v>-1475.62</v>
      </c>
      <c r="Q114" s="2"/>
      <c r="R114" s="19"/>
      <c r="S114" s="2"/>
      <c r="T114" s="2"/>
      <c r="U114" s="2"/>
      <c r="V114" s="19"/>
      <c r="W114" s="2"/>
      <c r="X114" s="2">
        <f t="shared" si="2"/>
        <v>-1475.62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"4303", " - ", "SALES RETURN NON-TAXABLE-RENTA")</f>
        <v xml:space="preserve">          4303 - SALES RETURN NON-TAXABLE-RENTA</v>
      </c>
      <c r="C115" s="11"/>
      <c r="D115" s="2">
        <f>0</f>
        <v>0</v>
      </c>
      <c r="E115" s="2"/>
      <c r="F115" s="19"/>
      <c r="G115" s="2"/>
      <c r="H115" s="2"/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-184.99</f>
        <v>-184.99</v>
      </c>
      <c r="Q115" s="2"/>
      <c r="R115" s="19"/>
      <c r="S115" s="2"/>
      <c r="T115" s="2"/>
      <c r="U115" s="2"/>
      <c r="V115" s="19"/>
      <c r="W115" s="2"/>
      <c r="X115" s="2">
        <f t="shared" si="2"/>
        <v>-184.99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"4304", " - ", "SALES RETURN NON TAXABLE-DIGIT")</f>
        <v xml:space="preserve">          4304 - SALES RETURN NON TAXABLE-DIGIT</v>
      </c>
      <c r="C116" s="11"/>
      <c r="D116" s="2">
        <f>-398.87</f>
        <v>-398.87</v>
      </c>
      <c r="E116" s="2"/>
      <c r="F116" s="19"/>
      <c r="G116" s="2"/>
      <c r="H116" s="2"/>
      <c r="I116" s="2"/>
      <c r="J116" s="19"/>
      <c r="K116" s="2"/>
      <c r="L116" s="2">
        <f t="shared" si="0"/>
        <v>-398.87</v>
      </c>
      <c r="M116" s="2"/>
      <c r="N116" s="19">
        <f t="shared" si="1"/>
        <v>0</v>
      </c>
      <c r="O116" s="11"/>
      <c r="P116" s="2">
        <f>-19873.2</f>
        <v>-19873.2</v>
      </c>
      <c r="Q116" s="2"/>
      <c r="R116" s="19"/>
      <c r="S116" s="2"/>
      <c r="T116" s="2"/>
      <c r="U116" s="2"/>
      <c r="V116" s="19"/>
      <c r="W116" s="2"/>
      <c r="X116" s="2">
        <f t="shared" si="2"/>
        <v>-19873.2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"4311", " - ", "SALES RETURN NON TAXABLE-NO VA")</f>
        <v xml:space="preserve">          4311 - SALES RETURN NON TAXABLE-NO VA</v>
      </c>
      <c r="C117" s="11"/>
      <c r="D117" s="2">
        <f>-70.37</f>
        <v>-70.37</v>
      </c>
      <c r="E117" s="2"/>
      <c r="F117" s="19"/>
      <c r="G117" s="2"/>
      <c r="H117" s="2"/>
      <c r="I117" s="2"/>
      <c r="J117" s="19"/>
      <c r="K117" s="2"/>
      <c r="L117" s="2">
        <f t="shared" si="0"/>
        <v>-70.37</v>
      </c>
      <c r="M117" s="2"/>
      <c r="N117" s="19">
        <f t="shared" si="1"/>
        <v>0</v>
      </c>
      <c r="O117" s="11"/>
      <c r="P117" s="2">
        <f>-1011.65</f>
        <v>-1011.65</v>
      </c>
      <c r="Q117" s="2"/>
      <c r="R117" s="19"/>
      <c r="S117" s="2"/>
      <c r="T117" s="2"/>
      <c r="U117" s="2"/>
      <c r="V117" s="19"/>
      <c r="W117" s="2"/>
      <c r="X117" s="2">
        <f t="shared" si="2"/>
        <v>-1011.65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"4313", " - ", "SALES RETURN NON TAXABLE-TRADE")</f>
        <v xml:space="preserve">          4313 - SALES RETURN NON TAXABLE-TRADE</v>
      </c>
      <c r="C118" s="11"/>
      <c r="D118" s="2">
        <f>0</f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-2481.44</f>
        <v>-2481.44</v>
      </c>
      <c r="Q118" s="2"/>
      <c r="R118" s="19"/>
      <c r="S118" s="2"/>
      <c r="T118" s="2"/>
      <c r="U118" s="2"/>
      <c r="V118" s="19"/>
      <c r="W118" s="2"/>
      <c r="X118" s="2">
        <f t="shared" si="2"/>
        <v>-2481.44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"4326", " - ", "SALES RETURN NON TAXABLE-WRITI")</f>
        <v xml:space="preserve">          4326 - SALES RETURN NON TAXABLE-WRITI</v>
      </c>
      <c r="C119" s="11"/>
      <c r="D119" s="2">
        <f>-2.98</f>
        <v>-2.98</v>
      </c>
      <c r="E119" s="2"/>
      <c r="F119" s="19"/>
      <c r="G119" s="2"/>
      <c r="H119" s="2"/>
      <c r="I119" s="2"/>
      <c r="J119" s="19"/>
      <c r="K119" s="2"/>
      <c r="L119" s="2">
        <f t="shared" si="0"/>
        <v>-2.98</v>
      </c>
      <c r="M119" s="2"/>
      <c r="N119" s="19">
        <f t="shared" si="1"/>
        <v>0</v>
      </c>
      <c r="O119" s="11"/>
      <c r="P119" s="2">
        <f>-2.98</f>
        <v>-2.98</v>
      </c>
      <c r="Q119" s="2"/>
      <c r="R119" s="19"/>
      <c r="S119" s="2"/>
      <c r="T119" s="2"/>
      <c r="U119" s="2"/>
      <c r="V119" s="19"/>
      <c r="W119" s="2"/>
      <c r="X119" s="2">
        <f t="shared" si="2"/>
        <v>-2.98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"4327", " - ", "SALES RETURN NON TAXABLE-SCHOO")</f>
        <v xml:space="preserve">          4327 - SALES RETURN NON TAXABLE-SCHOO</v>
      </c>
      <c r="C120" s="11"/>
      <c r="D120" s="2">
        <f t="shared" ref="D120:D122" si="16">0</f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-21.87</f>
        <v>-21.87</v>
      </c>
      <c r="Q120" s="2"/>
      <c r="R120" s="19"/>
      <c r="S120" s="2"/>
      <c r="T120" s="2"/>
      <c r="U120" s="2"/>
      <c r="V120" s="19"/>
      <c r="W120" s="2"/>
      <c r="X120" s="2">
        <f t="shared" si="2"/>
        <v>-21.87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"4331", " - ", "SALES RETURN NON TAXABLE-FOOD")</f>
        <v xml:space="preserve">          4331 - SALES RETURN NON TAXABLE-FOOD</v>
      </c>
      <c r="C121" s="11"/>
      <c r="D121" s="2">
        <f t="shared" si="16"/>
        <v>0</v>
      </c>
      <c r="E121" s="2"/>
      <c r="F121" s="19"/>
      <c r="G121" s="2"/>
      <c r="H121" s="2"/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-12.57</f>
        <v>-12.57</v>
      </c>
      <c r="Q121" s="2"/>
      <c r="R121" s="19"/>
      <c r="S121" s="2"/>
      <c r="T121" s="2"/>
      <c r="U121" s="2"/>
      <c r="V121" s="19"/>
      <c r="W121" s="2"/>
      <c r="X121" s="2">
        <f t="shared" si="2"/>
        <v>-12.57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"4332", " - ", "SALES RETURN NON TAXABLE-JUICE")</f>
        <v xml:space="preserve">          4332 - SALES RETURN NON TAXABLE-JUICE</v>
      </c>
      <c r="C122" s="11"/>
      <c r="D122" s="2">
        <f t="shared" si="16"/>
        <v>0</v>
      </c>
      <c r="E122" s="2"/>
      <c r="F122" s="19"/>
      <c r="G122" s="2"/>
      <c r="H122" s="2"/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-2.79</f>
        <v>-2.79</v>
      </c>
      <c r="Q122" s="2"/>
      <c r="R122" s="19"/>
      <c r="S122" s="2"/>
      <c r="T122" s="2"/>
      <c r="U122" s="2"/>
      <c r="V122" s="19"/>
      <c r="W122" s="2"/>
      <c r="X122" s="2">
        <f t="shared" si="2"/>
        <v>-2.79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"4340", " - ", "SALES RETURN NON TAXABLE-LOGO")</f>
        <v xml:space="preserve">          4340 - SALES RETURN NON TAXABLE-LOGO</v>
      </c>
      <c r="C123" s="11"/>
      <c r="D123" s="2">
        <f>-1045.65</f>
        <v>-1045.6500000000001</v>
      </c>
      <c r="E123" s="2"/>
      <c r="F123" s="19"/>
      <c r="G123" s="2"/>
      <c r="H123" s="2"/>
      <c r="I123" s="2"/>
      <c r="J123" s="19"/>
      <c r="K123" s="2"/>
      <c r="L123" s="2">
        <f t="shared" si="0"/>
        <v>-1045.6500000000001</v>
      </c>
      <c r="M123" s="2"/>
      <c r="N123" s="19">
        <f t="shared" si="1"/>
        <v>0</v>
      </c>
      <c r="O123" s="11"/>
      <c r="P123" s="2">
        <f>-2664.48</f>
        <v>-2664.48</v>
      </c>
      <c r="Q123" s="2"/>
      <c r="R123" s="19"/>
      <c r="S123" s="2"/>
      <c r="T123" s="2"/>
      <c r="U123" s="2"/>
      <c r="V123" s="19"/>
      <c r="W123" s="2"/>
      <c r="X123" s="2">
        <f t="shared" si="2"/>
        <v>-2664.48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"4341", " - ", "SALES RETURN NON TAXABLE-LOGO")</f>
        <v xml:space="preserve">          4341 - SALES RETURN NON TAXABLE-LOGO</v>
      </c>
      <c r="C124" s="11"/>
      <c r="D124" s="2">
        <f>-9.9</f>
        <v>-9.9</v>
      </c>
      <c r="E124" s="2"/>
      <c r="F124" s="19"/>
      <c r="G124" s="2"/>
      <c r="H124" s="2"/>
      <c r="I124" s="2"/>
      <c r="J124" s="19"/>
      <c r="K124" s="2"/>
      <c r="L124" s="2">
        <f t="shared" si="0"/>
        <v>-9.9</v>
      </c>
      <c r="M124" s="2"/>
      <c r="N124" s="19">
        <f t="shared" si="1"/>
        <v>0</v>
      </c>
      <c r="O124" s="11"/>
      <c r="P124" s="2">
        <f>-295.35</f>
        <v>-295.35000000000002</v>
      </c>
      <c r="Q124" s="2"/>
      <c r="R124" s="19"/>
      <c r="S124" s="2"/>
      <c r="T124" s="2"/>
      <c r="U124" s="2"/>
      <c r="V124" s="19"/>
      <c r="W124" s="2"/>
      <c r="X124" s="2">
        <f t="shared" si="2"/>
        <v>-295.35000000000002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"4342", " - ", "SALES RETURN NON TAXABLE-EVERY")</f>
        <v xml:space="preserve">          4342 - SALES RETURN NON TAXABLE-EVERY</v>
      </c>
      <c r="C125" s="11"/>
      <c r="D125" s="2">
        <f>-36.8</f>
        <v>-36.799999999999997</v>
      </c>
      <c r="E125" s="2"/>
      <c r="F125" s="19"/>
      <c r="G125" s="2"/>
      <c r="H125" s="2"/>
      <c r="I125" s="2"/>
      <c r="J125" s="19"/>
      <c r="K125" s="2"/>
      <c r="L125" s="2">
        <f t="shared" si="0"/>
        <v>-36.799999999999997</v>
      </c>
      <c r="M125" s="2"/>
      <c r="N125" s="19">
        <f t="shared" si="1"/>
        <v>0</v>
      </c>
      <c r="O125" s="11"/>
      <c r="P125" s="2">
        <f>-186.02</f>
        <v>-186.02</v>
      </c>
      <c r="Q125" s="2"/>
      <c r="R125" s="19"/>
      <c r="S125" s="2"/>
      <c r="T125" s="2"/>
      <c r="U125" s="2"/>
      <c r="V125" s="19"/>
      <c r="W125" s="2"/>
      <c r="X125" s="2">
        <f t="shared" si="2"/>
        <v>-186.02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"4346", " - ", "SALES RETURN NON TAXABLE-COIN-")</f>
        <v xml:space="preserve">          4346 - SALES RETURN NON TAXABLE-COIN-</v>
      </c>
      <c r="C126" s="11"/>
      <c r="D126" s="2">
        <f t="shared" ref="D126:D130" si="17">0</f>
        <v>0</v>
      </c>
      <c r="E126" s="2"/>
      <c r="F126" s="19"/>
      <c r="G126" s="2"/>
      <c r="H126" s="2"/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-8.15</f>
        <v>-8.15</v>
      </c>
      <c r="Q126" s="2"/>
      <c r="R126" s="19"/>
      <c r="S126" s="2"/>
      <c r="T126" s="2"/>
      <c r="U126" s="2"/>
      <c r="V126" s="19"/>
      <c r="W126" s="2"/>
      <c r="X126" s="2">
        <f t="shared" si="2"/>
        <v>-8.15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"4347", " - ", "SALES RETURN NON TAXABLE-MISC")</f>
        <v xml:space="preserve">          4347 - SALES RETURN NON TAXABLE-MISC</v>
      </c>
      <c r="C127" s="11"/>
      <c r="D127" s="2">
        <f t="shared" si="17"/>
        <v>0</v>
      </c>
      <c r="E127" s="2"/>
      <c r="F127" s="19"/>
      <c r="G127" s="2"/>
      <c r="H127" s="2"/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-84</f>
        <v>-84</v>
      </c>
      <c r="Q127" s="2"/>
      <c r="R127" s="19"/>
      <c r="S127" s="2"/>
      <c r="T127" s="2"/>
      <c r="U127" s="2"/>
      <c r="V127" s="19"/>
      <c r="W127" s="2"/>
      <c r="X127" s="2">
        <f t="shared" si="2"/>
        <v>-84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"4381", " - ", "SALES RETURN NON TAXABLE-ELECT")</f>
        <v xml:space="preserve">          4381 - SALES RETURN NON TAXABLE-ELECT</v>
      </c>
      <c r="C128" s="11"/>
      <c r="D128" s="2">
        <f t="shared" si="17"/>
        <v>0</v>
      </c>
      <c r="E128" s="2"/>
      <c r="F128" s="19"/>
      <c r="G128" s="2"/>
      <c r="H128" s="2"/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-1279.84</f>
        <v>-1279.8399999999999</v>
      </c>
      <c r="Q128" s="2"/>
      <c r="R128" s="19"/>
      <c r="S128" s="2"/>
      <c r="T128" s="2"/>
      <c r="U128" s="2"/>
      <c r="V128" s="19"/>
      <c r="W128" s="2"/>
      <c r="X128" s="2">
        <f t="shared" si="2"/>
        <v>-1279.8399999999999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"4383", " - ", "SALES RETURN NON TAXABLE-COMPU")</f>
        <v xml:space="preserve">          4383 - SALES RETURN NON TAXABLE-COMPU</v>
      </c>
      <c r="C129" s="11"/>
      <c r="D129" s="2">
        <f t="shared" si="17"/>
        <v>0</v>
      </c>
      <c r="E129" s="2"/>
      <c r="F129" s="19"/>
      <c r="G129" s="2"/>
      <c r="H129" s="2"/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-49.98</f>
        <v>-49.98</v>
      </c>
      <c r="Q129" s="2"/>
      <c r="R129" s="19"/>
      <c r="S129" s="2"/>
      <c r="T129" s="2"/>
      <c r="U129" s="2"/>
      <c r="V129" s="19"/>
      <c r="W129" s="2"/>
      <c r="X129" s="2">
        <f t="shared" si="2"/>
        <v>-49.98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"4386", " - ", "SALES RETURN NON TAXABLE-COMPU")</f>
        <v xml:space="preserve">          4386 - SALES RETURN NON TAXABLE-COMPU</v>
      </c>
      <c r="C130" s="11"/>
      <c r="D130" s="2">
        <f t="shared" si="17"/>
        <v>0</v>
      </c>
      <c r="E130" s="2"/>
      <c r="F130" s="19"/>
      <c r="G130" s="2"/>
      <c r="H130" s="2"/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-104.96</f>
        <v>-104.96</v>
      </c>
      <c r="Q130" s="2"/>
      <c r="R130" s="19"/>
      <c r="S130" s="2"/>
      <c r="T130" s="2"/>
      <c r="U130" s="2"/>
      <c r="V130" s="19"/>
      <c r="W130" s="2"/>
      <c r="X130" s="2">
        <f t="shared" si="2"/>
        <v>-104.96</v>
      </c>
      <c r="Y130" s="2"/>
      <c r="Z130" s="19">
        <f t="shared" si="3"/>
        <v>0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collapsed="1" x14ac:dyDescent="0.25">
      <c r="A132" s="10"/>
      <c r="B132" s="28" t="s">
        <v>8</v>
      </c>
      <c r="C132" s="10"/>
      <c r="D132" s="4">
        <f>SUM(OSRRefD16x_0)</f>
        <v>589971.81000000006</v>
      </c>
      <c r="E132" s="4"/>
      <c r="F132" s="13">
        <f t="shared" ref="F132:F191" si="18">IF(D$12=0,0,D132/D$12)</f>
        <v>0.89980806634421939</v>
      </c>
      <c r="G132" s="4"/>
      <c r="H132" s="4">
        <f>SUM(OSRRefH16x_0)</f>
        <v>559978.06070999999</v>
      </c>
      <c r="I132" s="4"/>
      <c r="J132" s="13">
        <f t="shared" ref="J132:J191" si="19">IF(H$12=0,0,H132/H$12)</f>
        <v>0.64173941560593339</v>
      </c>
      <c r="K132" s="4"/>
      <c r="L132" s="4">
        <f t="shared" ref="L132:L191" si="20">+D132-H132</f>
        <v>29993.749290000065</v>
      </c>
      <c r="M132" s="4"/>
      <c r="N132" s="13">
        <f t="shared" ref="N132:N191" si="21">IF(H132=0,0,L132/H132)</f>
        <v>5.3562365018320159E-2</v>
      </c>
      <c r="O132" s="10"/>
      <c r="P132" s="4">
        <f>SUM(OSRRefP16x_0)</f>
        <v>7960436.9500000011</v>
      </c>
      <c r="Q132" s="4"/>
      <c r="R132" s="13">
        <f t="shared" ref="R132:R191" si="22">IF(P$12=0,0,P132/P$12)</f>
        <v>0.65680724041785676</v>
      </c>
      <c r="S132" s="4"/>
      <c r="T132" s="4">
        <f>SUM(OSRRefT16x_0)</f>
        <v>8988784.9750099983</v>
      </c>
      <c r="U132" s="4"/>
      <c r="V132" s="13">
        <f t="shared" ref="V132:V191" si="23">IF(T$12=0,0,T132/T$12)</f>
        <v>0.60183768593772957</v>
      </c>
      <c r="W132" s="4"/>
      <c r="X132" s="4">
        <f t="shared" ref="X132:X191" si="24">+P132-T132</f>
        <v>-1028348.0250099972</v>
      </c>
      <c r="Y132" s="4"/>
      <c r="Z132" s="13">
        <f t="shared" ref="Z132:Z191" si="25">IF(T132=0,0,X132/T132)</f>
        <v>-0.11440345139737347</v>
      </c>
    </row>
    <row r="133" spans="1:26" s="24" customFormat="1" hidden="1" outlineLevel="1" x14ac:dyDescent="0.25">
      <c r="A133" s="44"/>
      <c r="B133" s="11" t="str">
        <f>CONCATENATE("          ", "5000", " - ", "PURCHASES @ COST")</f>
        <v xml:space="preserve">          5000 - PURCHASES @ COST</v>
      </c>
      <c r="C133" s="11"/>
      <c r="D133" s="2"/>
      <c r="E133" s="2"/>
      <c r="F133" s="19">
        <f t="shared" si="18"/>
        <v>0</v>
      </c>
      <c r="G133" s="2"/>
      <c r="H133" s="2">
        <v>559978.06070999999</v>
      </c>
      <c r="I133" s="2"/>
      <c r="J133" s="19">
        <f t="shared" si="19"/>
        <v>0.64173941560593339</v>
      </c>
      <c r="K133" s="2"/>
      <c r="L133" s="2">
        <f t="shared" si="20"/>
        <v>-559978.06070999999</v>
      </c>
      <c r="M133" s="2"/>
      <c r="N133" s="19">
        <f t="shared" si="21"/>
        <v>-1</v>
      </c>
      <c r="O133" s="11"/>
      <c r="P133" s="2">
        <v>0</v>
      </c>
      <c r="Q133" s="2"/>
      <c r="R133" s="19">
        <f t="shared" si="22"/>
        <v>0</v>
      </c>
      <c r="S133" s="2"/>
      <c r="T133" s="2">
        <v>8988784.9750099983</v>
      </c>
      <c r="U133" s="2"/>
      <c r="V133" s="19">
        <f t="shared" si="23"/>
        <v>0.60183768593772957</v>
      </c>
      <c r="W133" s="2"/>
      <c r="X133" s="2">
        <f t="shared" si="24"/>
        <v>-8988784.9750099983</v>
      </c>
      <c r="Y133" s="2"/>
      <c r="Z133" s="19">
        <f t="shared" si="25"/>
        <v>-1</v>
      </c>
    </row>
    <row r="134" spans="1:26" s="24" customFormat="1" hidden="1" outlineLevel="1" x14ac:dyDescent="0.25">
      <c r="A134" s="44"/>
      <c r="B134" s="11" t="str">
        <f>CONCATENATE("          ", "5001", " - ", "PURCHASES @ COST-NEW TEXT")</f>
        <v xml:space="preserve">          5001 - PURCHASES @ COST-NEW TEXT</v>
      </c>
      <c r="C134" s="11"/>
      <c r="D134" s="2">
        <v>21388.809999999998</v>
      </c>
      <c r="E134" s="2"/>
      <c r="F134" s="19">
        <f t="shared" si="18"/>
        <v>3.2621598932843755E-2</v>
      </c>
      <c r="G134" s="2"/>
      <c r="H134" s="2"/>
      <c r="I134" s="2"/>
      <c r="J134" s="19">
        <f t="shared" si="19"/>
        <v>0</v>
      </c>
      <c r="K134" s="2"/>
      <c r="L134" s="2">
        <f t="shared" si="20"/>
        <v>21388.809999999998</v>
      </c>
      <c r="M134" s="2"/>
      <c r="N134" s="19">
        <f t="shared" si="21"/>
        <v>0</v>
      </c>
      <c r="O134" s="11"/>
      <c r="P134" s="2">
        <v>1662669.27</v>
      </c>
      <c r="Q134" s="2"/>
      <c r="R134" s="19">
        <f t="shared" si="22"/>
        <v>0.13718508441377356</v>
      </c>
      <c r="S134" s="2"/>
      <c r="T134" s="2"/>
      <c r="U134" s="2"/>
      <c r="V134" s="19">
        <f t="shared" si="23"/>
        <v>0</v>
      </c>
      <c r="W134" s="2"/>
      <c r="X134" s="2">
        <f t="shared" si="24"/>
        <v>1662669.27</v>
      </c>
      <c r="Y134" s="2"/>
      <c r="Z134" s="19">
        <f t="shared" si="25"/>
        <v>0</v>
      </c>
    </row>
    <row r="135" spans="1:26" s="24" customFormat="1" hidden="1" outlineLevel="1" x14ac:dyDescent="0.25">
      <c r="A135" s="44"/>
      <c r="B135" s="11" t="str">
        <f>CONCATENATE("          ", "5002", " - ", "PURCHASES @ COST-USED TEXT")</f>
        <v xml:space="preserve">          5002 - PURCHASES @ COST-USED TEXT</v>
      </c>
      <c r="C135" s="11"/>
      <c r="D135" s="2">
        <v>121021.81</v>
      </c>
      <c r="E135" s="2"/>
      <c r="F135" s="19">
        <f t="shared" si="18"/>
        <v>0.1845789900395029</v>
      </c>
      <c r="G135" s="2"/>
      <c r="H135" s="2"/>
      <c r="I135" s="2"/>
      <c r="J135" s="19">
        <f t="shared" si="19"/>
        <v>0</v>
      </c>
      <c r="K135" s="2"/>
      <c r="L135" s="2">
        <f t="shared" si="20"/>
        <v>121021.81</v>
      </c>
      <c r="M135" s="2"/>
      <c r="N135" s="19">
        <f t="shared" si="21"/>
        <v>0</v>
      </c>
      <c r="O135" s="11"/>
      <c r="P135" s="2">
        <v>731343.19</v>
      </c>
      <c r="Q135" s="2"/>
      <c r="R135" s="19">
        <f t="shared" si="22"/>
        <v>6.034235374759072E-2</v>
      </c>
      <c r="S135" s="2"/>
      <c r="T135" s="2"/>
      <c r="U135" s="2"/>
      <c r="V135" s="19">
        <f t="shared" si="23"/>
        <v>0</v>
      </c>
      <c r="W135" s="2"/>
      <c r="X135" s="2">
        <f t="shared" si="24"/>
        <v>731343.19</v>
      </c>
      <c r="Y135" s="2"/>
      <c r="Z135" s="19">
        <f t="shared" si="25"/>
        <v>0</v>
      </c>
    </row>
    <row r="136" spans="1:26" s="24" customFormat="1" hidden="1" outlineLevel="1" x14ac:dyDescent="0.25">
      <c r="A136" s="44"/>
      <c r="B136" s="11" t="str">
        <f>CONCATENATE("          ", "5003", " - ", "PURCHASES @ COST-RENTAL TEXT")</f>
        <v xml:space="preserve">          5003 - PURCHASES @ COST-RENTAL TEXT</v>
      </c>
      <c r="C136" s="11"/>
      <c r="D136" s="2">
        <v>24656.6</v>
      </c>
      <c r="E136" s="2"/>
      <c r="F136" s="19">
        <f t="shared" si="18"/>
        <v>3.760553842161183E-2</v>
      </c>
      <c r="G136" s="2"/>
      <c r="H136" s="2"/>
      <c r="I136" s="2"/>
      <c r="J136" s="19">
        <f t="shared" si="19"/>
        <v>0</v>
      </c>
      <c r="K136" s="2"/>
      <c r="L136" s="2">
        <f t="shared" si="20"/>
        <v>24656.6</v>
      </c>
      <c r="M136" s="2"/>
      <c r="N136" s="19">
        <f t="shared" si="21"/>
        <v>0</v>
      </c>
      <c r="O136" s="11"/>
      <c r="P136" s="2">
        <v>24578.2</v>
      </c>
      <c r="Q136" s="2"/>
      <c r="R136" s="19">
        <f t="shared" si="22"/>
        <v>2.0279213085706515E-3</v>
      </c>
      <c r="S136" s="2"/>
      <c r="T136" s="2"/>
      <c r="U136" s="2"/>
      <c r="V136" s="19">
        <f t="shared" si="23"/>
        <v>0</v>
      </c>
      <c r="W136" s="2"/>
      <c r="X136" s="2">
        <f t="shared" si="24"/>
        <v>24578.2</v>
      </c>
      <c r="Y136" s="2"/>
      <c r="Z136" s="19">
        <f t="shared" si="25"/>
        <v>0</v>
      </c>
    </row>
    <row r="137" spans="1:26" s="24" customFormat="1" hidden="1" outlineLevel="1" x14ac:dyDescent="0.25">
      <c r="A137" s="44"/>
      <c r="B137" s="11" t="str">
        <f>CONCATENATE("          ", "5004", " - ", "PURCHASES @ COST-DIGITAL TEXT")</f>
        <v xml:space="preserve">          5004 - PURCHASES @ COST-DIGITAL TEXT</v>
      </c>
      <c r="C137" s="11"/>
      <c r="D137" s="2">
        <v>5038.95</v>
      </c>
      <c r="E137" s="2"/>
      <c r="F137" s="19">
        <f t="shared" si="18"/>
        <v>7.6852618702327544E-3</v>
      </c>
      <c r="G137" s="2"/>
      <c r="H137" s="2"/>
      <c r="I137" s="2"/>
      <c r="J137" s="19">
        <f t="shared" si="19"/>
        <v>0</v>
      </c>
      <c r="K137" s="2"/>
      <c r="L137" s="2">
        <f t="shared" si="20"/>
        <v>5038.95</v>
      </c>
      <c r="M137" s="2"/>
      <c r="N137" s="19">
        <f t="shared" si="21"/>
        <v>0</v>
      </c>
      <c r="O137" s="11"/>
      <c r="P137" s="2">
        <v>451308.6</v>
      </c>
      <c r="Q137" s="2"/>
      <c r="R137" s="19">
        <f t="shared" si="22"/>
        <v>3.7236995657989137E-2</v>
      </c>
      <c r="S137" s="2"/>
      <c r="T137" s="2"/>
      <c r="U137" s="2"/>
      <c r="V137" s="19">
        <f t="shared" si="23"/>
        <v>0</v>
      </c>
      <c r="W137" s="2"/>
      <c r="X137" s="2">
        <f t="shared" si="24"/>
        <v>451308.6</v>
      </c>
      <c r="Y137" s="2"/>
      <c r="Z137" s="19">
        <f t="shared" si="25"/>
        <v>0</v>
      </c>
    </row>
    <row r="138" spans="1:26" s="24" customFormat="1" hidden="1" outlineLevel="1" x14ac:dyDescent="0.25">
      <c r="A138" s="44"/>
      <c r="B138" s="11" t="str">
        <f>CONCATENATE("          ", "5011", " - ", "PURCHASES @ COST-NO VALUE TEXT")</f>
        <v xml:space="preserve">          5011 - PURCHASES @ COST-NO VALUE TEXT</v>
      </c>
      <c r="C138" s="11"/>
      <c r="D138" s="2">
        <v>99</v>
      </c>
      <c r="E138" s="2"/>
      <c r="F138" s="19">
        <f t="shared" si="18"/>
        <v>1.5099195768027919E-4</v>
      </c>
      <c r="G138" s="2"/>
      <c r="H138" s="2"/>
      <c r="I138" s="2"/>
      <c r="J138" s="19">
        <f t="shared" si="19"/>
        <v>0</v>
      </c>
      <c r="K138" s="2"/>
      <c r="L138" s="2">
        <f t="shared" si="20"/>
        <v>99</v>
      </c>
      <c r="M138" s="2"/>
      <c r="N138" s="19">
        <f t="shared" si="21"/>
        <v>0</v>
      </c>
      <c r="O138" s="11"/>
      <c r="P138" s="2">
        <v>6462</v>
      </c>
      <c r="Q138" s="2"/>
      <c r="R138" s="19">
        <f t="shared" si="22"/>
        <v>5.3317279117199581E-4</v>
      </c>
      <c r="S138" s="2"/>
      <c r="T138" s="2"/>
      <c r="U138" s="2"/>
      <c r="V138" s="19">
        <f t="shared" si="23"/>
        <v>0</v>
      </c>
      <c r="W138" s="2"/>
      <c r="X138" s="2">
        <f t="shared" si="24"/>
        <v>6462</v>
      </c>
      <c r="Y138" s="2"/>
      <c r="Z138" s="19">
        <f t="shared" si="25"/>
        <v>0</v>
      </c>
    </row>
    <row r="139" spans="1:26" s="24" customFormat="1" hidden="1" outlineLevel="1" x14ac:dyDescent="0.25">
      <c r="A139" s="44"/>
      <c r="B139" s="11" t="str">
        <f>CONCATENATE("          ", "5013", " - ", "PURCHASES @ COST-TRADE BOOKS")</f>
        <v xml:space="preserve">          5013 - PURCHASES @ COST-TRADE BOOKS</v>
      </c>
      <c r="C139" s="11"/>
      <c r="D139" s="2">
        <v>-420.76</v>
      </c>
      <c r="E139" s="2"/>
      <c r="F139" s="19">
        <f t="shared" si="18"/>
        <v>-6.4173107185408343E-4</v>
      </c>
      <c r="G139" s="2"/>
      <c r="H139" s="2"/>
      <c r="I139" s="2"/>
      <c r="J139" s="19">
        <f t="shared" si="19"/>
        <v>0</v>
      </c>
      <c r="K139" s="2"/>
      <c r="L139" s="2">
        <f t="shared" si="20"/>
        <v>-420.76</v>
      </c>
      <c r="M139" s="2"/>
      <c r="N139" s="19">
        <f t="shared" si="21"/>
        <v>0</v>
      </c>
      <c r="O139" s="11"/>
      <c r="P139" s="2">
        <v>2777.09</v>
      </c>
      <c r="Q139" s="2"/>
      <c r="R139" s="19">
        <f t="shared" si="22"/>
        <v>2.2913476116308233E-4</v>
      </c>
      <c r="S139" s="2"/>
      <c r="T139" s="2"/>
      <c r="U139" s="2"/>
      <c r="V139" s="19">
        <f t="shared" si="23"/>
        <v>0</v>
      </c>
      <c r="W139" s="2"/>
      <c r="X139" s="2">
        <f t="shared" si="24"/>
        <v>2777.09</v>
      </c>
      <c r="Y139" s="2"/>
      <c r="Z139" s="19">
        <f t="shared" si="25"/>
        <v>0</v>
      </c>
    </row>
    <row r="140" spans="1:26" s="24" customFormat="1" hidden="1" outlineLevel="1" x14ac:dyDescent="0.25">
      <c r="A140" s="44"/>
      <c r="B140" s="11" t="str">
        <f>CONCATENATE("          ", "5014", " - ", "PURCHASES @ COST-REMAINDERS")</f>
        <v xml:space="preserve">          5014 - PURCHASES @ COST-REMAINDERS</v>
      </c>
      <c r="C140" s="11"/>
      <c r="D140" s="2">
        <v>132</v>
      </c>
      <c r="E140" s="2"/>
      <c r="F140" s="19">
        <f t="shared" si="18"/>
        <v>2.0132261024037224E-4</v>
      </c>
      <c r="G140" s="2"/>
      <c r="H140" s="2"/>
      <c r="I140" s="2"/>
      <c r="J140" s="19">
        <f t="shared" si="19"/>
        <v>0</v>
      </c>
      <c r="K140" s="2"/>
      <c r="L140" s="2">
        <f t="shared" si="20"/>
        <v>132</v>
      </c>
      <c r="M140" s="2"/>
      <c r="N140" s="19">
        <f t="shared" si="21"/>
        <v>0</v>
      </c>
      <c r="O140" s="11"/>
      <c r="P140" s="2">
        <v>747.07</v>
      </c>
      <c r="Q140" s="2"/>
      <c r="R140" s="19">
        <f t="shared" si="22"/>
        <v>6.163995622111776E-5</v>
      </c>
      <c r="S140" s="2"/>
      <c r="T140" s="2"/>
      <c r="U140" s="2"/>
      <c r="V140" s="19">
        <f t="shared" si="23"/>
        <v>0</v>
      </c>
      <c r="W140" s="2"/>
      <c r="X140" s="2">
        <f t="shared" si="24"/>
        <v>747.07</v>
      </c>
      <c r="Y140" s="2"/>
      <c r="Z140" s="19">
        <f t="shared" si="25"/>
        <v>0</v>
      </c>
    </row>
    <row r="141" spans="1:26" s="24" customFormat="1" hidden="1" outlineLevel="1" x14ac:dyDescent="0.25">
      <c r="A141" s="44"/>
      <c r="B141" s="11" t="str">
        <f>CONCATENATE("          ", "5017", " - ", "PURCHASES @ COST-DORM/HOUSEWAR")</f>
        <v xml:space="preserve">          5017 - PURCHASES @ COST-DORM/HOUSEWAR</v>
      </c>
      <c r="C141" s="11"/>
      <c r="D141" s="2"/>
      <c r="E141" s="2"/>
      <c r="F141" s="19">
        <f t="shared" si="18"/>
        <v>0</v>
      </c>
      <c r="G141" s="2"/>
      <c r="H141" s="2"/>
      <c r="I141" s="2"/>
      <c r="J141" s="19">
        <f t="shared" si="19"/>
        <v>0</v>
      </c>
      <c r="K141" s="2"/>
      <c r="L141" s="2">
        <f t="shared" si="20"/>
        <v>0</v>
      </c>
      <c r="M141" s="2"/>
      <c r="N141" s="19">
        <f t="shared" si="21"/>
        <v>0</v>
      </c>
      <c r="O141" s="11"/>
      <c r="P141" s="2">
        <v>14.46</v>
      </c>
      <c r="Q141" s="2"/>
      <c r="R141" s="19">
        <f t="shared" si="22"/>
        <v>1.1930793191499628E-6</v>
      </c>
      <c r="S141" s="2"/>
      <c r="T141" s="2"/>
      <c r="U141" s="2"/>
      <c r="V141" s="19">
        <f t="shared" si="23"/>
        <v>0</v>
      </c>
      <c r="W141" s="2"/>
      <c r="X141" s="2">
        <f t="shared" si="24"/>
        <v>14.46</v>
      </c>
      <c r="Y141" s="2"/>
      <c r="Z141" s="19">
        <f t="shared" si="25"/>
        <v>0</v>
      </c>
    </row>
    <row r="142" spans="1:26" s="24" customFormat="1" hidden="1" outlineLevel="1" x14ac:dyDescent="0.25">
      <c r="A142" s="44"/>
      <c r="B142" s="11" t="str">
        <f>CONCATENATE("          ", "5018", " - ", "PURCHASES @ COST-STUDY GUIDES")</f>
        <v xml:space="preserve">          5018 - PURCHASES @ COST-STUDY GUIDES</v>
      </c>
      <c r="C142" s="11"/>
      <c r="D142" s="2">
        <v>-249.38</v>
      </c>
      <c r="E142" s="2"/>
      <c r="F142" s="19">
        <f t="shared" si="18"/>
        <v>-3.8034721622533355E-4</v>
      </c>
      <c r="G142" s="2"/>
      <c r="H142" s="2"/>
      <c r="I142" s="2"/>
      <c r="J142" s="19">
        <f t="shared" si="19"/>
        <v>0</v>
      </c>
      <c r="K142" s="2"/>
      <c r="L142" s="2">
        <f t="shared" si="20"/>
        <v>-249.38</v>
      </c>
      <c r="M142" s="2"/>
      <c r="N142" s="19">
        <f t="shared" si="21"/>
        <v>0</v>
      </c>
      <c r="O142" s="11"/>
      <c r="P142" s="2">
        <v>-454.52</v>
      </c>
      <c r="Q142" s="2"/>
      <c r="R142" s="19">
        <f t="shared" si="22"/>
        <v>-3.7501964878287768E-5</v>
      </c>
      <c r="S142" s="2"/>
      <c r="T142" s="2"/>
      <c r="U142" s="2"/>
      <c r="V142" s="19">
        <f t="shared" si="23"/>
        <v>0</v>
      </c>
      <c r="W142" s="2"/>
      <c r="X142" s="2">
        <f t="shared" si="24"/>
        <v>-454.52</v>
      </c>
      <c r="Y142" s="2"/>
      <c r="Z142" s="19">
        <f t="shared" si="25"/>
        <v>0</v>
      </c>
    </row>
    <row r="143" spans="1:26" s="24" customFormat="1" hidden="1" outlineLevel="1" x14ac:dyDescent="0.25">
      <c r="A143" s="44"/>
      <c r="B143" s="11" t="str">
        <f>CONCATENATE("          ", "5025", " - ", "PURCHASES @ COST-TEST FORMS")</f>
        <v xml:space="preserve">          5025 - PURCHASES @ COST-TEST FORMS</v>
      </c>
      <c r="C143" s="11"/>
      <c r="D143" s="2"/>
      <c r="E143" s="2"/>
      <c r="F143" s="19">
        <f t="shared" si="18"/>
        <v>0</v>
      </c>
      <c r="G143" s="2"/>
      <c r="H143" s="2"/>
      <c r="I143" s="2"/>
      <c r="J143" s="19">
        <f t="shared" si="19"/>
        <v>0</v>
      </c>
      <c r="K143" s="2"/>
      <c r="L143" s="2">
        <f t="shared" si="20"/>
        <v>0</v>
      </c>
      <c r="M143" s="2"/>
      <c r="N143" s="19">
        <f t="shared" si="21"/>
        <v>0</v>
      </c>
      <c r="O143" s="11"/>
      <c r="P143" s="2">
        <v>26400.390000000003</v>
      </c>
      <c r="Q143" s="2"/>
      <c r="R143" s="19">
        <f t="shared" si="22"/>
        <v>2.1782682798404903E-3</v>
      </c>
      <c r="S143" s="2"/>
      <c r="T143" s="2"/>
      <c r="U143" s="2"/>
      <c r="V143" s="19">
        <f t="shared" si="23"/>
        <v>0</v>
      </c>
      <c r="W143" s="2"/>
      <c r="X143" s="2">
        <f t="shared" si="24"/>
        <v>26400.390000000003</v>
      </c>
      <c r="Y143" s="2"/>
      <c r="Z143" s="19">
        <f t="shared" si="25"/>
        <v>0</v>
      </c>
    </row>
    <row r="144" spans="1:26" s="24" customFormat="1" hidden="1" outlineLevel="1" x14ac:dyDescent="0.25">
      <c r="A144" s="44"/>
      <c r="B144" s="11" t="str">
        <f>CONCATENATE("          ", "5026", " - ", "PURCHASES @ COST-WRITING INSTR")</f>
        <v xml:space="preserve">          5026 - PURCHASES @ COST-WRITING INSTR</v>
      </c>
      <c r="C144" s="11"/>
      <c r="D144" s="2"/>
      <c r="E144" s="2"/>
      <c r="F144" s="19">
        <f t="shared" si="18"/>
        <v>0</v>
      </c>
      <c r="G144" s="2"/>
      <c r="H144" s="2"/>
      <c r="I144" s="2"/>
      <c r="J144" s="19">
        <f t="shared" si="19"/>
        <v>0</v>
      </c>
      <c r="K144" s="2"/>
      <c r="L144" s="2">
        <f t="shared" si="20"/>
        <v>0</v>
      </c>
      <c r="M144" s="2"/>
      <c r="N144" s="19">
        <f t="shared" si="21"/>
        <v>0</v>
      </c>
      <c r="O144" s="11"/>
      <c r="P144" s="2">
        <v>44186.57</v>
      </c>
      <c r="Q144" s="2"/>
      <c r="R144" s="19">
        <f t="shared" si="22"/>
        <v>3.645787195793373E-3</v>
      </c>
      <c r="S144" s="2"/>
      <c r="T144" s="2"/>
      <c r="U144" s="2"/>
      <c r="V144" s="19">
        <f t="shared" si="23"/>
        <v>0</v>
      </c>
      <c r="W144" s="2"/>
      <c r="X144" s="2">
        <f t="shared" si="24"/>
        <v>44186.57</v>
      </c>
      <c r="Y144" s="2"/>
      <c r="Z144" s="19">
        <f t="shared" si="25"/>
        <v>0</v>
      </c>
    </row>
    <row r="145" spans="1:26" s="24" customFormat="1" hidden="1" outlineLevel="1" x14ac:dyDescent="0.25">
      <c r="A145" s="44"/>
      <c r="B145" s="11" t="str">
        <f>CONCATENATE("          ", "5027", " - ", "PURCHASES @ COST-SCHOOL SUPPLI")</f>
        <v xml:space="preserve">          5027 - PURCHASES @ COST-SCHOOL SUPPLI</v>
      </c>
      <c r="C145" s="11"/>
      <c r="D145" s="2">
        <v>11947.58</v>
      </c>
      <c r="E145" s="2"/>
      <c r="F145" s="19">
        <f t="shared" si="18"/>
        <v>1.8222105997391411E-2</v>
      </c>
      <c r="G145" s="2"/>
      <c r="H145" s="2"/>
      <c r="I145" s="2"/>
      <c r="J145" s="19">
        <f t="shared" si="19"/>
        <v>0</v>
      </c>
      <c r="K145" s="2"/>
      <c r="L145" s="2">
        <f t="shared" si="20"/>
        <v>11947.58</v>
      </c>
      <c r="M145" s="2"/>
      <c r="N145" s="19">
        <f t="shared" si="21"/>
        <v>0</v>
      </c>
      <c r="O145" s="11"/>
      <c r="P145" s="2">
        <v>153162.12</v>
      </c>
      <c r="Q145" s="2"/>
      <c r="R145" s="19">
        <f t="shared" si="22"/>
        <v>1.2637244664534225E-2</v>
      </c>
      <c r="S145" s="2"/>
      <c r="T145" s="2"/>
      <c r="U145" s="2"/>
      <c r="V145" s="19">
        <f t="shared" si="23"/>
        <v>0</v>
      </c>
      <c r="W145" s="2"/>
      <c r="X145" s="2">
        <f t="shared" si="24"/>
        <v>153162.12</v>
      </c>
      <c r="Y145" s="2"/>
      <c r="Z145" s="19">
        <f t="shared" si="25"/>
        <v>0</v>
      </c>
    </row>
    <row r="146" spans="1:26" s="24" customFormat="1" hidden="1" outlineLevel="1" x14ac:dyDescent="0.25">
      <c r="A146" s="44"/>
      <c r="B146" s="11" t="str">
        <f>CONCATENATE("          ", "5028", " - ", "PURCHASES @ COST-ART/TECH")</f>
        <v xml:space="preserve">          5028 - PURCHASES @ COST-ART/TECH</v>
      </c>
      <c r="C146" s="11"/>
      <c r="D146" s="2">
        <v>-1073.3800000000001</v>
      </c>
      <c r="E146" s="2"/>
      <c r="F146" s="19">
        <f t="shared" si="18"/>
        <v>-1.6370883589379604E-3</v>
      </c>
      <c r="G146" s="2"/>
      <c r="H146" s="2"/>
      <c r="I146" s="2"/>
      <c r="J146" s="19">
        <f t="shared" si="19"/>
        <v>0</v>
      </c>
      <c r="K146" s="2"/>
      <c r="L146" s="2">
        <f t="shared" si="20"/>
        <v>-1073.3800000000001</v>
      </c>
      <c r="M146" s="2"/>
      <c r="N146" s="19">
        <f t="shared" si="21"/>
        <v>0</v>
      </c>
      <c r="O146" s="11"/>
      <c r="P146" s="2">
        <v>158554.31</v>
      </c>
      <c r="Q146" s="2"/>
      <c r="R146" s="19">
        <f t="shared" si="22"/>
        <v>1.3082148563146068E-2</v>
      </c>
      <c r="S146" s="2"/>
      <c r="T146" s="2"/>
      <c r="U146" s="2"/>
      <c r="V146" s="19">
        <f t="shared" si="23"/>
        <v>0</v>
      </c>
      <c r="W146" s="2"/>
      <c r="X146" s="2">
        <f t="shared" si="24"/>
        <v>158554.31</v>
      </c>
      <c r="Y146" s="2"/>
      <c r="Z146" s="19">
        <f t="shared" si="25"/>
        <v>0</v>
      </c>
    </row>
    <row r="147" spans="1:26" s="24" customFormat="1" hidden="1" outlineLevel="1" x14ac:dyDescent="0.25">
      <c r="A147" s="44"/>
      <c r="B147" s="11" t="str">
        <f>CONCATENATE("          ", "5031", " - ", "PURCHASES @ COST-FOOD")</f>
        <v xml:space="preserve">          5031 - PURCHASES @ COST-FOOD</v>
      </c>
      <c r="C147" s="11"/>
      <c r="D147" s="2"/>
      <c r="E147" s="2"/>
      <c r="F147" s="19">
        <f t="shared" si="18"/>
        <v>0</v>
      </c>
      <c r="G147" s="2"/>
      <c r="H147" s="2"/>
      <c r="I147" s="2"/>
      <c r="J147" s="19">
        <f t="shared" si="19"/>
        <v>0</v>
      </c>
      <c r="K147" s="2"/>
      <c r="L147" s="2">
        <f t="shared" si="20"/>
        <v>0</v>
      </c>
      <c r="M147" s="2"/>
      <c r="N147" s="19">
        <f t="shared" si="21"/>
        <v>0</v>
      </c>
      <c r="O147" s="11"/>
      <c r="P147" s="2">
        <v>33239.879999999997</v>
      </c>
      <c r="Q147" s="2"/>
      <c r="R147" s="19">
        <f t="shared" si="22"/>
        <v>2.7425873719935314E-3</v>
      </c>
      <c r="S147" s="2"/>
      <c r="T147" s="2"/>
      <c r="U147" s="2"/>
      <c r="V147" s="19">
        <f t="shared" si="23"/>
        <v>0</v>
      </c>
      <c r="W147" s="2"/>
      <c r="X147" s="2">
        <f t="shared" si="24"/>
        <v>33239.879999999997</v>
      </c>
      <c r="Y147" s="2"/>
      <c r="Z147" s="19">
        <f t="shared" si="25"/>
        <v>0</v>
      </c>
    </row>
    <row r="148" spans="1:26" s="24" customFormat="1" hidden="1" outlineLevel="1" x14ac:dyDescent="0.25">
      <c r="A148" s="44"/>
      <c r="B148" s="11" t="str">
        <f>CONCATENATE("          ", "5032", " - ", "PURCHASES @ COST-JUICE")</f>
        <v xml:space="preserve">          5032 - PURCHASES @ COST-JUICE</v>
      </c>
      <c r="C148" s="11"/>
      <c r="D148" s="2"/>
      <c r="E148" s="2"/>
      <c r="F148" s="19">
        <f t="shared" si="18"/>
        <v>0</v>
      </c>
      <c r="G148" s="2"/>
      <c r="H148" s="2"/>
      <c r="I148" s="2"/>
      <c r="J148" s="19">
        <f t="shared" si="19"/>
        <v>0</v>
      </c>
      <c r="K148" s="2"/>
      <c r="L148" s="2">
        <f t="shared" si="20"/>
        <v>0</v>
      </c>
      <c r="M148" s="2"/>
      <c r="N148" s="19">
        <f t="shared" si="21"/>
        <v>0</v>
      </c>
      <c r="O148" s="11"/>
      <c r="P148" s="2">
        <v>7802.45</v>
      </c>
      <c r="Q148" s="2"/>
      <c r="R148" s="19">
        <f t="shared" si="22"/>
        <v>6.4377190412874324E-4</v>
      </c>
      <c r="S148" s="2"/>
      <c r="T148" s="2"/>
      <c r="U148" s="2"/>
      <c r="V148" s="19">
        <f t="shared" si="23"/>
        <v>0</v>
      </c>
      <c r="W148" s="2"/>
      <c r="X148" s="2">
        <f t="shared" si="24"/>
        <v>7802.45</v>
      </c>
      <c r="Y148" s="2"/>
      <c r="Z148" s="19">
        <f t="shared" si="25"/>
        <v>0</v>
      </c>
    </row>
    <row r="149" spans="1:26" s="24" customFormat="1" hidden="1" outlineLevel="1" x14ac:dyDescent="0.25">
      <c r="A149" s="44"/>
      <c r="B149" s="11" t="str">
        <f>CONCATENATE("          ", "5033", " - ", "PURCHASES @ COST-CANDY")</f>
        <v xml:space="preserve">          5033 - PURCHASES @ COST-CANDY</v>
      </c>
      <c r="C149" s="11"/>
      <c r="D149" s="2"/>
      <c r="E149" s="2"/>
      <c r="F149" s="19">
        <f t="shared" si="18"/>
        <v>0</v>
      </c>
      <c r="G149" s="2"/>
      <c r="H149" s="2"/>
      <c r="I149" s="2"/>
      <c r="J149" s="19">
        <f t="shared" si="19"/>
        <v>0</v>
      </c>
      <c r="K149" s="2"/>
      <c r="L149" s="2">
        <f t="shared" si="20"/>
        <v>0</v>
      </c>
      <c r="M149" s="2"/>
      <c r="N149" s="19">
        <f t="shared" si="21"/>
        <v>0</v>
      </c>
      <c r="O149" s="11"/>
      <c r="P149" s="2">
        <v>9998.41</v>
      </c>
      <c r="Q149" s="2"/>
      <c r="R149" s="19">
        <f t="shared" si="22"/>
        <v>8.2495824311080079E-4</v>
      </c>
      <c r="S149" s="2"/>
      <c r="T149" s="2"/>
      <c r="U149" s="2"/>
      <c r="V149" s="19">
        <f t="shared" si="23"/>
        <v>0</v>
      </c>
      <c r="W149" s="2"/>
      <c r="X149" s="2">
        <f t="shared" si="24"/>
        <v>9998.41</v>
      </c>
      <c r="Y149" s="2"/>
      <c r="Z149" s="19">
        <f t="shared" si="25"/>
        <v>0</v>
      </c>
    </row>
    <row r="150" spans="1:26" s="24" customFormat="1" hidden="1" outlineLevel="1" x14ac:dyDescent="0.25">
      <c r="A150" s="44"/>
      <c r="B150" s="11" t="str">
        <f>CONCATENATE("          ", "5034", " - ", "PURCHASES @ COST-SODA")</f>
        <v xml:space="preserve">          5034 - PURCHASES @ COST-SODA</v>
      </c>
      <c r="C150" s="11"/>
      <c r="D150" s="2"/>
      <c r="E150" s="2"/>
      <c r="F150" s="19">
        <f t="shared" si="18"/>
        <v>0</v>
      </c>
      <c r="G150" s="2"/>
      <c r="H150" s="2"/>
      <c r="I150" s="2"/>
      <c r="J150" s="19">
        <f t="shared" si="19"/>
        <v>0</v>
      </c>
      <c r="K150" s="2"/>
      <c r="L150" s="2">
        <f t="shared" si="20"/>
        <v>0</v>
      </c>
      <c r="M150" s="2"/>
      <c r="N150" s="19">
        <f t="shared" si="21"/>
        <v>0</v>
      </c>
      <c r="O150" s="11"/>
      <c r="P150" s="2">
        <v>4033.88</v>
      </c>
      <c r="Q150" s="2"/>
      <c r="R150" s="19">
        <f t="shared" si="22"/>
        <v>3.3283117592895246E-4</v>
      </c>
      <c r="S150" s="2"/>
      <c r="T150" s="2"/>
      <c r="U150" s="2"/>
      <c r="V150" s="19">
        <f t="shared" si="23"/>
        <v>0</v>
      </c>
      <c r="W150" s="2"/>
      <c r="X150" s="2">
        <f t="shared" si="24"/>
        <v>4033.88</v>
      </c>
      <c r="Y150" s="2"/>
      <c r="Z150" s="19">
        <f t="shared" si="25"/>
        <v>0</v>
      </c>
    </row>
    <row r="151" spans="1:26" s="24" customFormat="1" hidden="1" outlineLevel="1" x14ac:dyDescent="0.25">
      <c r="A151" s="44"/>
      <c r="B151" s="11" t="str">
        <f>CONCATENATE("          ", "5035", " - ", "PURCHASES @ COST-HEALTH &amp; BEAU")</f>
        <v xml:space="preserve">          5035 - PURCHASES @ COST-HEALTH &amp; BEAU</v>
      </c>
      <c r="C151" s="11"/>
      <c r="D151" s="2"/>
      <c r="E151" s="2"/>
      <c r="F151" s="19">
        <f t="shared" si="18"/>
        <v>0</v>
      </c>
      <c r="G151" s="2"/>
      <c r="H151" s="2"/>
      <c r="I151" s="2"/>
      <c r="J151" s="19">
        <f t="shared" si="19"/>
        <v>0</v>
      </c>
      <c r="K151" s="2"/>
      <c r="L151" s="2">
        <f t="shared" si="20"/>
        <v>0</v>
      </c>
      <c r="M151" s="2"/>
      <c r="N151" s="19">
        <f t="shared" si="21"/>
        <v>0</v>
      </c>
      <c r="O151" s="11"/>
      <c r="P151" s="2">
        <v>1117.6500000000001</v>
      </c>
      <c r="Q151" s="2"/>
      <c r="R151" s="19">
        <f t="shared" si="22"/>
        <v>9.2216120404422963E-5</v>
      </c>
      <c r="S151" s="2"/>
      <c r="T151" s="2"/>
      <c r="U151" s="2"/>
      <c r="V151" s="19">
        <f t="shared" si="23"/>
        <v>0</v>
      </c>
      <c r="W151" s="2"/>
      <c r="X151" s="2">
        <f t="shared" si="24"/>
        <v>1117.6500000000001</v>
      </c>
      <c r="Y151" s="2"/>
      <c r="Z151" s="19">
        <f t="shared" si="25"/>
        <v>0</v>
      </c>
    </row>
    <row r="152" spans="1:26" s="24" customFormat="1" hidden="1" outlineLevel="1" x14ac:dyDescent="0.25">
      <c r="A152" s="44"/>
      <c r="B152" s="11" t="str">
        <f>CONCATENATE("          ", "5037", " - ", "PURCHASES @ COST-WATER")</f>
        <v xml:space="preserve">          5037 - PURCHASES @ COST-WATER</v>
      </c>
      <c r="C152" s="11"/>
      <c r="D152" s="2"/>
      <c r="E152" s="2"/>
      <c r="F152" s="19">
        <f t="shared" si="18"/>
        <v>0</v>
      </c>
      <c r="G152" s="2"/>
      <c r="H152" s="2"/>
      <c r="I152" s="2"/>
      <c r="J152" s="19">
        <f t="shared" si="19"/>
        <v>0</v>
      </c>
      <c r="K152" s="2"/>
      <c r="L152" s="2">
        <f t="shared" si="20"/>
        <v>0</v>
      </c>
      <c r="M152" s="2"/>
      <c r="N152" s="19">
        <f t="shared" si="21"/>
        <v>0</v>
      </c>
      <c r="O152" s="11"/>
      <c r="P152" s="2">
        <v>5693.57</v>
      </c>
      <c r="Q152" s="2"/>
      <c r="R152" s="19">
        <f t="shared" si="22"/>
        <v>4.6977044392342005E-4</v>
      </c>
      <c r="S152" s="2"/>
      <c r="T152" s="2"/>
      <c r="U152" s="2"/>
      <c r="V152" s="19">
        <f t="shared" si="23"/>
        <v>0</v>
      </c>
      <c r="W152" s="2"/>
      <c r="X152" s="2">
        <f t="shared" si="24"/>
        <v>5693.57</v>
      </c>
      <c r="Y152" s="2"/>
      <c r="Z152" s="19">
        <f t="shared" si="25"/>
        <v>0</v>
      </c>
    </row>
    <row r="153" spans="1:26" s="24" customFormat="1" hidden="1" outlineLevel="1" x14ac:dyDescent="0.25">
      <c r="A153" s="44"/>
      <c r="B153" s="11" t="str">
        <f>CONCATENATE("          ", "5040", " - ", "PURCHASES @ COST-LOGO CLOTHING")</f>
        <v xml:space="preserve">          5040 - PURCHASES @ COST-LOGO CLOTHING</v>
      </c>
      <c r="C153" s="11"/>
      <c r="D153" s="2">
        <v>6472.18</v>
      </c>
      <c r="E153" s="2"/>
      <c r="F153" s="19">
        <f t="shared" si="18"/>
        <v>9.8711831177691854E-3</v>
      </c>
      <c r="G153" s="2"/>
      <c r="H153" s="2"/>
      <c r="I153" s="2"/>
      <c r="J153" s="19">
        <f t="shared" si="19"/>
        <v>0</v>
      </c>
      <c r="K153" s="2"/>
      <c r="L153" s="2">
        <f t="shared" si="20"/>
        <v>6472.18</v>
      </c>
      <c r="M153" s="2"/>
      <c r="N153" s="19">
        <f t="shared" si="21"/>
        <v>0</v>
      </c>
      <c r="O153" s="11"/>
      <c r="P153" s="2">
        <v>982941.51</v>
      </c>
      <c r="Q153" s="2"/>
      <c r="R153" s="19">
        <f t="shared" si="22"/>
        <v>8.1101465250002516E-2</v>
      </c>
      <c r="S153" s="2"/>
      <c r="T153" s="2"/>
      <c r="U153" s="2"/>
      <c r="V153" s="19">
        <f t="shared" si="23"/>
        <v>0</v>
      </c>
      <c r="W153" s="2"/>
      <c r="X153" s="2">
        <f t="shared" si="24"/>
        <v>982941.51</v>
      </c>
      <c r="Y153" s="2"/>
      <c r="Z153" s="19">
        <f t="shared" si="25"/>
        <v>0</v>
      </c>
    </row>
    <row r="154" spans="1:26" s="24" customFormat="1" hidden="1" outlineLevel="1" x14ac:dyDescent="0.25">
      <c r="A154" s="44"/>
      <c r="B154" s="11" t="str">
        <f>CONCATENATE("          ", "5041", " - ", "PURCHASES @ COST-LOGO GIFTS")</f>
        <v xml:space="preserve">          5041 - PURCHASES @ COST-LOGO GIFTS</v>
      </c>
      <c r="C154" s="11"/>
      <c r="D154" s="2">
        <v>13093.79</v>
      </c>
      <c r="E154" s="2"/>
      <c r="F154" s="19">
        <f t="shared" si="18"/>
        <v>1.9970272581358209E-2</v>
      </c>
      <c r="G154" s="2"/>
      <c r="H154" s="2"/>
      <c r="I154" s="2"/>
      <c r="J154" s="19">
        <f t="shared" si="19"/>
        <v>0</v>
      </c>
      <c r="K154" s="2"/>
      <c r="L154" s="2">
        <f t="shared" si="20"/>
        <v>13093.79</v>
      </c>
      <c r="M154" s="2"/>
      <c r="N154" s="19">
        <f t="shared" si="21"/>
        <v>0</v>
      </c>
      <c r="O154" s="11"/>
      <c r="P154" s="2">
        <v>162844.62999999998</v>
      </c>
      <c r="Q154" s="2"/>
      <c r="R154" s="19">
        <f t="shared" si="22"/>
        <v>1.3436138332477704E-2</v>
      </c>
      <c r="S154" s="2"/>
      <c r="T154" s="2"/>
      <c r="U154" s="2"/>
      <c r="V154" s="19">
        <f t="shared" si="23"/>
        <v>0</v>
      </c>
      <c r="W154" s="2"/>
      <c r="X154" s="2">
        <f t="shared" si="24"/>
        <v>162844.62999999998</v>
      </c>
      <c r="Y154" s="2"/>
      <c r="Z154" s="19">
        <f t="shared" si="25"/>
        <v>0</v>
      </c>
    </row>
    <row r="155" spans="1:26" s="24" customFormat="1" hidden="1" outlineLevel="1" x14ac:dyDescent="0.25">
      <c r="A155" s="44"/>
      <c r="B155" s="11" t="str">
        <f>CONCATENATE("          ", "5042", " - ", "PURCHASES @ COST-EVERYDAY GIFT")</f>
        <v xml:space="preserve">          5042 - PURCHASES @ COST-EVERYDAY GIFT</v>
      </c>
      <c r="C155" s="11"/>
      <c r="D155" s="2">
        <v>-836.65</v>
      </c>
      <c r="E155" s="2"/>
      <c r="F155" s="19">
        <f t="shared" si="18"/>
        <v>-1.2760345595273291E-3</v>
      </c>
      <c r="G155" s="2"/>
      <c r="H155" s="2"/>
      <c r="I155" s="2"/>
      <c r="J155" s="19">
        <f t="shared" si="19"/>
        <v>0</v>
      </c>
      <c r="K155" s="2"/>
      <c r="L155" s="2">
        <f t="shared" si="20"/>
        <v>-836.65</v>
      </c>
      <c r="M155" s="2"/>
      <c r="N155" s="19">
        <f t="shared" si="21"/>
        <v>0</v>
      </c>
      <c r="O155" s="11"/>
      <c r="P155" s="2">
        <v>125778.54999999999</v>
      </c>
      <c r="Q155" s="2"/>
      <c r="R155" s="19">
        <f t="shared" si="22"/>
        <v>1.037785524188586E-2</v>
      </c>
      <c r="S155" s="2"/>
      <c r="T155" s="2"/>
      <c r="U155" s="2"/>
      <c r="V155" s="19">
        <f t="shared" si="23"/>
        <v>0</v>
      </c>
      <c r="W155" s="2"/>
      <c r="X155" s="2">
        <f t="shared" si="24"/>
        <v>125778.54999999999</v>
      </c>
      <c r="Y155" s="2"/>
      <c r="Z155" s="19">
        <f t="shared" si="25"/>
        <v>0</v>
      </c>
    </row>
    <row r="156" spans="1:26" s="24" customFormat="1" hidden="1" outlineLevel="1" x14ac:dyDescent="0.25">
      <c r="A156" s="44"/>
      <c r="B156" s="11" t="str">
        <f>CONCATENATE("          ", "5043", " - ", "PURCHASES @ COST-CARDS")</f>
        <v xml:space="preserve">          5043 - PURCHASES @ COST-CARDS</v>
      </c>
      <c r="C156" s="11"/>
      <c r="D156" s="2">
        <v>0</v>
      </c>
      <c r="E156" s="2"/>
      <c r="F156" s="19">
        <f t="shared" si="18"/>
        <v>0</v>
      </c>
      <c r="G156" s="2"/>
      <c r="H156" s="2"/>
      <c r="I156" s="2"/>
      <c r="J156" s="19">
        <f t="shared" si="19"/>
        <v>0</v>
      </c>
      <c r="K156" s="2"/>
      <c r="L156" s="2">
        <f t="shared" si="20"/>
        <v>0</v>
      </c>
      <c r="M156" s="2"/>
      <c r="N156" s="19">
        <f t="shared" si="21"/>
        <v>0</v>
      </c>
      <c r="O156" s="11"/>
      <c r="P156" s="2">
        <v>30914.659999999996</v>
      </c>
      <c r="Q156" s="2"/>
      <c r="R156" s="19">
        <f t="shared" si="22"/>
        <v>2.5507359270091692E-3</v>
      </c>
      <c r="S156" s="2"/>
      <c r="T156" s="2"/>
      <c r="U156" s="2"/>
      <c r="V156" s="19">
        <f t="shared" si="23"/>
        <v>0</v>
      </c>
      <c r="W156" s="2"/>
      <c r="X156" s="2">
        <f t="shared" si="24"/>
        <v>30914.659999999996</v>
      </c>
      <c r="Y156" s="2"/>
      <c r="Z156" s="19">
        <f t="shared" si="25"/>
        <v>0</v>
      </c>
    </row>
    <row r="157" spans="1:26" s="24" customFormat="1" hidden="1" outlineLevel="1" x14ac:dyDescent="0.25">
      <c r="A157" s="44"/>
      <c r="B157" s="11" t="str">
        <f>CONCATENATE("          ", "5044", " - ", "PURCHASES @ COST-ACCESSORIES")</f>
        <v xml:space="preserve">          5044 - PURCHASES @ COST-ACCESSORIES</v>
      </c>
      <c r="C157" s="11"/>
      <c r="D157" s="2">
        <v>0</v>
      </c>
      <c r="E157" s="2"/>
      <c r="F157" s="19">
        <f t="shared" si="18"/>
        <v>0</v>
      </c>
      <c r="G157" s="2"/>
      <c r="H157" s="2"/>
      <c r="I157" s="2"/>
      <c r="J157" s="19">
        <f t="shared" si="19"/>
        <v>0</v>
      </c>
      <c r="K157" s="2"/>
      <c r="L157" s="2">
        <f t="shared" si="20"/>
        <v>0</v>
      </c>
      <c r="M157" s="2"/>
      <c r="N157" s="19">
        <f t="shared" si="21"/>
        <v>0</v>
      </c>
      <c r="O157" s="11"/>
      <c r="P157" s="2">
        <v>37869.03</v>
      </c>
      <c r="Q157" s="2"/>
      <c r="R157" s="19">
        <f t="shared" si="22"/>
        <v>3.1245336465608241E-3</v>
      </c>
      <c r="S157" s="2"/>
      <c r="T157" s="2"/>
      <c r="U157" s="2"/>
      <c r="V157" s="19">
        <f t="shared" si="23"/>
        <v>0</v>
      </c>
      <c r="W157" s="2"/>
      <c r="X157" s="2">
        <f t="shared" si="24"/>
        <v>37869.03</v>
      </c>
      <c r="Y157" s="2"/>
      <c r="Z157" s="19">
        <f t="shared" si="25"/>
        <v>0</v>
      </c>
    </row>
    <row r="158" spans="1:26" s="24" customFormat="1" hidden="1" outlineLevel="1" x14ac:dyDescent="0.25">
      <c r="A158" s="44"/>
      <c r="B158" s="11" t="str">
        <f>CONCATENATE("          ", "5045", " - ", "PURCHASES @ COST-SPECIAL ORDER")</f>
        <v xml:space="preserve">          5045 - PURCHASES @ COST-SPECIAL ORDER</v>
      </c>
      <c r="C158" s="11"/>
      <c r="D158" s="2">
        <v>52772.409999999996</v>
      </c>
      <c r="E158" s="2"/>
      <c r="F158" s="19">
        <f t="shared" si="18"/>
        <v>8.0486964620266069E-2</v>
      </c>
      <c r="G158" s="2"/>
      <c r="H158" s="2"/>
      <c r="I158" s="2"/>
      <c r="J158" s="19">
        <f t="shared" si="19"/>
        <v>0</v>
      </c>
      <c r="K158" s="2"/>
      <c r="L158" s="2">
        <f t="shared" si="20"/>
        <v>52772.409999999996</v>
      </c>
      <c r="M158" s="2"/>
      <c r="N158" s="19">
        <f t="shared" si="21"/>
        <v>0</v>
      </c>
      <c r="O158" s="11"/>
      <c r="P158" s="2">
        <v>131614.81</v>
      </c>
      <c r="Q158" s="2"/>
      <c r="R158" s="19">
        <f t="shared" si="22"/>
        <v>1.0859398886919206E-2</v>
      </c>
      <c r="S158" s="2"/>
      <c r="T158" s="2"/>
      <c r="U158" s="2"/>
      <c r="V158" s="19">
        <f t="shared" si="23"/>
        <v>0</v>
      </c>
      <c r="W158" s="2"/>
      <c r="X158" s="2">
        <f t="shared" si="24"/>
        <v>131614.81</v>
      </c>
      <c r="Y158" s="2"/>
      <c r="Z158" s="19">
        <f t="shared" si="25"/>
        <v>0</v>
      </c>
    </row>
    <row r="159" spans="1:26" s="24" customFormat="1" hidden="1" outlineLevel="1" x14ac:dyDescent="0.25">
      <c r="A159" s="44"/>
      <c r="B159" s="11" t="str">
        <f>CONCATENATE("          ", "5081", " - ", "PURCHASES @ COST-ELECTRONICS")</f>
        <v xml:space="preserve">          5081 - PURCHASES @ COST-ELECTRONICS</v>
      </c>
      <c r="C159" s="11"/>
      <c r="D159" s="2">
        <v>-173.28</v>
      </c>
      <c r="E159" s="2"/>
      <c r="F159" s="19">
        <f t="shared" si="18"/>
        <v>-2.6428168107917954E-4</v>
      </c>
      <c r="G159" s="2"/>
      <c r="H159" s="2"/>
      <c r="I159" s="2"/>
      <c r="J159" s="19">
        <f t="shared" si="19"/>
        <v>0</v>
      </c>
      <c r="K159" s="2"/>
      <c r="L159" s="2">
        <f t="shared" si="20"/>
        <v>-173.28</v>
      </c>
      <c r="M159" s="2"/>
      <c r="N159" s="19">
        <f t="shared" si="21"/>
        <v>0</v>
      </c>
      <c r="O159" s="11"/>
      <c r="P159" s="2">
        <v>260296.33</v>
      </c>
      <c r="Q159" s="2"/>
      <c r="R159" s="19">
        <f t="shared" si="22"/>
        <v>2.1476775115742325E-2</v>
      </c>
      <c r="S159" s="2"/>
      <c r="T159" s="2"/>
      <c r="U159" s="2"/>
      <c r="V159" s="19">
        <f t="shared" si="23"/>
        <v>0</v>
      </c>
      <c r="W159" s="2"/>
      <c r="X159" s="2">
        <f t="shared" si="24"/>
        <v>260296.33</v>
      </c>
      <c r="Y159" s="2"/>
      <c r="Z159" s="19">
        <f t="shared" si="25"/>
        <v>0</v>
      </c>
    </row>
    <row r="160" spans="1:26" s="24" customFormat="1" hidden="1" outlineLevel="1" x14ac:dyDescent="0.25">
      <c r="A160" s="44"/>
      <c r="B160" s="11" t="str">
        <f>CONCATENATE("          ", "5082", " - ", "PURCHASES @ COST-COMPUTER HARD")</f>
        <v xml:space="preserve">          5082 - PURCHASES @ COST-COMPUTER HARD</v>
      </c>
      <c r="C160" s="11"/>
      <c r="D160" s="2">
        <v>190200.93</v>
      </c>
      <c r="E160" s="2"/>
      <c r="F160" s="19">
        <f t="shared" si="18"/>
        <v>0.29008899771019941</v>
      </c>
      <c r="G160" s="2"/>
      <c r="H160" s="2"/>
      <c r="I160" s="2"/>
      <c r="J160" s="19">
        <f t="shared" si="19"/>
        <v>0</v>
      </c>
      <c r="K160" s="2"/>
      <c r="L160" s="2">
        <f t="shared" si="20"/>
        <v>190200.93</v>
      </c>
      <c r="M160" s="2"/>
      <c r="N160" s="19">
        <f t="shared" si="21"/>
        <v>0</v>
      </c>
      <c r="O160" s="11"/>
      <c r="P160" s="2">
        <v>1831850.8299999998</v>
      </c>
      <c r="Q160" s="2"/>
      <c r="R160" s="19">
        <f t="shared" si="22"/>
        <v>0.15114407614389308</v>
      </c>
      <c r="S160" s="2"/>
      <c r="T160" s="2"/>
      <c r="U160" s="2"/>
      <c r="V160" s="19">
        <f t="shared" si="23"/>
        <v>0</v>
      </c>
      <c r="W160" s="2"/>
      <c r="X160" s="2">
        <f t="shared" si="24"/>
        <v>1831850.8299999998</v>
      </c>
      <c r="Y160" s="2"/>
      <c r="Z160" s="19">
        <f t="shared" si="25"/>
        <v>0</v>
      </c>
    </row>
    <row r="161" spans="1:26" s="24" customFormat="1" hidden="1" outlineLevel="1" x14ac:dyDescent="0.25">
      <c r="A161" s="44"/>
      <c r="B161" s="11" t="str">
        <f>CONCATENATE("          ", "5083", " - ", "PURCHASES @ COST-COMPUTER EQUI")</f>
        <v xml:space="preserve">          5083 - PURCHASES @ COST-COMPUTER EQUI</v>
      </c>
      <c r="C161" s="11"/>
      <c r="D161" s="2">
        <v>12873.49</v>
      </c>
      <c r="E161" s="2"/>
      <c r="F161" s="19">
        <f t="shared" si="18"/>
        <v>1.9634277346237346E-2</v>
      </c>
      <c r="G161" s="2"/>
      <c r="H161" s="2"/>
      <c r="I161" s="2"/>
      <c r="J161" s="19">
        <f t="shared" si="19"/>
        <v>0</v>
      </c>
      <c r="K161" s="2"/>
      <c r="L161" s="2">
        <f t="shared" si="20"/>
        <v>12873.49</v>
      </c>
      <c r="M161" s="2"/>
      <c r="N161" s="19">
        <f t="shared" si="21"/>
        <v>0</v>
      </c>
      <c r="O161" s="11"/>
      <c r="P161" s="2">
        <v>107819.31</v>
      </c>
      <c r="Q161" s="2"/>
      <c r="R161" s="19">
        <f t="shared" si="22"/>
        <v>8.896057328217067E-3</v>
      </c>
      <c r="S161" s="2"/>
      <c r="T161" s="2"/>
      <c r="U161" s="2"/>
      <c r="V161" s="19">
        <f t="shared" si="23"/>
        <v>0</v>
      </c>
      <c r="W161" s="2"/>
      <c r="X161" s="2">
        <f t="shared" si="24"/>
        <v>107819.31</v>
      </c>
      <c r="Y161" s="2"/>
      <c r="Z161" s="19">
        <f t="shared" si="25"/>
        <v>0</v>
      </c>
    </row>
    <row r="162" spans="1:26" s="24" customFormat="1" hidden="1" outlineLevel="1" x14ac:dyDescent="0.25">
      <c r="A162" s="44"/>
      <c r="B162" s="11" t="str">
        <f>CONCATENATE("          ", "5084", " - ", "PURCHASES @ COST-SOFTWARE LICE")</f>
        <v xml:space="preserve">          5084 - PURCHASES @ COST-SOFTWARE LICE</v>
      </c>
      <c r="C162" s="11"/>
      <c r="D162" s="2"/>
      <c r="E162" s="2"/>
      <c r="F162" s="19">
        <f t="shared" si="18"/>
        <v>0</v>
      </c>
      <c r="G162" s="2"/>
      <c r="H162" s="2"/>
      <c r="I162" s="2"/>
      <c r="J162" s="19">
        <f t="shared" si="19"/>
        <v>0</v>
      </c>
      <c r="K162" s="2"/>
      <c r="L162" s="2">
        <f t="shared" si="20"/>
        <v>0</v>
      </c>
      <c r="M162" s="2"/>
      <c r="N162" s="19">
        <f t="shared" si="21"/>
        <v>0</v>
      </c>
      <c r="O162" s="11"/>
      <c r="P162" s="2">
        <v>2728</v>
      </c>
      <c r="Q162" s="2"/>
      <c r="R162" s="19">
        <f t="shared" si="22"/>
        <v>2.2508439713977169E-4</v>
      </c>
      <c r="S162" s="2"/>
      <c r="T162" s="2"/>
      <c r="U162" s="2"/>
      <c r="V162" s="19">
        <f t="shared" si="23"/>
        <v>0</v>
      </c>
      <c r="W162" s="2"/>
      <c r="X162" s="2">
        <f t="shared" si="24"/>
        <v>2728</v>
      </c>
      <c r="Y162" s="2"/>
      <c r="Z162" s="19">
        <f t="shared" si="25"/>
        <v>0</v>
      </c>
    </row>
    <row r="163" spans="1:26" s="24" customFormat="1" hidden="1" outlineLevel="1" x14ac:dyDescent="0.25">
      <c r="A163" s="44"/>
      <c r="B163" s="11" t="str">
        <f>CONCATENATE("          ", "5085", " - ", "PURCHASES @ COST-SOFTWARE")</f>
        <v xml:space="preserve">          5085 - PURCHASES @ COST-SOFTWARE</v>
      </c>
      <c r="C163" s="11"/>
      <c r="D163" s="2">
        <v>1996.51</v>
      </c>
      <c r="E163" s="2"/>
      <c r="F163" s="19">
        <f t="shared" si="18"/>
        <v>3.0450197315985269E-3</v>
      </c>
      <c r="G163" s="2"/>
      <c r="H163" s="2"/>
      <c r="I163" s="2"/>
      <c r="J163" s="19">
        <f t="shared" si="19"/>
        <v>0</v>
      </c>
      <c r="K163" s="2"/>
      <c r="L163" s="2">
        <f t="shared" si="20"/>
        <v>1996.51</v>
      </c>
      <c r="M163" s="2"/>
      <c r="N163" s="19">
        <f t="shared" si="21"/>
        <v>0</v>
      </c>
      <c r="O163" s="11"/>
      <c r="P163" s="2">
        <v>17324.649999999998</v>
      </c>
      <c r="Q163" s="2"/>
      <c r="R163" s="19">
        <f t="shared" si="22"/>
        <v>1.4294385633825313E-3</v>
      </c>
      <c r="S163" s="2"/>
      <c r="T163" s="2"/>
      <c r="U163" s="2"/>
      <c r="V163" s="19">
        <f t="shared" si="23"/>
        <v>0</v>
      </c>
      <c r="W163" s="2"/>
      <c r="X163" s="2">
        <f t="shared" si="24"/>
        <v>17324.649999999998</v>
      </c>
      <c r="Y163" s="2"/>
      <c r="Z163" s="19">
        <f t="shared" si="25"/>
        <v>0</v>
      </c>
    </row>
    <row r="164" spans="1:26" s="24" customFormat="1" hidden="1" outlineLevel="1" x14ac:dyDescent="0.25">
      <c r="A164" s="44"/>
      <c r="B164" s="11" t="str">
        <f>CONCATENATE("          ", "5086", " - ", "PURCHASES @ COST-COMPUTER SUPP")</f>
        <v xml:space="preserve">          5086 - PURCHASES @ COST-COMPUTER SUPP</v>
      </c>
      <c r="C164" s="11"/>
      <c r="D164" s="2">
        <v>127.27</v>
      </c>
      <c r="E164" s="2"/>
      <c r="F164" s="19">
        <f t="shared" si="18"/>
        <v>1.9410855004009221E-4</v>
      </c>
      <c r="G164" s="2"/>
      <c r="H164" s="2"/>
      <c r="I164" s="2"/>
      <c r="J164" s="19">
        <f t="shared" si="19"/>
        <v>0</v>
      </c>
      <c r="K164" s="2"/>
      <c r="L164" s="2">
        <f t="shared" si="20"/>
        <v>127.27</v>
      </c>
      <c r="M164" s="2"/>
      <c r="N164" s="19">
        <f t="shared" si="21"/>
        <v>0</v>
      </c>
      <c r="O164" s="11"/>
      <c r="P164" s="2">
        <v>30436.540000000005</v>
      </c>
      <c r="Q164" s="2"/>
      <c r="R164" s="19">
        <f t="shared" si="22"/>
        <v>2.5112867510705818E-3</v>
      </c>
      <c r="S164" s="2"/>
      <c r="T164" s="2"/>
      <c r="U164" s="2"/>
      <c r="V164" s="19">
        <f t="shared" si="23"/>
        <v>0</v>
      </c>
      <c r="W164" s="2"/>
      <c r="X164" s="2">
        <f t="shared" si="24"/>
        <v>30436.540000000005</v>
      </c>
      <c r="Y164" s="2"/>
      <c r="Z164" s="19">
        <f t="shared" si="25"/>
        <v>0</v>
      </c>
    </row>
    <row r="165" spans="1:26" s="24" customFormat="1" hidden="1" outlineLevel="1" x14ac:dyDescent="0.25">
      <c r="A165" s="44"/>
      <c r="B165" s="11" t="str">
        <f>CONCATENATE("          ", "5088", " - ", "PURCHASES @ COST-MUSIC")</f>
        <v xml:space="preserve">          5088 - PURCHASES @ COST-MUSIC</v>
      </c>
      <c r="C165" s="11"/>
      <c r="D165" s="2"/>
      <c r="E165" s="2"/>
      <c r="F165" s="19">
        <f t="shared" si="18"/>
        <v>0</v>
      </c>
      <c r="G165" s="2"/>
      <c r="H165" s="2"/>
      <c r="I165" s="2"/>
      <c r="J165" s="19">
        <f t="shared" si="19"/>
        <v>0</v>
      </c>
      <c r="K165" s="2"/>
      <c r="L165" s="2">
        <f t="shared" si="20"/>
        <v>0</v>
      </c>
      <c r="M165" s="2"/>
      <c r="N165" s="19">
        <f t="shared" si="21"/>
        <v>0</v>
      </c>
      <c r="O165" s="11"/>
      <c r="P165" s="2">
        <v>95.65</v>
      </c>
      <c r="Q165" s="2"/>
      <c r="R165" s="19">
        <f t="shared" si="22"/>
        <v>7.8919804202416294E-6</v>
      </c>
      <c r="S165" s="2"/>
      <c r="T165" s="2"/>
      <c r="U165" s="2"/>
      <c r="V165" s="19">
        <f t="shared" si="23"/>
        <v>0</v>
      </c>
      <c r="W165" s="2"/>
      <c r="X165" s="2">
        <f t="shared" si="24"/>
        <v>95.65</v>
      </c>
      <c r="Y165" s="2"/>
      <c r="Z165" s="19">
        <f t="shared" si="25"/>
        <v>0</v>
      </c>
    </row>
    <row r="166" spans="1:26" s="24" customFormat="1" hidden="1" outlineLevel="1" x14ac:dyDescent="0.25">
      <c r="A166" s="44"/>
      <c r="B166" s="11" t="str">
        <f>CONCATENATE("          ", "5092", " - ", "PURCHASES @ COST-GRAD MERCH")</f>
        <v xml:space="preserve">          5092 - PURCHASES @ COST-GRAD MERCH</v>
      </c>
      <c r="C166" s="11"/>
      <c r="D166" s="2">
        <v>9354.1</v>
      </c>
      <c r="E166" s="2"/>
      <c r="F166" s="19">
        <f t="shared" si="18"/>
        <v>1.4266604760980803E-2</v>
      </c>
      <c r="G166" s="2"/>
      <c r="H166" s="2"/>
      <c r="I166" s="2"/>
      <c r="J166" s="19">
        <f t="shared" si="19"/>
        <v>0</v>
      </c>
      <c r="K166" s="2"/>
      <c r="L166" s="2">
        <f t="shared" si="20"/>
        <v>9354.1</v>
      </c>
      <c r="M166" s="2"/>
      <c r="N166" s="19">
        <f t="shared" si="21"/>
        <v>0</v>
      </c>
      <c r="O166" s="11"/>
      <c r="P166" s="2">
        <v>13839.98</v>
      </c>
      <c r="Q166" s="2"/>
      <c r="R166" s="19">
        <f t="shared" si="22"/>
        <v>1.1419221241666046E-3</v>
      </c>
      <c r="S166" s="2"/>
      <c r="T166" s="2"/>
      <c r="U166" s="2"/>
      <c r="V166" s="19">
        <f t="shared" si="23"/>
        <v>0</v>
      </c>
      <c r="W166" s="2"/>
      <c r="X166" s="2">
        <f t="shared" si="24"/>
        <v>13839.98</v>
      </c>
      <c r="Y166" s="2"/>
      <c r="Z166" s="19">
        <f t="shared" si="25"/>
        <v>0</v>
      </c>
    </row>
    <row r="167" spans="1:26" s="24" customFormat="1" hidden="1" outlineLevel="1" x14ac:dyDescent="0.25">
      <c r="A167" s="44"/>
      <c r="B167" s="11" t="str">
        <f>CONCATENATE("          ", "5095", " - ", "PURCHASES @ COST-CUSTOMER SERV")</f>
        <v xml:space="preserve">          5095 - PURCHASES @ COST-CUSTOMER SERV</v>
      </c>
      <c r="C167" s="11"/>
      <c r="D167" s="2">
        <v>0</v>
      </c>
      <c r="E167" s="2"/>
      <c r="F167" s="19">
        <f t="shared" si="18"/>
        <v>0</v>
      </c>
      <c r="G167" s="2"/>
      <c r="H167" s="2"/>
      <c r="I167" s="2"/>
      <c r="J167" s="19">
        <f t="shared" si="19"/>
        <v>0</v>
      </c>
      <c r="K167" s="2"/>
      <c r="L167" s="2">
        <f t="shared" si="20"/>
        <v>0</v>
      </c>
      <c r="M167" s="2"/>
      <c r="N167" s="19">
        <f t="shared" si="21"/>
        <v>0</v>
      </c>
      <c r="O167" s="11"/>
      <c r="P167" s="2">
        <v>0</v>
      </c>
      <c r="Q167" s="2"/>
      <c r="R167" s="19">
        <f t="shared" si="22"/>
        <v>0</v>
      </c>
      <c r="S167" s="2"/>
      <c r="T167" s="2"/>
      <c r="U167" s="2"/>
      <c r="V167" s="19">
        <f t="shared" si="23"/>
        <v>0</v>
      </c>
      <c r="W167" s="2"/>
      <c r="X167" s="2">
        <f t="shared" si="24"/>
        <v>0</v>
      </c>
      <c r="Y167" s="2"/>
      <c r="Z167" s="19">
        <f t="shared" si="25"/>
        <v>0</v>
      </c>
    </row>
    <row r="168" spans="1:26" s="24" customFormat="1" hidden="1" outlineLevel="1" x14ac:dyDescent="0.25">
      <c r="A168" s="44"/>
      <c r="B168" s="11" t="str">
        <f>CONCATENATE("          ", "5200", " - ", "PURCHASES OFFSET")</f>
        <v xml:space="preserve">          5200 - PURCHASES OFFSET</v>
      </c>
      <c r="C168" s="11"/>
      <c r="D168" s="2">
        <v>-508944</v>
      </c>
      <c r="E168" s="2"/>
      <c r="F168" s="19">
        <f t="shared" si="18"/>
        <v>-0.77622677686496977</v>
      </c>
      <c r="G168" s="2"/>
      <c r="H168" s="2"/>
      <c r="I168" s="2"/>
      <c r="J168" s="19">
        <f t="shared" si="19"/>
        <v>0</v>
      </c>
      <c r="K168" s="2"/>
      <c r="L168" s="2">
        <f t="shared" si="20"/>
        <v>-508944</v>
      </c>
      <c r="M168" s="2"/>
      <c r="N168" s="19">
        <f t="shared" si="21"/>
        <v>0</v>
      </c>
      <c r="O168" s="11"/>
      <c r="P168" s="2">
        <v>-6025314</v>
      </c>
      <c r="Q168" s="2"/>
      <c r="R168" s="19">
        <f t="shared" si="22"/>
        <v>-0.49714229078732636</v>
      </c>
      <c r="S168" s="2"/>
      <c r="T168" s="2"/>
      <c r="U168" s="2"/>
      <c r="V168" s="19">
        <f t="shared" si="23"/>
        <v>0</v>
      </c>
      <c r="W168" s="2"/>
      <c r="X168" s="2">
        <f t="shared" si="24"/>
        <v>-6025314</v>
      </c>
      <c r="Y168" s="2"/>
      <c r="Z168" s="19">
        <f t="shared" si="25"/>
        <v>0</v>
      </c>
    </row>
    <row r="169" spans="1:26" s="24" customFormat="1" hidden="1" outlineLevel="1" x14ac:dyDescent="0.25">
      <c r="A169" s="44"/>
      <c r="B169" s="11" t="str">
        <f>CONCATENATE("          ", "5300", " - ", "COG$ OFFSET")</f>
        <v xml:space="preserve">          5300 - COG$ OFFSET</v>
      </c>
      <c r="C169" s="11"/>
      <c r="D169" s="2">
        <v>626650.53</v>
      </c>
      <c r="E169" s="2"/>
      <c r="F169" s="19">
        <f t="shared" si="18"/>
        <v>0.9557493970311568</v>
      </c>
      <c r="G169" s="2"/>
      <c r="H169" s="2"/>
      <c r="I169" s="2"/>
      <c r="J169" s="19">
        <f t="shared" si="19"/>
        <v>0</v>
      </c>
      <c r="K169" s="2"/>
      <c r="L169" s="2">
        <f t="shared" si="20"/>
        <v>626650.53</v>
      </c>
      <c r="M169" s="2"/>
      <c r="N169" s="19">
        <f t="shared" si="21"/>
        <v>0</v>
      </c>
      <c r="O169" s="11"/>
      <c r="P169" s="2">
        <v>6784339</v>
      </c>
      <c r="Q169" s="2"/>
      <c r="R169" s="19">
        <f t="shared" si="22"/>
        <v>0.55976864142479532</v>
      </c>
      <c r="S169" s="2"/>
      <c r="T169" s="2"/>
      <c r="U169" s="2"/>
      <c r="V169" s="19">
        <f t="shared" si="23"/>
        <v>0</v>
      </c>
      <c r="W169" s="2"/>
      <c r="X169" s="2">
        <f t="shared" si="24"/>
        <v>6784339</v>
      </c>
      <c r="Y169" s="2"/>
      <c r="Z169" s="19">
        <f t="shared" si="25"/>
        <v>0</v>
      </c>
    </row>
    <row r="170" spans="1:26" s="24" customFormat="1" hidden="1" outlineLevel="1" x14ac:dyDescent="0.25">
      <c r="A170" s="44"/>
      <c r="B170" s="11" t="str">
        <f>CONCATENATE("          ", "5500", " - ", "FREIGHT-IN")</f>
        <v xml:space="preserve">          5500 - FREIGHT-IN</v>
      </c>
      <c r="C170" s="11"/>
      <c r="D170" s="2">
        <v>83.13</v>
      </c>
      <c r="E170" s="2"/>
      <c r="F170" s="19">
        <f t="shared" si="18"/>
        <v>1.2678748931274351E-4</v>
      </c>
      <c r="G170" s="2"/>
      <c r="H170" s="2"/>
      <c r="I170" s="2"/>
      <c r="J170" s="19">
        <f t="shared" si="19"/>
        <v>0</v>
      </c>
      <c r="K170" s="2"/>
      <c r="L170" s="2">
        <f t="shared" si="20"/>
        <v>83.13</v>
      </c>
      <c r="M170" s="2"/>
      <c r="N170" s="19">
        <f t="shared" si="21"/>
        <v>0</v>
      </c>
      <c r="O170" s="11"/>
      <c r="P170" s="2">
        <v>239.61</v>
      </c>
      <c r="Q170" s="2"/>
      <c r="R170" s="19">
        <f t="shared" si="22"/>
        <v>1.9769967888072102E-5</v>
      </c>
      <c r="S170" s="2"/>
      <c r="T170" s="2"/>
      <c r="U170" s="2"/>
      <c r="V170" s="19">
        <f t="shared" si="23"/>
        <v>0</v>
      </c>
      <c r="W170" s="2"/>
      <c r="X170" s="2">
        <f t="shared" si="24"/>
        <v>239.61</v>
      </c>
      <c r="Y170" s="2"/>
      <c r="Z170" s="19">
        <f t="shared" si="25"/>
        <v>0</v>
      </c>
    </row>
    <row r="171" spans="1:26" s="24" customFormat="1" hidden="1" outlineLevel="1" x14ac:dyDescent="0.25">
      <c r="A171" s="44"/>
      <c r="B171" s="11" t="str">
        <f>CONCATENATE("          ", "5501", " - ", "FREIGHT-IN-NEW TEXT")</f>
        <v xml:space="preserve">          5501 - FREIGHT-IN-NEW TEXT</v>
      </c>
      <c r="C171" s="11"/>
      <c r="D171" s="2">
        <v>2483.06</v>
      </c>
      <c r="E171" s="2"/>
      <c r="F171" s="19">
        <f t="shared" si="18"/>
        <v>3.7870918226019594E-3</v>
      </c>
      <c r="G171" s="2"/>
      <c r="H171" s="2"/>
      <c r="I171" s="2"/>
      <c r="J171" s="19">
        <f t="shared" si="19"/>
        <v>0</v>
      </c>
      <c r="K171" s="2"/>
      <c r="L171" s="2">
        <f t="shared" si="20"/>
        <v>2483.06</v>
      </c>
      <c r="M171" s="2"/>
      <c r="N171" s="19">
        <f t="shared" si="21"/>
        <v>0</v>
      </c>
      <c r="O171" s="11"/>
      <c r="P171" s="2">
        <v>72230.790000000008</v>
      </c>
      <c r="Q171" s="2"/>
      <c r="R171" s="19">
        <f t="shared" si="22"/>
        <v>5.9596861517886551E-3</v>
      </c>
      <c r="S171" s="2"/>
      <c r="T171" s="2"/>
      <c r="U171" s="2"/>
      <c r="V171" s="19">
        <f t="shared" si="23"/>
        <v>0</v>
      </c>
      <c r="W171" s="2"/>
      <c r="X171" s="2">
        <f t="shared" si="24"/>
        <v>72230.790000000008</v>
      </c>
      <c r="Y171" s="2"/>
      <c r="Z171" s="19">
        <f t="shared" si="25"/>
        <v>0</v>
      </c>
    </row>
    <row r="172" spans="1:26" s="24" customFormat="1" hidden="1" outlineLevel="1" x14ac:dyDescent="0.25">
      <c r="A172" s="44"/>
      <c r="B172" s="11" t="str">
        <f>CONCATENATE("          ", "5502", " - ", "FREIGHT-IN-USED TEXT")</f>
        <v xml:space="preserve">          5502 - FREIGHT-IN-USED TEXT</v>
      </c>
      <c r="C172" s="11"/>
      <c r="D172" s="2">
        <v>519.36</v>
      </c>
      <c r="E172" s="2"/>
      <c r="F172" s="19">
        <f t="shared" si="18"/>
        <v>7.9211296101848276E-4</v>
      </c>
      <c r="G172" s="2"/>
      <c r="H172" s="2"/>
      <c r="I172" s="2"/>
      <c r="J172" s="19">
        <f t="shared" si="19"/>
        <v>0</v>
      </c>
      <c r="K172" s="2"/>
      <c r="L172" s="2">
        <f t="shared" si="20"/>
        <v>519.36</v>
      </c>
      <c r="M172" s="2"/>
      <c r="N172" s="19">
        <f t="shared" si="21"/>
        <v>0</v>
      </c>
      <c r="O172" s="11"/>
      <c r="P172" s="2">
        <v>16200.12</v>
      </c>
      <c r="Q172" s="2"/>
      <c r="R172" s="19">
        <f t="shared" si="22"/>
        <v>1.3366547814486652E-3</v>
      </c>
      <c r="S172" s="2"/>
      <c r="T172" s="2"/>
      <c r="U172" s="2"/>
      <c r="V172" s="19">
        <f t="shared" si="23"/>
        <v>0</v>
      </c>
      <c r="W172" s="2"/>
      <c r="X172" s="2">
        <f t="shared" si="24"/>
        <v>16200.12</v>
      </c>
      <c r="Y172" s="2"/>
      <c r="Z172" s="19">
        <f t="shared" si="25"/>
        <v>0</v>
      </c>
    </row>
    <row r="173" spans="1:26" s="24" customFormat="1" hidden="1" outlineLevel="1" x14ac:dyDescent="0.25">
      <c r="A173" s="44"/>
      <c r="B173" s="11" t="str">
        <f>CONCATENATE("          ", "5504", " - ", "FREIGHT-IN-DIGITAL TEXT")</f>
        <v xml:space="preserve">          5504 - FREIGHT-IN-DIGITAL TEXT</v>
      </c>
      <c r="C173" s="11"/>
      <c r="D173" s="2"/>
      <c r="E173" s="2"/>
      <c r="F173" s="19">
        <f t="shared" si="18"/>
        <v>0</v>
      </c>
      <c r="G173" s="2"/>
      <c r="H173" s="2"/>
      <c r="I173" s="2"/>
      <c r="J173" s="19">
        <f t="shared" si="19"/>
        <v>0</v>
      </c>
      <c r="K173" s="2"/>
      <c r="L173" s="2">
        <f t="shared" si="20"/>
        <v>0</v>
      </c>
      <c r="M173" s="2"/>
      <c r="N173" s="19">
        <f t="shared" si="21"/>
        <v>0</v>
      </c>
      <c r="O173" s="11"/>
      <c r="P173" s="2">
        <v>118.75</v>
      </c>
      <c r="Q173" s="2"/>
      <c r="R173" s="19">
        <f t="shared" si="22"/>
        <v>9.7979370089251788E-6</v>
      </c>
      <c r="S173" s="2"/>
      <c r="T173" s="2"/>
      <c r="U173" s="2"/>
      <c r="V173" s="19">
        <f t="shared" si="23"/>
        <v>0</v>
      </c>
      <c r="W173" s="2"/>
      <c r="X173" s="2">
        <f t="shared" si="24"/>
        <v>118.75</v>
      </c>
      <c r="Y173" s="2"/>
      <c r="Z173" s="19">
        <f t="shared" si="25"/>
        <v>0</v>
      </c>
    </row>
    <row r="174" spans="1:26" s="24" customFormat="1" hidden="1" outlineLevel="1" x14ac:dyDescent="0.25">
      <c r="A174" s="44"/>
      <c r="B174" s="11" t="str">
        <f>CONCATENATE("          ", "5513", " - ", "FREIGHT-IN-TRADE BOOKS")</f>
        <v xml:space="preserve">          5513 - FREIGHT-IN-TRADE BOOKS</v>
      </c>
      <c r="C174" s="11"/>
      <c r="D174" s="2"/>
      <c r="E174" s="2"/>
      <c r="F174" s="19">
        <f t="shared" si="18"/>
        <v>0</v>
      </c>
      <c r="G174" s="2"/>
      <c r="H174" s="2"/>
      <c r="I174" s="2"/>
      <c r="J174" s="19">
        <f t="shared" si="19"/>
        <v>0</v>
      </c>
      <c r="K174" s="2"/>
      <c r="L174" s="2">
        <f t="shared" si="20"/>
        <v>0</v>
      </c>
      <c r="M174" s="2"/>
      <c r="N174" s="19">
        <f t="shared" si="21"/>
        <v>0</v>
      </c>
      <c r="O174" s="11"/>
      <c r="P174" s="2">
        <v>30.24</v>
      </c>
      <c r="Q174" s="2"/>
      <c r="R174" s="19">
        <f t="shared" si="22"/>
        <v>2.4950704433675569E-6</v>
      </c>
      <c r="S174" s="2"/>
      <c r="T174" s="2"/>
      <c r="U174" s="2"/>
      <c r="V174" s="19">
        <f t="shared" si="23"/>
        <v>0</v>
      </c>
      <c r="W174" s="2"/>
      <c r="X174" s="2">
        <f t="shared" si="24"/>
        <v>30.24</v>
      </c>
      <c r="Y174" s="2"/>
      <c r="Z174" s="19">
        <f t="shared" si="25"/>
        <v>0</v>
      </c>
    </row>
    <row r="175" spans="1:26" s="24" customFormat="1" hidden="1" outlineLevel="1" x14ac:dyDescent="0.25">
      <c r="A175" s="44"/>
      <c r="B175" s="11" t="str">
        <f>CONCATENATE("          ", "5518", " - ", "FREIGHT-IN-STUDY GUIDES")</f>
        <v xml:space="preserve">          5518 - FREIGHT-IN-STUDY GUIDES</v>
      </c>
      <c r="C175" s="11"/>
      <c r="D175" s="2"/>
      <c r="E175" s="2"/>
      <c r="F175" s="19">
        <f t="shared" si="18"/>
        <v>0</v>
      </c>
      <c r="G175" s="2"/>
      <c r="H175" s="2"/>
      <c r="I175" s="2"/>
      <c r="J175" s="19">
        <f t="shared" si="19"/>
        <v>0</v>
      </c>
      <c r="K175" s="2"/>
      <c r="L175" s="2">
        <f t="shared" si="20"/>
        <v>0</v>
      </c>
      <c r="M175" s="2"/>
      <c r="N175" s="19">
        <f t="shared" si="21"/>
        <v>0</v>
      </c>
      <c r="O175" s="11"/>
      <c r="P175" s="2">
        <v>21.13</v>
      </c>
      <c r="Q175" s="2"/>
      <c r="R175" s="19">
        <f t="shared" si="22"/>
        <v>1.7434139705144338E-6</v>
      </c>
      <c r="S175" s="2"/>
      <c r="T175" s="2"/>
      <c r="U175" s="2"/>
      <c r="V175" s="19">
        <f t="shared" si="23"/>
        <v>0</v>
      </c>
      <c r="W175" s="2"/>
      <c r="X175" s="2">
        <f t="shared" si="24"/>
        <v>21.13</v>
      </c>
      <c r="Y175" s="2"/>
      <c r="Z175" s="19">
        <f t="shared" si="25"/>
        <v>0</v>
      </c>
    </row>
    <row r="176" spans="1:26" s="24" customFormat="1" hidden="1" outlineLevel="1" x14ac:dyDescent="0.25">
      <c r="A176" s="44"/>
      <c r="B176" s="11" t="str">
        <f>CONCATENATE("          ", "5525", " - ", "FREIGHT-IN-TEST FORMS")</f>
        <v xml:space="preserve">          5525 - FREIGHT-IN-TEST FORMS</v>
      </c>
      <c r="C176" s="11"/>
      <c r="D176" s="2"/>
      <c r="E176" s="2"/>
      <c r="F176" s="19">
        <f t="shared" si="18"/>
        <v>0</v>
      </c>
      <c r="G176" s="2"/>
      <c r="H176" s="2"/>
      <c r="I176" s="2"/>
      <c r="J176" s="19">
        <f t="shared" si="19"/>
        <v>0</v>
      </c>
      <c r="K176" s="2"/>
      <c r="L176" s="2">
        <f t="shared" si="20"/>
        <v>0</v>
      </c>
      <c r="M176" s="2"/>
      <c r="N176" s="19">
        <f t="shared" si="21"/>
        <v>0</v>
      </c>
      <c r="O176" s="11"/>
      <c r="P176" s="2">
        <v>1614.32</v>
      </c>
      <c r="Q176" s="2"/>
      <c r="R176" s="19">
        <f t="shared" si="22"/>
        <v>1.3319583723998395E-4</v>
      </c>
      <c r="S176" s="2"/>
      <c r="T176" s="2"/>
      <c r="U176" s="2"/>
      <c r="V176" s="19">
        <f t="shared" si="23"/>
        <v>0</v>
      </c>
      <c r="W176" s="2"/>
      <c r="X176" s="2">
        <f t="shared" si="24"/>
        <v>1614.32</v>
      </c>
      <c r="Y176" s="2"/>
      <c r="Z176" s="19">
        <f t="shared" si="25"/>
        <v>0</v>
      </c>
    </row>
    <row r="177" spans="1:26" s="24" customFormat="1" hidden="1" outlineLevel="1" x14ac:dyDescent="0.25">
      <c r="A177" s="44"/>
      <c r="B177" s="11" t="str">
        <f>CONCATENATE("          ", "5526", " - ", "FREIGHT-IN-WRITING INSTRUMENTS")</f>
        <v xml:space="preserve">          5526 - FREIGHT-IN-WRITING INSTRUMENTS</v>
      </c>
      <c r="C177" s="11"/>
      <c r="D177" s="2"/>
      <c r="E177" s="2"/>
      <c r="F177" s="19">
        <f t="shared" si="18"/>
        <v>0</v>
      </c>
      <c r="G177" s="2"/>
      <c r="H177" s="2"/>
      <c r="I177" s="2"/>
      <c r="J177" s="19">
        <f t="shared" si="19"/>
        <v>0</v>
      </c>
      <c r="K177" s="2"/>
      <c r="L177" s="2">
        <f t="shared" si="20"/>
        <v>0</v>
      </c>
      <c r="M177" s="2"/>
      <c r="N177" s="19">
        <f t="shared" si="21"/>
        <v>0</v>
      </c>
      <c r="O177" s="11"/>
      <c r="P177" s="2">
        <v>274.5</v>
      </c>
      <c r="Q177" s="2"/>
      <c r="R177" s="19">
        <f t="shared" si="22"/>
        <v>2.2648704917473362E-5</v>
      </c>
      <c r="S177" s="2"/>
      <c r="T177" s="2"/>
      <c r="U177" s="2"/>
      <c r="V177" s="19">
        <f t="shared" si="23"/>
        <v>0</v>
      </c>
      <c r="W177" s="2"/>
      <c r="X177" s="2">
        <f t="shared" si="24"/>
        <v>274.5</v>
      </c>
      <c r="Y177" s="2"/>
      <c r="Z177" s="19">
        <f t="shared" si="25"/>
        <v>0</v>
      </c>
    </row>
    <row r="178" spans="1:26" s="24" customFormat="1" hidden="1" outlineLevel="1" x14ac:dyDescent="0.25">
      <c r="A178" s="44"/>
      <c r="B178" s="11" t="str">
        <f>CONCATENATE("          ", "5527", " - ", "FREIGHT-IN-SCHOOL SUPPLIES")</f>
        <v xml:space="preserve">          5527 - FREIGHT-IN-SCHOOL SUPPLIES</v>
      </c>
      <c r="C178" s="11"/>
      <c r="D178" s="2"/>
      <c r="E178" s="2"/>
      <c r="F178" s="19">
        <f t="shared" si="18"/>
        <v>0</v>
      </c>
      <c r="G178" s="2"/>
      <c r="H178" s="2"/>
      <c r="I178" s="2"/>
      <c r="J178" s="19">
        <f t="shared" si="19"/>
        <v>0</v>
      </c>
      <c r="K178" s="2"/>
      <c r="L178" s="2">
        <f t="shared" si="20"/>
        <v>0</v>
      </c>
      <c r="M178" s="2"/>
      <c r="N178" s="19">
        <f t="shared" si="21"/>
        <v>0</v>
      </c>
      <c r="O178" s="11"/>
      <c r="P178" s="2">
        <v>1808</v>
      </c>
      <c r="Q178" s="2"/>
      <c r="R178" s="19">
        <f t="shared" si="22"/>
        <v>1.4917616936536187E-4</v>
      </c>
      <c r="S178" s="2"/>
      <c r="T178" s="2"/>
      <c r="U178" s="2"/>
      <c r="V178" s="19">
        <f t="shared" si="23"/>
        <v>0</v>
      </c>
      <c r="W178" s="2"/>
      <c r="X178" s="2">
        <f t="shared" si="24"/>
        <v>1808</v>
      </c>
      <c r="Y178" s="2"/>
      <c r="Z178" s="19">
        <f t="shared" si="25"/>
        <v>0</v>
      </c>
    </row>
    <row r="179" spans="1:26" s="24" customFormat="1" hidden="1" outlineLevel="1" x14ac:dyDescent="0.25">
      <c r="A179" s="44"/>
      <c r="B179" s="11" t="str">
        <f>CONCATENATE("          ", "5528", " - ", "FREIGHT-IN-ART/TECH")</f>
        <v xml:space="preserve">          5528 - FREIGHT-IN-ART/TECH</v>
      </c>
      <c r="C179" s="11"/>
      <c r="D179" s="2">
        <v>13.33</v>
      </c>
      <c r="E179" s="2"/>
      <c r="F179" s="19">
        <f t="shared" si="18"/>
        <v>2.0330533291698196E-5</v>
      </c>
      <c r="G179" s="2"/>
      <c r="H179" s="2"/>
      <c r="I179" s="2"/>
      <c r="J179" s="19">
        <f t="shared" si="19"/>
        <v>0</v>
      </c>
      <c r="K179" s="2"/>
      <c r="L179" s="2">
        <f t="shared" si="20"/>
        <v>13.33</v>
      </c>
      <c r="M179" s="2"/>
      <c r="N179" s="19">
        <f t="shared" si="21"/>
        <v>0</v>
      </c>
      <c r="O179" s="11"/>
      <c r="P179" s="2">
        <v>2837.7</v>
      </c>
      <c r="Q179" s="2"/>
      <c r="R179" s="19">
        <f t="shared" si="22"/>
        <v>2.3413562821243772E-4</v>
      </c>
      <c r="S179" s="2"/>
      <c r="T179" s="2"/>
      <c r="U179" s="2"/>
      <c r="V179" s="19">
        <f t="shared" si="23"/>
        <v>0</v>
      </c>
      <c r="W179" s="2"/>
      <c r="X179" s="2">
        <f t="shared" si="24"/>
        <v>2837.7</v>
      </c>
      <c r="Y179" s="2"/>
      <c r="Z179" s="19">
        <f t="shared" si="25"/>
        <v>0</v>
      </c>
    </row>
    <row r="180" spans="1:26" s="24" customFormat="1" hidden="1" outlineLevel="1" x14ac:dyDescent="0.25">
      <c r="A180" s="44"/>
      <c r="B180" s="11" t="str">
        <f>CONCATENATE("          ", "5540", " - ", "FREIGHT-IN-LOGO CLOTHING")</f>
        <v xml:space="preserve">          5540 - FREIGHT-IN-LOGO CLOTHING</v>
      </c>
      <c r="C180" s="11"/>
      <c r="D180" s="2">
        <v>29.98</v>
      </c>
      <c r="E180" s="2"/>
      <c r="F180" s="19">
        <f t="shared" si="18"/>
        <v>4.5724635265199695E-5</v>
      </c>
      <c r="G180" s="2"/>
      <c r="H180" s="2"/>
      <c r="I180" s="2"/>
      <c r="J180" s="19">
        <f t="shared" si="19"/>
        <v>0</v>
      </c>
      <c r="K180" s="2"/>
      <c r="L180" s="2">
        <f t="shared" si="20"/>
        <v>29.98</v>
      </c>
      <c r="M180" s="2"/>
      <c r="N180" s="19">
        <f t="shared" si="21"/>
        <v>0</v>
      </c>
      <c r="O180" s="11"/>
      <c r="P180" s="2">
        <v>32548.979999999996</v>
      </c>
      <c r="Q180" s="2"/>
      <c r="R180" s="19">
        <f t="shared" si="22"/>
        <v>2.6855819431138143E-3</v>
      </c>
      <c r="S180" s="2"/>
      <c r="T180" s="2"/>
      <c r="U180" s="2"/>
      <c r="V180" s="19">
        <f t="shared" si="23"/>
        <v>0</v>
      </c>
      <c r="W180" s="2"/>
      <c r="X180" s="2">
        <f t="shared" si="24"/>
        <v>32548.979999999996</v>
      </c>
      <c r="Y180" s="2"/>
      <c r="Z180" s="19">
        <f t="shared" si="25"/>
        <v>0</v>
      </c>
    </row>
    <row r="181" spans="1:26" s="24" customFormat="1" hidden="1" outlineLevel="1" x14ac:dyDescent="0.25">
      <c r="A181" s="44"/>
      <c r="B181" s="11" t="str">
        <f>CONCATENATE("          ", "5541", " - ", "FREIGHT-IN-LOGO GIFTS")</f>
        <v xml:space="preserve">          5541 - FREIGHT-IN-LOGO GIFTS</v>
      </c>
      <c r="C181" s="11"/>
      <c r="D181" s="2">
        <v>348.31</v>
      </c>
      <c r="E181" s="2"/>
      <c r="F181" s="19">
        <f t="shared" si="18"/>
        <v>5.3123241191533374E-4</v>
      </c>
      <c r="G181" s="2"/>
      <c r="H181" s="2"/>
      <c r="I181" s="2"/>
      <c r="J181" s="19">
        <f t="shared" si="19"/>
        <v>0</v>
      </c>
      <c r="K181" s="2"/>
      <c r="L181" s="2">
        <f t="shared" si="20"/>
        <v>348.31</v>
      </c>
      <c r="M181" s="2"/>
      <c r="N181" s="19">
        <f t="shared" si="21"/>
        <v>0</v>
      </c>
      <c r="O181" s="11"/>
      <c r="P181" s="2">
        <v>5574.41</v>
      </c>
      <c r="Q181" s="2"/>
      <c r="R181" s="19">
        <f t="shared" si="22"/>
        <v>4.5993867824776932E-4</v>
      </c>
      <c r="S181" s="2"/>
      <c r="T181" s="2"/>
      <c r="U181" s="2"/>
      <c r="V181" s="19">
        <f t="shared" si="23"/>
        <v>0</v>
      </c>
      <c r="W181" s="2"/>
      <c r="X181" s="2">
        <f t="shared" si="24"/>
        <v>5574.41</v>
      </c>
      <c r="Y181" s="2"/>
      <c r="Z181" s="19">
        <f t="shared" si="25"/>
        <v>0</v>
      </c>
    </row>
    <row r="182" spans="1:26" s="24" customFormat="1" hidden="1" outlineLevel="1" x14ac:dyDescent="0.25">
      <c r="A182" s="44"/>
      <c r="B182" s="11" t="str">
        <f>CONCATENATE("          ", "5542", " - ", "FREIGHT-IN-EVERYDAY GIFTS")</f>
        <v xml:space="preserve">          5542 - FREIGHT-IN-EVERYDAY GIFTS</v>
      </c>
      <c r="C182" s="11"/>
      <c r="D182" s="2"/>
      <c r="E182" s="2"/>
      <c r="F182" s="19">
        <f t="shared" si="18"/>
        <v>0</v>
      </c>
      <c r="G182" s="2"/>
      <c r="H182" s="2"/>
      <c r="I182" s="2"/>
      <c r="J182" s="19">
        <f t="shared" si="19"/>
        <v>0</v>
      </c>
      <c r="K182" s="2"/>
      <c r="L182" s="2">
        <f t="shared" si="20"/>
        <v>0</v>
      </c>
      <c r="M182" s="2"/>
      <c r="N182" s="19">
        <f t="shared" si="21"/>
        <v>0</v>
      </c>
      <c r="O182" s="11"/>
      <c r="P182" s="2">
        <v>2223.5100000000002</v>
      </c>
      <c r="Q182" s="2"/>
      <c r="R182" s="19">
        <f t="shared" si="22"/>
        <v>1.8345946036812821E-4</v>
      </c>
      <c r="S182" s="2"/>
      <c r="T182" s="2"/>
      <c r="U182" s="2"/>
      <c r="V182" s="19">
        <f t="shared" si="23"/>
        <v>0</v>
      </c>
      <c r="W182" s="2"/>
      <c r="X182" s="2">
        <f t="shared" si="24"/>
        <v>2223.5100000000002</v>
      </c>
      <c r="Y182" s="2"/>
      <c r="Z182" s="19">
        <f t="shared" si="25"/>
        <v>0</v>
      </c>
    </row>
    <row r="183" spans="1:26" s="24" customFormat="1" hidden="1" outlineLevel="1" x14ac:dyDescent="0.25">
      <c r="A183" s="44"/>
      <c r="B183" s="11" t="str">
        <f>CONCATENATE("          ", "5543", " - ", "FREIGHT-IN-CARDS")</f>
        <v xml:space="preserve">          5543 - FREIGHT-IN-CARDS</v>
      </c>
      <c r="C183" s="11"/>
      <c r="D183" s="2"/>
      <c r="E183" s="2"/>
      <c r="F183" s="19">
        <f t="shared" si="18"/>
        <v>0</v>
      </c>
      <c r="G183" s="2"/>
      <c r="H183" s="2"/>
      <c r="I183" s="2"/>
      <c r="J183" s="19">
        <f t="shared" si="19"/>
        <v>0</v>
      </c>
      <c r="K183" s="2"/>
      <c r="L183" s="2">
        <f t="shared" si="20"/>
        <v>0</v>
      </c>
      <c r="M183" s="2"/>
      <c r="N183" s="19">
        <f t="shared" si="21"/>
        <v>0</v>
      </c>
      <c r="O183" s="11"/>
      <c r="P183" s="2">
        <v>2926.76</v>
      </c>
      <c r="Q183" s="2"/>
      <c r="R183" s="19">
        <f t="shared" si="22"/>
        <v>2.4148387469677355E-4</v>
      </c>
      <c r="S183" s="2"/>
      <c r="T183" s="2"/>
      <c r="U183" s="2"/>
      <c r="V183" s="19">
        <f t="shared" si="23"/>
        <v>0</v>
      </c>
      <c r="W183" s="2"/>
      <c r="X183" s="2">
        <f t="shared" si="24"/>
        <v>2926.76</v>
      </c>
      <c r="Y183" s="2"/>
      <c r="Z183" s="19">
        <f t="shared" si="25"/>
        <v>0</v>
      </c>
    </row>
    <row r="184" spans="1:26" s="24" customFormat="1" hidden="1" outlineLevel="1" x14ac:dyDescent="0.25">
      <c r="A184" s="44"/>
      <c r="B184" s="11" t="str">
        <f>CONCATENATE("          ", "5544", " - ", "FREIGHT-IN-ACCESSORIES")</f>
        <v xml:space="preserve">          5544 - FREIGHT-IN-ACCESSORIES</v>
      </c>
      <c r="C184" s="11"/>
      <c r="D184" s="2"/>
      <c r="E184" s="2"/>
      <c r="F184" s="19">
        <f t="shared" si="18"/>
        <v>0</v>
      </c>
      <c r="G184" s="2"/>
      <c r="H184" s="2"/>
      <c r="I184" s="2"/>
      <c r="J184" s="19">
        <f t="shared" si="19"/>
        <v>0</v>
      </c>
      <c r="K184" s="2"/>
      <c r="L184" s="2">
        <f t="shared" si="20"/>
        <v>0</v>
      </c>
      <c r="M184" s="2"/>
      <c r="N184" s="19">
        <f t="shared" si="21"/>
        <v>0</v>
      </c>
      <c r="O184" s="11"/>
      <c r="P184" s="2">
        <v>483.44</v>
      </c>
      <c r="Q184" s="2"/>
      <c r="R184" s="19">
        <f t="shared" si="22"/>
        <v>3.9888123516587693E-5</v>
      </c>
      <c r="S184" s="2"/>
      <c r="T184" s="2"/>
      <c r="U184" s="2"/>
      <c r="V184" s="19">
        <f t="shared" si="23"/>
        <v>0</v>
      </c>
      <c r="W184" s="2"/>
      <c r="X184" s="2">
        <f t="shared" si="24"/>
        <v>483.44</v>
      </c>
      <c r="Y184" s="2"/>
      <c r="Z184" s="19">
        <f t="shared" si="25"/>
        <v>0</v>
      </c>
    </row>
    <row r="185" spans="1:26" s="24" customFormat="1" hidden="1" outlineLevel="1" x14ac:dyDescent="0.25">
      <c r="A185" s="44"/>
      <c r="B185" s="11" t="str">
        <f>CONCATENATE("          ", "5545", " - ", "FREIGHT-IN-SPECIAL ORDERS")</f>
        <v xml:space="preserve">          5545 - FREIGHT-IN-SPECIAL ORDERS</v>
      </c>
      <c r="C185" s="11"/>
      <c r="D185" s="2">
        <v>355.3</v>
      </c>
      <c r="E185" s="2"/>
      <c r="F185" s="19">
        <f t="shared" si="18"/>
        <v>5.4189335923033525E-4</v>
      </c>
      <c r="G185" s="2"/>
      <c r="H185" s="2"/>
      <c r="I185" s="2"/>
      <c r="J185" s="19">
        <f t="shared" si="19"/>
        <v>0</v>
      </c>
      <c r="K185" s="2"/>
      <c r="L185" s="2">
        <f t="shared" si="20"/>
        <v>355.3</v>
      </c>
      <c r="M185" s="2"/>
      <c r="N185" s="19">
        <f t="shared" si="21"/>
        <v>0</v>
      </c>
      <c r="O185" s="11"/>
      <c r="P185" s="2">
        <v>1420.62</v>
      </c>
      <c r="Q185" s="2"/>
      <c r="R185" s="19">
        <f t="shared" si="22"/>
        <v>1.1721385493574136E-4</v>
      </c>
      <c r="S185" s="2"/>
      <c r="T185" s="2"/>
      <c r="U185" s="2"/>
      <c r="V185" s="19">
        <f t="shared" si="23"/>
        <v>0</v>
      </c>
      <c r="W185" s="2"/>
      <c r="X185" s="2">
        <f t="shared" si="24"/>
        <v>1420.62</v>
      </c>
      <c r="Y185" s="2"/>
      <c r="Z185" s="19">
        <f t="shared" si="25"/>
        <v>0</v>
      </c>
    </row>
    <row r="186" spans="1:26" s="24" customFormat="1" hidden="1" outlineLevel="1" x14ac:dyDescent="0.25">
      <c r="A186" s="44"/>
      <c r="B186" s="11" t="str">
        <f>CONCATENATE("          ", "5581", " - ", "FREIGHT-IN-ELECTRONICS")</f>
        <v xml:space="preserve">          5581 - FREIGHT-IN-ELECTRONICS</v>
      </c>
      <c r="C186" s="11"/>
      <c r="D186" s="2"/>
      <c r="E186" s="2"/>
      <c r="F186" s="19">
        <f t="shared" si="18"/>
        <v>0</v>
      </c>
      <c r="G186" s="2"/>
      <c r="H186" s="2"/>
      <c r="I186" s="2"/>
      <c r="J186" s="19">
        <f t="shared" si="19"/>
        <v>0</v>
      </c>
      <c r="K186" s="2"/>
      <c r="L186" s="2">
        <f t="shared" si="20"/>
        <v>0</v>
      </c>
      <c r="M186" s="2"/>
      <c r="N186" s="19">
        <f t="shared" si="21"/>
        <v>0</v>
      </c>
      <c r="O186" s="11"/>
      <c r="P186" s="2">
        <v>137</v>
      </c>
      <c r="Q186" s="2"/>
      <c r="R186" s="19">
        <f t="shared" si="22"/>
        <v>1.1303725222928418E-5</v>
      </c>
      <c r="S186" s="2"/>
      <c r="T186" s="2"/>
      <c r="U186" s="2"/>
      <c r="V186" s="19">
        <f t="shared" si="23"/>
        <v>0</v>
      </c>
      <c r="W186" s="2"/>
      <c r="X186" s="2">
        <f t="shared" si="24"/>
        <v>137</v>
      </c>
      <c r="Y186" s="2"/>
      <c r="Z186" s="19">
        <f t="shared" si="25"/>
        <v>0</v>
      </c>
    </row>
    <row r="187" spans="1:26" s="24" customFormat="1" hidden="1" outlineLevel="1" x14ac:dyDescent="0.25">
      <c r="A187" s="44"/>
      <c r="B187" s="11" t="str">
        <f>CONCATENATE("          ", "5582", " - ", "FREIGHT-IN-COMPUTER HARDWARE")</f>
        <v xml:space="preserve">          5582 - FREIGHT-IN-COMPUTER HARDWARE</v>
      </c>
      <c r="C187" s="11"/>
      <c r="D187" s="2"/>
      <c r="E187" s="2"/>
      <c r="F187" s="19">
        <f t="shared" si="18"/>
        <v>0</v>
      </c>
      <c r="G187" s="2"/>
      <c r="H187" s="2"/>
      <c r="I187" s="2"/>
      <c r="J187" s="19">
        <f t="shared" si="19"/>
        <v>0</v>
      </c>
      <c r="K187" s="2"/>
      <c r="L187" s="2">
        <f t="shared" si="20"/>
        <v>0</v>
      </c>
      <c r="M187" s="2"/>
      <c r="N187" s="19">
        <f t="shared" si="21"/>
        <v>0</v>
      </c>
      <c r="O187" s="11"/>
      <c r="P187" s="2">
        <v>154.30000000000001</v>
      </c>
      <c r="Q187" s="2"/>
      <c r="R187" s="19">
        <f t="shared" si="22"/>
        <v>1.2731129940860254E-5</v>
      </c>
      <c r="S187" s="2"/>
      <c r="T187" s="2"/>
      <c r="U187" s="2"/>
      <c r="V187" s="19">
        <f t="shared" si="23"/>
        <v>0</v>
      </c>
      <c r="W187" s="2"/>
      <c r="X187" s="2">
        <f t="shared" si="24"/>
        <v>154.30000000000001</v>
      </c>
      <c r="Y187" s="2"/>
      <c r="Z187" s="19">
        <f t="shared" si="25"/>
        <v>0</v>
      </c>
    </row>
    <row r="188" spans="1:26" s="24" customFormat="1" hidden="1" outlineLevel="1" x14ac:dyDescent="0.25">
      <c r="A188" s="44"/>
      <c r="B188" s="11" t="str">
        <f>CONCATENATE("          ", "5583", " - ", "FREIGHT-IN-COMPUTER EQUIPMENT")</f>
        <v xml:space="preserve">          5583 - FREIGHT-IN-COMPUTER EQUIPMENT</v>
      </c>
      <c r="C188" s="11"/>
      <c r="D188" s="2"/>
      <c r="E188" s="2"/>
      <c r="F188" s="19">
        <f t="shared" si="18"/>
        <v>0</v>
      </c>
      <c r="G188" s="2"/>
      <c r="H188" s="2"/>
      <c r="I188" s="2"/>
      <c r="J188" s="19">
        <f t="shared" si="19"/>
        <v>0</v>
      </c>
      <c r="K188" s="2"/>
      <c r="L188" s="2">
        <f t="shared" si="20"/>
        <v>0</v>
      </c>
      <c r="M188" s="2"/>
      <c r="N188" s="19">
        <f t="shared" si="21"/>
        <v>0</v>
      </c>
      <c r="O188" s="11"/>
      <c r="P188" s="2">
        <v>96.55</v>
      </c>
      <c r="Q188" s="2"/>
      <c r="R188" s="19">
        <f t="shared" si="22"/>
        <v>7.9662384691513772E-6</v>
      </c>
      <c r="S188" s="2"/>
      <c r="T188" s="2"/>
      <c r="U188" s="2"/>
      <c r="V188" s="19">
        <f t="shared" si="23"/>
        <v>0</v>
      </c>
      <c r="W188" s="2"/>
      <c r="X188" s="2">
        <f t="shared" si="24"/>
        <v>96.55</v>
      </c>
      <c r="Y188" s="2"/>
      <c r="Z188" s="19">
        <f t="shared" si="25"/>
        <v>0</v>
      </c>
    </row>
    <row r="189" spans="1:26" s="24" customFormat="1" hidden="1" outlineLevel="1" x14ac:dyDescent="0.25">
      <c r="A189" s="44"/>
      <c r="B189" s="11" t="str">
        <f>CONCATENATE("          ", "5585", " - ", "FREIGHT-IN-SOFTWARE")</f>
        <v xml:space="preserve">          5585 - FREIGHT-IN-SOFTWARE</v>
      </c>
      <c r="C189" s="11"/>
      <c r="D189" s="2"/>
      <c r="E189" s="2"/>
      <c r="F189" s="19">
        <f t="shared" si="18"/>
        <v>0</v>
      </c>
      <c r="G189" s="2"/>
      <c r="H189" s="2"/>
      <c r="I189" s="2"/>
      <c r="J189" s="19">
        <f t="shared" si="19"/>
        <v>0</v>
      </c>
      <c r="K189" s="2"/>
      <c r="L189" s="2">
        <f t="shared" si="20"/>
        <v>0</v>
      </c>
      <c r="M189" s="2"/>
      <c r="N189" s="19">
        <f t="shared" si="21"/>
        <v>0</v>
      </c>
      <c r="O189" s="11"/>
      <c r="P189" s="2">
        <v>10</v>
      </c>
      <c r="Q189" s="2"/>
      <c r="R189" s="19">
        <f t="shared" si="22"/>
        <v>8.2508943233054142E-7</v>
      </c>
      <c r="S189" s="2"/>
      <c r="T189" s="2"/>
      <c r="U189" s="2"/>
      <c r="V189" s="19">
        <f t="shared" si="23"/>
        <v>0</v>
      </c>
      <c r="W189" s="2"/>
      <c r="X189" s="2">
        <f t="shared" si="24"/>
        <v>10</v>
      </c>
      <c r="Y189" s="2"/>
      <c r="Z189" s="19">
        <f t="shared" si="25"/>
        <v>0</v>
      </c>
    </row>
    <row r="190" spans="1:26" s="24" customFormat="1" hidden="1" outlineLevel="1" x14ac:dyDescent="0.25">
      <c r="A190" s="44"/>
      <c r="B190" s="11" t="str">
        <f>CONCATENATE("          ", "5586", " - ", "FREIGHT-IN-COMPUTER SUPPLIES")</f>
        <v xml:space="preserve">          5586 - FREIGHT-IN-COMPUTER SUPPLIES</v>
      </c>
      <c r="C190" s="11"/>
      <c r="D190" s="2"/>
      <c r="E190" s="2"/>
      <c r="F190" s="19">
        <f t="shared" si="18"/>
        <v>0</v>
      </c>
      <c r="G190" s="2"/>
      <c r="H190" s="2"/>
      <c r="I190" s="2"/>
      <c r="J190" s="19">
        <f t="shared" si="19"/>
        <v>0</v>
      </c>
      <c r="K190" s="2"/>
      <c r="L190" s="2">
        <f t="shared" si="20"/>
        <v>0</v>
      </c>
      <c r="M190" s="2"/>
      <c r="N190" s="19">
        <f t="shared" si="21"/>
        <v>0</v>
      </c>
      <c r="O190" s="11"/>
      <c r="P190" s="2">
        <v>301.27</v>
      </c>
      <c r="Q190" s="2"/>
      <c r="R190" s="19">
        <f t="shared" si="22"/>
        <v>2.4857469327822217E-5</v>
      </c>
      <c r="S190" s="2"/>
      <c r="T190" s="2"/>
      <c r="U190" s="2"/>
      <c r="V190" s="19">
        <f t="shared" si="23"/>
        <v>0</v>
      </c>
      <c r="W190" s="2"/>
      <c r="X190" s="2">
        <f t="shared" si="24"/>
        <v>301.27</v>
      </c>
      <c r="Y190" s="2"/>
      <c r="Z190" s="19">
        <f t="shared" si="25"/>
        <v>0</v>
      </c>
    </row>
    <row r="191" spans="1:26" s="24" customFormat="1" hidden="1" outlineLevel="1" x14ac:dyDescent="0.25">
      <c r="A191" s="44"/>
      <c r="B191" s="11" t="str">
        <f>CONCATENATE("          ", "5592", " - ", "FREIGHT-IN-GRAD MERCH")</f>
        <v xml:space="preserve">          5592 - FREIGHT-IN-GRAD MERCH</v>
      </c>
      <c r="C191" s="11"/>
      <c r="D191" s="2">
        <v>10.83</v>
      </c>
      <c r="E191" s="2"/>
      <c r="F191" s="19">
        <f t="shared" si="18"/>
        <v>1.6517605067448722E-5</v>
      </c>
      <c r="G191" s="2"/>
      <c r="H191" s="2"/>
      <c r="I191" s="2"/>
      <c r="J191" s="19">
        <f t="shared" si="19"/>
        <v>0</v>
      </c>
      <c r="K191" s="2"/>
      <c r="L191" s="2">
        <f t="shared" si="20"/>
        <v>10.83</v>
      </c>
      <c r="M191" s="2"/>
      <c r="N191" s="19">
        <f t="shared" si="21"/>
        <v>0</v>
      </c>
      <c r="O191" s="11"/>
      <c r="P191" s="2">
        <v>170.88</v>
      </c>
      <c r="Q191" s="2"/>
      <c r="R191" s="19">
        <f t="shared" si="22"/>
        <v>1.409912821966429E-5</v>
      </c>
      <c r="S191" s="2"/>
      <c r="T191" s="2"/>
      <c r="U191" s="2"/>
      <c r="V191" s="19">
        <f t="shared" si="23"/>
        <v>0</v>
      </c>
      <c r="W191" s="2"/>
      <c r="X191" s="2">
        <f t="shared" si="24"/>
        <v>170.88</v>
      </c>
      <c r="Y191" s="2"/>
      <c r="Z191" s="19">
        <f t="shared" si="25"/>
        <v>0</v>
      </c>
    </row>
    <row r="192" spans="1:26" x14ac:dyDescent="0.25">
      <c r="A192" s="9"/>
      <c r="B192" s="10"/>
      <c r="C192" s="10"/>
      <c r="D192" s="3"/>
      <c r="E192" s="3"/>
      <c r="F192" s="8"/>
      <c r="G192" s="3"/>
      <c r="H192" s="3"/>
      <c r="I192" s="3"/>
      <c r="J192" s="8"/>
      <c r="K192" s="3"/>
      <c r="L192" s="3"/>
      <c r="M192" s="3"/>
      <c r="N192" s="8"/>
      <c r="O192" s="10"/>
      <c r="P192" s="3"/>
      <c r="Q192" s="3"/>
      <c r="R192" s="8"/>
      <c r="S192" s="3"/>
      <c r="T192" s="3"/>
      <c r="U192" s="3"/>
      <c r="V192" s="8"/>
      <c r="W192" s="3"/>
      <c r="X192" s="3"/>
      <c r="Y192" s="3"/>
      <c r="Z192" s="8"/>
    </row>
    <row r="193" spans="1:26" s="23" customFormat="1" x14ac:dyDescent="0.25">
      <c r="A193" s="10"/>
      <c r="B193" s="29" t="s">
        <v>6</v>
      </c>
      <c r="C193" s="29"/>
      <c r="D193" s="22">
        <f>D12-D132</f>
        <v>65692.249999999767</v>
      </c>
      <c r="E193" s="14"/>
      <c r="F193" s="20">
        <f>IF(D$12=0,0,D193/D$12)</f>
        <v>0.10019193365578065</v>
      </c>
      <c r="G193" s="14"/>
      <c r="H193" s="22">
        <f>H12-H132</f>
        <v>312616.09057999996</v>
      </c>
      <c r="I193" s="14"/>
      <c r="J193" s="20">
        <f>IF(H$12=0,0,H193/H$12)</f>
        <v>0.35826058439406661</v>
      </c>
      <c r="K193" s="15"/>
      <c r="L193" s="22">
        <f>+D193-H193</f>
        <v>-246923.84058000019</v>
      </c>
      <c r="M193" s="15"/>
      <c r="N193" s="20">
        <f>IF(H193=0,0,L193/H193)</f>
        <v>-0.78986286381446258</v>
      </c>
      <c r="O193" s="28"/>
      <c r="P193" s="22">
        <f>P12-P132</f>
        <v>4159461.34</v>
      </c>
      <c r="Q193" s="14"/>
      <c r="R193" s="20">
        <f>IF(P$12=0,0,P193/P$12)</f>
        <v>0.34319275958214329</v>
      </c>
      <c r="S193" s="14"/>
      <c r="T193" s="22">
        <f>T12-T132</f>
        <v>5946778.5249800012</v>
      </c>
      <c r="U193" s="14"/>
      <c r="V193" s="20">
        <f>IF(T$12=0,0,T193/T$12)</f>
        <v>0.39816231406227043</v>
      </c>
      <c r="W193" s="15"/>
      <c r="X193" s="22">
        <f>+P193-T193</f>
        <v>-1787317.1849800013</v>
      </c>
      <c r="Y193" s="15"/>
      <c r="Z193" s="20">
        <f>IF(T193=0,0,X193/T193)</f>
        <v>-0.30055216912353599</v>
      </c>
    </row>
    <row r="194" spans="1:26" x14ac:dyDescent="0.25">
      <c r="A194" s="9"/>
      <c r="B194" s="10"/>
      <c r="C194" s="9"/>
      <c r="D194" s="1"/>
      <c r="E194" s="1"/>
      <c r="F194" s="5"/>
      <c r="G194" s="1"/>
      <c r="H194" s="1"/>
      <c r="I194" s="1"/>
      <c r="J194" s="5"/>
      <c r="K194" s="1"/>
      <c r="L194" s="1"/>
      <c r="M194" s="1"/>
      <c r="N194" s="5"/>
      <c r="O194" s="36"/>
      <c r="P194" s="1"/>
      <c r="Q194" s="1"/>
      <c r="R194" s="5"/>
      <c r="S194" s="1"/>
      <c r="T194" s="1"/>
      <c r="U194" s="1"/>
      <c r="V194" s="5"/>
      <c r="W194" s="1"/>
      <c r="X194" s="1"/>
      <c r="Y194" s="1"/>
      <c r="Z194" s="5"/>
    </row>
    <row r="195" spans="1:26" s="23" customFormat="1" x14ac:dyDescent="0.25">
      <c r="A195" s="10"/>
      <c r="B195" s="28" t="s">
        <v>9</v>
      </c>
      <c r="C195" s="10"/>
      <c r="D195" s="21">
        <f>SUM(OSRRefD22x_0)</f>
        <v>261270.31999999998</v>
      </c>
      <c r="E195" s="21"/>
      <c r="F195" s="32">
        <f t="shared" ref="F195:F206" si="26">IF(D$12=0,0,D195/D$12)</f>
        <v>0.39848199091467673</v>
      </c>
      <c r="G195" s="21"/>
      <c r="H195" s="21">
        <f>SUM(OSRRefH22x_0)</f>
        <v>468924.57620580704</v>
      </c>
      <c r="I195" s="21"/>
      <c r="J195" s="32">
        <f t="shared" ref="J195:J206" si="27">IF(H$12=0,0,H195/H$12)</f>
        <v>0.53739138121951902</v>
      </c>
      <c r="K195" s="4"/>
      <c r="L195" s="21">
        <f t="shared" ref="L195:L206" si="28">+D195-H195</f>
        <v>-207654.25620580706</v>
      </c>
      <c r="M195" s="4"/>
      <c r="N195" s="32">
        <f t="shared" ref="N195:N206" si="29">IF(H195=0,0,L195/H195)</f>
        <v>-0.44283082342578983</v>
      </c>
      <c r="O195" s="10"/>
      <c r="P195" s="21">
        <f>SUM(OSRRefP22x_0)</f>
        <v>4366293.8499999996</v>
      </c>
      <c r="Q195" s="21"/>
      <c r="R195" s="32">
        <f t="shared" ref="R195:R206" si="30">IF(P$12=0,0,P195/P$12)</f>
        <v>0.36025829140848337</v>
      </c>
      <c r="S195" s="21"/>
      <c r="T195" s="21">
        <f>SUM(OSRRefT22x_0)</f>
        <v>5146013.9552492406</v>
      </c>
      <c r="U195" s="21"/>
      <c r="V195" s="32">
        <f t="shared" ref="V195:V206" si="31">IF(T$12=0,0,T195/T$12)</f>
        <v>0.34454769351371889</v>
      </c>
      <c r="W195" s="4"/>
      <c r="X195" s="21">
        <f t="shared" ref="X195:X206" si="32">+P195-T195</f>
        <v>-779720.10524924099</v>
      </c>
      <c r="Y195" s="4"/>
      <c r="Z195" s="32">
        <f t="shared" ref="Z195:Z206" si="33">IF(T195=0,0,X195/T195)</f>
        <v>-0.15151923644782969</v>
      </c>
    </row>
    <row r="196" spans="1:26" s="26" customFormat="1" outlineLevel="1" collapsed="1" x14ac:dyDescent="0.25">
      <c r="A196" s="25"/>
      <c r="B196" s="12" t="str">
        <f>CONCATENATE("     ","*Benefits                                         ")</f>
        <v xml:space="preserve">     *Benefits                                         </v>
      </c>
      <c r="C196" s="12"/>
      <c r="D196" s="1">
        <f>SUM(OSRRefD22_0x_0)</f>
        <v>33500.769999999997</v>
      </c>
      <c r="E196" s="1"/>
      <c r="F196" s="5">
        <f t="shared" si="26"/>
        <v>5.1094412586836016E-2</v>
      </c>
      <c r="G196" s="1"/>
      <c r="H196" s="1">
        <f>SUM(OSRRefH22_0x_0)</f>
        <v>51994.363041046337</v>
      </c>
      <c r="I196" s="1"/>
      <c r="J196" s="5">
        <f t="shared" si="27"/>
        <v>5.9585963261592399E-2</v>
      </c>
      <c r="K196" s="1"/>
      <c r="L196" s="1">
        <f t="shared" si="28"/>
        <v>-18493.593041046341</v>
      </c>
      <c r="M196" s="1"/>
      <c r="N196" s="5">
        <f t="shared" si="29"/>
        <v>-0.35568457731555997</v>
      </c>
      <c r="O196" s="12"/>
      <c r="P196" s="1">
        <f>SUM(OSRRefP22_0x_0)</f>
        <v>545555.68999999994</v>
      </c>
      <c r="Q196" s="1"/>
      <c r="R196" s="5">
        <f t="shared" si="30"/>
        <v>4.5013223456679678E-2</v>
      </c>
      <c r="S196" s="1"/>
      <c r="T196" s="1">
        <f>SUM(OSRRefT22_0x_0)</f>
        <v>620861.48447886563</v>
      </c>
      <c r="U196" s="1"/>
      <c r="V196" s="5">
        <f t="shared" si="31"/>
        <v>4.1569337807661651E-2</v>
      </c>
      <c r="W196" s="1"/>
      <c r="X196" s="1">
        <f t="shared" si="32"/>
        <v>-75305.79447886569</v>
      </c>
      <c r="Y196" s="1"/>
      <c r="Z196" s="5">
        <f t="shared" si="33"/>
        <v>-0.12129242409371768</v>
      </c>
    </row>
    <row r="197" spans="1:26" s="24" customFormat="1" hidden="1" outlineLevel="2" x14ac:dyDescent="0.25">
      <c r="A197" s="27"/>
      <c r="B197" s="11" t="str">
        <f>CONCATENATE("          ", "6111", " - ", "F.I.C.A.")</f>
        <v xml:space="preserve">          6111 - F.I.C.A.</v>
      </c>
      <c r="C197" s="11"/>
      <c r="D197" s="6">
        <v>8049.32</v>
      </c>
      <c r="E197" s="2"/>
      <c r="F197" s="7">
        <f t="shared" si="26"/>
        <v>1.2276591765606311E-2</v>
      </c>
      <c r="G197" s="2"/>
      <c r="H197" s="6">
        <v>12409.778890475172</v>
      </c>
      <c r="I197" s="2"/>
      <c r="J197" s="7">
        <f t="shared" si="27"/>
        <v>1.4221707619893132E-2</v>
      </c>
      <c r="K197" s="2"/>
      <c r="L197" s="6">
        <f t="shared" si="28"/>
        <v>-4360.4588904751727</v>
      </c>
      <c r="M197" s="2"/>
      <c r="N197" s="7">
        <f t="shared" si="29"/>
        <v>-0.35137281082597999</v>
      </c>
      <c r="O197" s="11"/>
      <c r="P197" s="6">
        <v>115508.67</v>
      </c>
      <c r="Q197" s="2"/>
      <c r="R197" s="7">
        <f t="shared" si="30"/>
        <v>9.5304982959555831E-3</v>
      </c>
      <c r="S197" s="2"/>
      <c r="T197" s="6">
        <v>118385.02543663558</v>
      </c>
      <c r="U197" s="2"/>
      <c r="V197" s="7">
        <f t="shared" si="31"/>
        <v>7.9263849292806957E-3</v>
      </c>
      <c r="W197" s="2"/>
      <c r="X197" s="6">
        <f t="shared" si="32"/>
        <v>-2876.355436635582</v>
      </c>
      <c r="Y197" s="2"/>
      <c r="Z197" s="7">
        <f t="shared" si="33"/>
        <v>-2.4296615437863153E-2</v>
      </c>
    </row>
    <row r="198" spans="1:26" s="24" customFormat="1" hidden="1" outlineLevel="2" x14ac:dyDescent="0.25">
      <c r="A198" s="27"/>
      <c r="B198" s="11" t="str">
        <f>CONCATENATE("          ", "6112", " - ", "COMPENSATION INSURANCE")</f>
        <v xml:space="preserve">          6112 - COMPENSATION INSURANCE</v>
      </c>
      <c r="C198" s="11"/>
      <c r="D198" s="6">
        <v>1768.03</v>
      </c>
      <c r="E198" s="2"/>
      <c r="F198" s="7">
        <f t="shared" si="26"/>
        <v>2.6965485953279189E-3</v>
      </c>
      <c r="G198" s="2"/>
      <c r="H198" s="6">
        <v>3078.5016435538455</v>
      </c>
      <c r="I198" s="2"/>
      <c r="J198" s="7">
        <f t="shared" si="27"/>
        <v>3.5279879414762765E-3</v>
      </c>
      <c r="K198" s="2"/>
      <c r="L198" s="6">
        <f t="shared" si="28"/>
        <v>-1310.4716435538455</v>
      </c>
      <c r="M198" s="2"/>
      <c r="N198" s="7">
        <f t="shared" si="29"/>
        <v>-0.42568489326548714</v>
      </c>
      <c r="O198" s="11"/>
      <c r="P198" s="6">
        <v>30072.52</v>
      </c>
      <c r="Q198" s="2"/>
      <c r="R198" s="7">
        <f t="shared" si="30"/>
        <v>2.4812518455548851E-3</v>
      </c>
      <c r="S198" s="2"/>
      <c r="T198" s="6">
        <v>44338.513340699981</v>
      </c>
      <c r="U198" s="2"/>
      <c r="V198" s="7">
        <f t="shared" si="31"/>
        <v>2.968653532270789E-3</v>
      </c>
      <c r="W198" s="2"/>
      <c r="X198" s="6">
        <f t="shared" si="32"/>
        <v>-14265.993340699981</v>
      </c>
      <c r="Y198" s="2"/>
      <c r="Z198" s="7">
        <f t="shared" si="33"/>
        <v>-0.32175172927155166</v>
      </c>
    </row>
    <row r="199" spans="1:26" s="24" customFormat="1" hidden="1" outlineLevel="2" x14ac:dyDescent="0.25">
      <c r="A199" s="27"/>
      <c r="B199" s="11" t="str">
        <f>CONCATENATE("          ", "6113", " - ", "GROUP INSURANCE")</f>
        <v xml:space="preserve">          6113 - GROUP INSURANCE</v>
      </c>
      <c r="C199" s="11"/>
      <c r="D199" s="6">
        <v>14448.96</v>
      </c>
      <c r="E199" s="2"/>
      <c r="F199" s="7">
        <f t="shared" si="26"/>
        <v>2.2037138958020671E-2</v>
      </c>
      <c r="G199" s="2"/>
      <c r="H199" s="6">
        <v>19697.01923076923</v>
      </c>
      <c r="I199" s="2"/>
      <c r="J199" s="7">
        <f t="shared" si="27"/>
        <v>2.257294436554512E-2</v>
      </c>
      <c r="K199" s="2"/>
      <c r="L199" s="6">
        <f t="shared" si="28"/>
        <v>-5248.0592307692314</v>
      </c>
      <c r="M199" s="2"/>
      <c r="N199" s="7">
        <f t="shared" si="29"/>
        <v>-0.26643926013795532</v>
      </c>
      <c r="O199" s="11"/>
      <c r="P199" s="6">
        <v>217069.72</v>
      </c>
      <c r="Q199" s="2"/>
      <c r="R199" s="7">
        <f t="shared" si="30"/>
        <v>1.7910193205094956E-2</v>
      </c>
      <c r="S199" s="2"/>
      <c r="T199" s="6">
        <v>238250.99999999997</v>
      </c>
      <c r="U199" s="2"/>
      <c r="V199" s="7">
        <f t="shared" si="31"/>
        <v>1.5951925750920578E-2</v>
      </c>
      <c r="W199" s="2"/>
      <c r="X199" s="6">
        <f t="shared" si="32"/>
        <v>-21181.27999999997</v>
      </c>
      <c r="Y199" s="2"/>
      <c r="Z199" s="7">
        <f t="shared" si="33"/>
        <v>-8.8903215516409048E-2</v>
      </c>
    </row>
    <row r="200" spans="1:26" s="24" customFormat="1" hidden="1" outlineLevel="2" x14ac:dyDescent="0.25">
      <c r="A200" s="27"/>
      <c r="B200" s="11" t="str">
        <f>CONCATENATE("          ", "6114", " - ", "STATE UNEMPLOYMENT INSURANCE")</f>
        <v xml:space="preserve">          6114 - STATE UNEMPLOYMENT INSURANCE</v>
      </c>
      <c r="C200" s="11"/>
      <c r="D200" s="6">
        <v>-5426.32</v>
      </c>
      <c r="E200" s="2"/>
      <c r="F200" s="7">
        <f t="shared" si="26"/>
        <v>-8.2760674727237627E-3</v>
      </c>
      <c r="G200" s="2"/>
      <c r="H200" s="6">
        <v>435.33324643849789</v>
      </c>
      <c r="I200" s="2"/>
      <c r="J200" s="7">
        <f t="shared" si="27"/>
        <v>4.9889544388410445E-4</v>
      </c>
      <c r="K200" s="2"/>
      <c r="L200" s="6">
        <f t="shared" si="28"/>
        <v>-5861.6532464384973</v>
      </c>
      <c r="M200" s="2"/>
      <c r="N200" s="7">
        <f t="shared" si="29"/>
        <v>-13.464749808091231</v>
      </c>
      <c r="O200" s="11"/>
      <c r="P200" s="6">
        <v>0</v>
      </c>
      <c r="Q200" s="2"/>
      <c r="R200" s="7">
        <f t="shared" si="30"/>
        <v>0</v>
      </c>
      <c r="S200" s="2"/>
      <c r="T200" s="6">
        <v>6283.8895416205332</v>
      </c>
      <c r="U200" s="2"/>
      <c r="V200" s="7">
        <f t="shared" si="31"/>
        <v>4.207333417065075E-4</v>
      </c>
      <c r="W200" s="2"/>
      <c r="X200" s="6">
        <f t="shared" si="32"/>
        <v>-6283.8895416205332</v>
      </c>
      <c r="Y200" s="2"/>
      <c r="Z200" s="7">
        <f t="shared" si="33"/>
        <v>-1</v>
      </c>
    </row>
    <row r="201" spans="1:26" s="24" customFormat="1" hidden="1" outlineLevel="2" x14ac:dyDescent="0.25">
      <c r="A201" s="27"/>
      <c r="B201" s="11" t="str">
        <f>CONCATENATE("          ", "6115", " - ", "P.E.R.S.")</f>
        <v xml:space="preserve">          6115 - P.E.R.S.</v>
      </c>
      <c r="C201" s="11"/>
      <c r="D201" s="6">
        <v>4823.4799999999996</v>
      </c>
      <c r="E201" s="2"/>
      <c r="F201" s="7">
        <f t="shared" si="26"/>
        <v>7.3566332124411406E-3</v>
      </c>
      <c r="G201" s="2"/>
      <c r="H201" s="6">
        <v>6361.9776405384546</v>
      </c>
      <c r="I201" s="2"/>
      <c r="J201" s="7">
        <f t="shared" si="27"/>
        <v>7.2908781604062115E-3</v>
      </c>
      <c r="K201" s="2"/>
      <c r="L201" s="6">
        <f t="shared" si="28"/>
        <v>-1538.497640538455</v>
      </c>
      <c r="M201" s="2"/>
      <c r="N201" s="7">
        <f t="shared" si="29"/>
        <v>-0.24182694870462357</v>
      </c>
      <c r="O201" s="11"/>
      <c r="P201" s="6">
        <v>81932.37000000001</v>
      </c>
      <c r="Q201" s="2"/>
      <c r="R201" s="7">
        <f t="shared" si="30"/>
        <v>6.7601532652795887E-3</v>
      </c>
      <c r="S201" s="2"/>
      <c r="T201" s="6">
        <v>82319.328526999918</v>
      </c>
      <c r="U201" s="2"/>
      <c r="V201" s="7">
        <f t="shared" si="31"/>
        <v>5.5116319198170892E-3</v>
      </c>
      <c r="W201" s="2"/>
      <c r="X201" s="6">
        <f t="shared" si="32"/>
        <v>-386.95852699990792</v>
      </c>
      <c r="Y201" s="2"/>
      <c r="Z201" s="7">
        <f t="shared" si="33"/>
        <v>-4.7007007214956735E-3</v>
      </c>
    </row>
    <row r="202" spans="1:26" s="24" customFormat="1" hidden="1" outlineLevel="2" x14ac:dyDescent="0.25">
      <c r="A202" s="27"/>
      <c r="B202" s="11" t="str">
        <f>CONCATENATE("          ", "6116", " - ", "EDUCATIONAL BENEFITS")</f>
        <v xml:space="preserve">          6116 - EDUCATIONAL BENEFITS</v>
      </c>
      <c r="C202" s="11"/>
      <c r="D202" s="6"/>
      <c r="E202" s="2"/>
      <c r="F202" s="7">
        <f t="shared" si="26"/>
        <v>0</v>
      </c>
      <c r="G202" s="2"/>
      <c r="H202" s="6">
        <v>0</v>
      </c>
      <c r="I202" s="2"/>
      <c r="J202" s="7">
        <f t="shared" si="27"/>
        <v>0</v>
      </c>
      <c r="K202" s="2"/>
      <c r="L202" s="6">
        <f t="shared" si="28"/>
        <v>0</v>
      </c>
      <c r="M202" s="2"/>
      <c r="N202" s="7">
        <f t="shared" si="29"/>
        <v>0</v>
      </c>
      <c r="O202" s="11"/>
      <c r="P202" s="6"/>
      <c r="Q202" s="2"/>
      <c r="R202" s="7">
        <f t="shared" si="30"/>
        <v>0</v>
      </c>
      <c r="S202" s="2"/>
      <c r="T202" s="6">
        <v>0</v>
      </c>
      <c r="U202" s="2"/>
      <c r="V202" s="7">
        <f t="shared" si="31"/>
        <v>0</v>
      </c>
      <c r="W202" s="2"/>
      <c r="X202" s="6">
        <f t="shared" si="32"/>
        <v>0</v>
      </c>
      <c r="Y202" s="2"/>
      <c r="Z202" s="7">
        <f t="shared" si="33"/>
        <v>0</v>
      </c>
    </row>
    <row r="203" spans="1:26" s="24" customFormat="1" hidden="1" outlineLevel="2" x14ac:dyDescent="0.25">
      <c r="A203" s="27"/>
      <c r="B203" s="11" t="str">
        <f>CONCATENATE("          ", "6117", " - ", "RETIREMENT STAFF HOURLY")</f>
        <v xml:space="preserve">          6117 - RETIREMENT STAFF HOURLY</v>
      </c>
      <c r="C203" s="11"/>
      <c r="D203" s="6">
        <v>375.7</v>
      </c>
      <c r="E203" s="2"/>
      <c r="F203" s="7">
        <f t="shared" si="26"/>
        <v>5.7300685354021099E-4</v>
      </c>
      <c r="G203" s="2"/>
      <c r="H203" s="6"/>
      <c r="I203" s="2"/>
      <c r="J203" s="7">
        <f t="shared" si="27"/>
        <v>0</v>
      </c>
      <c r="K203" s="2"/>
      <c r="L203" s="6">
        <f t="shared" si="28"/>
        <v>375.7</v>
      </c>
      <c r="M203" s="2"/>
      <c r="N203" s="7">
        <f t="shared" si="29"/>
        <v>0</v>
      </c>
      <c r="O203" s="11"/>
      <c r="P203" s="6">
        <v>4115.66</v>
      </c>
      <c r="Q203" s="2"/>
      <c r="R203" s="7">
        <f t="shared" si="30"/>
        <v>3.3957875730655156E-4</v>
      </c>
      <c r="S203" s="2"/>
      <c r="T203" s="6"/>
      <c r="U203" s="2"/>
      <c r="V203" s="7">
        <f t="shared" si="31"/>
        <v>0</v>
      </c>
      <c r="W203" s="2"/>
      <c r="X203" s="6">
        <f t="shared" si="32"/>
        <v>4115.66</v>
      </c>
      <c r="Y203" s="2"/>
      <c r="Z203" s="7">
        <f t="shared" si="33"/>
        <v>0</v>
      </c>
    </row>
    <row r="204" spans="1:26" s="24" customFormat="1" hidden="1" outlineLevel="2" x14ac:dyDescent="0.25">
      <c r="A204" s="27"/>
      <c r="B204" s="11" t="str">
        <f>CONCATENATE("          ", "6118", " - ", "VACATION")</f>
        <v xml:space="preserve">          6118 - VACATION</v>
      </c>
      <c r="C204" s="11"/>
      <c r="D204" s="6">
        <v>5295.05</v>
      </c>
      <c r="E204" s="2"/>
      <c r="F204" s="7">
        <f t="shared" si="26"/>
        <v>8.0758582375248713E-3</v>
      </c>
      <c r="G204" s="2"/>
      <c r="H204" s="6">
        <v>4591.3221527846117</v>
      </c>
      <c r="I204" s="2"/>
      <c r="J204" s="7">
        <f t="shared" si="27"/>
        <v>5.2616925589027029E-3</v>
      </c>
      <c r="K204" s="2"/>
      <c r="L204" s="6">
        <f t="shared" si="28"/>
        <v>703.72784721538846</v>
      </c>
      <c r="M204" s="2"/>
      <c r="N204" s="7">
        <f t="shared" si="29"/>
        <v>0.15327346324164628</v>
      </c>
      <c r="O204" s="11"/>
      <c r="P204" s="6">
        <v>71053.05</v>
      </c>
      <c r="Q204" s="2"/>
      <c r="R204" s="7">
        <f t="shared" si="30"/>
        <v>5.8625120689853576E-3</v>
      </c>
      <c r="S204" s="2"/>
      <c r="T204" s="6">
        <v>59402.643986199961</v>
      </c>
      <c r="U204" s="2"/>
      <c r="V204" s="7">
        <f t="shared" si="31"/>
        <v>3.9772616537862623E-3</v>
      </c>
      <c r="W204" s="2"/>
      <c r="X204" s="6">
        <f t="shared" si="32"/>
        <v>11650.406013800042</v>
      </c>
      <c r="Y204" s="2"/>
      <c r="Z204" s="7">
        <f t="shared" si="33"/>
        <v>0.19612605150212825</v>
      </c>
    </row>
    <row r="205" spans="1:26" s="24" customFormat="1" hidden="1" outlineLevel="2" x14ac:dyDescent="0.25">
      <c r="A205" s="27"/>
      <c r="B205" s="11" t="str">
        <f>CONCATENATE("          ", "6119", " - ", "SICK LEAVE")</f>
        <v xml:space="preserve">          6119 - SICK LEAVE</v>
      </c>
      <c r="C205" s="11"/>
      <c r="D205" s="6">
        <v>3114.01</v>
      </c>
      <c r="E205" s="2"/>
      <c r="F205" s="7">
        <f t="shared" si="26"/>
        <v>4.7493986478380421E-3</v>
      </c>
      <c r="G205" s="2"/>
      <c r="H205" s="6">
        <v>3870.4302364865298</v>
      </c>
      <c r="I205" s="2"/>
      <c r="J205" s="7">
        <f t="shared" si="27"/>
        <v>4.4355445550083939E-3</v>
      </c>
      <c r="K205" s="2"/>
      <c r="L205" s="6">
        <f t="shared" si="28"/>
        <v>-756.42023648652957</v>
      </c>
      <c r="M205" s="2"/>
      <c r="N205" s="7">
        <f t="shared" si="29"/>
        <v>-0.19543569842850006</v>
      </c>
      <c r="O205" s="11"/>
      <c r="P205" s="6">
        <v>4066.99</v>
      </c>
      <c r="Q205" s="2"/>
      <c r="R205" s="7">
        <f t="shared" si="30"/>
        <v>3.3556304703939884E-4</v>
      </c>
      <c r="S205" s="2"/>
      <c r="T205" s="6">
        <v>53281.083646709711</v>
      </c>
      <c r="U205" s="2"/>
      <c r="V205" s="7">
        <f t="shared" si="31"/>
        <v>3.5673969480123991E-3</v>
      </c>
      <c r="W205" s="2"/>
      <c r="X205" s="6">
        <f t="shared" si="32"/>
        <v>-49214.093646709713</v>
      </c>
      <c r="Y205" s="2"/>
      <c r="Z205" s="7">
        <f t="shared" si="33"/>
        <v>-0.9236691575763184</v>
      </c>
    </row>
    <row r="206" spans="1:26" s="24" customFormat="1" hidden="1" outlineLevel="2" x14ac:dyDescent="0.25">
      <c r="A206" s="27"/>
      <c r="B206" s="11" t="str">
        <f>CONCATENATE("          ", "6156", " - ", "EMPLOYEE MEALS")</f>
        <v xml:space="preserve">          6156 - EMPLOYEE MEALS</v>
      </c>
      <c r="C206" s="11"/>
      <c r="D206" s="6">
        <v>1052.54</v>
      </c>
      <c r="E206" s="2"/>
      <c r="F206" s="7">
        <f t="shared" si="26"/>
        <v>1.6053037892606165E-3</v>
      </c>
      <c r="G206" s="2"/>
      <c r="H206" s="6">
        <v>1550</v>
      </c>
      <c r="I206" s="2"/>
      <c r="J206" s="7">
        <f t="shared" si="27"/>
        <v>1.7763126164764649E-3</v>
      </c>
      <c r="K206" s="2"/>
      <c r="L206" s="6">
        <f t="shared" si="28"/>
        <v>-497.46000000000004</v>
      </c>
      <c r="M206" s="2"/>
      <c r="N206" s="7">
        <f t="shared" si="29"/>
        <v>-0.32094193548387101</v>
      </c>
      <c r="O206" s="11"/>
      <c r="P206" s="6">
        <v>21736.710000000003</v>
      </c>
      <c r="Q206" s="2"/>
      <c r="R206" s="7">
        <f t="shared" si="30"/>
        <v>1.7934729714633604E-3</v>
      </c>
      <c r="S206" s="2"/>
      <c r="T206" s="6">
        <v>18600</v>
      </c>
      <c r="U206" s="2"/>
      <c r="V206" s="7">
        <f t="shared" si="31"/>
        <v>1.2453497318673282E-3</v>
      </c>
      <c r="W206" s="2"/>
      <c r="X206" s="6">
        <f t="shared" si="32"/>
        <v>3136.7100000000028</v>
      </c>
      <c r="Y206" s="2"/>
      <c r="Z206" s="7">
        <f t="shared" si="33"/>
        <v>0.16864032258064532</v>
      </c>
    </row>
    <row r="207" spans="1:26" s="26" customFormat="1" outlineLevel="1" collapsed="1" x14ac:dyDescent="0.25">
      <c r="A207" s="25"/>
      <c r="B207" s="12" t="str">
        <f>CONCATENATE("     ","*Payroll                                          ")</f>
        <v xml:space="preserve">     *Payroll                                          </v>
      </c>
      <c r="C207" s="12"/>
      <c r="D207" s="1">
        <f>SUM(OSRRefD22_1x_0)</f>
        <v>103802.62999999999</v>
      </c>
      <c r="E207" s="1"/>
      <c r="F207" s="5">
        <f t="shared" ref="F207:F217" si="34">IF(D$12=0,0,D207/D$12)</f>
        <v>0.15831679107133007</v>
      </c>
      <c r="G207" s="1"/>
      <c r="H207" s="1">
        <f>SUM(OSRRefH22_1x_0)</f>
        <v>159931.71316476076</v>
      </c>
      <c r="I207" s="1"/>
      <c r="J207" s="5">
        <f t="shared" ref="J207:J217" si="35">IF(H$12=0,0,H207/H$12)</f>
        <v>0.18328304507694171</v>
      </c>
      <c r="K207" s="1"/>
      <c r="L207" s="1">
        <f t="shared" ref="L207:L217" si="36">+D207-H207</f>
        <v>-56129.08316476077</v>
      </c>
      <c r="M207" s="1"/>
      <c r="N207" s="5">
        <f t="shared" ref="N207:N217" si="37">IF(H207=0,0,L207/H207)</f>
        <v>-0.35095655548275723</v>
      </c>
      <c r="O207" s="12"/>
      <c r="P207" s="1">
        <f>SUM(OSRRefP22_1x_0)</f>
        <v>1999534.62</v>
      </c>
      <c r="Q207" s="1"/>
      <c r="R207" s="5">
        <f t="shared" ref="R207:R217" si="38">IF(P$12=0,0,P207/P$12)</f>
        <v>0.16497948845410648</v>
      </c>
      <c r="S207" s="1"/>
      <c r="T207" s="1">
        <f>SUM(OSRRefT22_1x_0)</f>
        <v>2318448.4707703744</v>
      </c>
      <c r="U207" s="1"/>
      <c r="V207" s="5">
        <f t="shared" ref="V207:V217" si="39">IF(T$12=0,0,T207/T$12)</f>
        <v>0.15523006351731736</v>
      </c>
      <c r="W207" s="1"/>
      <c r="X207" s="1">
        <f t="shared" ref="X207:X217" si="40">+P207-T207</f>
        <v>-318913.85077037429</v>
      </c>
      <c r="Y207" s="1"/>
      <c r="Z207" s="5">
        <f t="shared" ref="Z207:Z217" si="41">IF(T207=0,0,X207/T207)</f>
        <v>-0.13755485825587729</v>
      </c>
    </row>
    <row r="208" spans="1:26" s="24" customFormat="1" hidden="1" outlineLevel="2" x14ac:dyDescent="0.25">
      <c r="A208" s="27"/>
      <c r="B208" s="11" t="str">
        <f>CONCATENATE("          ", "6001", " - ", "ADMINISTRATIVE SALARIES")</f>
        <v xml:space="preserve">          6001 - ADMINISTRATIVE SALARIES</v>
      </c>
      <c r="C208" s="11"/>
      <c r="D208" s="6"/>
      <c r="E208" s="2"/>
      <c r="F208" s="7">
        <f t="shared" si="34"/>
        <v>0</v>
      </c>
      <c r="G208" s="2"/>
      <c r="H208" s="6">
        <v>27651.922292615382</v>
      </c>
      <c r="I208" s="2"/>
      <c r="J208" s="7">
        <f t="shared" si="35"/>
        <v>3.1689328024644844E-2</v>
      </c>
      <c r="K208" s="2"/>
      <c r="L208" s="6">
        <f t="shared" si="36"/>
        <v>-27651.922292615382</v>
      </c>
      <c r="M208" s="2"/>
      <c r="N208" s="7">
        <f t="shared" si="37"/>
        <v>-1</v>
      </c>
      <c r="O208" s="11"/>
      <c r="P208" s="6">
        <v>93238.31</v>
      </c>
      <c r="Q208" s="2"/>
      <c r="R208" s="7">
        <f t="shared" si="38"/>
        <v>7.692994426935904E-3</v>
      </c>
      <c r="S208" s="2"/>
      <c r="T208" s="6">
        <v>359474.98980399995</v>
      </c>
      <c r="U208" s="2"/>
      <c r="V208" s="7">
        <f t="shared" si="39"/>
        <v>2.4068391514269993E-2</v>
      </c>
      <c r="W208" s="2"/>
      <c r="X208" s="6">
        <f t="shared" si="40"/>
        <v>-266236.67980399996</v>
      </c>
      <c r="Y208" s="2"/>
      <c r="Z208" s="7">
        <f t="shared" si="41"/>
        <v>-0.74062643398129802</v>
      </c>
    </row>
    <row r="209" spans="1:26" s="24" customFormat="1" hidden="1" outlineLevel="2" x14ac:dyDescent="0.25">
      <c r="A209" s="27"/>
      <c r="B209" s="11" t="str">
        <f>CONCATENATE("          ", "6002", " - ", "STAFF SALARIES")</f>
        <v xml:space="preserve">          6002 - STAFF SALARIES</v>
      </c>
      <c r="C209" s="11"/>
      <c r="D209" s="6">
        <v>49223.519999999997</v>
      </c>
      <c r="E209" s="2"/>
      <c r="F209" s="7">
        <f t="shared" si="34"/>
        <v>7.5074299481963383E-2</v>
      </c>
      <c r="G209" s="2"/>
      <c r="H209" s="6">
        <v>39749.506545646182</v>
      </c>
      <c r="I209" s="2"/>
      <c r="J209" s="7">
        <f t="shared" si="35"/>
        <v>4.5553258048867826E-2</v>
      </c>
      <c r="K209" s="2"/>
      <c r="L209" s="6">
        <f t="shared" si="36"/>
        <v>9474.0134543538152</v>
      </c>
      <c r="M209" s="2"/>
      <c r="N209" s="7">
        <f t="shared" si="37"/>
        <v>0.23834291989195819</v>
      </c>
      <c r="O209" s="11"/>
      <c r="P209" s="6">
        <v>694564.51</v>
      </c>
      <c r="Q209" s="2"/>
      <c r="R209" s="7">
        <f t="shared" si="38"/>
        <v>5.7307783727284067E-2</v>
      </c>
      <c r="S209" s="2"/>
      <c r="T209" s="6">
        <v>512730.01709340018</v>
      </c>
      <c r="U209" s="2"/>
      <c r="V209" s="7">
        <f t="shared" si="39"/>
        <v>3.4329472543419171E-2</v>
      </c>
      <c r="W209" s="2"/>
      <c r="X209" s="6">
        <f t="shared" si="40"/>
        <v>181834.49290659983</v>
      </c>
      <c r="Y209" s="2"/>
      <c r="Z209" s="7">
        <f t="shared" si="41"/>
        <v>0.35463984327930698</v>
      </c>
    </row>
    <row r="210" spans="1:26" s="24" customFormat="1" hidden="1" outlineLevel="2" x14ac:dyDescent="0.25">
      <c r="A210" s="27"/>
      <c r="B210" s="11" t="str">
        <f>CONCATENATE("          ", "6003", " - ", "STAFF HOURLY-9 MONTH")</f>
        <v xml:space="preserve">          6003 - STAFF HOURLY-9 MONTH</v>
      </c>
      <c r="C210" s="11"/>
      <c r="D210" s="6"/>
      <c r="E210" s="2"/>
      <c r="F210" s="7">
        <f t="shared" si="34"/>
        <v>0</v>
      </c>
      <c r="G210" s="2"/>
      <c r="H210" s="6">
        <v>0</v>
      </c>
      <c r="I210" s="2"/>
      <c r="J210" s="7">
        <f t="shared" si="35"/>
        <v>0</v>
      </c>
      <c r="K210" s="2"/>
      <c r="L210" s="6">
        <f t="shared" si="36"/>
        <v>0</v>
      </c>
      <c r="M210" s="2"/>
      <c r="N210" s="7">
        <f t="shared" si="37"/>
        <v>0</v>
      </c>
      <c r="O210" s="11"/>
      <c r="P210" s="6"/>
      <c r="Q210" s="2"/>
      <c r="R210" s="7">
        <f t="shared" si="38"/>
        <v>0</v>
      </c>
      <c r="S210" s="2"/>
      <c r="T210" s="6">
        <v>0</v>
      </c>
      <c r="U210" s="2"/>
      <c r="V210" s="7">
        <f t="shared" si="39"/>
        <v>0</v>
      </c>
      <c r="W210" s="2"/>
      <c r="X210" s="6">
        <f t="shared" si="40"/>
        <v>0</v>
      </c>
      <c r="Y210" s="2"/>
      <c r="Z210" s="7">
        <f t="shared" si="41"/>
        <v>0</v>
      </c>
    </row>
    <row r="211" spans="1:26" s="24" customFormat="1" hidden="1" outlineLevel="2" x14ac:dyDescent="0.25">
      <c r="A211" s="27"/>
      <c r="B211" s="11" t="str">
        <f>CONCATENATE("          ", "6004", " - ", "STAFF HOURLY")</f>
        <v xml:space="preserve">          6004 - STAFF HOURLY</v>
      </c>
      <c r="C211" s="11"/>
      <c r="D211" s="6">
        <v>21472.59</v>
      </c>
      <c r="E211" s="2"/>
      <c r="F211" s="7">
        <f t="shared" si="34"/>
        <v>3.2749377783494807E-2</v>
      </c>
      <c r="G211" s="2"/>
      <c r="H211" s="6">
        <v>23102.312382</v>
      </c>
      <c r="I211" s="2"/>
      <c r="J211" s="7">
        <f t="shared" si="35"/>
        <v>2.6475438034791646E-2</v>
      </c>
      <c r="K211" s="2"/>
      <c r="L211" s="6">
        <f t="shared" si="36"/>
        <v>-1629.7223819999999</v>
      </c>
      <c r="M211" s="2"/>
      <c r="N211" s="7">
        <f t="shared" si="37"/>
        <v>-7.0543690824204516E-2</v>
      </c>
      <c r="O211" s="11"/>
      <c r="P211" s="6">
        <v>92884.72</v>
      </c>
      <c r="Q211" s="2"/>
      <c r="R211" s="7">
        <f t="shared" si="38"/>
        <v>7.6638200896981283E-3</v>
      </c>
      <c r="S211" s="2"/>
      <c r="T211" s="6">
        <v>294941.93721599999</v>
      </c>
      <c r="U211" s="2"/>
      <c r="V211" s="7">
        <f t="shared" si="39"/>
        <v>1.9747627012278276E-2</v>
      </c>
      <c r="W211" s="2"/>
      <c r="X211" s="6">
        <f t="shared" si="40"/>
        <v>-202057.21721599999</v>
      </c>
      <c r="Y211" s="2"/>
      <c r="Z211" s="7">
        <f t="shared" si="41"/>
        <v>-0.68507455780363946</v>
      </c>
    </row>
    <row r="212" spans="1:26" s="24" customFormat="1" hidden="1" outlineLevel="2" x14ac:dyDescent="0.25">
      <c r="A212" s="27"/>
      <c r="B212" s="11" t="str">
        <f>CONCATENATE("          ", "6005", " - ", "TEMPORARY WAGES-HOURLY")</f>
        <v xml:space="preserve">          6005 - TEMPORARY WAGES-HOURLY</v>
      </c>
      <c r="C212" s="11"/>
      <c r="D212" s="6">
        <v>13347.48</v>
      </c>
      <c r="E212" s="2"/>
      <c r="F212" s="7">
        <f t="shared" si="34"/>
        <v>2.0357193285842148E-2</v>
      </c>
      <c r="G212" s="2"/>
      <c r="H212" s="6">
        <v>3713.36</v>
      </c>
      <c r="I212" s="2"/>
      <c r="J212" s="7">
        <f t="shared" si="35"/>
        <v>4.2555407854961581E-3</v>
      </c>
      <c r="K212" s="2"/>
      <c r="L212" s="6">
        <f t="shared" si="36"/>
        <v>9634.119999999999</v>
      </c>
      <c r="M212" s="2"/>
      <c r="N212" s="7">
        <f t="shared" si="37"/>
        <v>2.5944481547708809</v>
      </c>
      <c r="O212" s="11"/>
      <c r="P212" s="6">
        <v>231656.27</v>
      </c>
      <c r="Q212" s="2"/>
      <c r="R212" s="7">
        <f t="shared" si="38"/>
        <v>1.9113714031011062E-2</v>
      </c>
      <c r="S212" s="2"/>
      <c r="T212" s="6">
        <v>40874.879999999997</v>
      </c>
      <c r="U212" s="2"/>
      <c r="V212" s="7">
        <f t="shared" si="39"/>
        <v>2.7367484326940436E-3</v>
      </c>
      <c r="W212" s="2"/>
      <c r="X212" s="6">
        <f t="shared" si="40"/>
        <v>190781.38999999998</v>
      </c>
      <c r="Y212" s="2"/>
      <c r="Z212" s="7">
        <f t="shared" si="41"/>
        <v>4.6674483203375763</v>
      </c>
    </row>
    <row r="213" spans="1:26" s="24" customFormat="1" hidden="1" outlineLevel="2" x14ac:dyDescent="0.25">
      <c r="A213" s="27"/>
      <c r="B213" s="11" t="str">
        <f>CONCATENATE("          ", "6006", " - ", "TEMPORARY PART TIME")</f>
        <v xml:space="preserve">          6006 - TEMPORARY PART TIME</v>
      </c>
      <c r="C213" s="11"/>
      <c r="D213" s="6">
        <v>2246.59</v>
      </c>
      <c r="E213" s="2"/>
      <c r="F213" s="7">
        <f t="shared" si="34"/>
        <v>3.4264345677266508E-3</v>
      </c>
      <c r="G213" s="2"/>
      <c r="H213" s="6">
        <v>0</v>
      </c>
      <c r="I213" s="2"/>
      <c r="J213" s="7">
        <f t="shared" si="35"/>
        <v>0</v>
      </c>
      <c r="K213" s="2"/>
      <c r="L213" s="6">
        <f t="shared" si="36"/>
        <v>2246.59</v>
      </c>
      <c r="M213" s="2"/>
      <c r="N213" s="7">
        <f t="shared" si="37"/>
        <v>0</v>
      </c>
      <c r="O213" s="11"/>
      <c r="P213" s="6">
        <v>46340.979999999996</v>
      </c>
      <c r="Q213" s="2"/>
      <c r="R213" s="7">
        <f t="shared" si="38"/>
        <v>3.8235452881840966E-3</v>
      </c>
      <c r="S213" s="2"/>
      <c r="T213" s="6">
        <v>0</v>
      </c>
      <c r="U213" s="2"/>
      <c r="V213" s="7">
        <f t="shared" si="39"/>
        <v>0</v>
      </c>
      <c r="W213" s="2"/>
      <c r="X213" s="6">
        <f t="shared" si="40"/>
        <v>46340.979999999996</v>
      </c>
      <c r="Y213" s="2"/>
      <c r="Z213" s="7">
        <f t="shared" si="41"/>
        <v>0</v>
      </c>
    </row>
    <row r="214" spans="1:26" s="24" customFormat="1" hidden="1" outlineLevel="2" x14ac:dyDescent="0.25">
      <c r="A214" s="27"/>
      <c r="B214" s="11" t="str">
        <f>CONCATENATE("          ", "6007", " - ", "STUDENT HOURLY")</f>
        <v xml:space="preserve">          6007 - STUDENT HOURLY</v>
      </c>
      <c r="C214" s="11"/>
      <c r="D214" s="6">
        <v>17512.449999999997</v>
      </c>
      <c r="E214" s="2"/>
      <c r="F214" s="7">
        <f t="shared" si="34"/>
        <v>2.6709485952303078E-2</v>
      </c>
      <c r="G214" s="2"/>
      <c r="H214" s="6">
        <v>64194.852222499198</v>
      </c>
      <c r="I214" s="2"/>
      <c r="J214" s="7">
        <f t="shared" si="35"/>
        <v>7.3567823171398428E-2</v>
      </c>
      <c r="K214" s="2"/>
      <c r="L214" s="6">
        <f t="shared" si="36"/>
        <v>-46682.4022224992</v>
      </c>
      <c r="M214" s="2"/>
      <c r="N214" s="7">
        <f t="shared" si="37"/>
        <v>-0.72719853082141406</v>
      </c>
      <c r="O214" s="11"/>
      <c r="P214" s="6">
        <v>825369.91</v>
      </c>
      <c r="Q214" s="2"/>
      <c r="R214" s="7">
        <f t="shared" si="38"/>
        <v>6.8100399050461002E-2</v>
      </c>
      <c r="S214" s="2"/>
      <c r="T214" s="6">
        <v>281531.45392369921</v>
      </c>
      <c r="U214" s="2"/>
      <c r="V214" s="7">
        <f t="shared" si="39"/>
        <v>1.8849737669682683E-2</v>
      </c>
      <c r="W214" s="2"/>
      <c r="X214" s="6">
        <f t="shared" si="40"/>
        <v>543838.45607630082</v>
      </c>
      <c r="Y214" s="2"/>
      <c r="Z214" s="7">
        <f t="shared" si="41"/>
        <v>1.9317147284853371</v>
      </c>
    </row>
    <row r="215" spans="1:26" s="24" customFormat="1" hidden="1" outlineLevel="2" x14ac:dyDescent="0.25">
      <c r="A215" s="27"/>
      <c r="B215" s="11" t="str">
        <f>CONCATENATE("          ", "6008", " - ", "STUDENT HOURLY-FICA EXEMPT")</f>
        <v xml:space="preserve">          6008 - STUDENT HOURLY-FICA EXEMPT</v>
      </c>
      <c r="C215" s="11"/>
      <c r="D215" s="6"/>
      <c r="E215" s="2"/>
      <c r="F215" s="7">
        <f t="shared" si="34"/>
        <v>0</v>
      </c>
      <c r="G215" s="2"/>
      <c r="H215" s="6">
        <v>1519.759722</v>
      </c>
      <c r="I215" s="2"/>
      <c r="J215" s="7">
        <f t="shared" si="35"/>
        <v>1.7416570117428161E-3</v>
      </c>
      <c r="K215" s="2"/>
      <c r="L215" s="6">
        <f t="shared" si="36"/>
        <v>-1519.759722</v>
      </c>
      <c r="M215" s="2"/>
      <c r="N215" s="7">
        <f t="shared" si="37"/>
        <v>-1</v>
      </c>
      <c r="O215" s="11"/>
      <c r="P215" s="6">
        <v>15479.92</v>
      </c>
      <c r="Q215" s="2"/>
      <c r="R215" s="7">
        <f t="shared" si="38"/>
        <v>1.2772318405322193E-3</v>
      </c>
      <c r="S215" s="2"/>
      <c r="T215" s="6">
        <v>828895.19273327524</v>
      </c>
      <c r="U215" s="2"/>
      <c r="V215" s="7">
        <f t="shared" si="39"/>
        <v>5.5498086344973205E-2</v>
      </c>
      <c r="W215" s="2"/>
      <c r="X215" s="6">
        <f t="shared" si="40"/>
        <v>-813415.2727332752</v>
      </c>
      <c r="Y215" s="2"/>
      <c r="Z215" s="7">
        <f t="shared" si="41"/>
        <v>-0.98132463532698855</v>
      </c>
    </row>
    <row r="216" spans="1:26" s="24" customFormat="1" hidden="1" outlineLevel="2" x14ac:dyDescent="0.25">
      <c r="A216" s="27"/>
      <c r="B216" s="11" t="str">
        <f>CONCATENATE("          ", "6009", " - ", "TEMPORARY-SEASONAL")</f>
        <v xml:space="preserve">          6009 - TEMPORARY-SEASONAL</v>
      </c>
      <c r="C216" s="11"/>
      <c r="D216" s="6"/>
      <c r="E216" s="2"/>
      <c r="F216" s="7">
        <f t="shared" si="34"/>
        <v>0</v>
      </c>
      <c r="G216" s="2"/>
      <c r="H216" s="6">
        <v>0</v>
      </c>
      <c r="I216" s="2"/>
      <c r="J216" s="7">
        <f t="shared" si="35"/>
        <v>0</v>
      </c>
      <c r="K216" s="2"/>
      <c r="L216" s="6">
        <f t="shared" si="36"/>
        <v>0</v>
      </c>
      <c r="M216" s="2"/>
      <c r="N216" s="7">
        <f t="shared" si="37"/>
        <v>0</v>
      </c>
      <c r="O216" s="11"/>
      <c r="P216" s="6"/>
      <c r="Q216" s="2"/>
      <c r="R216" s="7">
        <f t="shared" si="38"/>
        <v>0</v>
      </c>
      <c r="S216" s="2"/>
      <c r="T216" s="6">
        <v>0</v>
      </c>
      <c r="U216" s="2"/>
      <c r="V216" s="7">
        <f t="shared" si="39"/>
        <v>0</v>
      </c>
      <c r="W216" s="2"/>
      <c r="X216" s="6">
        <f t="shared" si="40"/>
        <v>0</v>
      </c>
      <c r="Y216" s="2"/>
      <c r="Z216" s="7">
        <f t="shared" si="41"/>
        <v>0</v>
      </c>
    </row>
    <row r="217" spans="1:26" s="24" customFormat="1" hidden="1" outlineLevel="2" x14ac:dyDescent="0.25">
      <c r="A217" s="27"/>
      <c r="B217" s="11" t="str">
        <f>CONCATENATE("          ", "6010", " - ", "GRATUITY")</f>
        <v xml:space="preserve">          6010 - GRATUITY</v>
      </c>
      <c r="C217" s="11"/>
      <c r="D217" s="6"/>
      <c r="E217" s="2"/>
      <c r="F217" s="7">
        <f t="shared" si="34"/>
        <v>0</v>
      </c>
      <c r="G217" s="2"/>
      <c r="H217" s="6">
        <v>0</v>
      </c>
      <c r="I217" s="2"/>
      <c r="J217" s="7">
        <f t="shared" si="35"/>
        <v>0</v>
      </c>
      <c r="K217" s="2"/>
      <c r="L217" s="6">
        <f t="shared" si="36"/>
        <v>0</v>
      </c>
      <c r="M217" s="2"/>
      <c r="N217" s="7">
        <f t="shared" si="37"/>
        <v>0</v>
      </c>
      <c r="O217" s="11"/>
      <c r="P217" s="6"/>
      <c r="Q217" s="2"/>
      <c r="R217" s="7">
        <f t="shared" si="38"/>
        <v>0</v>
      </c>
      <c r="S217" s="2"/>
      <c r="T217" s="6">
        <v>0</v>
      </c>
      <c r="U217" s="2"/>
      <c r="V217" s="7">
        <f t="shared" si="39"/>
        <v>0</v>
      </c>
      <c r="W217" s="2"/>
      <c r="X217" s="6">
        <f t="shared" si="40"/>
        <v>0</v>
      </c>
      <c r="Y217" s="2"/>
      <c r="Z217" s="7">
        <f t="shared" si="41"/>
        <v>0</v>
      </c>
    </row>
    <row r="218" spans="1:26" s="26" customFormat="1" outlineLevel="1" collapsed="1" x14ac:dyDescent="0.25">
      <c r="A218" s="25"/>
      <c r="B218" s="12" t="str">
        <f>CONCATENATE("     ","Advertising/Promo                                 ")</f>
        <v xml:space="preserve">     Advertising/Promo                                 </v>
      </c>
      <c r="C218" s="12"/>
      <c r="D218" s="1">
        <f>SUM(OSRRefD22_2x_0)</f>
        <v>-2380.7399999999998</v>
      </c>
      <c r="E218" s="1"/>
      <c r="F218" s="5">
        <f t="shared" ref="F218:F222" si="42">IF(D$12=0,0,D218/D$12)</f>
        <v>-3.6310362962398771E-3</v>
      </c>
      <c r="G218" s="1"/>
      <c r="H218" s="1">
        <f>SUM(OSRRefH22_2x_0)</f>
        <v>2970</v>
      </c>
      <c r="I218" s="1"/>
      <c r="J218" s="5">
        <f t="shared" ref="J218:J222" si="43">IF(H$12=0,0,H218/H$12)</f>
        <v>3.4036441747968388E-3</v>
      </c>
      <c r="K218" s="1"/>
      <c r="L218" s="1">
        <f t="shared" ref="L218:L222" si="44">+D218-H218</f>
        <v>-5350.74</v>
      </c>
      <c r="M218" s="1"/>
      <c r="N218" s="5">
        <f t="shared" ref="N218:N222" si="45">IF(H218=0,0,L218/H218)</f>
        <v>-1.8015959595959594</v>
      </c>
      <c r="O218" s="12"/>
      <c r="P218" s="1">
        <f>SUM(OSRRefP22_2x_0)</f>
        <v>44836.67</v>
      </c>
      <c r="Q218" s="1"/>
      <c r="R218" s="5">
        <f t="shared" ref="R218:R222" si="46">IF(P$12=0,0,P218/P$12)</f>
        <v>3.6994262597891815E-3</v>
      </c>
      <c r="S218" s="1"/>
      <c r="T218" s="1">
        <f>SUM(OSRRefT22_2x_0)</f>
        <v>74340</v>
      </c>
      <c r="U218" s="1"/>
      <c r="V218" s="5">
        <f t="shared" ref="V218:V222" si="47">IF(T$12=0,0,T218/T$12)</f>
        <v>4.9773816702697411E-3</v>
      </c>
      <c r="W218" s="1"/>
      <c r="X218" s="1">
        <f t="shared" ref="X218:X222" si="48">+P218-T218</f>
        <v>-29503.33</v>
      </c>
      <c r="Y218" s="1"/>
      <c r="Z218" s="5">
        <f t="shared" ref="Z218:Z222" si="49">IF(T218=0,0,X218/T218)</f>
        <v>-0.39687019101425886</v>
      </c>
    </row>
    <row r="219" spans="1:26" s="24" customFormat="1" hidden="1" outlineLevel="2" x14ac:dyDescent="0.25">
      <c r="A219" s="27"/>
      <c r="B219" s="11" t="str">
        <f>CONCATENATE("          ", "6362", " - ", "ADVERTISING EXPENSE")</f>
        <v xml:space="preserve">          6362 - ADVERTISING EXPENSE</v>
      </c>
      <c r="C219" s="11"/>
      <c r="D219" s="6">
        <v>-2380.7399999999998</v>
      </c>
      <c r="E219" s="2"/>
      <c r="F219" s="7">
        <f t="shared" si="42"/>
        <v>-3.6310362962398771E-3</v>
      </c>
      <c r="G219" s="2"/>
      <c r="H219" s="6">
        <v>2970</v>
      </c>
      <c r="I219" s="2"/>
      <c r="J219" s="7">
        <f t="shared" si="43"/>
        <v>3.4036441747968388E-3</v>
      </c>
      <c r="K219" s="2"/>
      <c r="L219" s="6">
        <f t="shared" si="44"/>
        <v>-5350.74</v>
      </c>
      <c r="M219" s="2"/>
      <c r="N219" s="7">
        <f t="shared" si="45"/>
        <v>-1.8015959595959594</v>
      </c>
      <c r="O219" s="11"/>
      <c r="P219" s="6">
        <v>44836.67</v>
      </c>
      <c r="Q219" s="2"/>
      <c r="R219" s="7">
        <f t="shared" si="46"/>
        <v>3.6994262597891815E-3</v>
      </c>
      <c r="S219" s="2"/>
      <c r="T219" s="6">
        <v>74340</v>
      </c>
      <c r="U219" s="2"/>
      <c r="V219" s="7">
        <f t="shared" si="47"/>
        <v>4.9773816702697411E-3</v>
      </c>
      <c r="W219" s="2"/>
      <c r="X219" s="6">
        <f t="shared" si="48"/>
        <v>-29503.33</v>
      </c>
      <c r="Y219" s="2"/>
      <c r="Z219" s="7">
        <f t="shared" si="49"/>
        <v>-0.39687019101425886</v>
      </c>
    </row>
    <row r="220" spans="1:26" s="26" customFormat="1" outlineLevel="1" collapsed="1" x14ac:dyDescent="0.25">
      <c r="A220" s="25"/>
      <c r="B220" s="12" t="str">
        <f>CONCATENATE("     ","Bad Debts/Over/Short                              ")</f>
        <v xml:space="preserve">     Bad Debts/Over/Short                              </v>
      </c>
      <c r="C220" s="12"/>
      <c r="D220" s="1">
        <f>SUM(OSRRefD22_3x_0)</f>
        <v>0</v>
      </c>
      <c r="E220" s="1"/>
      <c r="F220" s="5">
        <f t="shared" si="42"/>
        <v>0</v>
      </c>
      <c r="G220" s="1"/>
      <c r="H220" s="1">
        <f>SUM(OSRRefH22_3x_0)</f>
        <v>135</v>
      </c>
      <c r="I220" s="1"/>
      <c r="J220" s="5">
        <f t="shared" si="43"/>
        <v>1.5471109885440177E-4</v>
      </c>
      <c r="K220" s="1"/>
      <c r="L220" s="1">
        <f t="shared" si="44"/>
        <v>-135</v>
      </c>
      <c r="M220" s="1"/>
      <c r="N220" s="5">
        <f t="shared" si="45"/>
        <v>-1</v>
      </c>
      <c r="O220" s="12"/>
      <c r="P220" s="1">
        <f>SUM(OSRRefP22_3x_0)</f>
        <v>-30.92</v>
      </c>
      <c r="Q220" s="1"/>
      <c r="R220" s="5">
        <f t="shared" si="46"/>
        <v>-2.5511765247660339E-6</v>
      </c>
      <c r="S220" s="1"/>
      <c r="T220" s="1">
        <f>SUM(OSRRefT22_3x_0)</f>
        <v>1620</v>
      </c>
      <c r="U220" s="1"/>
      <c r="V220" s="5">
        <f t="shared" si="47"/>
        <v>1.0846594438844471E-4</v>
      </c>
      <c r="W220" s="1"/>
      <c r="X220" s="1">
        <f t="shared" si="48"/>
        <v>-1650.92</v>
      </c>
      <c r="Y220" s="1"/>
      <c r="Z220" s="5">
        <f t="shared" si="49"/>
        <v>-1.0190864197530864</v>
      </c>
    </row>
    <row r="221" spans="1:26" s="24" customFormat="1" hidden="1" outlineLevel="2" x14ac:dyDescent="0.25">
      <c r="A221" s="27"/>
      <c r="B221" s="11" t="str">
        <f>CONCATENATE("          ", "6272", " - ", "CASH (OVER/SHORT)")</f>
        <v xml:space="preserve">          6272 - CASH (OVER/SHORT)</v>
      </c>
      <c r="C221" s="11"/>
      <c r="D221" s="6"/>
      <c r="E221" s="2"/>
      <c r="F221" s="7">
        <f t="shared" si="42"/>
        <v>0</v>
      </c>
      <c r="G221" s="2"/>
      <c r="H221" s="6">
        <v>125</v>
      </c>
      <c r="I221" s="2"/>
      <c r="J221" s="7">
        <f t="shared" si="43"/>
        <v>1.4325101745777942E-4</v>
      </c>
      <c r="K221" s="2"/>
      <c r="L221" s="6">
        <f t="shared" si="44"/>
        <v>-125</v>
      </c>
      <c r="M221" s="2"/>
      <c r="N221" s="7">
        <f t="shared" si="45"/>
        <v>-1</v>
      </c>
      <c r="O221" s="11"/>
      <c r="P221" s="6">
        <v>-75.72</v>
      </c>
      <c r="Q221" s="2"/>
      <c r="R221" s="7">
        <f t="shared" si="46"/>
        <v>-6.2475771816068595E-6</v>
      </c>
      <c r="S221" s="2"/>
      <c r="T221" s="6">
        <v>1500</v>
      </c>
      <c r="U221" s="2"/>
      <c r="V221" s="7">
        <f t="shared" si="47"/>
        <v>1.0043142998930066E-4</v>
      </c>
      <c r="W221" s="2"/>
      <c r="X221" s="6">
        <f t="shared" si="48"/>
        <v>-1575.72</v>
      </c>
      <c r="Y221" s="2"/>
      <c r="Z221" s="7">
        <f t="shared" si="49"/>
        <v>-1.0504800000000001</v>
      </c>
    </row>
    <row r="222" spans="1:26" s="24" customFormat="1" hidden="1" outlineLevel="2" x14ac:dyDescent="0.25">
      <c r="A222" s="27"/>
      <c r="B222" s="11" t="str">
        <f>CONCATENATE("          ", "6342", " - ", "BAD DEBT")</f>
        <v xml:space="preserve">          6342 - BAD DEBT</v>
      </c>
      <c r="C222" s="11"/>
      <c r="D222" s="6"/>
      <c r="E222" s="2"/>
      <c r="F222" s="7">
        <f t="shared" si="42"/>
        <v>0</v>
      </c>
      <c r="G222" s="2"/>
      <c r="H222" s="6">
        <v>10</v>
      </c>
      <c r="I222" s="2"/>
      <c r="J222" s="7">
        <f t="shared" si="43"/>
        <v>1.1460081396622353E-5</v>
      </c>
      <c r="K222" s="2"/>
      <c r="L222" s="6">
        <f t="shared" si="44"/>
        <v>-10</v>
      </c>
      <c r="M222" s="2"/>
      <c r="N222" s="7">
        <f t="shared" si="45"/>
        <v>-1</v>
      </c>
      <c r="O222" s="11"/>
      <c r="P222" s="6">
        <v>44.8</v>
      </c>
      <c r="Q222" s="2"/>
      <c r="R222" s="7">
        <f t="shared" si="46"/>
        <v>3.6964006568408252E-6</v>
      </c>
      <c r="S222" s="2"/>
      <c r="T222" s="6">
        <v>120</v>
      </c>
      <c r="U222" s="2"/>
      <c r="V222" s="7">
        <f t="shared" si="47"/>
        <v>8.0345143991440533E-6</v>
      </c>
      <c r="W222" s="2"/>
      <c r="X222" s="6">
        <f t="shared" si="48"/>
        <v>-75.2</v>
      </c>
      <c r="Y222" s="2"/>
      <c r="Z222" s="7">
        <f t="shared" si="49"/>
        <v>-0.62666666666666671</v>
      </c>
    </row>
    <row r="223" spans="1:26" s="26" customFormat="1" outlineLevel="1" collapsed="1" x14ac:dyDescent="0.25">
      <c r="A223" s="25"/>
      <c r="B223" s="12" t="str">
        <f>CONCATENATE("     ","Bank/card Fees                                    ")</f>
        <v xml:space="preserve">     Bank/card Fees                                    </v>
      </c>
      <c r="C223" s="12"/>
      <c r="D223" s="1">
        <f>SUM(OSRRefD22_4x_0)</f>
        <v>3703.6</v>
      </c>
      <c r="E223" s="1"/>
      <c r="F223" s="5">
        <f t="shared" ref="F223:F229" si="50">IF(D$12=0,0,D223/D$12)</f>
        <v>5.648624388532141E-3</v>
      </c>
      <c r="G223" s="1"/>
      <c r="H223" s="1">
        <f>SUM(OSRRefH22_4x_0)</f>
        <v>8900</v>
      </c>
      <c r="I223" s="1"/>
      <c r="J223" s="5">
        <f t="shared" ref="J223:J229" si="51">IF(H$12=0,0,H223/H$12)</f>
        <v>1.0199472442993894E-2</v>
      </c>
      <c r="K223" s="1"/>
      <c r="L223" s="1">
        <f t="shared" ref="L223:L229" si="52">+D223-H223</f>
        <v>-5196.3999999999996</v>
      </c>
      <c r="M223" s="1"/>
      <c r="N223" s="5">
        <f t="shared" ref="N223:N229" si="53">IF(H223=0,0,L223/H223)</f>
        <v>-0.5838651685393258</v>
      </c>
      <c r="O223" s="12"/>
      <c r="P223" s="1">
        <f>SUM(OSRRefP22_4x_0)</f>
        <v>148948.62999999998</v>
      </c>
      <c r="Q223" s="1"/>
      <c r="R223" s="5">
        <f t="shared" ref="R223:R229" si="54">IF(P$12=0,0,P223/P$12)</f>
        <v>1.2289594057311183E-2</v>
      </c>
      <c r="S223" s="1"/>
      <c r="T223" s="1">
        <f>SUM(OSRRefT22_4x_0)</f>
        <v>190285</v>
      </c>
      <c r="U223" s="1"/>
      <c r="V223" s="5">
        <f t="shared" ref="V223:V229" si="55">IF(T$12=0,0,T223/T$12)</f>
        <v>1.2740396437009385E-2</v>
      </c>
      <c r="W223" s="1"/>
      <c r="X223" s="1">
        <f t="shared" ref="X223:X229" si="56">+P223-T223</f>
        <v>-41336.370000000024</v>
      </c>
      <c r="Y223" s="1"/>
      <c r="Z223" s="5">
        <f t="shared" ref="Z223:Z229" si="57">IF(T223=0,0,X223/T223)</f>
        <v>-0.21723399111858541</v>
      </c>
    </row>
    <row r="224" spans="1:26" s="24" customFormat="1" hidden="1" outlineLevel="2" x14ac:dyDescent="0.25">
      <c r="A224" s="27"/>
      <c r="B224" s="11" t="str">
        <f>CONCATENATE("          ", "6381", " - ", "BANK/CREDIT CARD FEES")</f>
        <v xml:space="preserve">          6381 - BANK/CREDIT CARD FEES</v>
      </c>
      <c r="C224" s="11"/>
      <c r="D224" s="6">
        <v>3703.6</v>
      </c>
      <c r="E224" s="2"/>
      <c r="F224" s="7">
        <f t="shared" si="50"/>
        <v>5.648624388532141E-3</v>
      </c>
      <c r="G224" s="2"/>
      <c r="H224" s="6">
        <v>8900</v>
      </c>
      <c r="I224" s="2"/>
      <c r="J224" s="7">
        <f t="shared" si="51"/>
        <v>1.0199472442993894E-2</v>
      </c>
      <c r="K224" s="2"/>
      <c r="L224" s="6">
        <f t="shared" si="52"/>
        <v>-5196.3999999999996</v>
      </c>
      <c r="M224" s="2"/>
      <c r="N224" s="7">
        <f t="shared" si="53"/>
        <v>-0.5838651685393258</v>
      </c>
      <c r="O224" s="11"/>
      <c r="P224" s="6">
        <v>148948.62999999998</v>
      </c>
      <c r="Q224" s="2"/>
      <c r="R224" s="7">
        <f t="shared" si="54"/>
        <v>1.2289594057311183E-2</v>
      </c>
      <c r="S224" s="2"/>
      <c r="T224" s="6">
        <v>190285</v>
      </c>
      <c r="U224" s="2"/>
      <c r="V224" s="7">
        <f t="shared" si="55"/>
        <v>1.2740396437009385E-2</v>
      </c>
      <c r="W224" s="2"/>
      <c r="X224" s="6">
        <f t="shared" si="56"/>
        <v>-41336.370000000024</v>
      </c>
      <c r="Y224" s="2"/>
      <c r="Z224" s="7">
        <f t="shared" si="57"/>
        <v>-0.21723399111858541</v>
      </c>
    </row>
    <row r="225" spans="1:26" s="26" customFormat="1" outlineLevel="1" collapsed="1" x14ac:dyDescent="0.25">
      <c r="A225" s="25"/>
      <c r="B225" s="12" t="str">
        <f>CONCATENATE("     ","Depreciation                                      ")</f>
        <v xml:space="preserve">     Depreciation                                      </v>
      </c>
      <c r="C225" s="12"/>
      <c r="D225" s="1">
        <f>SUM(OSRRefD22_5x_0)</f>
        <v>30629.66</v>
      </c>
      <c r="E225" s="1"/>
      <c r="F225" s="5">
        <f t="shared" si="50"/>
        <v>4.671547804526606E-2</v>
      </c>
      <c r="G225" s="1"/>
      <c r="H225" s="1">
        <f>SUM(OSRRefH22_5x_0)</f>
        <v>31271</v>
      </c>
      <c r="I225" s="1"/>
      <c r="J225" s="5">
        <f t="shared" si="51"/>
        <v>3.5836820535377761E-2</v>
      </c>
      <c r="K225" s="1"/>
      <c r="L225" s="1">
        <f t="shared" si="52"/>
        <v>-641.34000000000015</v>
      </c>
      <c r="M225" s="1"/>
      <c r="N225" s="5">
        <f t="shared" si="53"/>
        <v>-2.0509097886220466E-2</v>
      </c>
      <c r="O225" s="12"/>
      <c r="P225" s="1">
        <f>SUM(OSRRefP22_5x_0)</f>
        <v>362746.92</v>
      </c>
      <c r="Q225" s="1"/>
      <c r="R225" s="5">
        <f t="shared" si="54"/>
        <v>2.992986503024523E-2</v>
      </c>
      <c r="S225" s="1"/>
      <c r="T225" s="1">
        <f>SUM(OSRRefT22_5x_0)</f>
        <v>369669</v>
      </c>
      <c r="U225" s="1"/>
      <c r="V225" s="5">
        <f t="shared" si="55"/>
        <v>2.475092419514319E-2</v>
      </c>
      <c r="W225" s="1"/>
      <c r="X225" s="1">
        <f t="shared" si="56"/>
        <v>-6922.0800000000163</v>
      </c>
      <c r="Y225" s="1"/>
      <c r="Z225" s="5">
        <f t="shared" si="57"/>
        <v>-1.8725075675807321E-2</v>
      </c>
    </row>
    <row r="226" spans="1:26" s="24" customFormat="1" hidden="1" outlineLevel="2" x14ac:dyDescent="0.25">
      <c r="A226" s="27"/>
      <c r="B226" s="11" t="str">
        <f>CONCATENATE("          ", "6321", " - ", "BUILDING DEPRECIATION")</f>
        <v xml:space="preserve">          6321 - BUILDING DEPRECIATION</v>
      </c>
      <c r="C226" s="11"/>
      <c r="D226" s="6">
        <v>16396.25</v>
      </c>
      <c r="E226" s="2"/>
      <c r="F226" s="7">
        <f t="shared" si="50"/>
        <v>2.5007089758740175E-2</v>
      </c>
      <c r="G226" s="2"/>
      <c r="H226" s="6">
        <v>16397</v>
      </c>
      <c r="I226" s="2"/>
      <c r="J226" s="7">
        <f t="shared" si="51"/>
        <v>1.8791095466041675E-2</v>
      </c>
      <c r="K226" s="2"/>
      <c r="L226" s="6">
        <f t="shared" si="52"/>
        <v>-0.75</v>
      </c>
      <c r="M226" s="2"/>
      <c r="N226" s="7">
        <f t="shared" si="53"/>
        <v>-4.574007440385436E-5</v>
      </c>
      <c r="O226" s="11"/>
      <c r="P226" s="6">
        <v>196757.97</v>
      </c>
      <c r="Q226" s="2"/>
      <c r="R226" s="7">
        <f t="shared" si="54"/>
        <v>1.6234292177380968E-2</v>
      </c>
      <c r="S226" s="2"/>
      <c r="T226" s="6">
        <v>196932</v>
      </c>
      <c r="U226" s="2"/>
      <c r="V226" s="7">
        <f t="shared" si="55"/>
        <v>1.3185441580435305E-2</v>
      </c>
      <c r="W226" s="2"/>
      <c r="X226" s="6">
        <f t="shared" si="56"/>
        <v>-174.02999999999884</v>
      </c>
      <c r="Y226" s="2"/>
      <c r="Z226" s="7">
        <f t="shared" si="57"/>
        <v>-8.8370605081956627E-4</v>
      </c>
    </row>
    <row r="227" spans="1:26" s="24" customFormat="1" hidden="1" outlineLevel="2" x14ac:dyDescent="0.25">
      <c r="A227" s="27"/>
      <c r="B227" s="11" t="str">
        <f>CONCATENATE("          ", "6322", " - ", "EQUIPMENT DEPRECIATION EXPENSE")</f>
        <v xml:space="preserve">          6322 - EQUIPMENT DEPRECIATION EXPENSE</v>
      </c>
      <c r="C227" s="11"/>
      <c r="D227" s="6">
        <v>14233.41</v>
      </c>
      <c r="E227" s="2"/>
      <c r="F227" s="7">
        <f t="shared" si="50"/>
        <v>2.1708388286525881E-2</v>
      </c>
      <c r="G227" s="2"/>
      <c r="H227" s="6">
        <v>13049</v>
      </c>
      <c r="I227" s="2"/>
      <c r="J227" s="7">
        <f t="shared" si="51"/>
        <v>1.495426021445251E-2</v>
      </c>
      <c r="K227" s="2"/>
      <c r="L227" s="6">
        <f t="shared" si="52"/>
        <v>1184.4099999999999</v>
      </c>
      <c r="M227" s="2"/>
      <c r="N227" s="7">
        <f t="shared" si="53"/>
        <v>9.0766342248448151E-2</v>
      </c>
      <c r="O227" s="11"/>
      <c r="P227" s="6">
        <v>165988.94999999998</v>
      </c>
      <c r="Q227" s="2"/>
      <c r="R227" s="7">
        <f t="shared" si="54"/>
        <v>1.369557285286426E-2</v>
      </c>
      <c r="S227" s="2"/>
      <c r="T227" s="6">
        <v>156588</v>
      </c>
      <c r="U227" s="2"/>
      <c r="V227" s="7">
        <f t="shared" si="55"/>
        <v>1.0484237839443074E-2</v>
      </c>
      <c r="W227" s="2"/>
      <c r="X227" s="6">
        <f t="shared" si="56"/>
        <v>9400.9499999999825</v>
      </c>
      <c r="Y227" s="2"/>
      <c r="Z227" s="7">
        <f t="shared" si="57"/>
        <v>6.0036209671239064E-2</v>
      </c>
    </row>
    <row r="228" spans="1:26" s="24" customFormat="1" hidden="1" outlineLevel="2" x14ac:dyDescent="0.25">
      <c r="A228" s="27"/>
      <c r="B228" s="11" t="str">
        <f>CONCATENATE("          ", "6324", " - ", "FURNITURE + FIXT DEPRECIATION")</f>
        <v xml:space="preserve">          6324 - FURNITURE + FIXT DEPRECIATION</v>
      </c>
      <c r="C228" s="11"/>
      <c r="D228" s="6"/>
      <c r="E228" s="2"/>
      <c r="F228" s="7">
        <f t="shared" si="50"/>
        <v>0</v>
      </c>
      <c r="G228" s="2"/>
      <c r="H228" s="6">
        <v>1492</v>
      </c>
      <c r="I228" s="2"/>
      <c r="J228" s="7">
        <f t="shared" si="51"/>
        <v>1.7098441443760552E-3</v>
      </c>
      <c r="K228" s="2"/>
      <c r="L228" s="6">
        <f t="shared" si="52"/>
        <v>-1492</v>
      </c>
      <c r="M228" s="2"/>
      <c r="N228" s="7">
        <f t="shared" si="53"/>
        <v>-1</v>
      </c>
      <c r="O228" s="11"/>
      <c r="P228" s="6"/>
      <c r="Q228" s="2"/>
      <c r="R228" s="7">
        <f t="shared" si="54"/>
        <v>0</v>
      </c>
      <c r="S228" s="2"/>
      <c r="T228" s="6">
        <v>13152</v>
      </c>
      <c r="U228" s="2"/>
      <c r="V228" s="7">
        <f t="shared" si="55"/>
        <v>8.805827781461882E-4</v>
      </c>
      <c r="W228" s="2"/>
      <c r="X228" s="6">
        <f t="shared" si="56"/>
        <v>-13152</v>
      </c>
      <c r="Y228" s="2"/>
      <c r="Z228" s="7">
        <f t="shared" si="57"/>
        <v>-1</v>
      </c>
    </row>
    <row r="229" spans="1:26" s="24" customFormat="1" hidden="1" outlineLevel="2" x14ac:dyDescent="0.25">
      <c r="A229" s="27"/>
      <c r="B229" s="11" t="str">
        <f>CONCATENATE("          ", "6326", " - ", "VEHICLES DEPRECIATION EXPENSE")</f>
        <v xml:space="preserve">          6326 - VEHICLES DEPRECIATION EXPENSE</v>
      </c>
      <c r="C229" s="11"/>
      <c r="D229" s="6"/>
      <c r="E229" s="2"/>
      <c r="F229" s="7">
        <f t="shared" si="50"/>
        <v>0</v>
      </c>
      <c r="G229" s="2"/>
      <c r="H229" s="6">
        <v>333</v>
      </c>
      <c r="I229" s="2"/>
      <c r="J229" s="7">
        <f t="shared" si="51"/>
        <v>3.8162071050752439E-4</v>
      </c>
      <c r="K229" s="2"/>
      <c r="L229" s="6">
        <f t="shared" si="52"/>
        <v>-333</v>
      </c>
      <c r="M229" s="2"/>
      <c r="N229" s="7">
        <f t="shared" si="53"/>
        <v>-1</v>
      </c>
      <c r="O229" s="11"/>
      <c r="P229" s="6"/>
      <c r="Q229" s="2"/>
      <c r="R229" s="7">
        <f t="shared" si="54"/>
        <v>0</v>
      </c>
      <c r="S229" s="2"/>
      <c r="T229" s="6">
        <v>2997</v>
      </c>
      <c r="U229" s="2"/>
      <c r="V229" s="7">
        <f t="shared" si="55"/>
        <v>2.0066199711862273E-4</v>
      </c>
      <c r="W229" s="2"/>
      <c r="X229" s="6">
        <f t="shared" si="56"/>
        <v>-2997</v>
      </c>
      <c r="Y229" s="2"/>
      <c r="Z229" s="7">
        <f t="shared" si="57"/>
        <v>-1</v>
      </c>
    </row>
    <row r="230" spans="1:26" s="26" customFormat="1" outlineLevel="1" collapsed="1" x14ac:dyDescent="0.25">
      <c r="A230" s="25"/>
      <c r="B230" s="12" t="str">
        <f>CONCATENATE("     ","Discounts and Markdowns                           ")</f>
        <v xml:space="preserve">     Discounts and Markdowns                           </v>
      </c>
      <c r="C230" s="12"/>
      <c r="D230" s="1">
        <f>SUM(OSRRefD22_6x_0)</f>
        <v>42286.42</v>
      </c>
      <c r="E230" s="1"/>
      <c r="F230" s="5">
        <f t="shared" ref="F230:F232" si="58">IF(D$12=0,0,D230/D$12)</f>
        <v>6.4494033728186975E-2</v>
      </c>
      <c r="G230" s="1"/>
      <c r="H230" s="1">
        <f>SUM(OSRRefH22_6x_0)</f>
        <v>43725</v>
      </c>
      <c r="I230" s="1"/>
      <c r="J230" s="5">
        <f t="shared" ref="J230:J232" si="59">IF(H$12=0,0,H230/H$12)</f>
        <v>5.0109205906731243E-2</v>
      </c>
      <c r="K230" s="1"/>
      <c r="L230" s="1">
        <f t="shared" ref="L230:L232" si="60">+D230-H230</f>
        <v>-1438.5800000000017</v>
      </c>
      <c r="M230" s="1"/>
      <c r="N230" s="5">
        <f t="shared" ref="N230:N232" si="61">IF(H230=0,0,L230/H230)</f>
        <v>-3.2900628930817653E-2</v>
      </c>
      <c r="O230" s="12"/>
      <c r="P230" s="1">
        <f>SUM(OSRRefP22_6x_0)</f>
        <v>464055.9</v>
      </c>
      <c r="Q230" s="1"/>
      <c r="R230" s="5">
        <f t="shared" ref="R230:R232" si="62">IF(P$12=0,0,P230/P$12)</f>
        <v>3.8288761910063848E-2</v>
      </c>
      <c r="S230" s="1"/>
      <c r="T230" s="1">
        <f>SUM(OSRRefT22_6x_0)</f>
        <v>399500</v>
      </c>
      <c r="U230" s="1"/>
      <c r="V230" s="5">
        <f t="shared" ref="V230:V232" si="63">IF(T$12=0,0,T230/T$12)</f>
        <v>2.6748237520483744E-2</v>
      </c>
      <c r="W230" s="1"/>
      <c r="X230" s="1">
        <f t="shared" ref="X230:X232" si="64">+P230-T230</f>
        <v>64555.900000000023</v>
      </c>
      <c r="Y230" s="1"/>
      <c r="Z230" s="5">
        <f t="shared" ref="Z230:Z232" si="65">IF(T230=0,0,X230/T230)</f>
        <v>0.16159173967459331</v>
      </c>
    </row>
    <row r="231" spans="1:26" s="24" customFormat="1" hidden="1" outlineLevel="2" x14ac:dyDescent="0.25">
      <c r="A231" s="27"/>
      <c r="B231" s="11" t="str">
        <f>CONCATENATE("          ", "6382", " - ", "DISCOUNTS/MARK DOWNS")</f>
        <v xml:space="preserve">          6382 - DISCOUNTS/MARK DOWNS</v>
      </c>
      <c r="C231" s="11"/>
      <c r="D231" s="6">
        <v>42289.279999999999</v>
      </c>
      <c r="E231" s="2"/>
      <c r="F231" s="7">
        <f t="shared" si="58"/>
        <v>6.4498395718075516E-2</v>
      </c>
      <c r="G231" s="2"/>
      <c r="H231" s="6">
        <v>43725</v>
      </c>
      <c r="I231" s="2"/>
      <c r="J231" s="7">
        <f t="shared" si="59"/>
        <v>5.0109205906731243E-2</v>
      </c>
      <c r="K231" s="2"/>
      <c r="L231" s="6">
        <f t="shared" si="60"/>
        <v>-1435.7200000000012</v>
      </c>
      <c r="M231" s="2"/>
      <c r="N231" s="7">
        <f t="shared" si="61"/>
        <v>-3.2835220125786192E-2</v>
      </c>
      <c r="O231" s="11"/>
      <c r="P231" s="6">
        <v>467290.38</v>
      </c>
      <c r="Q231" s="2"/>
      <c r="R231" s="7">
        <f t="shared" si="62"/>
        <v>3.8555635436772297E-2</v>
      </c>
      <c r="S231" s="2"/>
      <c r="T231" s="6">
        <v>399500</v>
      </c>
      <c r="U231" s="2"/>
      <c r="V231" s="7">
        <f t="shared" si="63"/>
        <v>2.6748237520483744E-2</v>
      </c>
      <c r="W231" s="2"/>
      <c r="X231" s="6">
        <f t="shared" si="64"/>
        <v>67790.38</v>
      </c>
      <c r="Y231" s="2"/>
      <c r="Z231" s="7">
        <f t="shared" si="65"/>
        <v>0.16968806007509388</v>
      </c>
    </row>
    <row r="232" spans="1:26" s="24" customFormat="1" hidden="1" outlineLevel="2" x14ac:dyDescent="0.25">
      <c r="A232" s="27"/>
      <c r="B232" s="11" t="str">
        <f>CONCATENATE("          ", "9175", " - ", "EARNED DISCOUNTS")</f>
        <v xml:space="preserve">          9175 - EARNED DISCOUNTS</v>
      </c>
      <c r="C232" s="11"/>
      <c r="D232" s="6">
        <v>-2.86</v>
      </c>
      <c r="E232" s="2"/>
      <c r="F232" s="7">
        <f t="shared" si="58"/>
        <v>-4.3619898885413985E-6</v>
      </c>
      <c r="G232" s="2"/>
      <c r="H232" s="6"/>
      <c r="I232" s="2"/>
      <c r="J232" s="7">
        <f t="shared" si="59"/>
        <v>0</v>
      </c>
      <c r="K232" s="2"/>
      <c r="L232" s="6">
        <f t="shared" si="60"/>
        <v>-2.86</v>
      </c>
      <c r="M232" s="2"/>
      <c r="N232" s="7">
        <f t="shared" si="61"/>
        <v>0</v>
      </c>
      <c r="O232" s="11"/>
      <c r="P232" s="6">
        <v>-3234.48</v>
      </c>
      <c r="Q232" s="2"/>
      <c r="R232" s="7">
        <f t="shared" si="62"/>
        <v>-2.6687352670844893E-4</v>
      </c>
      <c r="S232" s="2"/>
      <c r="T232" s="6"/>
      <c r="U232" s="2"/>
      <c r="V232" s="7">
        <f t="shared" si="63"/>
        <v>0</v>
      </c>
      <c r="W232" s="2"/>
      <c r="X232" s="6">
        <f t="shared" si="64"/>
        <v>-3234.48</v>
      </c>
      <c r="Y232" s="2"/>
      <c r="Z232" s="7">
        <f t="shared" si="65"/>
        <v>0</v>
      </c>
    </row>
    <row r="233" spans="1:26" s="26" customFormat="1" outlineLevel="1" collapsed="1" x14ac:dyDescent="0.25">
      <c r="A233" s="25"/>
      <c r="B233" s="12" t="str">
        <f>CONCATENATE("     ","Donations                                         ")</f>
        <v xml:space="preserve">     Donations                                         </v>
      </c>
      <c r="C233" s="12"/>
      <c r="D233" s="1">
        <f>SUM(OSRRefD22_7x_0)</f>
        <v>0</v>
      </c>
      <c r="E233" s="1"/>
      <c r="F233" s="5">
        <f t="shared" ref="F233:F235" si="66">IF(D$12=0,0,D233/D$12)</f>
        <v>0</v>
      </c>
      <c r="G233" s="1"/>
      <c r="H233" s="1">
        <f>SUM(OSRRefH22_7x_0)</f>
        <v>1025</v>
      </c>
      <c r="I233" s="1"/>
      <c r="J233" s="5">
        <f t="shared" ref="J233:J235" si="67">IF(H$12=0,0,H233/H$12)</f>
        <v>1.1746583431537913E-3</v>
      </c>
      <c r="K233" s="1"/>
      <c r="L233" s="1">
        <f t="shared" ref="L233:L235" si="68">+D233-H233</f>
        <v>-1025</v>
      </c>
      <c r="M233" s="1"/>
      <c r="N233" s="5">
        <f t="shared" ref="N233:N235" si="69">IF(H233=0,0,L233/H233)</f>
        <v>-1</v>
      </c>
      <c r="O233" s="12"/>
      <c r="P233" s="1">
        <f>SUM(OSRRefP22_7x_0)</f>
        <v>10985.64</v>
      </c>
      <c r="Q233" s="1"/>
      <c r="R233" s="5">
        <f t="shared" ref="R233:R235" si="70">IF(P$12=0,0,P233/P$12)</f>
        <v>9.0641354713876876E-4</v>
      </c>
      <c r="S233" s="1"/>
      <c r="T233" s="1">
        <f>SUM(OSRRefT22_7x_0)</f>
        <v>12400</v>
      </c>
      <c r="U233" s="1"/>
      <c r="V233" s="5">
        <f t="shared" ref="V233:V235" si="71">IF(T$12=0,0,T233/T$12)</f>
        <v>8.3023315457821881E-4</v>
      </c>
      <c r="W233" s="1"/>
      <c r="X233" s="1">
        <f t="shared" ref="X233:X235" si="72">+P233-T233</f>
        <v>-1414.3600000000006</v>
      </c>
      <c r="Y233" s="1"/>
      <c r="Z233" s="5">
        <f t="shared" ref="Z233:Z235" si="73">IF(T233=0,0,X233/T233)</f>
        <v>-0.11406129032258069</v>
      </c>
    </row>
    <row r="234" spans="1:26" s="24" customFormat="1" hidden="1" outlineLevel="2" x14ac:dyDescent="0.25">
      <c r="A234" s="27"/>
      <c r="B234" s="11" t="str">
        <f>CONCATENATE("          ", "6395", " - ", "DONATION-OFF CAMPUS")</f>
        <v xml:space="preserve">          6395 - DONATION-OFF CAMPUS</v>
      </c>
      <c r="C234" s="11"/>
      <c r="D234" s="6"/>
      <c r="E234" s="2"/>
      <c r="F234" s="7">
        <f t="shared" si="66"/>
        <v>0</v>
      </c>
      <c r="G234" s="2"/>
      <c r="H234" s="6">
        <v>1025</v>
      </c>
      <c r="I234" s="2"/>
      <c r="J234" s="7">
        <f t="shared" si="67"/>
        <v>1.1746583431537913E-3</v>
      </c>
      <c r="K234" s="2"/>
      <c r="L234" s="6">
        <f t="shared" si="68"/>
        <v>-1025</v>
      </c>
      <c r="M234" s="2"/>
      <c r="N234" s="7">
        <f t="shared" si="69"/>
        <v>-1</v>
      </c>
      <c r="O234" s="11"/>
      <c r="P234" s="6"/>
      <c r="Q234" s="2"/>
      <c r="R234" s="7">
        <f t="shared" si="70"/>
        <v>0</v>
      </c>
      <c r="S234" s="2"/>
      <c r="T234" s="6">
        <v>12400</v>
      </c>
      <c r="U234" s="2"/>
      <c r="V234" s="7">
        <f t="shared" si="71"/>
        <v>8.3023315457821881E-4</v>
      </c>
      <c r="W234" s="2"/>
      <c r="X234" s="6">
        <f t="shared" si="72"/>
        <v>-12400</v>
      </c>
      <c r="Y234" s="2"/>
      <c r="Z234" s="7">
        <f t="shared" si="73"/>
        <v>-1</v>
      </c>
    </row>
    <row r="235" spans="1:26" s="24" customFormat="1" hidden="1" outlineLevel="2" x14ac:dyDescent="0.25">
      <c r="A235" s="27"/>
      <c r="B235" s="11" t="str">
        <f>CONCATENATE("          ", "6399", " - ", "DONATION-ON CAMPUS")</f>
        <v xml:space="preserve">          6399 - DONATION-ON CAMPUS</v>
      </c>
      <c r="C235" s="11"/>
      <c r="D235" s="6"/>
      <c r="E235" s="2"/>
      <c r="F235" s="7">
        <f t="shared" si="66"/>
        <v>0</v>
      </c>
      <c r="G235" s="2"/>
      <c r="H235" s="6"/>
      <c r="I235" s="2"/>
      <c r="J235" s="7">
        <f t="shared" si="67"/>
        <v>0</v>
      </c>
      <c r="K235" s="2"/>
      <c r="L235" s="6">
        <f t="shared" si="68"/>
        <v>0</v>
      </c>
      <c r="M235" s="2"/>
      <c r="N235" s="7">
        <f t="shared" si="69"/>
        <v>0</v>
      </c>
      <c r="O235" s="11"/>
      <c r="P235" s="6">
        <v>10985.64</v>
      </c>
      <c r="Q235" s="2"/>
      <c r="R235" s="7">
        <f t="shared" si="70"/>
        <v>9.0641354713876876E-4</v>
      </c>
      <c r="S235" s="2"/>
      <c r="T235" s="6"/>
      <c r="U235" s="2"/>
      <c r="V235" s="7">
        <f t="shared" si="71"/>
        <v>0</v>
      </c>
      <c r="W235" s="2"/>
      <c r="X235" s="6">
        <f t="shared" si="72"/>
        <v>10985.64</v>
      </c>
      <c r="Y235" s="2"/>
      <c r="Z235" s="7">
        <f t="shared" si="73"/>
        <v>0</v>
      </c>
    </row>
    <row r="236" spans="1:26" s="26" customFormat="1" outlineLevel="1" collapsed="1" x14ac:dyDescent="0.25">
      <c r="A236" s="25"/>
      <c r="B236" s="12" t="str">
        <f>CONCATENATE("     ","Employees' Appreciation                           ")</f>
        <v xml:space="preserve">     Employees' Appreciation                           </v>
      </c>
      <c r="C236" s="12"/>
      <c r="D236" s="1">
        <f>SUM(OSRRefD22_8x_0)</f>
        <v>57</v>
      </c>
      <c r="E236" s="1"/>
      <c r="F236" s="5">
        <f t="shared" ref="F236:F242" si="74">IF(D$12=0,0,D236/D$12)</f>
        <v>8.6934763512888009E-5</v>
      </c>
      <c r="G236" s="1"/>
      <c r="H236" s="1">
        <f>SUM(OSRRefH22_8x_0)</f>
        <v>890</v>
      </c>
      <c r="I236" s="1"/>
      <c r="J236" s="5">
        <f t="shared" ref="J236:J242" si="75">IF(H$12=0,0,H236/H$12)</f>
        <v>1.0199472442993895E-3</v>
      </c>
      <c r="K236" s="1"/>
      <c r="L236" s="1">
        <f t="shared" ref="L236:L242" si="76">+D236-H236</f>
        <v>-833</v>
      </c>
      <c r="M236" s="1"/>
      <c r="N236" s="5">
        <f t="shared" ref="N236:N242" si="77">IF(H236=0,0,L236/H236)</f>
        <v>-0.93595505617977526</v>
      </c>
      <c r="O236" s="12"/>
      <c r="P236" s="1">
        <f>SUM(OSRRefP22_8x_0)</f>
        <v>1611.27</v>
      </c>
      <c r="Q236" s="1"/>
      <c r="R236" s="5">
        <f t="shared" ref="R236:R242" si="78">IF(P$12=0,0,P236/P$12)</f>
        <v>1.3294418496312315E-4</v>
      </c>
      <c r="S236" s="1"/>
      <c r="T236" s="1">
        <f>SUM(OSRRefT22_8x_0)</f>
        <v>9255</v>
      </c>
      <c r="U236" s="1"/>
      <c r="V236" s="5">
        <f t="shared" ref="V236:V242" si="79">IF(T$12=0,0,T236/T$12)</f>
        <v>6.1966192303398505E-4</v>
      </c>
      <c r="W236" s="1"/>
      <c r="X236" s="1">
        <f t="shared" ref="X236:X242" si="80">+P236-T236</f>
        <v>-7643.73</v>
      </c>
      <c r="Y236" s="1"/>
      <c r="Z236" s="5">
        <f t="shared" ref="Z236:Z242" si="81">IF(T236=0,0,X236/T236)</f>
        <v>-0.82590275526742296</v>
      </c>
    </row>
    <row r="237" spans="1:26" s="24" customFormat="1" hidden="1" outlineLevel="2" x14ac:dyDescent="0.25">
      <c r="A237" s="27"/>
      <c r="B237" s="11" t="str">
        <f>CONCATENATE("          ", "6277", " - ", "EMPLOYEE APPRECIATION")</f>
        <v xml:space="preserve">          6277 - EMPLOYEE APPRECIATION</v>
      </c>
      <c r="C237" s="11"/>
      <c r="D237" s="6">
        <v>57</v>
      </c>
      <c r="E237" s="2"/>
      <c r="F237" s="7">
        <f t="shared" si="74"/>
        <v>8.6934763512888009E-5</v>
      </c>
      <c r="G237" s="2"/>
      <c r="H237" s="6">
        <v>890</v>
      </c>
      <c r="I237" s="2"/>
      <c r="J237" s="7">
        <f t="shared" si="75"/>
        <v>1.0199472442993895E-3</v>
      </c>
      <c r="K237" s="2"/>
      <c r="L237" s="6">
        <f t="shared" si="76"/>
        <v>-833</v>
      </c>
      <c r="M237" s="2"/>
      <c r="N237" s="7">
        <f t="shared" si="77"/>
        <v>-0.93595505617977526</v>
      </c>
      <c r="O237" s="11"/>
      <c r="P237" s="6">
        <v>1611.27</v>
      </c>
      <c r="Q237" s="2"/>
      <c r="R237" s="7">
        <f t="shared" si="78"/>
        <v>1.3294418496312315E-4</v>
      </c>
      <c r="S237" s="2"/>
      <c r="T237" s="6">
        <v>9255</v>
      </c>
      <c r="U237" s="2"/>
      <c r="V237" s="7">
        <f t="shared" si="79"/>
        <v>6.1966192303398505E-4</v>
      </c>
      <c r="W237" s="2"/>
      <c r="X237" s="6">
        <f t="shared" si="80"/>
        <v>-7643.73</v>
      </c>
      <c r="Y237" s="2"/>
      <c r="Z237" s="7">
        <f t="shared" si="81"/>
        <v>-0.82590275526742296</v>
      </c>
    </row>
    <row r="238" spans="1:26" s="26" customFormat="1" outlineLevel="1" collapsed="1" x14ac:dyDescent="0.25">
      <c r="A238" s="25"/>
      <c r="B238" s="12" t="str">
        <f>CONCATENATE("     ","Equipment Rental                                  ")</f>
        <v xml:space="preserve">     Equipment Rental                                  </v>
      </c>
      <c r="C238" s="12"/>
      <c r="D238" s="1">
        <f>SUM(OSRRefD22_9x_0)</f>
        <v>1388.16</v>
      </c>
      <c r="E238" s="1"/>
      <c r="F238" s="5">
        <f t="shared" si="74"/>
        <v>2.1171817775096601E-3</v>
      </c>
      <c r="G238" s="1"/>
      <c r="H238" s="1">
        <f>SUM(OSRRefH22_9x_0)</f>
        <v>3225</v>
      </c>
      <c r="I238" s="1"/>
      <c r="J238" s="5">
        <f t="shared" si="75"/>
        <v>3.6958762504107089E-3</v>
      </c>
      <c r="K238" s="1"/>
      <c r="L238" s="1">
        <f t="shared" si="76"/>
        <v>-1836.84</v>
      </c>
      <c r="M238" s="1"/>
      <c r="N238" s="5">
        <f t="shared" si="77"/>
        <v>-0.56956279069767435</v>
      </c>
      <c r="O238" s="12"/>
      <c r="P238" s="1">
        <f>SUM(OSRRefP22_9x_0)</f>
        <v>19839.79</v>
      </c>
      <c r="Q238" s="1"/>
      <c r="R238" s="5">
        <f t="shared" si="78"/>
        <v>1.6369601068657153E-3</v>
      </c>
      <c r="S238" s="1"/>
      <c r="T238" s="1">
        <f>SUM(OSRRefT22_9x_0)</f>
        <v>38700</v>
      </c>
      <c r="U238" s="1"/>
      <c r="V238" s="5">
        <f t="shared" si="79"/>
        <v>2.5911308937239569E-3</v>
      </c>
      <c r="W238" s="1"/>
      <c r="X238" s="1">
        <f t="shared" si="80"/>
        <v>-18860.21</v>
      </c>
      <c r="Y238" s="1"/>
      <c r="Z238" s="5">
        <f t="shared" si="81"/>
        <v>-0.48734392764857881</v>
      </c>
    </row>
    <row r="239" spans="1:26" s="24" customFormat="1" hidden="1" outlineLevel="2" x14ac:dyDescent="0.25">
      <c r="A239" s="27"/>
      <c r="B239" s="11" t="str">
        <f>CONCATENATE("          ", "6351", " - ", "EQUIPMENT RENTAL")</f>
        <v xml:space="preserve">          6351 - EQUIPMENT RENTAL</v>
      </c>
      <c r="C239" s="11"/>
      <c r="D239" s="6">
        <v>1388.16</v>
      </c>
      <c r="E239" s="2"/>
      <c r="F239" s="7">
        <f t="shared" si="74"/>
        <v>2.1171817775096601E-3</v>
      </c>
      <c r="G239" s="2"/>
      <c r="H239" s="6">
        <v>3225</v>
      </c>
      <c r="I239" s="2"/>
      <c r="J239" s="7">
        <f t="shared" si="75"/>
        <v>3.6958762504107089E-3</v>
      </c>
      <c r="K239" s="2"/>
      <c r="L239" s="6">
        <f t="shared" si="76"/>
        <v>-1836.84</v>
      </c>
      <c r="M239" s="2"/>
      <c r="N239" s="7">
        <f t="shared" si="77"/>
        <v>-0.56956279069767435</v>
      </c>
      <c r="O239" s="11"/>
      <c r="P239" s="6">
        <v>19839.79</v>
      </c>
      <c r="Q239" s="2"/>
      <c r="R239" s="7">
        <f t="shared" si="78"/>
        <v>1.6369601068657153E-3</v>
      </c>
      <c r="S239" s="2"/>
      <c r="T239" s="6">
        <v>38700</v>
      </c>
      <c r="U239" s="2"/>
      <c r="V239" s="7">
        <f t="shared" si="79"/>
        <v>2.5911308937239569E-3</v>
      </c>
      <c r="W239" s="2"/>
      <c r="X239" s="6">
        <f t="shared" si="80"/>
        <v>-18860.21</v>
      </c>
      <c r="Y239" s="2"/>
      <c r="Z239" s="7">
        <f t="shared" si="81"/>
        <v>-0.48734392764857881</v>
      </c>
    </row>
    <row r="240" spans="1:26" s="26" customFormat="1" outlineLevel="1" collapsed="1" x14ac:dyDescent="0.25">
      <c r="A240" s="25"/>
      <c r="B240" s="12" t="str">
        <f>CONCATENATE("     ","Freight out/Postage                               ")</f>
        <v xml:space="preserve">     Freight out/Postage                               </v>
      </c>
      <c r="C240" s="12"/>
      <c r="D240" s="1">
        <f>SUM(OSRRefD22_10x_0)</f>
        <v>25801.239999999998</v>
      </c>
      <c r="E240" s="1"/>
      <c r="F240" s="5">
        <f t="shared" si="74"/>
        <v>3.9351310486653801E-2</v>
      </c>
      <c r="G240" s="1"/>
      <c r="H240" s="1">
        <f>SUM(OSRRefH22_10x_0)</f>
        <v>-185</v>
      </c>
      <c r="I240" s="1"/>
      <c r="J240" s="5">
        <f t="shared" si="75"/>
        <v>-2.1201150583751355E-4</v>
      </c>
      <c r="K240" s="1"/>
      <c r="L240" s="1">
        <f t="shared" si="76"/>
        <v>25986.239999999998</v>
      </c>
      <c r="M240" s="1"/>
      <c r="N240" s="5">
        <f t="shared" si="77"/>
        <v>-140.46616216216216</v>
      </c>
      <c r="O240" s="12"/>
      <c r="P240" s="1">
        <f>SUM(OSRRefP22_10x_0)</f>
        <v>41914.19999999999</v>
      </c>
      <c r="Q240" s="1"/>
      <c r="R240" s="5">
        <f t="shared" si="78"/>
        <v>3.4582963484588768E-3</v>
      </c>
      <c r="S240" s="1"/>
      <c r="T240" s="1">
        <f>SUM(OSRRefT22_10x_0)</f>
        <v>-54420</v>
      </c>
      <c r="U240" s="1"/>
      <c r="V240" s="5">
        <f t="shared" si="79"/>
        <v>-3.6436522800118282E-3</v>
      </c>
      <c r="W240" s="1"/>
      <c r="X240" s="1">
        <f t="shared" si="80"/>
        <v>96334.199999999983</v>
      </c>
      <c r="Y240" s="1"/>
      <c r="Z240" s="5">
        <f t="shared" si="81"/>
        <v>-1.7701984564498343</v>
      </c>
    </row>
    <row r="241" spans="1:26" s="24" customFormat="1" hidden="1" outlineLevel="2" x14ac:dyDescent="0.25">
      <c r="A241" s="27"/>
      <c r="B241" s="11" t="str">
        <f>CONCATENATE("          ", "6305", " - ", "FREIGHT OUT")</f>
        <v xml:space="preserve">          6305 - FREIGHT OUT</v>
      </c>
      <c r="C241" s="11"/>
      <c r="D241" s="6">
        <v>32899.67</v>
      </c>
      <c r="E241" s="2"/>
      <c r="F241" s="7">
        <f t="shared" si="74"/>
        <v>5.0177632124597478E-2</v>
      </c>
      <c r="G241" s="2"/>
      <c r="H241" s="6">
        <v>-225</v>
      </c>
      <c r="I241" s="2"/>
      <c r="J241" s="7">
        <f t="shared" si="75"/>
        <v>-2.5785183142400296E-4</v>
      </c>
      <c r="K241" s="2"/>
      <c r="L241" s="6">
        <f t="shared" si="76"/>
        <v>33124.67</v>
      </c>
      <c r="M241" s="2"/>
      <c r="N241" s="7">
        <f t="shared" si="77"/>
        <v>-147.22075555555554</v>
      </c>
      <c r="O241" s="11"/>
      <c r="P241" s="6">
        <v>102931.45</v>
      </c>
      <c r="Q241" s="2"/>
      <c r="R241" s="7">
        <f t="shared" si="78"/>
        <v>8.4927651649459503E-3</v>
      </c>
      <c r="S241" s="2"/>
      <c r="T241" s="6">
        <v>-54900</v>
      </c>
      <c r="U241" s="2"/>
      <c r="V241" s="7">
        <f t="shared" si="79"/>
        <v>-3.6757903376084043E-3</v>
      </c>
      <c r="W241" s="2"/>
      <c r="X241" s="6">
        <f t="shared" si="80"/>
        <v>157831.45000000001</v>
      </c>
      <c r="Y241" s="2"/>
      <c r="Z241" s="7">
        <f t="shared" si="81"/>
        <v>-2.8748897996357017</v>
      </c>
    </row>
    <row r="242" spans="1:26" s="24" customFormat="1" hidden="1" outlineLevel="2" x14ac:dyDescent="0.25">
      <c r="A242" s="27"/>
      <c r="B242" s="11" t="str">
        <f>CONCATENATE("          ", "6307", " - ", "POSTAGE")</f>
        <v xml:space="preserve">          6307 - POSTAGE</v>
      </c>
      <c r="C242" s="11"/>
      <c r="D242" s="6">
        <v>-7098.43</v>
      </c>
      <c r="E242" s="2"/>
      <c r="F242" s="7">
        <f t="shared" si="74"/>
        <v>-1.0826321637943679E-2</v>
      </c>
      <c r="G242" s="2"/>
      <c r="H242" s="6">
        <v>40</v>
      </c>
      <c r="I242" s="2"/>
      <c r="J242" s="7">
        <f t="shared" si="75"/>
        <v>4.5840325586489411E-5</v>
      </c>
      <c r="K242" s="2"/>
      <c r="L242" s="6">
        <f t="shared" si="76"/>
        <v>-7138.43</v>
      </c>
      <c r="M242" s="2"/>
      <c r="N242" s="7">
        <f t="shared" si="77"/>
        <v>-178.46075000000002</v>
      </c>
      <c r="O242" s="11"/>
      <c r="P242" s="6">
        <v>-61017.250000000007</v>
      </c>
      <c r="Q242" s="2"/>
      <c r="R242" s="7">
        <f t="shared" si="78"/>
        <v>-5.0344688164870735E-3</v>
      </c>
      <c r="S242" s="2"/>
      <c r="T242" s="6">
        <v>480</v>
      </c>
      <c r="U242" s="2"/>
      <c r="V242" s="7">
        <f t="shared" si="79"/>
        <v>3.2138057596576213E-5</v>
      </c>
      <c r="W242" s="2"/>
      <c r="X242" s="6">
        <f t="shared" si="80"/>
        <v>-61497.250000000007</v>
      </c>
      <c r="Y242" s="2"/>
      <c r="Z242" s="7">
        <f t="shared" si="81"/>
        <v>-128.11927083333336</v>
      </c>
    </row>
    <row r="243" spans="1:26" s="26" customFormat="1" outlineLevel="1" collapsed="1" x14ac:dyDescent="0.25">
      <c r="A243" s="25"/>
      <c r="B243" s="12" t="str">
        <f>CONCATENATE("     ","General                                           ")</f>
        <v xml:space="preserve">     General                                           </v>
      </c>
      <c r="C243" s="12"/>
      <c r="D243" s="1">
        <f>SUM(OSRRefD22_11x_0)</f>
        <v>-1613.24</v>
      </c>
      <c r="E243" s="1"/>
      <c r="F243" s="5">
        <f t="shared" ref="F243:F284" si="82">IF(D$12=0,0,D243/D$12)</f>
        <v>-2.4604673313952889E-3</v>
      </c>
      <c r="G243" s="1"/>
      <c r="H243" s="1">
        <f>SUM(OSRRefH22_11x_0)</f>
        <v>980</v>
      </c>
      <c r="I243" s="1"/>
      <c r="J243" s="5">
        <f t="shared" ref="J243:J284" si="83">IF(H$12=0,0,H243/H$12)</f>
        <v>1.1230879768689907E-3</v>
      </c>
      <c r="K243" s="1"/>
      <c r="L243" s="1">
        <f t="shared" ref="L243:L284" si="84">+D243-H243</f>
        <v>-2593.2399999999998</v>
      </c>
      <c r="M243" s="1"/>
      <c r="N243" s="5">
        <f t="shared" ref="N243:N284" si="85">IF(H243=0,0,L243/H243)</f>
        <v>-2.6461632653061224</v>
      </c>
      <c r="O243" s="12"/>
      <c r="P243" s="1">
        <f>SUM(OSRRefP22_11x_0)</f>
        <v>-2978.87</v>
      </c>
      <c r="Q243" s="1"/>
      <c r="R243" s="5">
        <f t="shared" ref="R243:R284" si="86">IF(P$12=0,0,P243/P$12)</f>
        <v>-2.4578341572864797E-4</v>
      </c>
      <c r="S243" s="1"/>
      <c r="T243" s="1">
        <f>SUM(OSRRefT22_11x_0)</f>
        <v>34145</v>
      </c>
      <c r="U243" s="1"/>
      <c r="V243" s="5">
        <f t="shared" ref="V243:V284" si="87">IF(T$12=0,0,T243/T$12)</f>
        <v>2.2861541179897806E-3</v>
      </c>
      <c r="W243" s="1"/>
      <c r="X243" s="1">
        <f t="shared" ref="X243:X284" si="88">+P243-T243</f>
        <v>-37123.870000000003</v>
      </c>
      <c r="Y243" s="1"/>
      <c r="Z243" s="5">
        <f t="shared" ref="Z243:Z284" si="89">IF(T243=0,0,X243/T243)</f>
        <v>-1.0872417630692635</v>
      </c>
    </row>
    <row r="244" spans="1:26" s="24" customFormat="1" hidden="1" outlineLevel="2" x14ac:dyDescent="0.25">
      <c r="A244" s="27"/>
      <c r="B244" s="11" t="str">
        <f>CONCATENATE("          ", "6279", " - ", "GENERAL EXPENSE")</f>
        <v xml:space="preserve">          6279 - GENERAL EXPENSE</v>
      </c>
      <c r="C244" s="11"/>
      <c r="D244" s="6">
        <v>-1613.24</v>
      </c>
      <c r="E244" s="2"/>
      <c r="F244" s="7">
        <f t="shared" si="82"/>
        <v>-2.4604673313952889E-3</v>
      </c>
      <c r="G244" s="2"/>
      <c r="H244" s="6">
        <v>980</v>
      </c>
      <c r="I244" s="2"/>
      <c r="J244" s="7">
        <f t="shared" si="83"/>
        <v>1.1230879768689907E-3</v>
      </c>
      <c r="K244" s="2"/>
      <c r="L244" s="6">
        <f t="shared" si="84"/>
        <v>-2593.2399999999998</v>
      </c>
      <c r="M244" s="2"/>
      <c r="N244" s="7">
        <f t="shared" si="85"/>
        <v>-2.6461632653061224</v>
      </c>
      <c r="O244" s="11"/>
      <c r="P244" s="6">
        <v>-2978.87</v>
      </c>
      <c r="Q244" s="2"/>
      <c r="R244" s="7">
        <f t="shared" si="86"/>
        <v>-2.4578341572864797E-4</v>
      </c>
      <c r="S244" s="2"/>
      <c r="T244" s="6">
        <v>34145</v>
      </c>
      <c r="U244" s="2"/>
      <c r="V244" s="7">
        <f t="shared" si="87"/>
        <v>2.2861541179897806E-3</v>
      </c>
      <c r="W244" s="2"/>
      <c r="X244" s="6">
        <f t="shared" si="88"/>
        <v>-37123.870000000003</v>
      </c>
      <c r="Y244" s="2"/>
      <c r="Z244" s="7">
        <f t="shared" si="89"/>
        <v>-1.0872417630692635</v>
      </c>
    </row>
    <row r="245" spans="1:26" s="26" customFormat="1" outlineLevel="1" collapsed="1" x14ac:dyDescent="0.25">
      <c r="A245" s="25"/>
      <c r="B245" s="12" t="str">
        <f>CONCATENATE("     ","Insurance                                         ")</f>
        <v xml:space="preserve">     Insurance                                         </v>
      </c>
      <c r="C245" s="12"/>
      <c r="D245" s="1">
        <f>SUM(OSRRefD22_12x_0)</f>
        <v>4044.74</v>
      </c>
      <c r="E245" s="1"/>
      <c r="F245" s="5">
        <f t="shared" si="82"/>
        <v>6.168921322300327E-3</v>
      </c>
      <c r="G245" s="1"/>
      <c r="H245" s="1">
        <f>SUM(OSRRefH22_12x_0)</f>
        <v>3815</v>
      </c>
      <c r="I245" s="1"/>
      <c r="J245" s="5">
        <f t="shared" si="83"/>
        <v>4.3720210528114282E-3</v>
      </c>
      <c r="K245" s="1"/>
      <c r="L245" s="1">
        <f t="shared" si="84"/>
        <v>229.73999999999978</v>
      </c>
      <c r="M245" s="1"/>
      <c r="N245" s="5">
        <f t="shared" si="85"/>
        <v>6.0220183486238477E-2</v>
      </c>
      <c r="O245" s="12"/>
      <c r="P245" s="1">
        <f>SUM(OSRRefP22_12x_0)</f>
        <v>48536.88</v>
      </c>
      <c r="Q245" s="1"/>
      <c r="R245" s="5">
        <f t="shared" si="86"/>
        <v>4.0047266766295607E-3</v>
      </c>
      <c r="S245" s="1"/>
      <c r="T245" s="1">
        <f>SUM(OSRRefT22_12x_0)</f>
        <v>45780</v>
      </c>
      <c r="U245" s="1"/>
      <c r="V245" s="5">
        <f t="shared" si="87"/>
        <v>3.0651672432734562E-3</v>
      </c>
      <c r="W245" s="1"/>
      <c r="X245" s="1">
        <f t="shared" si="88"/>
        <v>2756.8799999999974</v>
      </c>
      <c r="Y245" s="1"/>
      <c r="Z245" s="5">
        <f t="shared" si="89"/>
        <v>6.0220183486238477E-2</v>
      </c>
    </row>
    <row r="246" spans="1:26" s="24" customFormat="1" hidden="1" outlineLevel="2" x14ac:dyDescent="0.25">
      <c r="A246" s="27"/>
      <c r="B246" s="11" t="str">
        <f>CONCATENATE("          ", "6314", " - ", "LIABILITY INSURANCE")</f>
        <v xml:space="preserve">          6314 - LIABILITY INSURANCE</v>
      </c>
      <c r="C246" s="11"/>
      <c r="D246" s="6">
        <v>4044.74</v>
      </c>
      <c r="E246" s="2"/>
      <c r="F246" s="7">
        <f t="shared" si="82"/>
        <v>6.168921322300327E-3</v>
      </c>
      <c r="G246" s="2"/>
      <c r="H246" s="6">
        <v>3815</v>
      </c>
      <c r="I246" s="2"/>
      <c r="J246" s="7">
        <f t="shared" si="83"/>
        <v>4.3720210528114282E-3</v>
      </c>
      <c r="K246" s="2"/>
      <c r="L246" s="6">
        <f t="shared" si="84"/>
        <v>229.73999999999978</v>
      </c>
      <c r="M246" s="2"/>
      <c r="N246" s="7">
        <f t="shared" si="85"/>
        <v>6.0220183486238477E-2</v>
      </c>
      <c r="O246" s="11"/>
      <c r="P246" s="6">
        <v>48536.88</v>
      </c>
      <c r="Q246" s="2"/>
      <c r="R246" s="7">
        <f t="shared" si="86"/>
        <v>4.0047266766295607E-3</v>
      </c>
      <c r="S246" s="2"/>
      <c r="T246" s="6">
        <v>45780</v>
      </c>
      <c r="U246" s="2"/>
      <c r="V246" s="7">
        <f t="shared" si="87"/>
        <v>3.0651672432734562E-3</v>
      </c>
      <c r="W246" s="2"/>
      <c r="X246" s="6">
        <f t="shared" si="88"/>
        <v>2756.8799999999974</v>
      </c>
      <c r="Y246" s="2"/>
      <c r="Z246" s="7">
        <f t="shared" si="89"/>
        <v>6.0220183486238477E-2</v>
      </c>
    </row>
    <row r="247" spans="1:26" s="26" customFormat="1" outlineLevel="1" collapsed="1" x14ac:dyDescent="0.25">
      <c r="A247" s="25"/>
      <c r="B247" s="12" t="str">
        <f>CONCATENATE("     ","Inventory Adjustment                              ")</f>
        <v xml:space="preserve">     Inventory Adjustment                              </v>
      </c>
      <c r="C247" s="12"/>
      <c r="D247" s="1">
        <f>SUM(OSRRefD22_13x_0)</f>
        <v>-53350</v>
      </c>
      <c r="E247" s="1"/>
      <c r="F247" s="5">
        <f t="shared" si="82"/>
        <v>-8.1367888305483776E-2</v>
      </c>
      <c r="G247" s="1"/>
      <c r="H247" s="1">
        <f>SUM(OSRRefH22_13x_0)</f>
        <v>90050</v>
      </c>
      <c r="I247" s="1"/>
      <c r="J247" s="5">
        <f t="shared" si="83"/>
        <v>0.10319803297658429</v>
      </c>
      <c r="K247" s="1"/>
      <c r="L247" s="1">
        <f t="shared" si="84"/>
        <v>-143400</v>
      </c>
      <c r="M247" s="1"/>
      <c r="N247" s="5">
        <f t="shared" si="85"/>
        <v>-1.5924486396446418</v>
      </c>
      <c r="O247" s="12"/>
      <c r="P247" s="1">
        <f>SUM(OSRRefP22_13x_0)</f>
        <v>7.2759576141834259E-12</v>
      </c>
      <c r="Q247" s="1"/>
      <c r="R247" s="5">
        <f t="shared" si="86"/>
        <v>6.0033157375476828E-19</v>
      </c>
      <c r="S247" s="1"/>
      <c r="T247" s="1">
        <f>SUM(OSRRefT22_13x_0)</f>
        <v>143400</v>
      </c>
      <c r="U247" s="1"/>
      <c r="V247" s="5">
        <f t="shared" si="87"/>
        <v>9.6012447069771436E-3</v>
      </c>
      <c r="W247" s="1"/>
      <c r="X247" s="1">
        <f t="shared" si="88"/>
        <v>-143400</v>
      </c>
      <c r="Y247" s="1"/>
      <c r="Z247" s="5">
        <f t="shared" si="89"/>
        <v>-1</v>
      </c>
    </row>
    <row r="248" spans="1:26" s="24" customFormat="1" hidden="1" outlineLevel="2" x14ac:dyDescent="0.25">
      <c r="A248" s="27"/>
      <c r="B248" s="11" t="str">
        <f>CONCATENATE("          ", "6408", " - ", "INVENTORY ADJUSTMENT")</f>
        <v xml:space="preserve">          6408 - INVENTORY ADJUSTMENT</v>
      </c>
      <c r="C248" s="11"/>
      <c r="D248" s="6">
        <v>-53350</v>
      </c>
      <c r="E248" s="2"/>
      <c r="F248" s="7">
        <f t="shared" si="82"/>
        <v>-8.1367888305483776E-2</v>
      </c>
      <c r="G248" s="2"/>
      <c r="H248" s="6">
        <v>90050</v>
      </c>
      <c r="I248" s="2"/>
      <c r="J248" s="7">
        <f t="shared" si="83"/>
        <v>0.10319803297658429</v>
      </c>
      <c r="K248" s="2"/>
      <c r="L248" s="6">
        <f t="shared" si="84"/>
        <v>-143400</v>
      </c>
      <c r="M248" s="2"/>
      <c r="N248" s="7">
        <f t="shared" si="85"/>
        <v>-1.5924486396446418</v>
      </c>
      <c r="O248" s="11"/>
      <c r="P248" s="6">
        <v>0</v>
      </c>
      <c r="Q248" s="2"/>
      <c r="R248" s="7">
        <f t="shared" si="86"/>
        <v>0</v>
      </c>
      <c r="S248" s="2"/>
      <c r="T248" s="6">
        <v>143400</v>
      </c>
      <c r="U248" s="2"/>
      <c r="V248" s="7">
        <f t="shared" si="87"/>
        <v>9.6012447069771436E-3</v>
      </c>
      <c r="W248" s="2"/>
      <c r="X248" s="6">
        <f t="shared" si="88"/>
        <v>-143400</v>
      </c>
      <c r="Y248" s="2"/>
      <c r="Z248" s="7">
        <f t="shared" si="89"/>
        <v>-1</v>
      </c>
    </row>
    <row r="249" spans="1:26" s="24" customFormat="1" hidden="1" outlineLevel="2" x14ac:dyDescent="0.25">
      <c r="A249" s="27"/>
      <c r="B249" s="11" t="str">
        <f>CONCATENATE("          ", "7700", " - ", "INV. SHRINKAGE @ RETAIL-CONTRA")</f>
        <v xml:space="preserve">          7700 - INV. SHRINKAGE @ RETAIL-CONTRA</v>
      </c>
      <c r="C249" s="11"/>
      <c r="D249" s="6">
        <v>-99781</v>
      </c>
      <c r="E249" s="2"/>
      <c r="F249" s="7">
        <f t="shared" si="82"/>
        <v>-0.15218311645753471</v>
      </c>
      <c r="G249" s="2"/>
      <c r="H249" s="6"/>
      <c r="I249" s="2"/>
      <c r="J249" s="7">
        <f t="shared" si="83"/>
        <v>0</v>
      </c>
      <c r="K249" s="2"/>
      <c r="L249" s="6">
        <f t="shared" si="84"/>
        <v>-99781</v>
      </c>
      <c r="M249" s="2"/>
      <c r="N249" s="7">
        <f t="shared" si="85"/>
        <v>0</v>
      </c>
      <c r="O249" s="11"/>
      <c r="P249" s="6">
        <v>-99781</v>
      </c>
      <c r="Q249" s="2"/>
      <c r="R249" s="7">
        <f t="shared" si="86"/>
        <v>-8.2328248647373752E-3</v>
      </c>
      <c r="S249" s="2"/>
      <c r="T249" s="6"/>
      <c r="U249" s="2"/>
      <c r="V249" s="7">
        <f t="shared" si="87"/>
        <v>0</v>
      </c>
      <c r="W249" s="2"/>
      <c r="X249" s="6">
        <f t="shared" si="88"/>
        <v>-99781</v>
      </c>
      <c r="Y249" s="2"/>
      <c r="Z249" s="7">
        <f t="shared" si="89"/>
        <v>0</v>
      </c>
    </row>
    <row r="250" spans="1:26" s="24" customFormat="1" hidden="1" outlineLevel="2" x14ac:dyDescent="0.25">
      <c r="A250" s="27"/>
      <c r="B250" s="11" t="str">
        <f>CONCATENATE("          ", "7701", " - ", "INV. SHRINKAGE-NEW TEXT")</f>
        <v xml:space="preserve">          7701 - INV. SHRINKAGE-NEW TEXT</v>
      </c>
      <c r="C250" s="11"/>
      <c r="D250" s="6">
        <v>-4346</v>
      </c>
      <c r="E250" s="2"/>
      <c r="F250" s="7">
        <f t="shared" si="82"/>
        <v>-6.6283944250352857E-3</v>
      </c>
      <c r="G250" s="2"/>
      <c r="H250" s="6"/>
      <c r="I250" s="2"/>
      <c r="J250" s="7">
        <f t="shared" si="83"/>
        <v>0</v>
      </c>
      <c r="K250" s="2"/>
      <c r="L250" s="6">
        <f t="shared" si="84"/>
        <v>-4346</v>
      </c>
      <c r="M250" s="2"/>
      <c r="N250" s="7">
        <f t="shared" si="85"/>
        <v>0</v>
      </c>
      <c r="O250" s="11"/>
      <c r="P250" s="6">
        <v>-4346</v>
      </c>
      <c r="Q250" s="2"/>
      <c r="R250" s="7">
        <f t="shared" si="86"/>
        <v>-3.5858386729085328E-4</v>
      </c>
      <c r="S250" s="2"/>
      <c r="T250" s="6"/>
      <c r="U250" s="2"/>
      <c r="V250" s="7">
        <f t="shared" si="87"/>
        <v>0</v>
      </c>
      <c r="W250" s="2"/>
      <c r="X250" s="6">
        <f t="shared" si="88"/>
        <v>-4346</v>
      </c>
      <c r="Y250" s="2"/>
      <c r="Z250" s="7">
        <f t="shared" si="89"/>
        <v>0</v>
      </c>
    </row>
    <row r="251" spans="1:26" s="24" customFormat="1" hidden="1" outlineLevel="2" x14ac:dyDescent="0.25">
      <c r="A251" s="27"/>
      <c r="B251" s="11" t="str">
        <f>CONCATENATE("          ", "7702", " - ", "INV. SHRINKAGE-USED TEXT")</f>
        <v xml:space="preserve">          7702 - INV. SHRINKAGE-USED TEXT</v>
      </c>
      <c r="C251" s="11"/>
      <c r="D251" s="6">
        <v>-29494</v>
      </c>
      <c r="E251" s="2"/>
      <c r="F251" s="7">
        <f t="shared" si="82"/>
        <v>-4.4983402018405595E-2</v>
      </c>
      <c r="G251" s="2"/>
      <c r="H251" s="6"/>
      <c r="I251" s="2"/>
      <c r="J251" s="7">
        <f t="shared" si="83"/>
        <v>0</v>
      </c>
      <c r="K251" s="2"/>
      <c r="L251" s="6">
        <f t="shared" si="84"/>
        <v>-29494</v>
      </c>
      <c r="M251" s="2"/>
      <c r="N251" s="7">
        <f t="shared" si="85"/>
        <v>0</v>
      </c>
      <c r="O251" s="11"/>
      <c r="P251" s="6">
        <v>-29494</v>
      </c>
      <c r="Q251" s="2"/>
      <c r="R251" s="7">
        <f t="shared" si="86"/>
        <v>-2.4335187717156987E-3</v>
      </c>
      <c r="S251" s="2"/>
      <c r="T251" s="6"/>
      <c r="U251" s="2"/>
      <c r="V251" s="7">
        <f t="shared" si="87"/>
        <v>0</v>
      </c>
      <c r="W251" s="2"/>
      <c r="X251" s="6">
        <f t="shared" si="88"/>
        <v>-29494</v>
      </c>
      <c r="Y251" s="2"/>
      <c r="Z251" s="7">
        <f t="shared" si="89"/>
        <v>0</v>
      </c>
    </row>
    <row r="252" spans="1:26" s="24" customFormat="1" hidden="1" outlineLevel="2" x14ac:dyDescent="0.25">
      <c r="A252" s="27"/>
      <c r="B252" s="11" t="str">
        <f>CONCATENATE("          ", "7703", " - ", "INV. SHRINKAGE-RENTAL TEXT")</f>
        <v xml:space="preserve">          7703 - INV. SHRINKAGE-RENTAL TEXT</v>
      </c>
      <c r="C252" s="11"/>
      <c r="D252" s="6">
        <v>526</v>
      </c>
      <c r="E252" s="2"/>
      <c r="F252" s="7">
        <f t="shared" si="82"/>
        <v>8.0224009838208933E-4</v>
      </c>
      <c r="G252" s="2"/>
      <c r="H252" s="6"/>
      <c r="I252" s="2"/>
      <c r="J252" s="7">
        <f t="shared" si="83"/>
        <v>0</v>
      </c>
      <c r="K252" s="2"/>
      <c r="L252" s="6">
        <f t="shared" si="84"/>
        <v>526</v>
      </c>
      <c r="M252" s="2"/>
      <c r="N252" s="7">
        <f t="shared" si="85"/>
        <v>0</v>
      </c>
      <c r="O252" s="11"/>
      <c r="P252" s="6">
        <v>526</v>
      </c>
      <c r="Q252" s="2"/>
      <c r="R252" s="7">
        <f t="shared" si="86"/>
        <v>4.3399704140586478E-5</v>
      </c>
      <c r="S252" s="2"/>
      <c r="T252" s="6"/>
      <c r="U252" s="2"/>
      <c r="V252" s="7">
        <f t="shared" si="87"/>
        <v>0</v>
      </c>
      <c r="W252" s="2"/>
      <c r="X252" s="6">
        <f t="shared" si="88"/>
        <v>526</v>
      </c>
      <c r="Y252" s="2"/>
      <c r="Z252" s="7">
        <f t="shared" si="89"/>
        <v>0</v>
      </c>
    </row>
    <row r="253" spans="1:26" s="24" customFormat="1" hidden="1" outlineLevel="2" x14ac:dyDescent="0.25">
      <c r="A253" s="27"/>
      <c r="B253" s="11" t="str">
        <f>CONCATENATE("          ", "7704", " - ", "INV. SHRINKAGE-DIGITAL TEXT")</f>
        <v xml:space="preserve">          7704 - INV. SHRINKAGE-DIGITAL TEXT</v>
      </c>
      <c r="C253" s="11"/>
      <c r="D253" s="6">
        <v>816</v>
      </c>
      <c r="E253" s="2"/>
      <c r="F253" s="7">
        <f t="shared" si="82"/>
        <v>1.2445397723950284E-3</v>
      </c>
      <c r="G253" s="2"/>
      <c r="H253" s="6"/>
      <c r="I253" s="2"/>
      <c r="J253" s="7">
        <f t="shared" si="83"/>
        <v>0</v>
      </c>
      <c r="K253" s="2"/>
      <c r="L253" s="6">
        <f t="shared" si="84"/>
        <v>816</v>
      </c>
      <c r="M253" s="2"/>
      <c r="N253" s="7">
        <f t="shared" si="85"/>
        <v>0</v>
      </c>
      <c r="O253" s="11"/>
      <c r="P253" s="6">
        <v>816</v>
      </c>
      <c r="Q253" s="2"/>
      <c r="R253" s="7">
        <f t="shared" si="86"/>
        <v>6.7327297678172179E-5</v>
      </c>
      <c r="S253" s="2"/>
      <c r="T253" s="6"/>
      <c r="U253" s="2"/>
      <c r="V253" s="7">
        <f t="shared" si="87"/>
        <v>0</v>
      </c>
      <c r="W253" s="2"/>
      <c r="X253" s="6">
        <f t="shared" si="88"/>
        <v>816</v>
      </c>
      <c r="Y253" s="2"/>
      <c r="Z253" s="7">
        <f t="shared" si="89"/>
        <v>0</v>
      </c>
    </row>
    <row r="254" spans="1:26" s="24" customFormat="1" hidden="1" outlineLevel="2" x14ac:dyDescent="0.25">
      <c r="A254" s="27"/>
      <c r="B254" s="11" t="str">
        <f>CONCATENATE("          ", "7711", " - ", "INV. SHRINKAGE-NO VALUE TEXT")</f>
        <v xml:space="preserve">          7711 - INV. SHRINKAGE-NO VALUE TEXT</v>
      </c>
      <c r="C254" s="11"/>
      <c r="D254" s="6">
        <v>-1126</v>
      </c>
      <c r="E254" s="2"/>
      <c r="F254" s="7">
        <f t="shared" si="82"/>
        <v>-1.7173428722019632E-3</v>
      </c>
      <c r="G254" s="2"/>
      <c r="H254" s="6"/>
      <c r="I254" s="2"/>
      <c r="J254" s="7">
        <f t="shared" si="83"/>
        <v>0</v>
      </c>
      <c r="K254" s="2"/>
      <c r="L254" s="6">
        <f t="shared" si="84"/>
        <v>-1126</v>
      </c>
      <c r="M254" s="2"/>
      <c r="N254" s="7">
        <f t="shared" si="85"/>
        <v>0</v>
      </c>
      <c r="O254" s="11"/>
      <c r="P254" s="6">
        <v>-1126</v>
      </c>
      <c r="Q254" s="2"/>
      <c r="R254" s="7">
        <f t="shared" si="86"/>
        <v>-9.2905070080418959E-5</v>
      </c>
      <c r="S254" s="2"/>
      <c r="T254" s="6"/>
      <c r="U254" s="2"/>
      <c r="V254" s="7">
        <f t="shared" si="87"/>
        <v>0</v>
      </c>
      <c r="W254" s="2"/>
      <c r="X254" s="6">
        <f t="shared" si="88"/>
        <v>-1126</v>
      </c>
      <c r="Y254" s="2"/>
      <c r="Z254" s="7">
        <f t="shared" si="89"/>
        <v>0</v>
      </c>
    </row>
    <row r="255" spans="1:26" s="24" customFormat="1" hidden="1" outlineLevel="2" x14ac:dyDescent="0.25">
      <c r="A255" s="27"/>
      <c r="B255" s="11" t="str">
        <f>CONCATENATE("          ", "7713", " - ", "INV. SHRINKAGE-TRADE BOOKS")</f>
        <v xml:space="preserve">          7713 - INV. SHRINKAGE-TRADE BOOKS</v>
      </c>
      <c r="C255" s="11"/>
      <c r="D255" s="6">
        <v>-385</v>
      </c>
      <c r="E255" s="2"/>
      <c r="F255" s="7">
        <f t="shared" si="82"/>
        <v>-5.8719094653441901E-4</v>
      </c>
      <c r="G255" s="2"/>
      <c r="H255" s="6"/>
      <c r="I255" s="2"/>
      <c r="J255" s="7">
        <f t="shared" si="83"/>
        <v>0</v>
      </c>
      <c r="K255" s="2"/>
      <c r="L255" s="6">
        <f t="shared" si="84"/>
        <v>-385</v>
      </c>
      <c r="M255" s="2"/>
      <c r="N255" s="7">
        <f t="shared" si="85"/>
        <v>0</v>
      </c>
      <c r="O255" s="11"/>
      <c r="P255" s="6">
        <v>-385</v>
      </c>
      <c r="Q255" s="2"/>
      <c r="R255" s="7">
        <f t="shared" si="86"/>
        <v>-3.1765943144725843E-5</v>
      </c>
      <c r="S255" s="2"/>
      <c r="T255" s="6"/>
      <c r="U255" s="2"/>
      <c r="V255" s="7">
        <f t="shared" si="87"/>
        <v>0</v>
      </c>
      <c r="W255" s="2"/>
      <c r="X255" s="6">
        <f t="shared" si="88"/>
        <v>-385</v>
      </c>
      <c r="Y255" s="2"/>
      <c r="Z255" s="7">
        <f t="shared" si="89"/>
        <v>0</v>
      </c>
    </row>
    <row r="256" spans="1:26" s="24" customFormat="1" hidden="1" outlineLevel="2" x14ac:dyDescent="0.25">
      <c r="A256" s="27"/>
      <c r="B256" s="11" t="str">
        <f>CONCATENATE("          ", "7714", " - ", "INV. SHRINKAGE-REMAINDERS")</f>
        <v xml:space="preserve">          7714 - INV. SHRINKAGE-REMAINDERS</v>
      </c>
      <c r="C256" s="11"/>
      <c r="D256" s="6">
        <v>204</v>
      </c>
      <c r="E256" s="2"/>
      <c r="F256" s="7">
        <f t="shared" si="82"/>
        <v>3.111349430987571E-4</v>
      </c>
      <c r="G256" s="2"/>
      <c r="H256" s="6"/>
      <c r="I256" s="2"/>
      <c r="J256" s="7">
        <f t="shared" si="83"/>
        <v>0</v>
      </c>
      <c r="K256" s="2"/>
      <c r="L256" s="6">
        <f t="shared" si="84"/>
        <v>204</v>
      </c>
      <c r="M256" s="2"/>
      <c r="N256" s="7">
        <f t="shared" si="85"/>
        <v>0</v>
      </c>
      <c r="O256" s="11"/>
      <c r="P256" s="6">
        <v>204</v>
      </c>
      <c r="Q256" s="2"/>
      <c r="R256" s="7">
        <f t="shared" si="86"/>
        <v>1.6831824419543045E-5</v>
      </c>
      <c r="S256" s="2"/>
      <c r="T256" s="6"/>
      <c r="U256" s="2"/>
      <c r="V256" s="7">
        <f t="shared" si="87"/>
        <v>0</v>
      </c>
      <c r="W256" s="2"/>
      <c r="X256" s="6">
        <f t="shared" si="88"/>
        <v>204</v>
      </c>
      <c r="Y256" s="2"/>
      <c r="Z256" s="7">
        <f t="shared" si="89"/>
        <v>0</v>
      </c>
    </row>
    <row r="257" spans="1:26" s="24" customFormat="1" hidden="1" outlineLevel="2" x14ac:dyDescent="0.25">
      <c r="A257" s="27"/>
      <c r="B257" s="11" t="str">
        <f>CONCATENATE("          ", "7717", " - ", "INV. SHRINKAGE-DORM/HOUSEWARES")</f>
        <v xml:space="preserve">          7717 - INV. SHRINKAGE-DORM/HOUSEWARES</v>
      </c>
      <c r="C257" s="11"/>
      <c r="D257" s="6">
        <v>-254</v>
      </c>
      <c r="E257" s="2"/>
      <c r="F257" s="7">
        <f t="shared" si="82"/>
        <v>-3.8739350758374655E-4</v>
      </c>
      <c r="G257" s="2"/>
      <c r="H257" s="6"/>
      <c r="I257" s="2"/>
      <c r="J257" s="7">
        <f t="shared" si="83"/>
        <v>0</v>
      </c>
      <c r="K257" s="2"/>
      <c r="L257" s="6">
        <f t="shared" si="84"/>
        <v>-254</v>
      </c>
      <c r="M257" s="2"/>
      <c r="N257" s="7">
        <f t="shared" si="85"/>
        <v>0</v>
      </c>
      <c r="O257" s="11"/>
      <c r="P257" s="6">
        <v>-254</v>
      </c>
      <c r="Q257" s="2"/>
      <c r="R257" s="7">
        <f t="shared" si="86"/>
        <v>-2.095727158119575E-5</v>
      </c>
      <c r="S257" s="2"/>
      <c r="T257" s="6"/>
      <c r="U257" s="2"/>
      <c r="V257" s="7">
        <f t="shared" si="87"/>
        <v>0</v>
      </c>
      <c r="W257" s="2"/>
      <c r="X257" s="6">
        <f t="shared" si="88"/>
        <v>-254</v>
      </c>
      <c r="Y257" s="2"/>
      <c r="Z257" s="7">
        <f t="shared" si="89"/>
        <v>0</v>
      </c>
    </row>
    <row r="258" spans="1:26" s="24" customFormat="1" hidden="1" outlineLevel="2" x14ac:dyDescent="0.25">
      <c r="A258" s="27"/>
      <c r="B258" s="11" t="str">
        <f>CONCATENATE("          ", "7718", " - ", "INV. SHRINKAGE-STUDY GUIDES")</f>
        <v xml:space="preserve">          7718 - INV. SHRINKAGE-STUDY GUIDES</v>
      </c>
      <c r="C258" s="11"/>
      <c r="D258" s="6">
        <v>458</v>
      </c>
      <c r="E258" s="2"/>
      <c r="F258" s="7">
        <f t="shared" si="82"/>
        <v>6.985284506825037E-4</v>
      </c>
      <c r="G258" s="2"/>
      <c r="H258" s="6"/>
      <c r="I258" s="2"/>
      <c r="J258" s="7">
        <f t="shared" si="83"/>
        <v>0</v>
      </c>
      <c r="K258" s="2"/>
      <c r="L258" s="6">
        <f t="shared" si="84"/>
        <v>458</v>
      </c>
      <c r="M258" s="2"/>
      <c r="N258" s="7">
        <f t="shared" si="85"/>
        <v>0</v>
      </c>
      <c r="O258" s="11"/>
      <c r="P258" s="6">
        <v>458</v>
      </c>
      <c r="Q258" s="2"/>
      <c r="R258" s="7">
        <f t="shared" si="86"/>
        <v>3.7789096000738799E-5</v>
      </c>
      <c r="S258" s="2"/>
      <c r="T258" s="6"/>
      <c r="U258" s="2"/>
      <c r="V258" s="7">
        <f t="shared" si="87"/>
        <v>0</v>
      </c>
      <c r="W258" s="2"/>
      <c r="X258" s="6">
        <f t="shared" si="88"/>
        <v>458</v>
      </c>
      <c r="Y258" s="2"/>
      <c r="Z258" s="7">
        <f t="shared" si="89"/>
        <v>0</v>
      </c>
    </row>
    <row r="259" spans="1:26" s="24" customFormat="1" hidden="1" outlineLevel="2" x14ac:dyDescent="0.25">
      <c r="A259" s="27"/>
      <c r="B259" s="11" t="str">
        <f>CONCATENATE("          ", "7719", " - ", "INV. SHRINKAGE-BOOK RELATED")</f>
        <v xml:space="preserve">          7719 - INV. SHRINKAGE-BOOK RELATED</v>
      </c>
      <c r="C259" s="11"/>
      <c r="D259" s="6">
        <v>-43</v>
      </c>
      <c r="E259" s="2"/>
      <c r="F259" s="7">
        <f t="shared" si="82"/>
        <v>-6.558236545709095E-5</v>
      </c>
      <c r="G259" s="2"/>
      <c r="H259" s="6"/>
      <c r="I259" s="2"/>
      <c r="J259" s="7">
        <f t="shared" si="83"/>
        <v>0</v>
      </c>
      <c r="K259" s="2"/>
      <c r="L259" s="6">
        <f t="shared" si="84"/>
        <v>-43</v>
      </c>
      <c r="M259" s="2"/>
      <c r="N259" s="7">
        <f t="shared" si="85"/>
        <v>0</v>
      </c>
      <c r="O259" s="11"/>
      <c r="P259" s="6">
        <v>-43</v>
      </c>
      <c r="Q259" s="2"/>
      <c r="R259" s="7">
        <f t="shared" si="86"/>
        <v>-3.5478845590213278E-6</v>
      </c>
      <c r="S259" s="2"/>
      <c r="T259" s="6"/>
      <c r="U259" s="2"/>
      <c r="V259" s="7">
        <f t="shared" si="87"/>
        <v>0</v>
      </c>
      <c r="W259" s="2"/>
      <c r="X259" s="6">
        <f t="shared" si="88"/>
        <v>-43</v>
      </c>
      <c r="Y259" s="2"/>
      <c r="Z259" s="7">
        <f t="shared" si="89"/>
        <v>0</v>
      </c>
    </row>
    <row r="260" spans="1:26" s="24" customFormat="1" hidden="1" outlineLevel="2" x14ac:dyDescent="0.25">
      <c r="A260" s="27"/>
      <c r="B260" s="11" t="str">
        <f>CONCATENATE("          ", "7725", " - ", "INV. SHRINKAGE-TEST FORMS")</f>
        <v xml:space="preserve">          7725 - INV. SHRINKAGE-TEST FORMS</v>
      </c>
      <c r="C260" s="11"/>
      <c r="D260" s="6">
        <v>3987</v>
      </c>
      <c r="E260" s="2"/>
      <c r="F260" s="7">
        <f t="shared" si="82"/>
        <v>6.0808579320330612E-3</v>
      </c>
      <c r="G260" s="2"/>
      <c r="H260" s="6"/>
      <c r="I260" s="2"/>
      <c r="J260" s="7">
        <f t="shared" si="83"/>
        <v>0</v>
      </c>
      <c r="K260" s="2"/>
      <c r="L260" s="6">
        <f t="shared" si="84"/>
        <v>3987</v>
      </c>
      <c r="M260" s="2"/>
      <c r="N260" s="7">
        <f t="shared" si="85"/>
        <v>0</v>
      </c>
      <c r="O260" s="11"/>
      <c r="P260" s="6">
        <v>3987</v>
      </c>
      <c r="Q260" s="2"/>
      <c r="R260" s="7">
        <f t="shared" si="86"/>
        <v>3.2896315667018685E-4</v>
      </c>
      <c r="S260" s="2"/>
      <c r="T260" s="6"/>
      <c r="U260" s="2"/>
      <c r="V260" s="7">
        <f t="shared" si="87"/>
        <v>0</v>
      </c>
      <c r="W260" s="2"/>
      <c r="X260" s="6">
        <f t="shared" si="88"/>
        <v>3987</v>
      </c>
      <c r="Y260" s="2"/>
      <c r="Z260" s="7">
        <f t="shared" si="89"/>
        <v>0</v>
      </c>
    </row>
    <row r="261" spans="1:26" s="24" customFormat="1" hidden="1" outlineLevel="2" x14ac:dyDescent="0.25">
      <c r="A261" s="27"/>
      <c r="B261" s="11" t="str">
        <f>CONCATENATE("          ", "7726", " - ", "INV. SHRINKAGE-WRITING INSTRUM")</f>
        <v xml:space="preserve">          7726 - INV. SHRINKAGE-WRITING INSTRUM</v>
      </c>
      <c r="C261" s="11"/>
      <c r="D261" s="6">
        <v>9153</v>
      </c>
      <c r="E261" s="2"/>
      <c r="F261" s="7">
        <f t="shared" si="82"/>
        <v>1.3959892814622175E-2</v>
      </c>
      <c r="G261" s="2"/>
      <c r="H261" s="6"/>
      <c r="I261" s="2"/>
      <c r="J261" s="7">
        <f t="shared" si="83"/>
        <v>0</v>
      </c>
      <c r="K261" s="2"/>
      <c r="L261" s="6">
        <f t="shared" si="84"/>
        <v>9153</v>
      </c>
      <c r="M261" s="2"/>
      <c r="N261" s="7">
        <f t="shared" si="85"/>
        <v>0</v>
      </c>
      <c r="O261" s="11"/>
      <c r="P261" s="6">
        <v>9153</v>
      </c>
      <c r="Q261" s="2"/>
      <c r="R261" s="7">
        <f t="shared" si="86"/>
        <v>7.5520435741214457E-4</v>
      </c>
      <c r="S261" s="2"/>
      <c r="T261" s="6"/>
      <c r="U261" s="2"/>
      <c r="V261" s="7">
        <f t="shared" si="87"/>
        <v>0</v>
      </c>
      <c r="W261" s="2"/>
      <c r="X261" s="6">
        <f t="shared" si="88"/>
        <v>9153</v>
      </c>
      <c r="Y261" s="2"/>
      <c r="Z261" s="7">
        <f t="shared" si="89"/>
        <v>0</v>
      </c>
    </row>
    <row r="262" spans="1:26" s="24" customFormat="1" hidden="1" outlineLevel="2" x14ac:dyDescent="0.25">
      <c r="A262" s="27"/>
      <c r="B262" s="11" t="str">
        <f>CONCATENATE("          ", "7727", " - ", "INV. SHRINKAGE-SCHOOL SUPPLIES")</f>
        <v xml:space="preserve">          7727 - INV. SHRINKAGE-SCHOOL SUPPLIES</v>
      </c>
      <c r="C262" s="11"/>
      <c r="D262" s="6">
        <v>9822</v>
      </c>
      <c r="E262" s="2"/>
      <c r="F262" s="7">
        <f t="shared" si="82"/>
        <v>1.4980232407431335E-2</v>
      </c>
      <c r="G262" s="2"/>
      <c r="H262" s="6"/>
      <c r="I262" s="2"/>
      <c r="J262" s="7">
        <f t="shared" si="83"/>
        <v>0</v>
      </c>
      <c r="K262" s="2"/>
      <c r="L262" s="6">
        <f t="shared" si="84"/>
        <v>9822</v>
      </c>
      <c r="M262" s="2"/>
      <c r="N262" s="7">
        <f t="shared" si="85"/>
        <v>0</v>
      </c>
      <c r="O262" s="11"/>
      <c r="P262" s="6">
        <v>9822</v>
      </c>
      <c r="Q262" s="2"/>
      <c r="R262" s="7">
        <f t="shared" si="86"/>
        <v>8.104028404350577E-4</v>
      </c>
      <c r="S262" s="2"/>
      <c r="T262" s="6"/>
      <c r="U262" s="2"/>
      <c r="V262" s="7">
        <f t="shared" si="87"/>
        <v>0</v>
      </c>
      <c r="W262" s="2"/>
      <c r="X262" s="6">
        <f t="shared" si="88"/>
        <v>9822</v>
      </c>
      <c r="Y262" s="2"/>
      <c r="Z262" s="7">
        <f t="shared" si="89"/>
        <v>0</v>
      </c>
    </row>
    <row r="263" spans="1:26" s="24" customFormat="1" hidden="1" outlineLevel="2" x14ac:dyDescent="0.25">
      <c r="A263" s="27"/>
      <c r="B263" s="11" t="str">
        <f>CONCATENATE("          ", "7728", " - ", "INV. SHRINKAGE-ART/TECH")</f>
        <v xml:space="preserve">          7728 - INV. SHRINKAGE-ART/TECH</v>
      </c>
      <c r="C263" s="11"/>
      <c r="D263" s="6">
        <v>8990</v>
      </c>
      <c r="E263" s="2"/>
      <c r="F263" s="7">
        <f t="shared" si="82"/>
        <v>1.3711289894401108E-2</v>
      </c>
      <c r="G263" s="2"/>
      <c r="H263" s="6"/>
      <c r="I263" s="2"/>
      <c r="J263" s="7">
        <f t="shared" si="83"/>
        <v>0</v>
      </c>
      <c r="K263" s="2"/>
      <c r="L263" s="6">
        <f t="shared" si="84"/>
        <v>8990</v>
      </c>
      <c r="M263" s="2"/>
      <c r="N263" s="7">
        <f t="shared" si="85"/>
        <v>0</v>
      </c>
      <c r="O263" s="11"/>
      <c r="P263" s="6">
        <v>8990</v>
      </c>
      <c r="Q263" s="2"/>
      <c r="R263" s="7">
        <f t="shared" si="86"/>
        <v>7.4175539966515674E-4</v>
      </c>
      <c r="S263" s="2"/>
      <c r="T263" s="6"/>
      <c r="U263" s="2"/>
      <c r="V263" s="7">
        <f t="shared" si="87"/>
        <v>0</v>
      </c>
      <c r="W263" s="2"/>
      <c r="X263" s="6">
        <f t="shared" si="88"/>
        <v>8990</v>
      </c>
      <c r="Y263" s="2"/>
      <c r="Z263" s="7">
        <f t="shared" si="89"/>
        <v>0</v>
      </c>
    </row>
    <row r="264" spans="1:26" s="24" customFormat="1" hidden="1" outlineLevel="2" x14ac:dyDescent="0.25">
      <c r="A264" s="27"/>
      <c r="B264" s="11" t="str">
        <f>CONCATENATE("          ", "7731", " - ", "INV. SHRINKAGE-FOOD")</f>
        <v xml:space="preserve">          7731 - INV. SHRINKAGE-FOOD</v>
      </c>
      <c r="C264" s="11"/>
      <c r="D264" s="6">
        <v>6964</v>
      </c>
      <c r="E264" s="2"/>
      <c r="F264" s="7">
        <f t="shared" si="82"/>
        <v>1.0621292861469336E-2</v>
      </c>
      <c r="G264" s="2"/>
      <c r="H264" s="6"/>
      <c r="I264" s="2"/>
      <c r="J264" s="7">
        <f t="shared" si="83"/>
        <v>0</v>
      </c>
      <c r="K264" s="2"/>
      <c r="L264" s="6">
        <f t="shared" si="84"/>
        <v>6964</v>
      </c>
      <c r="M264" s="2"/>
      <c r="N264" s="7">
        <f t="shared" si="85"/>
        <v>0</v>
      </c>
      <c r="O264" s="11"/>
      <c r="P264" s="6">
        <v>6964</v>
      </c>
      <c r="Q264" s="2"/>
      <c r="R264" s="7">
        <f t="shared" si="86"/>
        <v>5.7459228067498896E-4</v>
      </c>
      <c r="S264" s="2"/>
      <c r="T264" s="6"/>
      <c r="U264" s="2"/>
      <c r="V264" s="7">
        <f t="shared" si="87"/>
        <v>0</v>
      </c>
      <c r="W264" s="2"/>
      <c r="X264" s="6">
        <f t="shared" si="88"/>
        <v>6964</v>
      </c>
      <c r="Y264" s="2"/>
      <c r="Z264" s="7">
        <f t="shared" si="89"/>
        <v>0</v>
      </c>
    </row>
    <row r="265" spans="1:26" s="24" customFormat="1" hidden="1" outlineLevel="2" x14ac:dyDescent="0.25">
      <c r="A265" s="27"/>
      <c r="B265" s="11" t="str">
        <f>CONCATENATE("          ", "7732", " - ", "INV. SHRINKAGE-JUICE")</f>
        <v xml:space="preserve">          7732 - INV. SHRINKAGE-JUICE</v>
      </c>
      <c r="C265" s="11"/>
      <c r="D265" s="6">
        <v>-1942</v>
      </c>
      <c r="E265" s="2"/>
      <c r="F265" s="7">
        <f t="shared" si="82"/>
        <v>-2.9618826445969916E-3</v>
      </c>
      <c r="G265" s="2"/>
      <c r="H265" s="6"/>
      <c r="I265" s="2"/>
      <c r="J265" s="7">
        <f t="shared" si="83"/>
        <v>0</v>
      </c>
      <c r="K265" s="2"/>
      <c r="L265" s="6">
        <f t="shared" si="84"/>
        <v>-1942</v>
      </c>
      <c r="M265" s="2"/>
      <c r="N265" s="7">
        <f t="shared" si="85"/>
        <v>0</v>
      </c>
      <c r="O265" s="11"/>
      <c r="P265" s="6">
        <v>-1942</v>
      </c>
      <c r="Q265" s="2"/>
      <c r="R265" s="7">
        <f t="shared" si="86"/>
        <v>-1.6023236775859114E-4</v>
      </c>
      <c r="S265" s="2"/>
      <c r="T265" s="6"/>
      <c r="U265" s="2"/>
      <c r="V265" s="7">
        <f t="shared" si="87"/>
        <v>0</v>
      </c>
      <c r="W265" s="2"/>
      <c r="X265" s="6">
        <f t="shared" si="88"/>
        <v>-1942</v>
      </c>
      <c r="Y265" s="2"/>
      <c r="Z265" s="7">
        <f t="shared" si="89"/>
        <v>0</v>
      </c>
    </row>
    <row r="266" spans="1:26" s="24" customFormat="1" hidden="1" outlineLevel="2" x14ac:dyDescent="0.25">
      <c r="A266" s="27"/>
      <c r="B266" s="11" t="str">
        <f>CONCATENATE("          ", "7733", " - ", "INV. SHRINKAGE-CANDY")</f>
        <v xml:space="preserve">          7733 - INV. SHRINKAGE-CANDY</v>
      </c>
      <c r="C266" s="11"/>
      <c r="D266" s="6">
        <v>2710</v>
      </c>
      <c r="E266" s="2"/>
      <c r="F266" s="7">
        <f t="shared" si="82"/>
        <v>4.1332141950864302E-3</v>
      </c>
      <c r="G266" s="2"/>
      <c r="H266" s="6"/>
      <c r="I266" s="2"/>
      <c r="J266" s="7">
        <f t="shared" si="83"/>
        <v>0</v>
      </c>
      <c r="K266" s="2"/>
      <c r="L266" s="6">
        <f t="shared" si="84"/>
        <v>2710</v>
      </c>
      <c r="M266" s="2"/>
      <c r="N266" s="7">
        <f t="shared" si="85"/>
        <v>0</v>
      </c>
      <c r="O266" s="11"/>
      <c r="P266" s="6">
        <v>2710</v>
      </c>
      <c r="Q266" s="2"/>
      <c r="R266" s="7">
        <f t="shared" si="86"/>
        <v>2.235992361615767E-4</v>
      </c>
      <c r="S266" s="2"/>
      <c r="T266" s="6"/>
      <c r="U266" s="2"/>
      <c r="V266" s="7">
        <f t="shared" si="87"/>
        <v>0</v>
      </c>
      <c r="W266" s="2"/>
      <c r="X266" s="6">
        <f t="shared" si="88"/>
        <v>2710</v>
      </c>
      <c r="Y266" s="2"/>
      <c r="Z266" s="7">
        <f t="shared" si="89"/>
        <v>0</v>
      </c>
    </row>
    <row r="267" spans="1:26" s="24" customFormat="1" hidden="1" outlineLevel="2" x14ac:dyDescent="0.25">
      <c r="A267" s="27"/>
      <c r="B267" s="11" t="str">
        <f>CONCATENATE("          ", "7734", " - ", "INV. SHRINKAGE-SODA")</f>
        <v xml:space="preserve">          7734 - INV. SHRINKAGE-SODA</v>
      </c>
      <c r="C267" s="11"/>
      <c r="D267" s="6">
        <v>1253</v>
      </c>
      <c r="E267" s="2"/>
      <c r="F267" s="7">
        <f t="shared" si="82"/>
        <v>1.9110396259938364E-3</v>
      </c>
      <c r="G267" s="2"/>
      <c r="H267" s="6"/>
      <c r="I267" s="2"/>
      <c r="J267" s="7">
        <f t="shared" si="83"/>
        <v>0</v>
      </c>
      <c r="K267" s="2"/>
      <c r="L267" s="6">
        <f t="shared" si="84"/>
        <v>1253</v>
      </c>
      <c r="M267" s="2"/>
      <c r="N267" s="7">
        <f t="shared" si="85"/>
        <v>0</v>
      </c>
      <c r="O267" s="11"/>
      <c r="P267" s="6">
        <v>1253</v>
      </c>
      <c r="Q267" s="2"/>
      <c r="R267" s="7">
        <f t="shared" si="86"/>
        <v>1.0338370587101684E-4</v>
      </c>
      <c r="S267" s="2"/>
      <c r="T267" s="6"/>
      <c r="U267" s="2"/>
      <c r="V267" s="7">
        <f t="shared" si="87"/>
        <v>0</v>
      </c>
      <c r="W267" s="2"/>
      <c r="X267" s="6">
        <f t="shared" si="88"/>
        <v>1253</v>
      </c>
      <c r="Y267" s="2"/>
      <c r="Z267" s="7">
        <f t="shared" si="89"/>
        <v>0</v>
      </c>
    </row>
    <row r="268" spans="1:26" s="24" customFormat="1" hidden="1" outlineLevel="2" x14ac:dyDescent="0.25">
      <c r="A268" s="27"/>
      <c r="B268" s="11" t="str">
        <f>CONCATENATE("          ", "7735", " - ", "INV. SHRINKAGE-HEALTH/BEAUTY")</f>
        <v xml:space="preserve">          7735 - INV. SHRINKAGE-HEALTH/BEAUTY</v>
      </c>
      <c r="C268" s="11"/>
      <c r="D268" s="6">
        <v>369</v>
      </c>
      <c r="E268" s="2"/>
      <c r="F268" s="7">
        <f t="shared" si="82"/>
        <v>5.6278820589922241E-4</v>
      </c>
      <c r="G268" s="2"/>
      <c r="H268" s="6"/>
      <c r="I268" s="2"/>
      <c r="J268" s="7">
        <f t="shared" si="83"/>
        <v>0</v>
      </c>
      <c r="K268" s="2"/>
      <c r="L268" s="6">
        <f t="shared" si="84"/>
        <v>369</v>
      </c>
      <c r="M268" s="2"/>
      <c r="N268" s="7">
        <f t="shared" si="85"/>
        <v>0</v>
      </c>
      <c r="O268" s="11"/>
      <c r="P268" s="6">
        <v>369</v>
      </c>
      <c r="Q268" s="2"/>
      <c r="R268" s="7">
        <f t="shared" si="86"/>
        <v>3.0445800052996977E-5</v>
      </c>
      <c r="S268" s="2"/>
      <c r="T268" s="6"/>
      <c r="U268" s="2"/>
      <c r="V268" s="7">
        <f t="shared" si="87"/>
        <v>0</v>
      </c>
      <c r="W268" s="2"/>
      <c r="X268" s="6">
        <f t="shared" si="88"/>
        <v>369</v>
      </c>
      <c r="Y268" s="2"/>
      <c r="Z268" s="7">
        <f t="shared" si="89"/>
        <v>0</v>
      </c>
    </row>
    <row r="269" spans="1:26" s="24" customFormat="1" hidden="1" outlineLevel="2" x14ac:dyDescent="0.25">
      <c r="A269" s="27"/>
      <c r="B269" s="11" t="str">
        <f>CONCATENATE("          ", "7737", " - ", "INV. SHRINKAGE-WATER")</f>
        <v xml:space="preserve">          7737 - INV. SHRINKAGE-WATER</v>
      </c>
      <c r="C269" s="11"/>
      <c r="D269" s="6">
        <v>763</v>
      </c>
      <c r="E269" s="2"/>
      <c r="F269" s="7">
        <f t="shared" si="82"/>
        <v>1.1637056940409394E-3</v>
      </c>
      <c r="G269" s="2"/>
      <c r="H269" s="6"/>
      <c r="I269" s="2"/>
      <c r="J269" s="7">
        <f t="shared" si="83"/>
        <v>0</v>
      </c>
      <c r="K269" s="2"/>
      <c r="L269" s="6">
        <f t="shared" si="84"/>
        <v>763</v>
      </c>
      <c r="M269" s="2"/>
      <c r="N269" s="7">
        <f t="shared" si="85"/>
        <v>0</v>
      </c>
      <c r="O269" s="11"/>
      <c r="P269" s="6">
        <v>763</v>
      </c>
      <c r="Q269" s="2"/>
      <c r="R269" s="7">
        <f t="shared" si="86"/>
        <v>6.2954323686820302E-5</v>
      </c>
      <c r="S269" s="2"/>
      <c r="T269" s="6"/>
      <c r="U269" s="2"/>
      <c r="V269" s="7">
        <f t="shared" si="87"/>
        <v>0</v>
      </c>
      <c r="W269" s="2"/>
      <c r="X269" s="6">
        <f t="shared" si="88"/>
        <v>763</v>
      </c>
      <c r="Y269" s="2"/>
      <c r="Z269" s="7">
        <f t="shared" si="89"/>
        <v>0</v>
      </c>
    </row>
    <row r="270" spans="1:26" s="24" customFormat="1" hidden="1" outlineLevel="2" x14ac:dyDescent="0.25">
      <c r="A270" s="27"/>
      <c r="B270" s="11" t="str">
        <f>CONCATENATE("          ", "7740", " - ", "INV. SHRINKAGE-LOGO CLOTHING")</f>
        <v xml:space="preserve">          7740 - INV. SHRINKAGE-LOGO CLOTHING</v>
      </c>
      <c r="C270" s="11"/>
      <c r="D270" s="6">
        <v>62007.000000000007</v>
      </c>
      <c r="E270" s="2"/>
      <c r="F270" s="7">
        <f t="shared" si="82"/>
        <v>9.4571296160414875E-2</v>
      </c>
      <c r="G270" s="2"/>
      <c r="H270" s="6"/>
      <c r="I270" s="2"/>
      <c r="J270" s="7">
        <f t="shared" si="83"/>
        <v>0</v>
      </c>
      <c r="K270" s="2"/>
      <c r="L270" s="6">
        <f t="shared" si="84"/>
        <v>62007.000000000007</v>
      </c>
      <c r="M270" s="2"/>
      <c r="N270" s="7">
        <f t="shared" si="85"/>
        <v>0</v>
      </c>
      <c r="O270" s="11"/>
      <c r="P270" s="6">
        <v>62007.000000000007</v>
      </c>
      <c r="Q270" s="2"/>
      <c r="R270" s="7">
        <f t="shared" si="86"/>
        <v>5.1161320430519889E-3</v>
      </c>
      <c r="S270" s="2"/>
      <c r="T270" s="6"/>
      <c r="U270" s="2"/>
      <c r="V270" s="7">
        <f t="shared" si="87"/>
        <v>0</v>
      </c>
      <c r="W270" s="2"/>
      <c r="X270" s="6">
        <f t="shared" si="88"/>
        <v>62007.000000000007</v>
      </c>
      <c r="Y270" s="2"/>
      <c r="Z270" s="7">
        <f t="shared" si="89"/>
        <v>0</v>
      </c>
    </row>
    <row r="271" spans="1:26" s="24" customFormat="1" hidden="1" outlineLevel="2" x14ac:dyDescent="0.25">
      <c r="A271" s="27"/>
      <c r="B271" s="11" t="str">
        <f>CONCATENATE("          ", "7741", " - ", "INV. SHRINKAGE-LOGO GIFTS")</f>
        <v xml:space="preserve">          7741 - INV. SHRINKAGE-LOGO GIFTS</v>
      </c>
      <c r="C271" s="11"/>
      <c r="D271" s="6">
        <v>30707</v>
      </c>
      <c r="E271" s="2"/>
      <c r="F271" s="7">
        <f t="shared" si="82"/>
        <v>4.6833434792811442E-2</v>
      </c>
      <c r="G271" s="2"/>
      <c r="H271" s="6"/>
      <c r="I271" s="2"/>
      <c r="J271" s="7">
        <f t="shared" si="83"/>
        <v>0</v>
      </c>
      <c r="K271" s="2"/>
      <c r="L271" s="6">
        <f t="shared" si="84"/>
        <v>30707</v>
      </c>
      <c r="M271" s="2"/>
      <c r="N271" s="7">
        <f t="shared" si="85"/>
        <v>0</v>
      </c>
      <c r="O271" s="11"/>
      <c r="P271" s="6">
        <v>30707</v>
      </c>
      <c r="Q271" s="2"/>
      <c r="R271" s="7">
        <f t="shared" si="86"/>
        <v>2.5336021198573934E-3</v>
      </c>
      <c r="S271" s="2"/>
      <c r="T271" s="6"/>
      <c r="U271" s="2"/>
      <c r="V271" s="7">
        <f t="shared" si="87"/>
        <v>0</v>
      </c>
      <c r="W271" s="2"/>
      <c r="X271" s="6">
        <f t="shared" si="88"/>
        <v>30707</v>
      </c>
      <c r="Y271" s="2"/>
      <c r="Z271" s="7">
        <f t="shared" si="89"/>
        <v>0</v>
      </c>
    </row>
    <row r="272" spans="1:26" s="24" customFormat="1" hidden="1" outlineLevel="2" x14ac:dyDescent="0.25">
      <c r="A272" s="27"/>
      <c r="B272" s="11" t="str">
        <f>CONCATENATE("          ", "7742", " - ", "INV. SHRINKAGE-EVERYDAY GIFTS")</f>
        <v xml:space="preserve">          7742 - INV. SHRINKAGE-EVERYDAY GIFTS</v>
      </c>
      <c r="C272" s="11"/>
      <c r="D272" s="6">
        <v>26197</v>
      </c>
      <c r="E272" s="2"/>
      <c r="F272" s="7">
        <f t="shared" si="82"/>
        <v>3.9954912276265388E-2</v>
      </c>
      <c r="G272" s="2"/>
      <c r="H272" s="6"/>
      <c r="I272" s="2"/>
      <c r="J272" s="7">
        <f t="shared" si="83"/>
        <v>0</v>
      </c>
      <c r="K272" s="2"/>
      <c r="L272" s="6">
        <f t="shared" si="84"/>
        <v>26197</v>
      </c>
      <c r="M272" s="2"/>
      <c r="N272" s="7">
        <f t="shared" si="85"/>
        <v>0</v>
      </c>
      <c r="O272" s="11"/>
      <c r="P272" s="6">
        <v>26197</v>
      </c>
      <c r="Q272" s="2"/>
      <c r="R272" s="7">
        <f t="shared" si="86"/>
        <v>2.1614867858763191E-3</v>
      </c>
      <c r="S272" s="2"/>
      <c r="T272" s="6"/>
      <c r="U272" s="2"/>
      <c r="V272" s="7">
        <f t="shared" si="87"/>
        <v>0</v>
      </c>
      <c r="W272" s="2"/>
      <c r="X272" s="6">
        <f t="shared" si="88"/>
        <v>26197</v>
      </c>
      <c r="Y272" s="2"/>
      <c r="Z272" s="7">
        <f t="shared" si="89"/>
        <v>0</v>
      </c>
    </row>
    <row r="273" spans="1:26" s="24" customFormat="1" hidden="1" outlineLevel="2" x14ac:dyDescent="0.25">
      <c r="A273" s="27"/>
      <c r="B273" s="11" t="str">
        <f>CONCATENATE("          ", "7743", " - ", "INV. SHRINKAGE-CARDS")</f>
        <v xml:space="preserve">          7743 - INV. SHRINKAGE-CARDS</v>
      </c>
      <c r="C273" s="11"/>
      <c r="D273" s="6">
        <v>-12818</v>
      </c>
      <c r="E273" s="2"/>
      <c r="F273" s="7">
        <f t="shared" si="82"/>
        <v>-1.9549645591371904E-2</v>
      </c>
      <c r="G273" s="2"/>
      <c r="H273" s="6"/>
      <c r="I273" s="2"/>
      <c r="J273" s="7">
        <f t="shared" si="83"/>
        <v>0</v>
      </c>
      <c r="K273" s="2"/>
      <c r="L273" s="6">
        <f t="shared" si="84"/>
        <v>-12818</v>
      </c>
      <c r="M273" s="2"/>
      <c r="N273" s="7">
        <f t="shared" si="85"/>
        <v>0</v>
      </c>
      <c r="O273" s="11"/>
      <c r="P273" s="6">
        <v>-12818</v>
      </c>
      <c r="Q273" s="2"/>
      <c r="R273" s="7">
        <f t="shared" si="86"/>
        <v>-1.0575996343612879E-3</v>
      </c>
      <c r="S273" s="2"/>
      <c r="T273" s="6"/>
      <c r="U273" s="2"/>
      <c r="V273" s="7">
        <f t="shared" si="87"/>
        <v>0</v>
      </c>
      <c r="W273" s="2"/>
      <c r="X273" s="6">
        <f t="shared" si="88"/>
        <v>-12818</v>
      </c>
      <c r="Y273" s="2"/>
      <c r="Z273" s="7">
        <f t="shared" si="89"/>
        <v>0</v>
      </c>
    </row>
    <row r="274" spans="1:26" s="24" customFormat="1" hidden="1" outlineLevel="2" x14ac:dyDescent="0.25">
      <c r="A274" s="27"/>
      <c r="B274" s="11" t="str">
        <f>CONCATENATE("          ", "7744", " - ", "INV. SHRINKAGE-ACCESSORIES")</f>
        <v xml:space="preserve">          7744 - INV. SHRINKAGE-ACCESSORIES</v>
      </c>
      <c r="C274" s="11"/>
      <c r="D274" s="6">
        <v>-16780</v>
      </c>
      <c r="E274" s="2"/>
      <c r="F274" s="7">
        <f t="shared" si="82"/>
        <v>-2.559237424116247E-2</v>
      </c>
      <c r="G274" s="2"/>
      <c r="H274" s="6"/>
      <c r="I274" s="2"/>
      <c r="J274" s="7">
        <f t="shared" si="83"/>
        <v>0</v>
      </c>
      <c r="K274" s="2"/>
      <c r="L274" s="6">
        <f t="shared" si="84"/>
        <v>-16780</v>
      </c>
      <c r="M274" s="2"/>
      <c r="N274" s="7">
        <f t="shared" si="85"/>
        <v>0</v>
      </c>
      <c r="O274" s="11"/>
      <c r="P274" s="6">
        <v>-16780</v>
      </c>
      <c r="Q274" s="2"/>
      <c r="R274" s="7">
        <f t="shared" si="86"/>
        <v>-1.3845000674506485E-3</v>
      </c>
      <c r="S274" s="2"/>
      <c r="T274" s="6"/>
      <c r="U274" s="2"/>
      <c r="V274" s="7">
        <f t="shared" si="87"/>
        <v>0</v>
      </c>
      <c r="W274" s="2"/>
      <c r="X274" s="6">
        <f t="shared" si="88"/>
        <v>-16780</v>
      </c>
      <c r="Y274" s="2"/>
      <c r="Z274" s="7">
        <f t="shared" si="89"/>
        <v>0</v>
      </c>
    </row>
    <row r="275" spans="1:26" s="24" customFormat="1" hidden="1" outlineLevel="2" x14ac:dyDescent="0.25">
      <c r="A275" s="27"/>
      <c r="B275" s="11" t="str">
        <f>CONCATENATE("          ", "7745", " - ", "INV. SHRINKAGE-SPECIAL ORDERS")</f>
        <v xml:space="preserve">          7745 - INV. SHRINKAGE-SPECIAL ORDERS</v>
      </c>
      <c r="C275" s="11"/>
      <c r="D275" s="6">
        <v>44531</v>
      </c>
      <c r="E275" s="2"/>
      <c r="F275" s="7">
        <f t="shared" si="82"/>
        <v>6.7917402701621332E-2</v>
      </c>
      <c r="G275" s="2"/>
      <c r="H275" s="6"/>
      <c r="I275" s="2"/>
      <c r="J275" s="7">
        <f t="shared" si="83"/>
        <v>0</v>
      </c>
      <c r="K275" s="2"/>
      <c r="L275" s="6">
        <f t="shared" si="84"/>
        <v>44531</v>
      </c>
      <c r="M275" s="2"/>
      <c r="N275" s="7">
        <f t="shared" si="85"/>
        <v>0</v>
      </c>
      <c r="O275" s="11"/>
      <c r="P275" s="6">
        <v>44531</v>
      </c>
      <c r="Q275" s="2"/>
      <c r="R275" s="7">
        <f t="shared" si="86"/>
        <v>3.6742057511111336E-3</v>
      </c>
      <c r="S275" s="2"/>
      <c r="T275" s="6"/>
      <c r="U275" s="2"/>
      <c r="V275" s="7">
        <f t="shared" si="87"/>
        <v>0</v>
      </c>
      <c r="W275" s="2"/>
      <c r="X275" s="6">
        <f t="shared" si="88"/>
        <v>44531</v>
      </c>
      <c r="Y275" s="2"/>
      <c r="Z275" s="7">
        <f t="shared" si="89"/>
        <v>0</v>
      </c>
    </row>
    <row r="276" spans="1:26" s="24" customFormat="1" hidden="1" outlineLevel="2" x14ac:dyDescent="0.25">
      <c r="A276" s="27"/>
      <c r="B276" s="11" t="str">
        <f>CONCATENATE("          ", "7781", " - ", "INV. SHRINKAGE-ELECTRONICS")</f>
        <v xml:space="preserve">          7781 - INV. SHRINKAGE-ELECTRONICS</v>
      </c>
      <c r="C276" s="11"/>
      <c r="D276" s="6">
        <v>-18533</v>
      </c>
      <c r="E276" s="2"/>
      <c r="F276" s="7">
        <f t="shared" si="82"/>
        <v>-2.8265999512006201E-2</v>
      </c>
      <c r="G276" s="2"/>
      <c r="H276" s="6"/>
      <c r="I276" s="2"/>
      <c r="J276" s="7">
        <f t="shared" si="83"/>
        <v>0</v>
      </c>
      <c r="K276" s="2"/>
      <c r="L276" s="6">
        <f t="shared" si="84"/>
        <v>-18533</v>
      </c>
      <c r="M276" s="2"/>
      <c r="N276" s="7">
        <f t="shared" si="85"/>
        <v>0</v>
      </c>
      <c r="O276" s="11"/>
      <c r="P276" s="6">
        <v>-18533</v>
      </c>
      <c r="Q276" s="2"/>
      <c r="R276" s="7">
        <f t="shared" si="86"/>
        <v>-1.5291382449381923E-3</v>
      </c>
      <c r="S276" s="2"/>
      <c r="T276" s="6"/>
      <c r="U276" s="2"/>
      <c r="V276" s="7">
        <f t="shared" si="87"/>
        <v>0</v>
      </c>
      <c r="W276" s="2"/>
      <c r="X276" s="6">
        <f t="shared" si="88"/>
        <v>-18533</v>
      </c>
      <c r="Y276" s="2"/>
      <c r="Z276" s="7">
        <f t="shared" si="89"/>
        <v>0</v>
      </c>
    </row>
    <row r="277" spans="1:26" s="24" customFormat="1" hidden="1" outlineLevel="2" x14ac:dyDescent="0.25">
      <c r="A277" s="27"/>
      <c r="B277" s="11" t="str">
        <f>CONCATENATE("          ", "7782", " - ", "INV. SHRINKAGE-COMPUTER HARDWA")</f>
        <v xml:space="preserve">          7782 - INV. SHRINKAGE-COMPUTER HARDWA</v>
      </c>
      <c r="C277" s="11"/>
      <c r="D277" s="6">
        <v>-30194</v>
      </c>
      <c r="E277" s="2"/>
      <c r="F277" s="7">
        <f t="shared" si="82"/>
        <v>-4.6051021921195451E-2</v>
      </c>
      <c r="G277" s="2"/>
      <c r="H277" s="6"/>
      <c r="I277" s="2"/>
      <c r="J277" s="7">
        <f t="shared" si="83"/>
        <v>0</v>
      </c>
      <c r="K277" s="2"/>
      <c r="L277" s="6">
        <f t="shared" si="84"/>
        <v>-30194</v>
      </c>
      <c r="M277" s="2"/>
      <c r="N277" s="7">
        <f t="shared" si="85"/>
        <v>0</v>
      </c>
      <c r="O277" s="11"/>
      <c r="P277" s="6">
        <v>-30194</v>
      </c>
      <c r="Q277" s="2"/>
      <c r="R277" s="7">
        <f t="shared" si="86"/>
        <v>-2.4912750319788365E-3</v>
      </c>
      <c r="S277" s="2"/>
      <c r="T277" s="6"/>
      <c r="U277" s="2"/>
      <c r="V277" s="7">
        <f t="shared" si="87"/>
        <v>0</v>
      </c>
      <c r="W277" s="2"/>
      <c r="X277" s="6">
        <f t="shared" si="88"/>
        <v>-30194</v>
      </c>
      <c r="Y277" s="2"/>
      <c r="Z277" s="7">
        <f t="shared" si="89"/>
        <v>0</v>
      </c>
    </row>
    <row r="278" spans="1:26" s="24" customFormat="1" hidden="1" outlineLevel="2" x14ac:dyDescent="0.25">
      <c r="A278" s="27"/>
      <c r="B278" s="11" t="str">
        <f>CONCATENATE("          ", "7783", " - ", "INV. SHRINKAGE-COMPUTER EQUIPM")</f>
        <v xml:space="preserve">          7783 - INV. SHRINKAGE-COMPUTER EQUIPM</v>
      </c>
      <c r="C278" s="11"/>
      <c r="D278" s="6">
        <v>2995</v>
      </c>
      <c r="E278" s="2"/>
      <c r="F278" s="7">
        <f t="shared" si="82"/>
        <v>4.5678880126508699E-3</v>
      </c>
      <c r="G278" s="2"/>
      <c r="H278" s="6"/>
      <c r="I278" s="2"/>
      <c r="J278" s="7">
        <f t="shared" si="83"/>
        <v>0</v>
      </c>
      <c r="K278" s="2"/>
      <c r="L278" s="6">
        <f t="shared" si="84"/>
        <v>2995</v>
      </c>
      <c r="M278" s="2"/>
      <c r="N278" s="7">
        <f t="shared" si="85"/>
        <v>0</v>
      </c>
      <c r="O278" s="11"/>
      <c r="P278" s="6">
        <v>2995</v>
      </c>
      <c r="Q278" s="2"/>
      <c r="R278" s="7">
        <f t="shared" si="86"/>
        <v>2.4711428498299715E-4</v>
      </c>
      <c r="S278" s="2"/>
      <c r="T278" s="6"/>
      <c r="U278" s="2"/>
      <c r="V278" s="7">
        <f t="shared" si="87"/>
        <v>0</v>
      </c>
      <c r="W278" s="2"/>
      <c r="X278" s="6">
        <f t="shared" si="88"/>
        <v>2995</v>
      </c>
      <c r="Y278" s="2"/>
      <c r="Z278" s="7">
        <f t="shared" si="89"/>
        <v>0</v>
      </c>
    </row>
    <row r="279" spans="1:26" s="24" customFormat="1" hidden="1" outlineLevel="2" x14ac:dyDescent="0.25">
      <c r="A279" s="27"/>
      <c r="B279" s="11" t="str">
        <f>CONCATENATE("          ", "7784", " - ", "INV. SHRINKAGE-SOFTWARE LICENS")</f>
        <v xml:space="preserve">          7784 - INV. SHRINKAGE-SOFTWARE LICENS</v>
      </c>
      <c r="C279" s="11"/>
      <c r="D279" s="6">
        <v>1394</v>
      </c>
      <c r="E279" s="2"/>
      <c r="F279" s="7">
        <f t="shared" si="82"/>
        <v>2.1260887778415069E-3</v>
      </c>
      <c r="G279" s="2"/>
      <c r="H279" s="6"/>
      <c r="I279" s="2"/>
      <c r="J279" s="7">
        <f t="shared" si="83"/>
        <v>0</v>
      </c>
      <c r="K279" s="2"/>
      <c r="L279" s="6">
        <f t="shared" si="84"/>
        <v>1394</v>
      </c>
      <c r="M279" s="2"/>
      <c r="N279" s="7">
        <f t="shared" si="85"/>
        <v>0</v>
      </c>
      <c r="O279" s="11"/>
      <c r="P279" s="6">
        <v>1394</v>
      </c>
      <c r="Q279" s="2"/>
      <c r="R279" s="7">
        <f t="shared" si="86"/>
        <v>1.1501746686687747E-4</v>
      </c>
      <c r="S279" s="2"/>
      <c r="T279" s="6"/>
      <c r="U279" s="2"/>
      <c r="V279" s="7">
        <f t="shared" si="87"/>
        <v>0</v>
      </c>
      <c r="W279" s="2"/>
      <c r="X279" s="6">
        <f t="shared" si="88"/>
        <v>1394</v>
      </c>
      <c r="Y279" s="2"/>
      <c r="Z279" s="7">
        <f t="shared" si="89"/>
        <v>0</v>
      </c>
    </row>
    <row r="280" spans="1:26" s="24" customFormat="1" hidden="1" outlineLevel="2" x14ac:dyDescent="0.25">
      <c r="A280" s="27"/>
      <c r="B280" s="11" t="str">
        <f>CONCATENATE("          ", "7785", " - ", "INV. SHRINKAGE-SOFTWARE")</f>
        <v xml:space="preserve">          7785 - INV. SHRINKAGE-SOFTWARE</v>
      </c>
      <c r="C280" s="11"/>
      <c r="D280" s="6">
        <v>-3743</v>
      </c>
      <c r="E280" s="2"/>
      <c r="F280" s="7">
        <f t="shared" si="82"/>
        <v>-5.7087161373463131E-3</v>
      </c>
      <c r="G280" s="2"/>
      <c r="H280" s="6"/>
      <c r="I280" s="2"/>
      <c r="J280" s="7">
        <f t="shared" si="83"/>
        <v>0</v>
      </c>
      <c r="K280" s="2"/>
      <c r="L280" s="6">
        <f t="shared" si="84"/>
        <v>-3743</v>
      </c>
      <c r="M280" s="2"/>
      <c r="N280" s="7">
        <f t="shared" si="85"/>
        <v>0</v>
      </c>
      <c r="O280" s="11"/>
      <c r="P280" s="6">
        <v>-3743</v>
      </c>
      <c r="Q280" s="2"/>
      <c r="R280" s="7">
        <f t="shared" si="86"/>
        <v>-3.0883097452132161E-4</v>
      </c>
      <c r="S280" s="2"/>
      <c r="T280" s="6"/>
      <c r="U280" s="2"/>
      <c r="V280" s="7">
        <f t="shared" si="87"/>
        <v>0</v>
      </c>
      <c r="W280" s="2"/>
      <c r="X280" s="6">
        <f t="shared" si="88"/>
        <v>-3743</v>
      </c>
      <c r="Y280" s="2"/>
      <c r="Z280" s="7">
        <f t="shared" si="89"/>
        <v>0</v>
      </c>
    </row>
    <row r="281" spans="1:26" s="24" customFormat="1" hidden="1" outlineLevel="2" x14ac:dyDescent="0.25">
      <c r="A281" s="27"/>
      <c r="B281" s="11" t="str">
        <f>CONCATENATE("          ", "7786", " - ", "INV. SHRINKAGE-COMPUTER SUPPLI")</f>
        <v xml:space="preserve">          7786 - INV. SHRINKAGE-COMPUTER SUPPLI</v>
      </c>
      <c r="C281" s="11"/>
      <c r="D281" s="6">
        <v>5038</v>
      </c>
      <c r="E281" s="2"/>
      <c r="F281" s="7">
        <f t="shared" si="82"/>
        <v>7.6838129575075402E-3</v>
      </c>
      <c r="G281" s="2"/>
      <c r="H281" s="6"/>
      <c r="I281" s="2"/>
      <c r="J281" s="7">
        <f t="shared" si="83"/>
        <v>0</v>
      </c>
      <c r="K281" s="2"/>
      <c r="L281" s="6">
        <f t="shared" si="84"/>
        <v>5038</v>
      </c>
      <c r="M281" s="2"/>
      <c r="N281" s="7">
        <f t="shared" si="85"/>
        <v>0</v>
      </c>
      <c r="O281" s="11"/>
      <c r="P281" s="6">
        <v>5038</v>
      </c>
      <c r="Q281" s="2"/>
      <c r="R281" s="7">
        <f t="shared" si="86"/>
        <v>4.1568005600812677E-4</v>
      </c>
      <c r="S281" s="2"/>
      <c r="T281" s="6"/>
      <c r="U281" s="2"/>
      <c r="V281" s="7">
        <f t="shared" si="87"/>
        <v>0</v>
      </c>
      <c r="W281" s="2"/>
      <c r="X281" s="6">
        <f t="shared" si="88"/>
        <v>5038</v>
      </c>
      <c r="Y281" s="2"/>
      <c r="Z281" s="7">
        <f t="shared" si="89"/>
        <v>0</v>
      </c>
    </row>
    <row r="282" spans="1:26" s="24" customFormat="1" hidden="1" outlineLevel="2" x14ac:dyDescent="0.25">
      <c r="A282" s="27"/>
      <c r="B282" s="11" t="str">
        <f>CONCATENATE("          ", "7788", " - ", "INV. SHRINKAGE-MUSIC")</f>
        <v xml:space="preserve">          7788 - INV. SHRINKAGE-MUSIC</v>
      </c>
      <c r="C282" s="11"/>
      <c r="D282" s="6">
        <v>152</v>
      </c>
      <c r="E282" s="2"/>
      <c r="F282" s="7">
        <f t="shared" si="82"/>
        <v>2.3182603603436803E-4</v>
      </c>
      <c r="G282" s="2"/>
      <c r="H282" s="6"/>
      <c r="I282" s="2"/>
      <c r="J282" s="7">
        <f t="shared" si="83"/>
        <v>0</v>
      </c>
      <c r="K282" s="2"/>
      <c r="L282" s="6">
        <f t="shared" si="84"/>
        <v>152</v>
      </c>
      <c r="M282" s="2"/>
      <c r="N282" s="7">
        <f t="shared" si="85"/>
        <v>0</v>
      </c>
      <c r="O282" s="11"/>
      <c r="P282" s="6">
        <v>152</v>
      </c>
      <c r="Q282" s="2"/>
      <c r="R282" s="7">
        <f t="shared" si="86"/>
        <v>1.254135937142423E-5</v>
      </c>
      <c r="S282" s="2"/>
      <c r="T282" s="6"/>
      <c r="U282" s="2"/>
      <c r="V282" s="7">
        <f t="shared" si="87"/>
        <v>0</v>
      </c>
      <c r="W282" s="2"/>
      <c r="X282" s="6">
        <f t="shared" si="88"/>
        <v>152</v>
      </c>
      <c r="Y282" s="2"/>
      <c r="Z282" s="7">
        <f t="shared" si="89"/>
        <v>0</v>
      </c>
    </row>
    <row r="283" spans="1:26" s="24" customFormat="1" hidden="1" outlineLevel="2" x14ac:dyDescent="0.25">
      <c r="A283" s="27"/>
      <c r="B283" s="11" t="str">
        <f>CONCATENATE("          ", "7792", " - ", "INV. SHRINKAGE-GRAD MERCH")</f>
        <v xml:space="preserve">          7792 - INV. SHRINKAGE-GRAD MERCH</v>
      </c>
      <c r="C283" s="11"/>
      <c r="D283" s="6">
        <v>535</v>
      </c>
      <c r="E283" s="2"/>
      <c r="F283" s="7">
        <f t="shared" si="82"/>
        <v>8.1596663998938744E-4</v>
      </c>
      <c r="G283" s="2"/>
      <c r="H283" s="6"/>
      <c r="I283" s="2"/>
      <c r="J283" s="7">
        <f t="shared" si="83"/>
        <v>0</v>
      </c>
      <c r="K283" s="2"/>
      <c r="L283" s="6">
        <f t="shared" si="84"/>
        <v>535</v>
      </c>
      <c r="M283" s="2"/>
      <c r="N283" s="7">
        <f t="shared" si="85"/>
        <v>0</v>
      </c>
      <c r="O283" s="11"/>
      <c r="P283" s="6">
        <v>535</v>
      </c>
      <c r="Q283" s="2"/>
      <c r="R283" s="7">
        <f t="shared" si="86"/>
        <v>4.4142284629683963E-5</v>
      </c>
      <c r="S283" s="2"/>
      <c r="T283" s="6"/>
      <c r="U283" s="2"/>
      <c r="V283" s="7">
        <f t="shared" si="87"/>
        <v>0</v>
      </c>
      <c r="W283" s="2"/>
      <c r="X283" s="6">
        <f t="shared" si="88"/>
        <v>535</v>
      </c>
      <c r="Y283" s="2"/>
      <c r="Z283" s="7">
        <f t="shared" si="89"/>
        <v>0</v>
      </c>
    </row>
    <row r="284" spans="1:26" s="24" customFormat="1" hidden="1" outlineLevel="2" x14ac:dyDescent="0.25">
      <c r="A284" s="27"/>
      <c r="B284" s="11" t="str">
        <f>CONCATENATE("          ", "7795", " - ", "INV. SHRINKAGE-CUSTOMER SERVIC")</f>
        <v xml:space="preserve">          7795 - INV. SHRINKAGE-CUSTOMER SERVIC</v>
      </c>
      <c r="C284" s="11"/>
      <c r="D284" s="6">
        <v>-132</v>
      </c>
      <c r="E284" s="2"/>
      <c r="F284" s="7">
        <f t="shared" si="82"/>
        <v>-2.0132261024037224E-4</v>
      </c>
      <c r="G284" s="2"/>
      <c r="H284" s="6"/>
      <c r="I284" s="2"/>
      <c r="J284" s="7">
        <f t="shared" si="83"/>
        <v>0</v>
      </c>
      <c r="K284" s="2"/>
      <c r="L284" s="6">
        <f t="shared" si="84"/>
        <v>-132</v>
      </c>
      <c r="M284" s="2"/>
      <c r="N284" s="7">
        <f t="shared" si="85"/>
        <v>0</v>
      </c>
      <c r="O284" s="11"/>
      <c r="P284" s="6">
        <v>-132</v>
      </c>
      <c r="Q284" s="2"/>
      <c r="R284" s="7">
        <f t="shared" si="86"/>
        <v>-1.0891180506763146E-5</v>
      </c>
      <c r="S284" s="2"/>
      <c r="T284" s="6"/>
      <c r="U284" s="2"/>
      <c r="V284" s="7">
        <f t="shared" si="87"/>
        <v>0</v>
      </c>
      <c r="W284" s="2"/>
      <c r="X284" s="6">
        <f t="shared" si="88"/>
        <v>-132</v>
      </c>
      <c r="Y284" s="2"/>
      <c r="Z284" s="7">
        <f t="shared" si="89"/>
        <v>0</v>
      </c>
    </row>
    <row r="285" spans="1:26" s="26" customFormat="1" outlineLevel="1" collapsed="1" x14ac:dyDescent="0.25">
      <c r="A285" s="25"/>
      <c r="B285" s="12" t="str">
        <f>CONCATENATE("     ","Professional Services                             ")</f>
        <v xml:space="preserve">     Professional Services                             </v>
      </c>
      <c r="C285" s="12"/>
      <c r="D285" s="1">
        <f>SUM(OSRRefD22_14x_0)</f>
        <v>8441.9599999999991</v>
      </c>
      <c r="E285" s="1"/>
      <c r="F285" s="5">
        <f t="shared" ref="F285:F293" si="90">IF(D$12=0,0,D285/D$12)</f>
        <v>1.2875435020794034E-2</v>
      </c>
      <c r="G285" s="1"/>
      <c r="H285" s="1">
        <f>SUM(OSRRefH22_14x_0)</f>
        <v>1015</v>
      </c>
      <c r="I285" s="1"/>
      <c r="J285" s="5">
        <f t="shared" ref="J285:J293" si="91">IF(H$12=0,0,H285/H$12)</f>
        <v>1.1631982617571689E-3</v>
      </c>
      <c r="K285" s="1"/>
      <c r="L285" s="1">
        <f t="shared" ref="L285:L293" si="92">+D285-H285</f>
        <v>7426.9599999999991</v>
      </c>
      <c r="M285" s="1"/>
      <c r="N285" s="5">
        <f t="shared" ref="N285:N293" si="93">IF(H285=0,0,L285/H285)</f>
        <v>7.3172019704433486</v>
      </c>
      <c r="O285" s="12"/>
      <c r="P285" s="1">
        <f>SUM(OSRRefP22_14x_0)</f>
        <v>17571.52</v>
      </c>
      <c r="Q285" s="1"/>
      <c r="R285" s="5">
        <f t="shared" ref="R285:R293" si="94">IF(P$12=0,0,P285/P$12)</f>
        <v>1.4498075461984756E-3</v>
      </c>
      <c r="S285" s="1"/>
      <c r="T285" s="1">
        <f>SUM(OSRRefT22_14x_0)</f>
        <v>15330</v>
      </c>
      <c r="U285" s="1"/>
      <c r="V285" s="5">
        <f t="shared" ref="V285:V293" si="95">IF(T$12=0,0,T285/T$12)</f>
        <v>1.0264092144906527E-3</v>
      </c>
      <c r="W285" s="1"/>
      <c r="X285" s="1">
        <f t="shared" ref="X285:X293" si="96">+P285-T285</f>
        <v>2241.5200000000004</v>
      </c>
      <c r="Y285" s="1"/>
      <c r="Z285" s="5">
        <f t="shared" ref="Z285:Z293" si="97">IF(T285=0,0,X285/T285)</f>
        <v>0.14621787345075019</v>
      </c>
    </row>
    <row r="286" spans="1:26" s="24" customFormat="1" hidden="1" outlineLevel="2" x14ac:dyDescent="0.25">
      <c r="A286" s="27"/>
      <c r="B286" s="11" t="str">
        <f>CONCATENATE("          ", "6336", " - ", "PROFESSIONAL SERVICES")</f>
        <v xml:space="preserve">          6336 - PROFESSIONAL SERVICES</v>
      </c>
      <c r="C286" s="11"/>
      <c r="D286" s="6">
        <v>8441.9599999999991</v>
      </c>
      <c r="E286" s="2"/>
      <c r="F286" s="7">
        <f t="shared" si="90"/>
        <v>1.2875435020794034E-2</v>
      </c>
      <c r="G286" s="2"/>
      <c r="H286" s="6">
        <v>1015</v>
      </c>
      <c r="I286" s="2"/>
      <c r="J286" s="7">
        <f t="shared" si="91"/>
        <v>1.1631982617571689E-3</v>
      </c>
      <c r="K286" s="2"/>
      <c r="L286" s="6">
        <f t="shared" si="92"/>
        <v>7426.9599999999991</v>
      </c>
      <c r="M286" s="2"/>
      <c r="N286" s="7">
        <f t="shared" si="93"/>
        <v>7.3172019704433486</v>
      </c>
      <c r="O286" s="11"/>
      <c r="P286" s="6">
        <v>17571.52</v>
      </c>
      <c r="Q286" s="2"/>
      <c r="R286" s="7">
        <f t="shared" si="94"/>
        <v>1.4498075461984756E-3</v>
      </c>
      <c r="S286" s="2"/>
      <c r="T286" s="6">
        <v>15330</v>
      </c>
      <c r="U286" s="2"/>
      <c r="V286" s="7">
        <f t="shared" si="95"/>
        <v>1.0264092144906527E-3</v>
      </c>
      <c r="W286" s="2"/>
      <c r="X286" s="6">
        <f t="shared" si="96"/>
        <v>2241.5200000000004</v>
      </c>
      <c r="Y286" s="2"/>
      <c r="Z286" s="7">
        <f t="shared" si="97"/>
        <v>0.14621787345075019</v>
      </c>
    </row>
    <row r="287" spans="1:26" s="26" customFormat="1" outlineLevel="1" collapsed="1" x14ac:dyDescent="0.25">
      <c r="A287" s="25"/>
      <c r="B287" s="12" t="str">
        <f>CONCATENATE("     ","Rent                                              ")</f>
        <v xml:space="preserve">     Rent                                              </v>
      </c>
      <c r="C287" s="12"/>
      <c r="D287" s="1">
        <f>SUM(OSRRefD22_15x_0)</f>
        <v>6100</v>
      </c>
      <c r="E287" s="1"/>
      <c r="F287" s="5">
        <f t="shared" si="90"/>
        <v>9.3035448671687174E-3</v>
      </c>
      <c r="G287" s="1"/>
      <c r="H287" s="1">
        <f>SUM(OSRRefH22_15x_0)</f>
        <v>6400</v>
      </c>
      <c r="I287" s="1"/>
      <c r="J287" s="5">
        <f t="shared" si="91"/>
        <v>7.334452093838306E-3</v>
      </c>
      <c r="K287" s="1"/>
      <c r="L287" s="1">
        <f t="shared" si="92"/>
        <v>-300</v>
      </c>
      <c r="M287" s="1"/>
      <c r="N287" s="5">
        <f t="shared" si="93"/>
        <v>-4.6875E-2</v>
      </c>
      <c r="O287" s="12"/>
      <c r="P287" s="1">
        <f>SUM(OSRRefP22_15x_0)</f>
        <v>74800</v>
      </c>
      <c r="Q287" s="1"/>
      <c r="R287" s="5">
        <f t="shared" si="94"/>
        <v>6.1716689538324496E-3</v>
      </c>
      <c r="S287" s="1"/>
      <c r="T287" s="1">
        <f>SUM(OSRRefT22_15x_0)</f>
        <v>76800</v>
      </c>
      <c r="U287" s="1"/>
      <c r="V287" s="5">
        <f t="shared" si="95"/>
        <v>5.1420892154521941E-3</v>
      </c>
      <c r="W287" s="1"/>
      <c r="X287" s="1">
        <f t="shared" si="96"/>
        <v>-2000</v>
      </c>
      <c r="Y287" s="1"/>
      <c r="Z287" s="5">
        <f t="shared" si="97"/>
        <v>-2.6041666666666668E-2</v>
      </c>
    </row>
    <row r="288" spans="1:26" s="24" customFormat="1" hidden="1" outlineLevel="2" x14ac:dyDescent="0.25">
      <c r="A288" s="27"/>
      <c r="B288" s="11" t="str">
        <f>CONCATENATE("          ", "6273", " - ", "RENT")</f>
        <v xml:space="preserve">          6273 - RENT</v>
      </c>
      <c r="C288" s="11"/>
      <c r="D288" s="6">
        <v>6100</v>
      </c>
      <c r="E288" s="2"/>
      <c r="F288" s="7">
        <f t="shared" si="90"/>
        <v>9.3035448671687174E-3</v>
      </c>
      <c r="G288" s="2"/>
      <c r="H288" s="6">
        <v>6400</v>
      </c>
      <c r="I288" s="2"/>
      <c r="J288" s="7">
        <f t="shared" si="91"/>
        <v>7.334452093838306E-3</v>
      </c>
      <c r="K288" s="2"/>
      <c r="L288" s="6">
        <f t="shared" si="92"/>
        <v>-300</v>
      </c>
      <c r="M288" s="2"/>
      <c r="N288" s="7">
        <f t="shared" si="93"/>
        <v>-4.6875E-2</v>
      </c>
      <c r="O288" s="11"/>
      <c r="P288" s="6">
        <v>74800</v>
      </c>
      <c r="Q288" s="2"/>
      <c r="R288" s="7">
        <f t="shared" si="94"/>
        <v>6.1716689538324496E-3</v>
      </c>
      <c r="S288" s="2"/>
      <c r="T288" s="6">
        <v>76800</v>
      </c>
      <c r="U288" s="2"/>
      <c r="V288" s="7">
        <f t="shared" si="95"/>
        <v>5.1420892154521941E-3</v>
      </c>
      <c r="W288" s="2"/>
      <c r="X288" s="6">
        <f t="shared" si="96"/>
        <v>-2000</v>
      </c>
      <c r="Y288" s="2"/>
      <c r="Z288" s="7">
        <f t="shared" si="97"/>
        <v>-2.6041666666666668E-2</v>
      </c>
    </row>
    <row r="289" spans="1:26" s="26" customFormat="1" outlineLevel="1" collapsed="1" x14ac:dyDescent="0.25">
      <c r="A289" s="25"/>
      <c r="B289" s="12" t="str">
        <f>CONCATENATE("     ","Repair and Maintenance                            ")</f>
        <v xml:space="preserve">     Repair and Maintenance                            </v>
      </c>
      <c r="C289" s="12"/>
      <c r="D289" s="1">
        <f>SUM(OSRRefD22_16x_0)</f>
        <v>26294.07</v>
      </c>
      <c r="E289" s="1"/>
      <c r="F289" s="5">
        <f t="shared" si="90"/>
        <v>4.0102960653356549E-2</v>
      </c>
      <c r="G289" s="1"/>
      <c r="H289" s="1">
        <f>SUM(OSRRefH22_16x_0)</f>
        <v>14590</v>
      </c>
      <c r="I289" s="1"/>
      <c r="J289" s="5">
        <f t="shared" si="91"/>
        <v>1.6720258757672014E-2</v>
      </c>
      <c r="K289" s="1"/>
      <c r="L289" s="1">
        <f t="shared" si="92"/>
        <v>11704.07</v>
      </c>
      <c r="M289" s="1"/>
      <c r="N289" s="5">
        <f t="shared" si="93"/>
        <v>0.80219808087731326</v>
      </c>
      <c r="O289" s="12"/>
      <c r="P289" s="1">
        <f>SUM(OSRRefP22_16x_0)</f>
        <v>160130.84</v>
      </c>
      <c r="Q289" s="1"/>
      <c r="R289" s="5">
        <f t="shared" si="94"/>
        <v>1.3212226387421274E-2</v>
      </c>
      <c r="S289" s="1"/>
      <c r="T289" s="1">
        <f>SUM(OSRRefT22_16x_0)</f>
        <v>231165</v>
      </c>
      <c r="U289" s="1"/>
      <c r="V289" s="5">
        <f t="shared" si="95"/>
        <v>1.5477487675651125E-2</v>
      </c>
      <c r="W289" s="1"/>
      <c r="X289" s="1">
        <f t="shared" si="96"/>
        <v>-71034.16</v>
      </c>
      <c r="Y289" s="1"/>
      <c r="Z289" s="5">
        <f t="shared" si="97"/>
        <v>-0.3072876949365172</v>
      </c>
    </row>
    <row r="290" spans="1:26" s="24" customFormat="1" hidden="1" outlineLevel="2" x14ac:dyDescent="0.25">
      <c r="A290" s="27"/>
      <c r="B290" s="11" t="str">
        <f>CONCATENATE("          ", "6371", " - ", "COMPUTER SOFTWARE MAINTENANCE")</f>
        <v xml:space="preserve">          6371 - COMPUTER SOFTWARE MAINTENANCE</v>
      </c>
      <c r="C290" s="11"/>
      <c r="D290" s="6">
        <v>12181.05</v>
      </c>
      <c r="E290" s="2"/>
      <c r="F290" s="7">
        <f t="shared" si="90"/>
        <v>1.857818773839762E-2</v>
      </c>
      <c r="G290" s="2"/>
      <c r="H290" s="6"/>
      <c r="I290" s="2"/>
      <c r="J290" s="7">
        <f t="shared" si="91"/>
        <v>0</v>
      </c>
      <c r="K290" s="2"/>
      <c r="L290" s="6">
        <f t="shared" si="92"/>
        <v>12181.05</v>
      </c>
      <c r="M290" s="2"/>
      <c r="N290" s="7">
        <f t="shared" si="93"/>
        <v>0</v>
      </c>
      <c r="O290" s="11"/>
      <c r="P290" s="6">
        <v>28598.550000000003</v>
      </c>
      <c r="Q290" s="2"/>
      <c r="R290" s="7">
        <f t="shared" si="94"/>
        <v>2.3596361384976608E-3</v>
      </c>
      <c r="S290" s="2"/>
      <c r="T290" s="6">
        <v>60535.000000000007</v>
      </c>
      <c r="U290" s="2"/>
      <c r="V290" s="7">
        <f t="shared" si="95"/>
        <v>4.0530777429348772E-3</v>
      </c>
      <c r="W290" s="2"/>
      <c r="X290" s="6">
        <f t="shared" si="96"/>
        <v>-31936.450000000004</v>
      </c>
      <c r="Y290" s="2"/>
      <c r="Z290" s="7">
        <f t="shared" si="97"/>
        <v>-0.5275700008259685</v>
      </c>
    </row>
    <row r="291" spans="1:26" s="24" customFormat="1" hidden="1" outlineLevel="2" x14ac:dyDescent="0.25">
      <c r="A291" s="27"/>
      <c r="B291" s="11" t="str">
        <f>CONCATENATE("          ", "6372", " - ", "COMPUTER HARDWARE MAINTENANCE")</f>
        <v xml:space="preserve">          6372 - COMPUTER HARDWARE MAINTENANCE</v>
      </c>
      <c r="C291" s="11"/>
      <c r="D291" s="6">
        <v>-2</v>
      </c>
      <c r="E291" s="2"/>
      <c r="F291" s="7">
        <f t="shared" si="90"/>
        <v>-3.0503425793995791E-6</v>
      </c>
      <c r="G291" s="2"/>
      <c r="H291" s="6"/>
      <c r="I291" s="2"/>
      <c r="J291" s="7">
        <f t="shared" si="91"/>
        <v>0</v>
      </c>
      <c r="K291" s="2"/>
      <c r="L291" s="6">
        <f t="shared" si="92"/>
        <v>-2</v>
      </c>
      <c r="M291" s="2"/>
      <c r="N291" s="7">
        <f t="shared" si="93"/>
        <v>0</v>
      </c>
      <c r="O291" s="11"/>
      <c r="P291" s="6">
        <v>50.32</v>
      </c>
      <c r="Q291" s="2"/>
      <c r="R291" s="7">
        <f t="shared" si="94"/>
        <v>4.1518500234872842E-6</v>
      </c>
      <c r="S291" s="2"/>
      <c r="T291" s="6">
        <v>2000</v>
      </c>
      <c r="U291" s="2"/>
      <c r="V291" s="7">
        <f t="shared" si="95"/>
        <v>1.3390857331906756E-4</v>
      </c>
      <c r="W291" s="2"/>
      <c r="X291" s="6">
        <f t="shared" si="96"/>
        <v>-1949.68</v>
      </c>
      <c r="Y291" s="2"/>
      <c r="Z291" s="7">
        <f t="shared" si="97"/>
        <v>-0.97484000000000004</v>
      </c>
    </row>
    <row r="292" spans="1:26" s="24" customFormat="1" hidden="1" outlineLevel="2" x14ac:dyDescent="0.25">
      <c r="A292" s="27"/>
      <c r="B292" s="11" t="str">
        <f>CONCATENATE("          ", "6373", " - ", "MAINTENANCE CONTRACTS")</f>
        <v xml:space="preserve">          6373 - MAINTENANCE CONTRACTS</v>
      </c>
      <c r="C292" s="11"/>
      <c r="D292" s="6">
        <v>12461.73</v>
      </c>
      <c r="E292" s="2"/>
      <c r="F292" s="7">
        <f t="shared" si="90"/>
        <v>1.9006272815990558E-2</v>
      </c>
      <c r="G292" s="2"/>
      <c r="H292" s="6">
        <v>7040</v>
      </c>
      <c r="I292" s="2"/>
      <c r="J292" s="7">
        <f t="shared" si="91"/>
        <v>8.0678973032221376E-3</v>
      </c>
      <c r="K292" s="2"/>
      <c r="L292" s="6">
        <f t="shared" si="92"/>
        <v>5421.73</v>
      </c>
      <c r="M292" s="2"/>
      <c r="N292" s="7">
        <f t="shared" si="93"/>
        <v>0.77013210227272721</v>
      </c>
      <c r="O292" s="11"/>
      <c r="P292" s="6">
        <v>91135.78</v>
      </c>
      <c r="Q292" s="2"/>
      <c r="R292" s="7">
        <f t="shared" si="94"/>
        <v>7.5195168985201103E-3</v>
      </c>
      <c r="S292" s="2"/>
      <c r="T292" s="6">
        <v>84555</v>
      </c>
      <c r="U292" s="2"/>
      <c r="V292" s="7">
        <f t="shared" si="95"/>
        <v>5.6613197084968781E-3</v>
      </c>
      <c r="W292" s="2"/>
      <c r="X292" s="6">
        <f t="shared" si="96"/>
        <v>6580.7799999999988</v>
      </c>
      <c r="Y292" s="2"/>
      <c r="Z292" s="7">
        <f t="shared" si="97"/>
        <v>7.7828395718762919E-2</v>
      </c>
    </row>
    <row r="293" spans="1:26" s="24" customFormat="1" hidden="1" outlineLevel="2" x14ac:dyDescent="0.25">
      <c r="A293" s="27"/>
      <c r="B293" s="11" t="str">
        <f>CONCATENATE("          ", "6375", " - ", "OUTSIDE REPAIRS &amp; MAINTENANCE")</f>
        <v xml:space="preserve">          6375 - OUTSIDE REPAIRS &amp; MAINTENANCE</v>
      </c>
      <c r="C293" s="11"/>
      <c r="D293" s="6">
        <v>1653.29</v>
      </c>
      <c r="E293" s="2"/>
      <c r="F293" s="7">
        <f t="shared" si="90"/>
        <v>2.5215504415477654E-3</v>
      </c>
      <c r="G293" s="2"/>
      <c r="H293" s="6">
        <v>7550</v>
      </c>
      <c r="I293" s="2"/>
      <c r="J293" s="7">
        <f t="shared" si="91"/>
        <v>8.6523614544498778E-3</v>
      </c>
      <c r="K293" s="2"/>
      <c r="L293" s="6">
        <f t="shared" si="92"/>
        <v>-5896.71</v>
      </c>
      <c r="M293" s="2"/>
      <c r="N293" s="7">
        <f t="shared" si="93"/>
        <v>-0.78102119205298015</v>
      </c>
      <c r="O293" s="11"/>
      <c r="P293" s="6">
        <v>40346.19</v>
      </c>
      <c r="Q293" s="2"/>
      <c r="R293" s="7">
        <f t="shared" si="94"/>
        <v>3.3289215003800168E-3</v>
      </c>
      <c r="S293" s="2"/>
      <c r="T293" s="6">
        <v>84075</v>
      </c>
      <c r="U293" s="2"/>
      <c r="V293" s="7">
        <f t="shared" si="95"/>
        <v>5.629181650900302E-3</v>
      </c>
      <c r="W293" s="2"/>
      <c r="X293" s="6">
        <f t="shared" si="96"/>
        <v>-43728.81</v>
      </c>
      <c r="Y293" s="2"/>
      <c r="Z293" s="7">
        <f t="shared" si="97"/>
        <v>-0.52011668153434432</v>
      </c>
    </row>
    <row r="294" spans="1:26" s="26" customFormat="1" outlineLevel="1" collapsed="1" x14ac:dyDescent="0.25">
      <c r="A294" s="25"/>
      <c r="B294" s="12" t="str">
        <f>CONCATENATE("     ","Royalty &amp; Commissions                             ")</f>
        <v xml:space="preserve">     Royalty &amp; Commissions                             </v>
      </c>
      <c r="C294" s="12"/>
      <c r="D294" s="1">
        <f>SUM(OSRRefD22_17x_0)</f>
        <v>0</v>
      </c>
      <c r="E294" s="1"/>
      <c r="F294" s="5">
        <f t="shared" ref="F294:F298" si="98">IF(D$12=0,0,D294/D$12)</f>
        <v>0</v>
      </c>
      <c r="G294" s="1"/>
      <c r="H294" s="1">
        <f>SUM(OSRRefH22_17x_0)</f>
        <v>16485</v>
      </c>
      <c r="I294" s="1"/>
      <c r="J294" s="5">
        <f t="shared" ref="J294:J298" si="99">IF(H$12=0,0,H294/H$12)</f>
        <v>1.8891944182331949E-2</v>
      </c>
      <c r="K294" s="1"/>
      <c r="L294" s="1">
        <f t="shared" ref="L294:L298" si="100">+D294-H294</f>
        <v>-16485</v>
      </c>
      <c r="M294" s="1"/>
      <c r="N294" s="5">
        <f t="shared" ref="N294:N298" si="101">IF(H294=0,0,L294/H294)</f>
        <v>-1</v>
      </c>
      <c r="O294" s="12"/>
      <c r="P294" s="1">
        <f>SUM(OSRRefP22_17x_0)</f>
        <v>123449.40000000001</v>
      </c>
      <c r="Q294" s="1"/>
      <c r="R294" s="5">
        <f t="shared" ref="R294:R298" si="102">IF(P$12=0,0,P294/P$12)</f>
        <v>1.0185679536754593E-2</v>
      </c>
      <c r="S294" s="1"/>
      <c r="T294" s="1">
        <f>SUM(OSRRefT22_17x_0)</f>
        <v>197820</v>
      </c>
      <c r="U294" s="1"/>
      <c r="V294" s="5">
        <f t="shared" ref="V294:V298" si="103">IF(T$12=0,0,T294/T$12)</f>
        <v>1.3244896986988972E-2</v>
      </c>
      <c r="W294" s="1"/>
      <c r="X294" s="1">
        <f t="shared" ref="X294:X298" si="104">+P294-T294</f>
        <v>-74370.599999999991</v>
      </c>
      <c r="Y294" s="1"/>
      <c r="Z294" s="5">
        <f t="shared" ref="Z294:Z298" si="105">IF(T294=0,0,X294/T294)</f>
        <v>-0.37595086442220194</v>
      </c>
    </row>
    <row r="295" spans="1:26" s="24" customFormat="1" hidden="1" outlineLevel="2" x14ac:dyDescent="0.25">
      <c r="A295" s="27"/>
      <c r="B295" s="11" t="str">
        <f>CONCATENATE("          ", "6252", " - ", "ROYALTY DUE CSTV")</f>
        <v xml:space="preserve">          6252 - ROYALTY DUE CSTV</v>
      </c>
      <c r="C295" s="11"/>
      <c r="D295" s="6"/>
      <c r="E295" s="2"/>
      <c r="F295" s="7">
        <f t="shared" si="98"/>
        <v>0</v>
      </c>
      <c r="G295" s="2"/>
      <c r="H295" s="6">
        <v>1085</v>
      </c>
      <c r="I295" s="2"/>
      <c r="J295" s="7">
        <f t="shared" si="99"/>
        <v>1.2434188315335255E-3</v>
      </c>
      <c r="K295" s="2"/>
      <c r="L295" s="6">
        <f t="shared" si="100"/>
        <v>-1085</v>
      </c>
      <c r="M295" s="2"/>
      <c r="N295" s="7">
        <f t="shared" si="101"/>
        <v>-1</v>
      </c>
      <c r="O295" s="11"/>
      <c r="P295" s="6"/>
      <c r="Q295" s="2"/>
      <c r="R295" s="7">
        <f t="shared" si="102"/>
        <v>0</v>
      </c>
      <c r="S295" s="2"/>
      <c r="T295" s="6">
        <v>13020</v>
      </c>
      <c r="U295" s="2"/>
      <c r="V295" s="7">
        <f t="shared" si="103"/>
        <v>8.717448123071298E-4</v>
      </c>
      <c r="W295" s="2"/>
      <c r="X295" s="6">
        <f t="shared" si="104"/>
        <v>-13020</v>
      </c>
      <c r="Y295" s="2"/>
      <c r="Z295" s="7">
        <f t="shared" si="105"/>
        <v>-1</v>
      </c>
    </row>
    <row r="296" spans="1:26" s="24" customFormat="1" hidden="1" outlineLevel="2" x14ac:dyDescent="0.25">
      <c r="A296" s="27"/>
      <c r="B296" s="11" t="str">
        <f>CONCATENATE("          ", "6253", " - ", "ROYALTY DUE ATHLETICS-LRG")</f>
        <v xml:space="preserve">          6253 - ROYALTY DUE ATHLETICS-LRG</v>
      </c>
      <c r="C296" s="11"/>
      <c r="D296" s="6"/>
      <c r="E296" s="2"/>
      <c r="F296" s="7">
        <f t="shared" si="98"/>
        <v>0</v>
      </c>
      <c r="G296" s="2"/>
      <c r="H296" s="6">
        <v>3700</v>
      </c>
      <c r="I296" s="2"/>
      <c r="J296" s="7">
        <f t="shared" si="99"/>
        <v>4.2402301167502711E-3</v>
      </c>
      <c r="K296" s="2"/>
      <c r="L296" s="6">
        <f t="shared" si="100"/>
        <v>-3700</v>
      </c>
      <c r="M296" s="2"/>
      <c r="N296" s="7">
        <f t="shared" si="101"/>
        <v>-1</v>
      </c>
      <c r="O296" s="11"/>
      <c r="P296" s="6">
        <v>32870.44</v>
      </c>
      <c r="Q296" s="2"/>
      <c r="R296" s="7">
        <f t="shared" si="102"/>
        <v>2.7121052680055121E-3</v>
      </c>
      <c r="S296" s="2"/>
      <c r="T296" s="6">
        <v>44400</v>
      </c>
      <c r="U296" s="2"/>
      <c r="V296" s="7">
        <f t="shared" si="103"/>
        <v>2.9727703276832998E-3</v>
      </c>
      <c r="W296" s="2"/>
      <c r="X296" s="6">
        <f t="shared" si="104"/>
        <v>-11529.559999999998</v>
      </c>
      <c r="Y296" s="2"/>
      <c r="Z296" s="7">
        <f t="shared" si="105"/>
        <v>-0.25967477477477474</v>
      </c>
    </row>
    <row r="297" spans="1:26" s="24" customFormat="1" hidden="1" outlineLevel="2" x14ac:dyDescent="0.25">
      <c r="A297" s="27"/>
      <c r="B297" s="11" t="str">
        <f>CONCATENATE("          ", "6254", " - ", "ROYALTY &amp; COMMISSIONS")</f>
        <v xml:space="preserve">          6254 - ROYALTY &amp; COMMISSIONS</v>
      </c>
      <c r="C297" s="11"/>
      <c r="D297" s="6"/>
      <c r="E297" s="2"/>
      <c r="F297" s="7">
        <f t="shared" si="98"/>
        <v>0</v>
      </c>
      <c r="G297" s="2"/>
      <c r="H297" s="6">
        <v>11700</v>
      </c>
      <c r="I297" s="2"/>
      <c r="J297" s="7">
        <f t="shared" si="99"/>
        <v>1.3408295234048153E-2</v>
      </c>
      <c r="K297" s="2"/>
      <c r="L297" s="6">
        <f t="shared" si="100"/>
        <v>-11700</v>
      </c>
      <c r="M297" s="2"/>
      <c r="N297" s="7">
        <f t="shared" si="101"/>
        <v>-1</v>
      </c>
      <c r="O297" s="11"/>
      <c r="P297" s="6">
        <v>7971.22</v>
      </c>
      <c r="Q297" s="2"/>
      <c r="R297" s="7">
        <f t="shared" si="102"/>
        <v>6.5769693847818583E-4</v>
      </c>
      <c r="S297" s="2"/>
      <c r="T297" s="6">
        <v>140400</v>
      </c>
      <c r="U297" s="2"/>
      <c r="V297" s="7">
        <f t="shared" si="103"/>
        <v>9.4003818469985418E-3</v>
      </c>
      <c r="W297" s="2"/>
      <c r="X297" s="6">
        <f t="shared" si="104"/>
        <v>-132428.78</v>
      </c>
      <c r="Y297" s="2"/>
      <c r="Z297" s="7">
        <f t="shared" si="105"/>
        <v>-0.94322492877492881</v>
      </c>
    </row>
    <row r="298" spans="1:26" s="24" customFormat="1" hidden="1" outlineLevel="2" x14ac:dyDescent="0.25">
      <c r="A298" s="27"/>
      <c r="B298" s="11" t="str">
        <f>CONCATENATE("          ", "6259", " - ", "ROYALTY &amp; COMMISSIONS")</f>
        <v xml:space="preserve">          6259 - ROYALTY &amp; COMMISSIONS</v>
      </c>
      <c r="C298" s="11"/>
      <c r="D298" s="6"/>
      <c r="E298" s="2"/>
      <c r="F298" s="7">
        <f t="shared" si="98"/>
        <v>0</v>
      </c>
      <c r="G298" s="2"/>
      <c r="H298" s="6"/>
      <c r="I298" s="2"/>
      <c r="J298" s="7">
        <f t="shared" si="99"/>
        <v>0</v>
      </c>
      <c r="K298" s="2"/>
      <c r="L298" s="6">
        <f t="shared" si="100"/>
        <v>0</v>
      </c>
      <c r="M298" s="2"/>
      <c r="N298" s="7">
        <f t="shared" si="101"/>
        <v>0</v>
      </c>
      <c r="O298" s="11"/>
      <c r="P298" s="6">
        <v>82607.740000000005</v>
      </c>
      <c r="Q298" s="2"/>
      <c r="R298" s="7">
        <f t="shared" si="102"/>
        <v>6.8158773302708963E-3</v>
      </c>
      <c r="S298" s="2"/>
      <c r="T298" s="6"/>
      <c r="U298" s="2"/>
      <c r="V298" s="7">
        <f t="shared" si="103"/>
        <v>0</v>
      </c>
      <c r="W298" s="2"/>
      <c r="X298" s="6">
        <f t="shared" si="104"/>
        <v>82607.740000000005</v>
      </c>
      <c r="Y298" s="2"/>
      <c r="Z298" s="7">
        <f t="shared" si="105"/>
        <v>0</v>
      </c>
    </row>
    <row r="299" spans="1:26" s="26" customFormat="1" outlineLevel="1" collapsed="1" x14ac:dyDescent="0.25">
      <c r="A299" s="25"/>
      <c r="B299" s="12" t="str">
        <f>CONCATENATE("     ","Services                                          ")</f>
        <v xml:space="preserve">     Services                                          </v>
      </c>
      <c r="C299" s="12"/>
      <c r="D299" s="1">
        <f>SUM(OSRRefD22_18x_0)</f>
        <v>8372.83</v>
      </c>
      <c r="E299" s="1"/>
      <c r="F299" s="5">
        <f t="shared" ref="F299:F303" si="106">IF(D$12=0,0,D299/D$12)</f>
        <v>1.276999992953709E-2</v>
      </c>
      <c r="G299" s="1"/>
      <c r="H299" s="1">
        <f>SUM(OSRRefH22_18x_0)</f>
        <v>4442.5</v>
      </c>
      <c r="I299" s="1"/>
      <c r="J299" s="5">
        <f t="shared" ref="J299:J303" si="107">IF(H$12=0,0,H299/H$12)</f>
        <v>5.0911411604494805E-3</v>
      </c>
      <c r="K299" s="1"/>
      <c r="L299" s="1">
        <f t="shared" ref="L299:L303" si="108">+D299-H299</f>
        <v>3930.33</v>
      </c>
      <c r="M299" s="1"/>
      <c r="N299" s="5">
        <f t="shared" ref="N299:N303" si="109">IF(H299=0,0,L299/H299)</f>
        <v>0.88471131119864943</v>
      </c>
      <c r="O299" s="12"/>
      <c r="P299" s="1">
        <f>SUM(OSRRefP22_18x_0)</f>
        <v>59006.079999999994</v>
      </c>
      <c r="Q299" s="1"/>
      <c r="R299" s="5">
        <f t="shared" ref="R299:R303" si="110">IF(P$12=0,0,P299/P$12)</f>
        <v>4.868529305125051E-3</v>
      </c>
      <c r="S299" s="1"/>
      <c r="T299" s="1">
        <f>SUM(OSRRefT22_18x_0)</f>
        <v>53575</v>
      </c>
      <c r="U299" s="1"/>
      <c r="V299" s="5">
        <f t="shared" ref="V299:V303" si="111">IF(T$12=0,0,T299/T$12)</f>
        <v>3.5870759077845219E-3</v>
      </c>
      <c r="W299" s="1"/>
      <c r="X299" s="1">
        <f t="shared" ref="X299:X303" si="112">+P299-T299</f>
        <v>5431.0799999999945</v>
      </c>
      <c r="Y299" s="1"/>
      <c r="Z299" s="5">
        <f t="shared" ref="Z299:Z303" si="113">IF(T299=0,0,X299/T299)</f>
        <v>0.10137340177321502</v>
      </c>
    </row>
    <row r="300" spans="1:26" s="24" customFormat="1" hidden="1" outlineLevel="2" x14ac:dyDescent="0.25">
      <c r="A300" s="27"/>
      <c r="B300" s="11" t="str">
        <f>CONCATENATE("          ", "6282", " - ", "JANITORIAL/EXTERMINATOR EXPENS")</f>
        <v xml:space="preserve">          6282 - JANITORIAL/EXTERMINATOR EXPENS</v>
      </c>
      <c r="C300" s="11"/>
      <c r="D300" s="6">
        <v>816.86</v>
      </c>
      <c r="E300" s="2"/>
      <c r="F300" s="7">
        <f t="shared" si="106"/>
        <v>1.2458514197041701E-3</v>
      </c>
      <c r="G300" s="2"/>
      <c r="H300" s="6">
        <v>50</v>
      </c>
      <c r="I300" s="2"/>
      <c r="J300" s="7">
        <f t="shared" si="107"/>
        <v>5.7300406983111766E-5</v>
      </c>
      <c r="K300" s="2"/>
      <c r="L300" s="6">
        <f t="shared" si="108"/>
        <v>766.86</v>
      </c>
      <c r="M300" s="2"/>
      <c r="N300" s="7">
        <f t="shared" si="109"/>
        <v>15.337200000000001</v>
      </c>
      <c r="O300" s="11"/>
      <c r="P300" s="6">
        <v>3502.88</v>
      </c>
      <c r="Q300" s="2"/>
      <c r="R300" s="7">
        <f t="shared" si="110"/>
        <v>2.8901892707220068E-4</v>
      </c>
      <c r="S300" s="2"/>
      <c r="T300" s="6">
        <v>600</v>
      </c>
      <c r="U300" s="2"/>
      <c r="V300" s="7">
        <f t="shared" si="111"/>
        <v>4.0172571995720267E-5</v>
      </c>
      <c r="W300" s="2"/>
      <c r="X300" s="6">
        <f t="shared" si="112"/>
        <v>2902.88</v>
      </c>
      <c r="Y300" s="2"/>
      <c r="Z300" s="7">
        <f t="shared" si="113"/>
        <v>4.8381333333333334</v>
      </c>
    </row>
    <row r="301" spans="1:26" s="24" customFormat="1" hidden="1" outlineLevel="2" x14ac:dyDescent="0.25">
      <c r="A301" s="27"/>
      <c r="B301" s="11" t="str">
        <f>CONCATENATE("          ", "6283", " - ", "PLANT SERVICE")</f>
        <v xml:space="preserve">          6283 - PLANT SERVICE</v>
      </c>
      <c r="C301" s="11"/>
      <c r="D301" s="6"/>
      <c r="E301" s="2"/>
      <c r="F301" s="7">
        <f t="shared" si="106"/>
        <v>0</v>
      </c>
      <c r="G301" s="2"/>
      <c r="H301" s="6">
        <v>60</v>
      </c>
      <c r="I301" s="2"/>
      <c r="J301" s="7">
        <f t="shared" si="107"/>
        <v>6.8760488379734127E-5</v>
      </c>
      <c r="K301" s="2"/>
      <c r="L301" s="6">
        <f t="shared" si="108"/>
        <v>-60</v>
      </c>
      <c r="M301" s="2"/>
      <c r="N301" s="7">
        <f t="shared" si="109"/>
        <v>-1</v>
      </c>
      <c r="O301" s="11"/>
      <c r="P301" s="6">
        <v>541.98</v>
      </c>
      <c r="Q301" s="2"/>
      <c r="R301" s="7">
        <f t="shared" si="110"/>
        <v>4.4718197053450686E-5</v>
      </c>
      <c r="S301" s="2"/>
      <c r="T301" s="6">
        <v>720</v>
      </c>
      <c r="U301" s="2"/>
      <c r="V301" s="7">
        <f t="shared" si="111"/>
        <v>4.820708639486432E-5</v>
      </c>
      <c r="W301" s="2"/>
      <c r="X301" s="6">
        <f t="shared" si="112"/>
        <v>-178.01999999999998</v>
      </c>
      <c r="Y301" s="2"/>
      <c r="Z301" s="7">
        <f t="shared" si="113"/>
        <v>-0.24724999999999997</v>
      </c>
    </row>
    <row r="302" spans="1:26" s="24" customFormat="1" hidden="1" outlineLevel="2" x14ac:dyDescent="0.25">
      <c r="A302" s="27"/>
      <c r="B302" s="11" t="str">
        <f>CONCATENATE("          ", "6284", " - ", "TRASH REMOVAL EXPENSE")</f>
        <v xml:space="preserve">          6284 - TRASH REMOVAL EXPENSE</v>
      </c>
      <c r="C302" s="11"/>
      <c r="D302" s="6">
        <v>134.82</v>
      </c>
      <c r="E302" s="2"/>
      <c r="F302" s="7">
        <f t="shared" si="106"/>
        <v>2.0562359327732564E-4</v>
      </c>
      <c r="G302" s="2"/>
      <c r="H302" s="6">
        <v>62.5</v>
      </c>
      <c r="I302" s="2"/>
      <c r="J302" s="7">
        <f t="shared" si="107"/>
        <v>7.1625508728889709E-5</v>
      </c>
      <c r="K302" s="2"/>
      <c r="L302" s="6">
        <f t="shared" si="108"/>
        <v>72.319999999999993</v>
      </c>
      <c r="M302" s="2"/>
      <c r="N302" s="7">
        <f t="shared" si="109"/>
        <v>1.1571199999999999</v>
      </c>
      <c r="O302" s="11"/>
      <c r="P302" s="6">
        <v>1617.84</v>
      </c>
      <c r="Q302" s="2"/>
      <c r="R302" s="7">
        <f t="shared" si="110"/>
        <v>1.334862687201643E-4</v>
      </c>
      <c r="S302" s="2"/>
      <c r="T302" s="6">
        <v>750</v>
      </c>
      <c r="U302" s="2"/>
      <c r="V302" s="7">
        <f t="shared" si="111"/>
        <v>5.0215714994650332E-5</v>
      </c>
      <c r="W302" s="2"/>
      <c r="X302" s="6">
        <f t="shared" si="112"/>
        <v>867.83999999999992</v>
      </c>
      <c r="Y302" s="2"/>
      <c r="Z302" s="7">
        <f t="shared" si="113"/>
        <v>1.1571199999999999</v>
      </c>
    </row>
    <row r="303" spans="1:26" s="24" customFormat="1" hidden="1" outlineLevel="2" x14ac:dyDescent="0.25">
      <c r="A303" s="27"/>
      <c r="B303" s="11" t="str">
        <f>CONCATENATE("          ", "6285", " - ", "JANITORIAL SERVICES")</f>
        <v xml:space="preserve">          6285 - JANITORIAL SERVICES</v>
      </c>
      <c r="C303" s="11"/>
      <c r="D303" s="6">
        <v>7421.15</v>
      </c>
      <c r="E303" s="2"/>
      <c r="F303" s="7">
        <f t="shared" si="106"/>
        <v>1.1318524916555594E-2</v>
      </c>
      <c r="G303" s="2"/>
      <c r="H303" s="6">
        <v>4270</v>
      </c>
      <c r="I303" s="2"/>
      <c r="J303" s="7">
        <f t="shared" si="107"/>
        <v>4.8934547563577449E-3</v>
      </c>
      <c r="K303" s="2"/>
      <c r="L303" s="6">
        <f t="shared" si="108"/>
        <v>3151.1499999999996</v>
      </c>
      <c r="M303" s="2"/>
      <c r="N303" s="7">
        <f t="shared" si="109"/>
        <v>0.7379742388758781</v>
      </c>
      <c r="O303" s="11"/>
      <c r="P303" s="6">
        <v>53343.38</v>
      </c>
      <c r="Q303" s="2"/>
      <c r="R303" s="7">
        <f t="shared" si="110"/>
        <v>4.4013059122792351E-3</v>
      </c>
      <c r="S303" s="2"/>
      <c r="T303" s="6">
        <v>51505</v>
      </c>
      <c r="U303" s="2"/>
      <c r="V303" s="7">
        <f t="shared" si="111"/>
        <v>3.4484805343992873E-3</v>
      </c>
      <c r="W303" s="2"/>
      <c r="X303" s="6">
        <f t="shared" si="112"/>
        <v>1838.3799999999974</v>
      </c>
      <c r="Y303" s="2"/>
      <c r="Z303" s="7">
        <f t="shared" si="113"/>
        <v>3.569323366663426E-2</v>
      </c>
    </row>
    <row r="304" spans="1:26" s="26" customFormat="1" outlineLevel="1" collapsed="1" x14ac:dyDescent="0.25">
      <c r="A304" s="25"/>
      <c r="B304" s="12" t="str">
        <f>CONCATENATE("     ","Subscriptions &amp; Dues                              ")</f>
        <v xml:space="preserve">     Subscriptions &amp; Dues                              </v>
      </c>
      <c r="C304" s="12"/>
      <c r="D304" s="1">
        <f>SUM(OSRRefD22_19x_0)</f>
        <v>1101.25</v>
      </c>
      <c r="E304" s="1"/>
      <c r="F304" s="5">
        <f t="shared" ref="F304:F306" si="114">IF(D$12=0,0,D304/D$12)</f>
        <v>1.6795948827818933E-3</v>
      </c>
      <c r="G304" s="1"/>
      <c r="H304" s="1">
        <f>SUM(OSRRefH22_19x_0)</f>
        <v>1015</v>
      </c>
      <c r="I304" s="1"/>
      <c r="J304" s="5">
        <f t="shared" ref="J304:J306" si="115">IF(H$12=0,0,H304/H$12)</f>
        <v>1.1631982617571689E-3</v>
      </c>
      <c r="K304" s="1"/>
      <c r="L304" s="1">
        <f t="shared" ref="L304:L306" si="116">+D304-H304</f>
        <v>86.25</v>
      </c>
      <c r="M304" s="1"/>
      <c r="N304" s="5">
        <f t="shared" ref="N304:N306" si="117">IF(H304=0,0,L304/H304)</f>
        <v>8.4975369458128072E-2</v>
      </c>
      <c r="O304" s="12"/>
      <c r="P304" s="1">
        <f>SUM(OSRRefP22_19x_0)</f>
        <v>3573.6</v>
      </c>
      <c r="Q304" s="1"/>
      <c r="R304" s="5">
        <f t="shared" ref="R304:R306" si="118">IF(P$12=0,0,P304/P$12)</f>
        <v>2.9485395953764224E-4</v>
      </c>
      <c r="S304" s="1"/>
      <c r="T304" s="1">
        <f>SUM(OSRRefT22_19x_0)</f>
        <v>21870</v>
      </c>
      <c r="U304" s="1"/>
      <c r="V304" s="5">
        <f t="shared" ref="V304:V306" si="119">IF(T$12=0,0,T304/T$12)</f>
        <v>1.4642902492440037E-3</v>
      </c>
      <c r="W304" s="1"/>
      <c r="X304" s="1">
        <f t="shared" ref="X304:X306" si="120">+P304-T304</f>
        <v>-18296.400000000001</v>
      </c>
      <c r="Y304" s="1"/>
      <c r="Z304" s="5">
        <f t="shared" ref="Z304:Z306" si="121">IF(T304=0,0,X304/T304)</f>
        <v>-0.8365980795610426</v>
      </c>
    </row>
    <row r="305" spans="1:26" s="24" customFormat="1" hidden="1" outlineLevel="2" x14ac:dyDescent="0.25">
      <c r="A305" s="27"/>
      <c r="B305" s="11" t="str">
        <f>CONCATENATE("          ", "6258", " - ", "MEMBERSHIP DUES")</f>
        <v xml:space="preserve">          6258 - MEMBERSHIP DUES</v>
      </c>
      <c r="C305" s="11"/>
      <c r="D305" s="6">
        <v>1101.25</v>
      </c>
      <c r="E305" s="2"/>
      <c r="F305" s="7">
        <f t="shared" si="114"/>
        <v>1.6795948827818933E-3</v>
      </c>
      <c r="G305" s="2"/>
      <c r="H305" s="6">
        <v>700</v>
      </c>
      <c r="I305" s="2"/>
      <c r="J305" s="7">
        <f t="shared" si="115"/>
        <v>8.0220569776356476E-4</v>
      </c>
      <c r="K305" s="2"/>
      <c r="L305" s="6">
        <f t="shared" si="116"/>
        <v>401.25</v>
      </c>
      <c r="M305" s="2"/>
      <c r="N305" s="7">
        <f t="shared" si="117"/>
        <v>0.57321428571428568</v>
      </c>
      <c r="O305" s="11"/>
      <c r="P305" s="6">
        <v>781.16</v>
      </c>
      <c r="Q305" s="2"/>
      <c r="R305" s="7">
        <f t="shared" si="118"/>
        <v>6.4452686095932562E-5</v>
      </c>
      <c r="S305" s="2"/>
      <c r="T305" s="6">
        <v>16140</v>
      </c>
      <c r="U305" s="2"/>
      <c r="V305" s="7">
        <f t="shared" si="119"/>
        <v>1.0806421866848752E-3</v>
      </c>
      <c r="W305" s="2"/>
      <c r="X305" s="6">
        <f t="shared" si="120"/>
        <v>-15358.84</v>
      </c>
      <c r="Y305" s="2"/>
      <c r="Z305" s="7">
        <f t="shared" si="121"/>
        <v>-0.95160099132589837</v>
      </c>
    </row>
    <row r="306" spans="1:26" s="24" customFormat="1" hidden="1" outlineLevel="2" x14ac:dyDescent="0.25">
      <c r="A306" s="27"/>
      <c r="B306" s="11" t="str">
        <f>CONCATENATE("          ", "6275", " - ", "SUBSCRIPTIONS")</f>
        <v xml:space="preserve">          6275 - SUBSCRIPTIONS</v>
      </c>
      <c r="C306" s="11"/>
      <c r="D306" s="6"/>
      <c r="E306" s="2"/>
      <c r="F306" s="7">
        <f t="shared" si="114"/>
        <v>0</v>
      </c>
      <c r="G306" s="2"/>
      <c r="H306" s="6">
        <v>315</v>
      </c>
      <c r="I306" s="2"/>
      <c r="J306" s="7">
        <f t="shared" si="115"/>
        <v>3.6099256399360413E-4</v>
      </c>
      <c r="K306" s="2"/>
      <c r="L306" s="6">
        <f t="shared" si="116"/>
        <v>-315</v>
      </c>
      <c r="M306" s="2"/>
      <c r="N306" s="7">
        <f t="shared" si="117"/>
        <v>-1</v>
      </c>
      <c r="O306" s="11"/>
      <c r="P306" s="6">
        <v>2792.44</v>
      </c>
      <c r="Q306" s="2"/>
      <c r="R306" s="7">
        <f t="shared" si="118"/>
        <v>2.3040127344170971E-4</v>
      </c>
      <c r="S306" s="2"/>
      <c r="T306" s="6">
        <v>5730</v>
      </c>
      <c r="U306" s="2"/>
      <c r="V306" s="7">
        <f t="shared" si="119"/>
        <v>3.8364806255912856E-4</v>
      </c>
      <c r="W306" s="2"/>
      <c r="X306" s="6">
        <f t="shared" si="120"/>
        <v>-2937.56</v>
      </c>
      <c r="Y306" s="2"/>
      <c r="Z306" s="7">
        <f t="shared" si="121"/>
        <v>-0.51266317626527047</v>
      </c>
    </row>
    <row r="307" spans="1:26" s="26" customFormat="1" outlineLevel="1" collapsed="1" x14ac:dyDescent="0.25">
      <c r="A307" s="25"/>
      <c r="B307" s="12" t="str">
        <f>CONCATENATE("     ","Supplies                                          ")</f>
        <v xml:space="preserve">     Supplies                                          </v>
      </c>
      <c r="C307" s="12"/>
      <c r="D307" s="1">
        <f>SUM(OSRRefD22_20x_0)</f>
        <v>16042.18</v>
      </c>
      <c r="E307" s="1"/>
      <c r="F307" s="5">
        <f t="shared" ref="F307:F315" si="122">IF(D$12=0,0,D307/D$12)</f>
        <v>2.4467072360196171E-2</v>
      </c>
      <c r="G307" s="1"/>
      <c r="H307" s="1">
        <f>SUM(OSRRefH22_20x_0)</f>
        <v>16475</v>
      </c>
      <c r="I307" s="1"/>
      <c r="J307" s="5">
        <f t="shared" ref="J307:J315" si="123">IF(H$12=0,0,H307/H$12)</f>
        <v>1.8880484100935329E-2</v>
      </c>
      <c r="K307" s="1"/>
      <c r="L307" s="1">
        <f t="shared" ref="L307:L315" si="124">+D307-H307</f>
        <v>-432.81999999999971</v>
      </c>
      <c r="M307" s="1"/>
      <c r="N307" s="5">
        <f t="shared" ref="N307:N315" si="125">IF(H307=0,0,L307/H307)</f>
        <v>-2.6271320182094063E-2</v>
      </c>
      <c r="O307" s="12"/>
      <c r="P307" s="1">
        <f>SUM(OSRRefP22_20x_0)</f>
        <v>112339.25999999998</v>
      </c>
      <c r="Q307" s="1"/>
      <c r="R307" s="5">
        <f t="shared" ref="R307:R315" si="126">IF(P$12=0,0,P307/P$12)</f>
        <v>9.268993626183308E-3</v>
      </c>
      <c r="S307" s="1"/>
      <c r="T307" s="1">
        <f>SUM(OSRRefT22_20x_0)</f>
        <v>207840</v>
      </c>
      <c r="U307" s="1"/>
      <c r="V307" s="5">
        <f t="shared" ref="V307:V315" si="127">IF(T$12=0,0,T307/T$12)</f>
        <v>1.3915778939317501E-2</v>
      </c>
      <c r="W307" s="1"/>
      <c r="X307" s="1">
        <f t="shared" ref="X307:X315" si="128">+P307-T307</f>
        <v>-95500.74000000002</v>
      </c>
      <c r="Y307" s="1"/>
      <c r="Z307" s="5">
        <f t="shared" ref="Z307:Z315" si="129">IF(T307=0,0,X307/T307)</f>
        <v>-0.45949162817551975</v>
      </c>
    </row>
    <row r="308" spans="1:26" s="24" customFormat="1" hidden="1" outlineLevel="2" x14ac:dyDescent="0.25">
      <c r="A308" s="27"/>
      <c r="B308" s="11" t="str">
        <f>CONCATENATE("          ", "6234", " - ", "EXPENDABLE SUPPLIES &amp; EQUIPMEN")</f>
        <v xml:space="preserve">          6234 - EXPENDABLE SUPPLIES &amp; EQUIPMEN</v>
      </c>
      <c r="C308" s="11"/>
      <c r="D308" s="6">
        <v>4356.1000000000004</v>
      </c>
      <c r="E308" s="2"/>
      <c r="F308" s="7">
        <f t="shared" si="122"/>
        <v>6.6437986550612546E-3</v>
      </c>
      <c r="G308" s="2"/>
      <c r="H308" s="6">
        <v>1200</v>
      </c>
      <c r="I308" s="2"/>
      <c r="J308" s="7">
        <f t="shared" si="123"/>
        <v>1.3752097675946825E-3</v>
      </c>
      <c r="K308" s="2"/>
      <c r="L308" s="6">
        <f t="shared" si="124"/>
        <v>3156.1000000000004</v>
      </c>
      <c r="M308" s="2"/>
      <c r="N308" s="7">
        <f t="shared" si="125"/>
        <v>2.6300833333333338</v>
      </c>
      <c r="O308" s="11"/>
      <c r="P308" s="6">
        <v>8498.66</v>
      </c>
      <c r="Q308" s="2"/>
      <c r="R308" s="7">
        <f t="shared" si="126"/>
        <v>7.0121545549702783E-4</v>
      </c>
      <c r="S308" s="2"/>
      <c r="T308" s="6">
        <v>8450</v>
      </c>
      <c r="U308" s="2"/>
      <c r="V308" s="7">
        <f t="shared" si="127"/>
        <v>5.6576372227306042E-4</v>
      </c>
      <c r="W308" s="2"/>
      <c r="X308" s="6">
        <f t="shared" si="128"/>
        <v>48.659999999999854</v>
      </c>
      <c r="Y308" s="2"/>
      <c r="Z308" s="7">
        <f t="shared" si="129"/>
        <v>5.7585798816567873E-3</v>
      </c>
    </row>
    <row r="309" spans="1:26" s="24" customFormat="1" hidden="1" outlineLevel="2" x14ac:dyDescent="0.25">
      <c r="A309" s="27"/>
      <c r="B309" s="11" t="str">
        <f>CONCATENATE("          ", "6235", " - ", "COVID-19 EXPENSES")</f>
        <v xml:space="preserve">          6235 - COVID-19 EXPENSES</v>
      </c>
      <c r="C309" s="11"/>
      <c r="D309" s="6">
        <v>3511.67</v>
      </c>
      <c r="E309" s="2"/>
      <c r="F309" s="7">
        <f t="shared" si="122"/>
        <v>5.3558982629000607E-3</v>
      </c>
      <c r="G309" s="2"/>
      <c r="H309" s="6"/>
      <c r="I309" s="2"/>
      <c r="J309" s="7">
        <f t="shared" si="123"/>
        <v>0</v>
      </c>
      <c r="K309" s="2"/>
      <c r="L309" s="6">
        <f t="shared" si="124"/>
        <v>3511.67</v>
      </c>
      <c r="M309" s="2"/>
      <c r="N309" s="7">
        <f t="shared" si="125"/>
        <v>0</v>
      </c>
      <c r="O309" s="11"/>
      <c r="P309" s="6">
        <v>5061.67</v>
      </c>
      <c r="Q309" s="2"/>
      <c r="R309" s="7">
        <f t="shared" si="126"/>
        <v>4.1763304269445316E-4</v>
      </c>
      <c r="S309" s="2"/>
      <c r="T309" s="6"/>
      <c r="U309" s="2"/>
      <c r="V309" s="7">
        <f t="shared" si="127"/>
        <v>0</v>
      </c>
      <c r="W309" s="2"/>
      <c r="X309" s="6">
        <f t="shared" si="128"/>
        <v>5061.67</v>
      </c>
      <c r="Y309" s="2"/>
      <c r="Z309" s="7">
        <f t="shared" si="129"/>
        <v>0</v>
      </c>
    </row>
    <row r="310" spans="1:26" s="24" customFormat="1" hidden="1" outlineLevel="2" x14ac:dyDescent="0.25">
      <c r="A310" s="27"/>
      <c r="B310" s="11" t="str">
        <f>CONCATENATE("          ", "6237", " - ", "JANITORIAL SUPPLIES")</f>
        <v xml:space="preserve">          6237 - JANITORIAL SUPPLIES</v>
      </c>
      <c r="C310" s="11"/>
      <c r="D310" s="6">
        <v>1763.02</v>
      </c>
      <c r="E310" s="2"/>
      <c r="F310" s="7">
        <f t="shared" si="122"/>
        <v>2.6889074871665232E-3</v>
      </c>
      <c r="G310" s="2"/>
      <c r="H310" s="6">
        <v>225</v>
      </c>
      <c r="I310" s="2"/>
      <c r="J310" s="7">
        <f t="shared" si="123"/>
        <v>2.5785183142400296E-4</v>
      </c>
      <c r="K310" s="2"/>
      <c r="L310" s="6">
        <f t="shared" si="124"/>
        <v>1538.02</v>
      </c>
      <c r="M310" s="2"/>
      <c r="N310" s="7">
        <f t="shared" si="125"/>
        <v>6.8356444444444442</v>
      </c>
      <c r="O310" s="11"/>
      <c r="P310" s="6">
        <v>7068.06</v>
      </c>
      <c r="Q310" s="2"/>
      <c r="R310" s="7">
        <f t="shared" si="126"/>
        <v>5.8317816130782068E-4</v>
      </c>
      <c r="S310" s="2"/>
      <c r="T310" s="6">
        <v>715</v>
      </c>
      <c r="U310" s="2"/>
      <c r="V310" s="7">
        <f t="shared" si="127"/>
        <v>4.7872314961566653E-5</v>
      </c>
      <c r="W310" s="2"/>
      <c r="X310" s="6">
        <f t="shared" si="128"/>
        <v>6353.06</v>
      </c>
      <c r="Y310" s="2"/>
      <c r="Z310" s="7">
        <f t="shared" si="129"/>
        <v>8.8853986013986024</v>
      </c>
    </row>
    <row r="311" spans="1:26" s="24" customFormat="1" hidden="1" outlineLevel="2" x14ac:dyDescent="0.25">
      <c r="A311" s="27"/>
      <c r="B311" s="11" t="str">
        <f>CONCATENATE("          ", "6241", " - ", "OFFICE EXPENSE")</f>
        <v xml:space="preserve">          6241 - OFFICE EXPENSE</v>
      </c>
      <c r="C311" s="11"/>
      <c r="D311" s="6">
        <v>717.93</v>
      </c>
      <c r="E311" s="2"/>
      <c r="F311" s="7">
        <f t="shared" si="122"/>
        <v>1.09496622401417E-3</v>
      </c>
      <c r="G311" s="2"/>
      <c r="H311" s="6">
        <v>2600</v>
      </c>
      <c r="I311" s="2"/>
      <c r="J311" s="7">
        <f t="shared" si="123"/>
        <v>2.9796211631218121E-3</v>
      </c>
      <c r="K311" s="2"/>
      <c r="L311" s="6">
        <f t="shared" si="124"/>
        <v>-1882.0700000000002</v>
      </c>
      <c r="M311" s="2"/>
      <c r="N311" s="7">
        <f t="shared" si="125"/>
        <v>-0.72387307692307701</v>
      </c>
      <c r="O311" s="11"/>
      <c r="P311" s="6">
        <v>26283.62</v>
      </c>
      <c r="Q311" s="2"/>
      <c r="R311" s="7">
        <f t="shared" si="126"/>
        <v>2.1686337105391662E-3</v>
      </c>
      <c r="S311" s="2"/>
      <c r="T311" s="6">
        <v>22425</v>
      </c>
      <c r="U311" s="2"/>
      <c r="V311" s="7">
        <f t="shared" si="127"/>
        <v>1.501449878340045E-3</v>
      </c>
      <c r="W311" s="2"/>
      <c r="X311" s="6">
        <f t="shared" si="128"/>
        <v>3858.619999999999</v>
      </c>
      <c r="Y311" s="2"/>
      <c r="Z311" s="7">
        <f t="shared" si="129"/>
        <v>0.17206778149386839</v>
      </c>
    </row>
    <row r="312" spans="1:26" s="24" customFormat="1" hidden="1" outlineLevel="2" x14ac:dyDescent="0.25">
      <c r="A312" s="27"/>
      <c r="B312" s="11" t="str">
        <f>CONCATENATE("          ", "6243", " - ", "PAPER SUPPLIES")</f>
        <v xml:space="preserve">          6243 - PAPER SUPPLIES</v>
      </c>
      <c r="C312" s="11"/>
      <c r="D312" s="6">
        <v>508.47</v>
      </c>
      <c r="E312" s="2"/>
      <c r="F312" s="7">
        <f t="shared" si="122"/>
        <v>7.7550384567365207E-4</v>
      </c>
      <c r="G312" s="2"/>
      <c r="H312" s="6">
        <v>250</v>
      </c>
      <c r="I312" s="2"/>
      <c r="J312" s="7">
        <f t="shared" si="123"/>
        <v>2.8650203491555884E-4</v>
      </c>
      <c r="K312" s="2"/>
      <c r="L312" s="6">
        <f t="shared" si="124"/>
        <v>258.47000000000003</v>
      </c>
      <c r="M312" s="2"/>
      <c r="N312" s="7">
        <f t="shared" si="125"/>
        <v>1.0338800000000001</v>
      </c>
      <c r="O312" s="11"/>
      <c r="P312" s="6">
        <v>18447.68</v>
      </c>
      <c r="Q312" s="2"/>
      <c r="R312" s="7">
        <f t="shared" si="126"/>
        <v>1.5220985819015482E-3</v>
      </c>
      <c r="S312" s="2"/>
      <c r="T312" s="6">
        <v>4000</v>
      </c>
      <c r="U312" s="2"/>
      <c r="V312" s="7">
        <f t="shared" si="127"/>
        <v>2.6781714663813512E-4</v>
      </c>
      <c r="W312" s="2"/>
      <c r="X312" s="6">
        <f t="shared" si="128"/>
        <v>14447.68</v>
      </c>
      <c r="Y312" s="2"/>
      <c r="Z312" s="7">
        <f t="shared" si="129"/>
        <v>3.61192</v>
      </c>
    </row>
    <row r="313" spans="1:26" s="24" customFormat="1" hidden="1" outlineLevel="2" x14ac:dyDescent="0.25">
      <c r="A313" s="27"/>
      <c r="B313" s="11" t="str">
        <f>CONCATENATE("          ", "6245", " - ", "PRINTING")</f>
        <v xml:space="preserve">          6245 - PRINTING</v>
      </c>
      <c r="C313" s="11"/>
      <c r="D313" s="6">
        <v>158.76</v>
      </c>
      <c r="E313" s="2"/>
      <c r="F313" s="7">
        <f t="shared" si="122"/>
        <v>2.4213619395273858E-4</v>
      </c>
      <c r="G313" s="2"/>
      <c r="H313" s="6">
        <v>100</v>
      </c>
      <c r="I313" s="2"/>
      <c r="J313" s="7">
        <f t="shared" si="123"/>
        <v>1.1460081396622353E-4</v>
      </c>
      <c r="K313" s="2"/>
      <c r="L313" s="6">
        <f t="shared" si="124"/>
        <v>58.759999999999991</v>
      </c>
      <c r="M313" s="2"/>
      <c r="N313" s="7">
        <f t="shared" si="125"/>
        <v>0.5875999999999999</v>
      </c>
      <c r="O313" s="11"/>
      <c r="P313" s="6">
        <v>10786.36</v>
      </c>
      <c r="Q313" s="2"/>
      <c r="R313" s="7">
        <f t="shared" si="126"/>
        <v>8.8997116493128589E-4</v>
      </c>
      <c r="S313" s="2"/>
      <c r="T313" s="6">
        <v>2800</v>
      </c>
      <c r="U313" s="2"/>
      <c r="V313" s="7">
        <f t="shared" si="127"/>
        <v>1.8747200264669457E-4</v>
      </c>
      <c r="W313" s="2"/>
      <c r="X313" s="6">
        <f t="shared" si="128"/>
        <v>7986.3600000000006</v>
      </c>
      <c r="Y313" s="2"/>
      <c r="Z313" s="7">
        <f t="shared" si="129"/>
        <v>2.8522714285714286</v>
      </c>
    </row>
    <row r="314" spans="1:26" s="24" customFormat="1" hidden="1" outlineLevel="2" x14ac:dyDescent="0.25">
      <c r="A314" s="27"/>
      <c r="B314" s="11" t="str">
        <f>CONCATENATE("          ", "6247", " - ", "STORE SUPPLIES")</f>
        <v xml:space="preserve">          6247 - STORE SUPPLIES</v>
      </c>
      <c r="C314" s="11"/>
      <c r="D314" s="6">
        <v>5026.2299999999996</v>
      </c>
      <c r="E314" s="2"/>
      <c r="F314" s="7">
        <f t="shared" si="122"/>
        <v>7.6658616914277731E-3</v>
      </c>
      <c r="G314" s="2"/>
      <c r="H314" s="6">
        <v>11100</v>
      </c>
      <c r="I314" s="2"/>
      <c r="J314" s="7">
        <f t="shared" si="123"/>
        <v>1.2720690350250813E-2</v>
      </c>
      <c r="K314" s="2"/>
      <c r="L314" s="6">
        <f t="shared" si="124"/>
        <v>-6073.77</v>
      </c>
      <c r="M314" s="2"/>
      <c r="N314" s="7">
        <f t="shared" si="125"/>
        <v>-0.54718648648648649</v>
      </c>
      <c r="O314" s="11"/>
      <c r="P314" s="6">
        <v>36149.299999999996</v>
      </c>
      <c r="Q314" s="2"/>
      <c r="R314" s="7">
        <f t="shared" si="126"/>
        <v>2.9826405416146437E-3</v>
      </c>
      <c r="S314" s="2"/>
      <c r="T314" s="6">
        <v>156950</v>
      </c>
      <c r="U314" s="2"/>
      <c r="V314" s="7">
        <f t="shared" si="127"/>
        <v>1.0508475291213825E-2</v>
      </c>
      <c r="W314" s="2"/>
      <c r="X314" s="6">
        <f t="shared" si="128"/>
        <v>-120800.70000000001</v>
      </c>
      <c r="Y314" s="2"/>
      <c r="Z314" s="7">
        <f t="shared" si="129"/>
        <v>-0.76967633004141456</v>
      </c>
    </row>
    <row r="315" spans="1:26" s="24" customFormat="1" hidden="1" outlineLevel="2" x14ac:dyDescent="0.25">
      <c r="A315" s="27"/>
      <c r="B315" s="11" t="str">
        <f>CONCATENATE("          ", "6248", " - ", "UNIFORMS")</f>
        <v xml:space="preserve">          6248 - UNIFORMS</v>
      </c>
      <c r="C315" s="11"/>
      <c r="D315" s="6"/>
      <c r="E315" s="2"/>
      <c r="F315" s="7">
        <f t="shared" si="122"/>
        <v>0</v>
      </c>
      <c r="G315" s="2"/>
      <c r="H315" s="6">
        <v>1000</v>
      </c>
      <c r="I315" s="2"/>
      <c r="J315" s="7">
        <f t="shared" si="123"/>
        <v>1.1460081396622353E-3</v>
      </c>
      <c r="K315" s="2"/>
      <c r="L315" s="6">
        <f t="shared" si="124"/>
        <v>-1000</v>
      </c>
      <c r="M315" s="2"/>
      <c r="N315" s="7">
        <f t="shared" si="125"/>
        <v>-1</v>
      </c>
      <c r="O315" s="11"/>
      <c r="P315" s="6">
        <v>43.91</v>
      </c>
      <c r="Q315" s="2"/>
      <c r="R315" s="7">
        <f t="shared" si="126"/>
        <v>3.6229676973634071E-6</v>
      </c>
      <c r="S315" s="2"/>
      <c r="T315" s="6">
        <v>12500</v>
      </c>
      <c r="U315" s="2"/>
      <c r="V315" s="7">
        <f t="shared" si="127"/>
        <v>8.3692858324417216E-4</v>
      </c>
      <c r="W315" s="2"/>
      <c r="X315" s="6">
        <f t="shared" si="128"/>
        <v>-12456.09</v>
      </c>
      <c r="Y315" s="2"/>
      <c r="Z315" s="7">
        <f t="shared" si="129"/>
        <v>-0.99648720000000002</v>
      </c>
    </row>
    <row r="316" spans="1:26" s="26" customFormat="1" outlineLevel="1" collapsed="1" x14ac:dyDescent="0.25">
      <c r="A316" s="25"/>
      <c r="B316" s="12" t="str">
        <f>CONCATENATE("     ","Telephone/Data Lines                              ")</f>
        <v xml:space="preserve">     Telephone/Data Lines                              </v>
      </c>
      <c r="C316" s="12"/>
      <c r="D316" s="1">
        <f>SUM(OSRRefD22_21x_0)</f>
        <v>885.99</v>
      </c>
      <c r="E316" s="1"/>
      <c r="F316" s="5">
        <f t="shared" ref="F316:F318" si="130">IF(D$12=0,0,D316/D$12)</f>
        <v>1.3512865109611167E-3</v>
      </c>
      <c r="G316" s="1"/>
      <c r="H316" s="1">
        <f>SUM(OSRRefH22_21x_0)</f>
        <v>2570</v>
      </c>
      <c r="I316" s="1"/>
      <c r="J316" s="5">
        <f t="shared" ref="J316:J318" si="131">IF(H$12=0,0,H316/H$12)</f>
        <v>2.9452409189319449E-3</v>
      </c>
      <c r="K316" s="1"/>
      <c r="L316" s="1">
        <f t="shared" ref="L316:L318" si="132">+D316-H316</f>
        <v>-1684.01</v>
      </c>
      <c r="M316" s="1"/>
      <c r="N316" s="5">
        <f t="shared" ref="N316:N318" si="133">IF(H316=0,0,L316/H316)</f>
        <v>-0.65525680933852137</v>
      </c>
      <c r="O316" s="12"/>
      <c r="P316" s="1">
        <f>SUM(OSRRefP22_21x_0)</f>
        <v>31467.66</v>
      </c>
      <c r="Q316" s="1"/>
      <c r="R316" s="5">
        <f t="shared" ref="R316:R318" si="134">IF(P$12=0,0,P316/P$12)</f>
        <v>2.5963633726170483E-3</v>
      </c>
      <c r="S316" s="1"/>
      <c r="T316" s="1">
        <f>SUM(OSRRefT22_21x_0)</f>
        <v>37415</v>
      </c>
      <c r="U316" s="1"/>
      <c r="V316" s="5">
        <f t="shared" ref="V316:V318" si="135">IF(T$12=0,0,T316/T$12)</f>
        <v>2.5050946353664563E-3</v>
      </c>
      <c r="W316" s="1"/>
      <c r="X316" s="1">
        <f t="shared" ref="X316:X318" si="136">+P316-T316</f>
        <v>-5947.34</v>
      </c>
      <c r="Y316" s="1"/>
      <c r="Z316" s="5">
        <f t="shared" ref="Z316:Z318" si="137">IF(T316=0,0,X316/T316)</f>
        <v>-0.15895603367633301</v>
      </c>
    </row>
    <row r="317" spans="1:26" s="24" customFormat="1" hidden="1" outlineLevel="2" x14ac:dyDescent="0.25">
      <c r="A317" s="27"/>
      <c r="B317" s="11" t="str">
        <f>CONCATENATE("          ", "6303", " - ", "DATA PHONE LINES")</f>
        <v xml:space="preserve">          6303 - DATA PHONE LINES</v>
      </c>
      <c r="C317" s="11"/>
      <c r="D317" s="6"/>
      <c r="E317" s="2"/>
      <c r="F317" s="7">
        <f t="shared" si="130"/>
        <v>0</v>
      </c>
      <c r="G317" s="2"/>
      <c r="H317" s="6">
        <v>1230</v>
      </c>
      <c r="I317" s="2"/>
      <c r="J317" s="7">
        <f t="shared" si="131"/>
        <v>1.4095900117845495E-3</v>
      </c>
      <c r="K317" s="2"/>
      <c r="L317" s="6">
        <f t="shared" si="132"/>
        <v>-1230</v>
      </c>
      <c r="M317" s="2"/>
      <c r="N317" s="7">
        <f t="shared" si="133"/>
        <v>-1</v>
      </c>
      <c r="O317" s="11"/>
      <c r="P317" s="6">
        <v>2950</v>
      </c>
      <c r="Q317" s="2"/>
      <c r="R317" s="7">
        <f t="shared" si="134"/>
        <v>2.4340138253750969E-4</v>
      </c>
      <c r="S317" s="2"/>
      <c r="T317" s="6">
        <v>16085</v>
      </c>
      <c r="U317" s="2"/>
      <c r="V317" s="7">
        <f t="shared" si="135"/>
        <v>1.0769597009186007E-3</v>
      </c>
      <c r="W317" s="2"/>
      <c r="X317" s="6">
        <f t="shared" si="136"/>
        <v>-13135</v>
      </c>
      <c r="Y317" s="2"/>
      <c r="Z317" s="7">
        <f t="shared" si="137"/>
        <v>-0.81659931613304326</v>
      </c>
    </row>
    <row r="318" spans="1:26" s="24" customFormat="1" hidden="1" outlineLevel="2" x14ac:dyDescent="0.25">
      <c r="A318" s="27"/>
      <c r="B318" s="11" t="str">
        <f>CONCATENATE("          ", "6309", " - ", "TELEPHONE")</f>
        <v xml:space="preserve">          6309 - TELEPHONE</v>
      </c>
      <c r="C318" s="11"/>
      <c r="D318" s="6">
        <v>885.99</v>
      </c>
      <c r="E318" s="2"/>
      <c r="F318" s="7">
        <f t="shared" si="130"/>
        <v>1.3512865109611167E-3</v>
      </c>
      <c r="G318" s="2"/>
      <c r="H318" s="6">
        <v>1340</v>
      </c>
      <c r="I318" s="2"/>
      <c r="J318" s="7">
        <f t="shared" si="131"/>
        <v>1.5356509071473953E-3</v>
      </c>
      <c r="K318" s="2"/>
      <c r="L318" s="6">
        <f t="shared" si="132"/>
        <v>-454.01</v>
      </c>
      <c r="M318" s="2"/>
      <c r="N318" s="7">
        <f t="shared" si="133"/>
        <v>-0.33881343283582088</v>
      </c>
      <c r="O318" s="11"/>
      <c r="P318" s="6">
        <v>28517.66</v>
      </c>
      <c r="Q318" s="2"/>
      <c r="R318" s="7">
        <f t="shared" si="134"/>
        <v>2.3529619900795385E-3</v>
      </c>
      <c r="S318" s="2"/>
      <c r="T318" s="6">
        <v>21330</v>
      </c>
      <c r="U318" s="2"/>
      <c r="V318" s="7">
        <f t="shared" si="135"/>
        <v>1.4281349344478554E-3</v>
      </c>
      <c r="W318" s="2"/>
      <c r="X318" s="6">
        <f t="shared" si="136"/>
        <v>7187.66</v>
      </c>
      <c r="Y318" s="2"/>
      <c r="Z318" s="7">
        <f t="shared" si="137"/>
        <v>0.33697421472105016</v>
      </c>
    </row>
    <row r="319" spans="1:26" s="26" customFormat="1" outlineLevel="1" collapsed="1" x14ac:dyDescent="0.25">
      <c r="A319" s="25"/>
      <c r="B319" s="12" t="str">
        <f>CONCATENATE("     ","Training                                          ")</f>
        <v xml:space="preserve">     Training                                          </v>
      </c>
      <c r="C319" s="12"/>
      <c r="D319" s="1">
        <f>SUM(OSRRefD22_22x_0)</f>
        <v>0</v>
      </c>
      <c r="E319" s="1"/>
      <c r="F319" s="5">
        <f t="shared" ref="F319:F324" si="138">IF(D$12=0,0,D319/D$12)</f>
        <v>0</v>
      </c>
      <c r="G319" s="1"/>
      <c r="H319" s="1">
        <f>SUM(OSRRefH22_22x_0)</f>
        <v>1975</v>
      </c>
      <c r="I319" s="1"/>
      <c r="J319" s="5">
        <f t="shared" ref="J319:J324" si="139">IF(H$12=0,0,H319/H$12)</f>
        <v>2.2633660758329148E-3</v>
      </c>
      <c r="K319" s="1"/>
      <c r="L319" s="1">
        <f t="shared" ref="L319:L324" si="140">+D319-H319</f>
        <v>-1975</v>
      </c>
      <c r="M319" s="1"/>
      <c r="N319" s="5">
        <f t="shared" ref="N319:N324" si="141">IF(H319=0,0,L319/H319)</f>
        <v>-1</v>
      </c>
      <c r="O319" s="12"/>
      <c r="P319" s="1">
        <f>SUM(OSRRefP22_22x_0)</f>
        <v>25732.76</v>
      </c>
      <c r="Q319" s="1"/>
      <c r="R319" s="5">
        <f t="shared" ref="R319:R324" si="142">IF(P$12=0,0,P319/P$12)</f>
        <v>2.1231828340698062E-3</v>
      </c>
      <c r="S319" s="1"/>
      <c r="T319" s="1">
        <f>SUM(OSRRefT22_22x_0)</f>
        <v>34300</v>
      </c>
      <c r="U319" s="1"/>
      <c r="V319" s="5">
        <f t="shared" ref="V319:V324" si="143">IF(T$12=0,0,T319/T$12)</f>
        <v>2.2965320324220087E-3</v>
      </c>
      <c r="W319" s="1"/>
      <c r="X319" s="1">
        <f t="shared" ref="X319:X324" si="144">+P319-T319</f>
        <v>-8567.2400000000016</v>
      </c>
      <c r="Y319" s="1"/>
      <c r="Z319" s="5">
        <f t="shared" ref="Z319:Z324" si="145">IF(T319=0,0,X319/T319)</f>
        <v>-0.24977376093294465</v>
      </c>
    </row>
    <row r="320" spans="1:26" s="24" customFormat="1" hidden="1" outlineLevel="2" x14ac:dyDescent="0.25">
      <c r="A320" s="27"/>
      <c r="B320" s="11" t="str">
        <f>CONCATENATE("          ", "6376", " - ", "TRAINING")</f>
        <v xml:space="preserve">          6376 - TRAINING</v>
      </c>
      <c r="C320" s="11"/>
      <c r="D320" s="6"/>
      <c r="E320" s="2"/>
      <c r="F320" s="7">
        <f t="shared" si="138"/>
        <v>0</v>
      </c>
      <c r="G320" s="2"/>
      <c r="H320" s="6">
        <v>1975</v>
      </c>
      <c r="I320" s="2"/>
      <c r="J320" s="7">
        <f t="shared" si="139"/>
        <v>2.2633660758329148E-3</v>
      </c>
      <c r="K320" s="2"/>
      <c r="L320" s="6">
        <f t="shared" si="140"/>
        <v>-1975</v>
      </c>
      <c r="M320" s="2"/>
      <c r="N320" s="7">
        <f t="shared" si="141"/>
        <v>-1</v>
      </c>
      <c r="O320" s="11"/>
      <c r="P320" s="6">
        <v>25732.76</v>
      </c>
      <c r="Q320" s="2"/>
      <c r="R320" s="7">
        <f t="shared" si="142"/>
        <v>2.1231828340698062E-3</v>
      </c>
      <c r="S320" s="2"/>
      <c r="T320" s="6">
        <v>34300</v>
      </c>
      <c r="U320" s="2"/>
      <c r="V320" s="7">
        <f t="shared" si="143"/>
        <v>2.2965320324220087E-3</v>
      </c>
      <c r="W320" s="2"/>
      <c r="X320" s="6">
        <f t="shared" si="144"/>
        <v>-8567.2400000000016</v>
      </c>
      <c r="Y320" s="2"/>
      <c r="Z320" s="7">
        <f t="shared" si="145"/>
        <v>-0.24977376093294465</v>
      </c>
    </row>
    <row r="321" spans="1:26" s="26" customFormat="1" outlineLevel="1" collapsed="1" x14ac:dyDescent="0.25">
      <c r="A321" s="25"/>
      <c r="B321" s="12" t="str">
        <f>CONCATENATE("     ","Travel                                            ")</f>
        <v xml:space="preserve">     Travel                                            </v>
      </c>
      <c r="C321" s="12"/>
      <c r="D321" s="1">
        <f>SUM(OSRRefD22_23x_0)</f>
        <v>0</v>
      </c>
      <c r="E321" s="1"/>
      <c r="F321" s="5">
        <f t="shared" si="138"/>
        <v>0</v>
      </c>
      <c r="G321" s="1"/>
      <c r="H321" s="1">
        <f>SUM(OSRRefH22_23x_0)</f>
        <v>125</v>
      </c>
      <c r="I321" s="1"/>
      <c r="J321" s="5">
        <f t="shared" si="139"/>
        <v>1.4325101745777942E-4</v>
      </c>
      <c r="K321" s="1"/>
      <c r="L321" s="1">
        <f t="shared" si="140"/>
        <v>-125</v>
      </c>
      <c r="M321" s="1"/>
      <c r="N321" s="5">
        <f t="shared" si="141"/>
        <v>-1</v>
      </c>
      <c r="O321" s="12"/>
      <c r="P321" s="1">
        <f>SUM(OSRRefP22_23x_0)</f>
        <v>1139.73</v>
      </c>
      <c r="Q321" s="1"/>
      <c r="R321" s="5">
        <f t="shared" si="142"/>
        <v>9.4037917871008794E-5</v>
      </c>
      <c r="S321" s="1"/>
      <c r="T321" s="1">
        <f>SUM(OSRRefT22_23x_0)</f>
        <v>1760</v>
      </c>
      <c r="U321" s="1"/>
      <c r="V321" s="5">
        <f t="shared" si="143"/>
        <v>1.1783954452077944E-4</v>
      </c>
      <c r="W321" s="1"/>
      <c r="X321" s="1">
        <f t="shared" si="144"/>
        <v>-620.27</v>
      </c>
      <c r="Y321" s="1"/>
      <c r="Z321" s="5">
        <f t="shared" si="145"/>
        <v>-0.35242613636363634</v>
      </c>
    </row>
    <row r="322" spans="1:26" s="24" customFormat="1" hidden="1" outlineLevel="2" x14ac:dyDescent="0.25">
      <c r="A322" s="27"/>
      <c r="B322" s="11" t="str">
        <f>CONCATENATE("          ", "6292", " - ", "TRAVEL/CONFERENCE")</f>
        <v xml:space="preserve">          6292 - TRAVEL/CONFERENCE</v>
      </c>
      <c r="C322" s="11"/>
      <c r="D322" s="6"/>
      <c r="E322" s="2"/>
      <c r="F322" s="7">
        <f t="shared" si="138"/>
        <v>0</v>
      </c>
      <c r="G322" s="2"/>
      <c r="H322" s="6"/>
      <c r="I322" s="2"/>
      <c r="J322" s="7">
        <f t="shared" si="139"/>
        <v>0</v>
      </c>
      <c r="K322" s="2"/>
      <c r="L322" s="6">
        <f t="shared" si="140"/>
        <v>0</v>
      </c>
      <c r="M322" s="2"/>
      <c r="N322" s="7">
        <f t="shared" si="141"/>
        <v>0</v>
      </c>
      <c r="O322" s="11"/>
      <c r="P322" s="6">
        <v>326.60000000000002</v>
      </c>
      <c r="Q322" s="2"/>
      <c r="R322" s="7">
        <f t="shared" si="142"/>
        <v>2.6947420859915482E-5</v>
      </c>
      <c r="S322" s="2"/>
      <c r="T322" s="6"/>
      <c r="U322" s="2"/>
      <c r="V322" s="7">
        <f t="shared" si="143"/>
        <v>0</v>
      </c>
      <c r="W322" s="2"/>
      <c r="X322" s="6">
        <f t="shared" si="144"/>
        <v>326.60000000000002</v>
      </c>
      <c r="Y322" s="2"/>
      <c r="Z322" s="7">
        <f t="shared" si="145"/>
        <v>0</v>
      </c>
    </row>
    <row r="323" spans="1:26" s="24" customFormat="1" hidden="1" outlineLevel="2" x14ac:dyDescent="0.25">
      <c r="A323" s="27"/>
      <c r="B323" s="11" t="str">
        <f>CONCATENATE("          ", "6294", " - ", "TRAVEL OPERATIONAL")</f>
        <v xml:space="preserve">          6294 - TRAVEL OPERATIONAL</v>
      </c>
      <c r="C323" s="11"/>
      <c r="D323" s="6"/>
      <c r="E323" s="2"/>
      <c r="F323" s="7">
        <f t="shared" si="138"/>
        <v>0</v>
      </c>
      <c r="G323" s="2"/>
      <c r="H323" s="6">
        <v>125</v>
      </c>
      <c r="I323" s="2"/>
      <c r="J323" s="7">
        <f t="shared" si="139"/>
        <v>1.4325101745777942E-4</v>
      </c>
      <c r="K323" s="2"/>
      <c r="L323" s="6">
        <f t="shared" si="140"/>
        <v>-125</v>
      </c>
      <c r="M323" s="2"/>
      <c r="N323" s="7">
        <f t="shared" si="141"/>
        <v>-1</v>
      </c>
      <c r="O323" s="11"/>
      <c r="P323" s="6">
        <v>361.61</v>
      </c>
      <c r="Q323" s="2"/>
      <c r="R323" s="7">
        <f t="shared" si="142"/>
        <v>2.9836058962504709E-5</v>
      </c>
      <c r="S323" s="2"/>
      <c r="T323" s="6">
        <v>1210</v>
      </c>
      <c r="U323" s="2"/>
      <c r="V323" s="7">
        <f t="shared" si="143"/>
        <v>8.1014686858035868E-5</v>
      </c>
      <c r="W323" s="2"/>
      <c r="X323" s="6">
        <f t="shared" si="144"/>
        <v>-848.39</v>
      </c>
      <c r="Y323" s="2"/>
      <c r="Z323" s="7">
        <f t="shared" si="145"/>
        <v>-0.70114876033057849</v>
      </c>
    </row>
    <row r="324" spans="1:26" s="24" customFormat="1" hidden="1" outlineLevel="2" x14ac:dyDescent="0.25">
      <c r="A324" s="27"/>
      <c r="B324" s="11" t="str">
        <f>CONCATENATE("          ", "6298", " - ", "VEHICLE MILEAGE")</f>
        <v xml:space="preserve">          6298 - VEHICLE MILEAGE</v>
      </c>
      <c r="C324" s="11"/>
      <c r="D324" s="6"/>
      <c r="E324" s="2"/>
      <c r="F324" s="7">
        <f t="shared" si="138"/>
        <v>0</v>
      </c>
      <c r="G324" s="2"/>
      <c r="H324" s="6"/>
      <c r="I324" s="2"/>
      <c r="J324" s="7">
        <f t="shared" si="139"/>
        <v>0</v>
      </c>
      <c r="K324" s="2"/>
      <c r="L324" s="6">
        <f t="shared" si="140"/>
        <v>0</v>
      </c>
      <c r="M324" s="2"/>
      <c r="N324" s="7">
        <f t="shared" si="141"/>
        <v>0</v>
      </c>
      <c r="O324" s="11"/>
      <c r="P324" s="6">
        <v>451.52</v>
      </c>
      <c r="Q324" s="2"/>
      <c r="R324" s="7">
        <f t="shared" si="142"/>
        <v>3.7254438048588606E-5</v>
      </c>
      <c r="S324" s="2"/>
      <c r="T324" s="6">
        <v>550</v>
      </c>
      <c r="U324" s="2"/>
      <c r="V324" s="7">
        <f t="shared" si="143"/>
        <v>3.6824857662743578E-5</v>
      </c>
      <c r="W324" s="2"/>
      <c r="X324" s="6">
        <f t="shared" si="144"/>
        <v>-98.480000000000018</v>
      </c>
      <c r="Y324" s="2"/>
      <c r="Z324" s="7">
        <f t="shared" si="145"/>
        <v>-0.17905454545454549</v>
      </c>
    </row>
    <row r="325" spans="1:26" s="26" customFormat="1" outlineLevel="1" collapsed="1" x14ac:dyDescent="0.25">
      <c r="A325" s="25"/>
      <c r="B325" s="12" t="str">
        <f>CONCATENATE("     ","Utilities                                         ")</f>
        <v xml:space="preserve">     Utilities                                         </v>
      </c>
      <c r="C325" s="12"/>
      <c r="D325" s="1">
        <f>SUM(OSRRefD22_24x_0)</f>
        <v>6161.8</v>
      </c>
      <c r="E325" s="1"/>
      <c r="F325" s="5">
        <f t="shared" ref="F325:F326" si="146">IF(D$12=0,0,D325/D$12)</f>
        <v>9.3978004528721647E-3</v>
      </c>
      <c r="G325" s="1"/>
      <c r="H325" s="1">
        <f>SUM(OSRRefH22_24x_0)</f>
        <v>5105</v>
      </c>
      <c r="I325" s="1"/>
      <c r="J325" s="5">
        <f t="shared" ref="J325:J326" si="147">IF(H$12=0,0,H325/H$12)</f>
        <v>5.8503715529757113E-3</v>
      </c>
      <c r="K325" s="1"/>
      <c r="L325" s="1">
        <f t="shared" ref="L325:L326" si="148">+D325-H325</f>
        <v>1056.8000000000002</v>
      </c>
      <c r="M325" s="1"/>
      <c r="N325" s="5">
        <f t="shared" ref="N325:N326" si="149">IF(H325=0,0,L325/H325)</f>
        <v>0.20701273261508329</v>
      </c>
      <c r="O325" s="12"/>
      <c r="P325" s="1">
        <f>SUM(OSRRefP22_24x_0)</f>
        <v>71526.58</v>
      </c>
      <c r="Q325" s="1"/>
      <c r="R325" s="5">
        <f t="shared" ref="R325:R326" si="150">IF(P$12=0,0,P325/P$12)</f>
        <v>5.9015825288745057E-3</v>
      </c>
      <c r="S325" s="1"/>
      <c r="T325" s="1">
        <f>SUM(OSRRefT22_24x_0)</f>
        <v>64155.000000000007</v>
      </c>
      <c r="U325" s="1"/>
      <c r="V325" s="5">
        <f t="shared" ref="V325:V326" si="151">IF(T$12=0,0,T325/T$12)</f>
        <v>4.2954522606423896E-3</v>
      </c>
      <c r="W325" s="1"/>
      <c r="X325" s="1">
        <f t="shared" ref="X325:X326" si="152">+P325-T325</f>
        <v>7371.5799999999945</v>
      </c>
      <c r="Y325" s="1"/>
      <c r="Z325" s="5">
        <f t="shared" ref="Z325:Z326" si="153">IF(T325=0,0,X325/T325)</f>
        <v>0.11490265762606178</v>
      </c>
    </row>
    <row r="326" spans="1:26" s="24" customFormat="1" hidden="1" outlineLevel="2" x14ac:dyDescent="0.25">
      <c r="A326" s="27"/>
      <c r="B326" s="11" t="str">
        <f>CONCATENATE("          ", "6274", " - ", "UTILITIES")</f>
        <v xml:space="preserve">          6274 - UTILITIES</v>
      </c>
      <c r="C326" s="11"/>
      <c r="D326" s="6">
        <v>6161.8</v>
      </c>
      <c r="E326" s="2"/>
      <c r="F326" s="7">
        <f t="shared" si="146"/>
        <v>9.3978004528721647E-3</v>
      </c>
      <c r="G326" s="2"/>
      <c r="H326" s="6">
        <v>5105</v>
      </c>
      <c r="I326" s="2"/>
      <c r="J326" s="7">
        <f t="shared" si="147"/>
        <v>5.8503715529757113E-3</v>
      </c>
      <c r="K326" s="2"/>
      <c r="L326" s="6">
        <f t="shared" si="148"/>
        <v>1056.8000000000002</v>
      </c>
      <c r="M326" s="2"/>
      <c r="N326" s="7">
        <f t="shared" si="149"/>
        <v>0.20701273261508329</v>
      </c>
      <c r="O326" s="11"/>
      <c r="P326" s="6">
        <v>71526.58</v>
      </c>
      <c r="Q326" s="2"/>
      <c r="R326" s="7">
        <f t="shared" si="150"/>
        <v>5.9015825288745057E-3</v>
      </c>
      <c r="S326" s="2"/>
      <c r="T326" s="6">
        <v>64155.000000000007</v>
      </c>
      <c r="U326" s="2"/>
      <c r="V326" s="7">
        <f t="shared" si="151"/>
        <v>4.2954522606423896E-3</v>
      </c>
      <c r="W326" s="2"/>
      <c r="X326" s="6">
        <f t="shared" si="152"/>
        <v>7371.5799999999945</v>
      </c>
      <c r="Y326" s="2"/>
      <c r="Z326" s="7">
        <f t="shared" si="153"/>
        <v>0.11490265762606178</v>
      </c>
    </row>
    <row r="327" spans="1:26" s="60" customFormat="1" x14ac:dyDescent="0.25">
      <c r="A327" s="36"/>
      <c r="B327" s="36"/>
      <c r="C327" s="36"/>
      <c r="D327" s="1"/>
      <c r="E327" s="1"/>
      <c r="F327" s="5"/>
      <c r="G327" s="1"/>
      <c r="H327" s="1"/>
      <c r="I327" s="1"/>
      <c r="J327" s="5"/>
      <c r="K327" s="1"/>
      <c r="L327" s="1"/>
      <c r="M327" s="1"/>
      <c r="N327" s="5"/>
      <c r="O327" s="36"/>
      <c r="P327" s="1"/>
      <c r="Q327" s="1"/>
      <c r="R327" s="5"/>
      <c r="S327" s="1"/>
      <c r="T327" s="1"/>
      <c r="U327" s="1"/>
      <c r="V327" s="5"/>
      <c r="W327" s="1"/>
      <c r="X327" s="1"/>
      <c r="Y327" s="1"/>
      <c r="Z327" s="5"/>
    </row>
    <row r="328" spans="1:26" s="23" customFormat="1" collapsed="1" x14ac:dyDescent="0.25">
      <c r="A328" s="10"/>
      <c r="B328" s="28" t="s">
        <v>0</v>
      </c>
      <c r="C328" s="10"/>
      <c r="D328" s="4">
        <f>SUM(OSRRefD25x_0)</f>
        <v>38787.509999999995</v>
      </c>
      <c r="E328" s="4"/>
      <c r="F328" s="13">
        <f t="shared" ref="F328:F340" si="154">IF(D$12=0,0,D328/D$12)</f>
        <v>5.9157596650943479E-2</v>
      </c>
      <c r="G328" s="4"/>
      <c r="H328" s="4">
        <f>SUM(OSRRefH25x_0)</f>
        <v>75225</v>
      </c>
      <c r="I328" s="4"/>
      <c r="J328" s="13">
        <f t="shared" ref="J328:J340" si="155">IF(H$12=0,0,H328/H$12)</f>
        <v>8.6208462306091652E-2</v>
      </c>
      <c r="K328" s="4"/>
      <c r="L328" s="4">
        <f t="shared" ref="L328:L340" si="156">+D328-H328</f>
        <v>-36437.490000000005</v>
      </c>
      <c r="M328" s="4"/>
      <c r="N328" s="13">
        <f t="shared" ref="N328:N340" si="157">IF(H328=0,0,L328/H328)</f>
        <v>-0.48438005982053844</v>
      </c>
      <c r="O328" s="10"/>
      <c r="P328" s="4">
        <f>SUM(OSRRefP25x_0)</f>
        <v>1221255.24</v>
      </c>
      <c r="Q328" s="4"/>
      <c r="R328" s="13">
        <f t="shared" ref="R328:R340" si="158">IF(P$12=0,0,P328/P$12)</f>
        <v>0.10076447927022991</v>
      </c>
      <c r="S328" s="4"/>
      <c r="T328" s="4">
        <f>SUM(OSRRefT25x_0)</f>
        <v>920200</v>
      </c>
      <c r="U328" s="4"/>
      <c r="V328" s="13">
        <f t="shared" ref="V328:V340" si="159">IF(T$12=0,0,T328/T$12)</f>
        <v>6.1611334584102978E-2</v>
      </c>
      <c r="W328" s="4"/>
      <c r="X328" s="4">
        <f t="shared" ref="X328:X340" si="160">+P328-T328</f>
        <v>301055.24</v>
      </c>
      <c r="Y328" s="4"/>
      <c r="Z328" s="13">
        <f t="shared" ref="Z328:Z340" si="161">IF(T328=0,0,X328/T328)</f>
        <v>0.32716283416648556</v>
      </c>
    </row>
    <row r="329" spans="1:26" s="24" customFormat="1" hidden="1" outlineLevel="1" x14ac:dyDescent="0.25">
      <c r="A329" s="44"/>
      <c r="B329" s="11" t="str">
        <f>CONCATENATE("          ", "4098", " - ", "TAXABLE SALES-GRAD RENTALS")</f>
        <v xml:space="preserve">          4098 - TAXABLE SALES-GRAD RENTALS</v>
      </c>
      <c r="C329" s="11"/>
      <c r="D329" s="2">
        <f>0</f>
        <v>0</v>
      </c>
      <c r="E329" s="2"/>
      <c r="F329" s="19">
        <f t="shared" si="154"/>
        <v>0</v>
      </c>
      <c r="G329" s="2"/>
      <c r="H329" s="2"/>
      <c r="I329" s="2"/>
      <c r="J329" s="19">
        <f t="shared" si="155"/>
        <v>0</v>
      </c>
      <c r="K329" s="2"/>
      <c r="L329" s="2">
        <f t="shared" si="156"/>
        <v>0</v>
      </c>
      <c r="M329" s="2"/>
      <c r="N329" s="19">
        <f t="shared" si="157"/>
        <v>0</v>
      </c>
      <c r="O329" s="11"/>
      <c r="P329" s="2">
        <f>--1946.85</f>
        <v>1946.85</v>
      </c>
      <c r="Q329" s="2"/>
      <c r="R329" s="19">
        <f t="shared" si="158"/>
        <v>1.6063253613327145E-4</v>
      </c>
      <c r="S329" s="2"/>
      <c r="T329" s="2"/>
      <c r="U329" s="2"/>
      <c r="V329" s="19">
        <f t="shared" si="159"/>
        <v>0</v>
      </c>
      <c r="W329" s="2"/>
      <c r="X329" s="2">
        <f t="shared" si="160"/>
        <v>1946.85</v>
      </c>
      <c r="Y329" s="2"/>
      <c r="Z329" s="19">
        <f t="shared" si="161"/>
        <v>0</v>
      </c>
    </row>
    <row r="330" spans="1:26" s="24" customFormat="1" hidden="1" outlineLevel="1" x14ac:dyDescent="0.25">
      <c r="A330" s="44"/>
      <c r="B330" s="11" t="str">
        <f>CONCATENATE("          ", "4187", " - ", "NON-TAXABLE SALES-COMPUTER REP")</f>
        <v xml:space="preserve">          4187 - NON-TAXABLE SALES-COMPUTER REP</v>
      </c>
      <c r="C330" s="11"/>
      <c r="D330" s="2">
        <f>--166.52</f>
        <v>166.52</v>
      </c>
      <c r="E330" s="2"/>
      <c r="F330" s="19">
        <f t="shared" si="154"/>
        <v>2.5397152316080897E-4</v>
      </c>
      <c r="G330" s="2"/>
      <c r="H330" s="2"/>
      <c r="I330" s="2"/>
      <c r="J330" s="19">
        <f t="shared" si="155"/>
        <v>0</v>
      </c>
      <c r="K330" s="2"/>
      <c r="L330" s="2">
        <f t="shared" si="156"/>
        <v>166.52</v>
      </c>
      <c r="M330" s="2"/>
      <c r="N330" s="19">
        <f t="shared" si="157"/>
        <v>0</v>
      </c>
      <c r="O330" s="11"/>
      <c r="P330" s="2">
        <f>--16449.71</f>
        <v>16449.71</v>
      </c>
      <c r="Q330" s="2"/>
      <c r="R330" s="19">
        <f t="shared" si="158"/>
        <v>1.3572481885902028E-3</v>
      </c>
      <c r="S330" s="2"/>
      <c r="T330" s="2"/>
      <c r="U330" s="2"/>
      <c r="V330" s="19">
        <f t="shared" si="159"/>
        <v>0</v>
      </c>
      <c r="W330" s="2"/>
      <c r="X330" s="2">
        <f t="shared" si="160"/>
        <v>16449.71</v>
      </c>
      <c r="Y330" s="2"/>
      <c r="Z330" s="19">
        <f t="shared" si="161"/>
        <v>0</v>
      </c>
    </row>
    <row r="331" spans="1:26" s="24" customFormat="1" hidden="1" outlineLevel="1" x14ac:dyDescent="0.25">
      <c r="A331" s="44"/>
      <c r="B331" s="11" t="str">
        <f>CONCATENATE("          ", "4197", " - ", "NON-TAXABLE SALES-RETURNED CHE")</f>
        <v xml:space="preserve">          4197 - NON-TAXABLE SALES-RETURNED CHE</v>
      </c>
      <c r="C331" s="11"/>
      <c r="D331" s="2">
        <f t="shared" ref="D331:D334" si="162">0</f>
        <v>0</v>
      </c>
      <c r="E331" s="2"/>
      <c r="F331" s="19">
        <f t="shared" si="154"/>
        <v>0</v>
      </c>
      <c r="G331" s="2"/>
      <c r="H331" s="2"/>
      <c r="I331" s="2"/>
      <c r="J331" s="19">
        <f t="shared" si="155"/>
        <v>0</v>
      </c>
      <c r="K331" s="2"/>
      <c r="L331" s="2">
        <f t="shared" si="156"/>
        <v>0</v>
      </c>
      <c r="M331" s="2"/>
      <c r="N331" s="19">
        <f t="shared" si="157"/>
        <v>0</v>
      </c>
      <c r="O331" s="11"/>
      <c r="P331" s="2">
        <f>--30</f>
        <v>30</v>
      </c>
      <c r="Q331" s="2"/>
      <c r="R331" s="19">
        <f t="shared" si="158"/>
        <v>2.475268296991624E-6</v>
      </c>
      <c r="S331" s="2"/>
      <c r="T331" s="2"/>
      <c r="U331" s="2"/>
      <c r="V331" s="19">
        <f t="shared" si="159"/>
        <v>0</v>
      </c>
      <c r="W331" s="2"/>
      <c r="X331" s="2">
        <f t="shared" si="160"/>
        <v>30</v>
      </c>
      <c r="Y331" s="2"/>
      <c r="Z331" s="19">
        <f t="shared" si="161"/>
        <v>0</v>
      </c>
    </row>
    <row r="332" spans="1:26" s="24" customFormat="1" hidden="1" outlineLevel="1" x14ac:dyDescent="0.25">
      <c r="A332" s="44"/>
      <c r="B332" s="11" t="str">
        <f>CONCATENATE("          ", "4198", " - ", "NON-TAXABLE SALES-GRAD RENTALS")</f>
        <v xml:space="preserve">          4198 - NON-TAXABLE SALES-GRAD RENTALS</v>
      </c>
      <c r="C332" s="11"/>
      <c r="D332" s="2">
        <f t="shared" si="162"/>
        <v>0</v>
      </c>
      <c r="E332" s="2"/>
      <c r="F332" s="19">
        <f t="shared" si="154"/>
        <v>0</v>
      </c>
      <c r="G332" s="2"/>
      <c r="H332" s="2"/>
      <c r="I332" s="2"/>
      <c r="J332" s="19">
        <f t="shared" si="155"/>
        <v>0</v>
      </c>
      <c r="K332" s="2"/>
      <c r="L332" s="2">
        <f t="shared" si="156"/>
        <v>0</v>
      </c>
      <c r="M332" s="2"/>
      <c r="N332" s="19">
        <f t="shared" si="157"/>
        <v>0</v>
      </c>
      <c r="O332" s="11"/>
      <c r="P332" s="2">
        <f>--163.76</f>
        <v>163.76</v>
      </c>
      <c r="Q332" s="2"/>
      <c r="R332" s="19">
        <f t="shared" si="158"/>
        <v>1.3511664543844945E-5</v>
      </c>
      <c r="S332" s="2"/>
      <c r="T332" s="2"/>
      <c r="U332" s="2"/>
      <c r="V332" s="19">
        <f t="shared" si="159"/>
        <v>0</v>
      </c>
      <c r="W332" s="2"/>
      <c r="X332" s="2">
        <f t="shared" si="160"/>
        <v>163.76</v>
      </c>
      <c r="Y332" s="2"/>
      <c r="Z332" s="19">
        <f t="shared" si="161"/>
        <v>0</v>
      </c>
    </row>
    <row r="333" spans="1:26" s="24" customFormat="1" hidden="1" outlineLevel="1" x14ac:dyDescent="0.25">
      <c r="A333" s="44"/>
      <c r="B333" s="11" t="str">
        <f>CONCATENATE("          ", "4387", " - ", "SALES RETURN NON TAXABLE-COMPU")</f>
        <v xml:space="preserve">          4387 - SALES RETURN NON TAXABLE-COMPU</v>
      </c>
      <c r="C333" s="11"/>
      <c r="D333" s="2">
        <f t="shared" si="162"/>
        <v>0</v>
      </c>
      <c r="E333" s="2"/>
      <c r="F333" s="19">
        <f t="shared" si="154"/>
        <v>0</v>
      </c>
      <c r="G333" s="2"/>
      <c r="H333" s="2"/>
      <c r="I333" s="2"/>
      <c r="J333" s="19">
        <f t="shared" si="155"/>
        <v>0</v>
      </c>
      <c r="K333" s="2"/>
      <c r="L333" s="2">
        <f t="shared" si="156"/>
        <v>0</v>
      </c>
      <c r="M333" s="2"/>
      <c r="N333" s="19">
        <f t="shared" si="157"/>
        <v>0</v>
      </c>
      <c r="O333" s="11"/>
      <c r="P333" s="2">
        <f>-7889</f>
        <v>-7889</v>
      </c>
      <c r="Q333" s="2"/>
      <c r="R333" s="19">
        <f t="shared" si="158"/>
        <v>-6.5091305316556411E-4</v>
      </c>
      <c r="S333" s="2"/>
      <c r="T333" s="2"/>
      <c r="U333" s="2"/>
      <c r="V333" s="19">
        <f t="shared" si="159"/>
        <v>0</v>
      </c>
      <c r="W333" s="2"/>
      <c r="X333" s="2">
        <f t="shared" si="160"/>
        <v>-7889</v>
      </c>
      <c r="Y333" s="2"/>
      <c r="Z333" s="19">
        <f t="shared" si="161"/>
        <v>0</v>
      </c>
    </row>
    <row r="334" spans="1:26" s="24" customFormat="1" hidden="1" outlineLevel="1" x14ac:dyDescent="0.25">
      <c r="A334" s="44"/>
      <c r="B334" s="11" t="str">
        <f>CONCATENATE("          ", "5087", " - ", "PURCHASES @ COST-COMPUTER REPA")</f>
        <v xml:space="preserve">          5087 - PURCHASES @ COST-COMPUTER REPA</v>
      </c>
      <c r="C334" s="11"/>
      <c r="D334" s="2">
        <f t="shared" si="162"/>
        <v>0</v>
      </c>
      <c r="E334" s="2"/>
      <c r="F334" s="19">
        <f t="shared" si="154"/>
        <v>0</v>
      </c>
      <c r="G334" s="2"/>
      <c r="H334" s="2"/>
      <c r="I334" s="2"/>
      <c r="J334" s="19">
        <f t="shared" si="155"/>
        <v>0</v>
      </c>
      <c r="K334" s="2"/>
      <c r="L334" s="2">
        <f t="shared" si="156"/>
        <v>0</v>
      </c>
      <c r="M334" s="2"/>
      <c r="N334" s="19">
        <f t="shared" si="157"/>
        <v>0</v>
      </c>
      <c r="O334" s="11"/>
      <c r="P334" s="2">
        <f>-72.06</f>
        <v>-72.06</v>
      </c>
      <c r="Q334" s="2"/>
      <c r="R334" s="19">
        <f t="shared" si="158"/>
        <v>-5.9455944493738812E-6</v>
      </c>
      <c r="S334" s="2"/>
      <c r="T334" s="2"/>
      <c r="U334" s="2"/>
      <c r="V334" s="19">
        <f t="shared" si="159"/>
        <v>0</v>
      </c>
      <c r="W334" s="2"/>
      <c r="X334" s="2">
        <f t="shared" si="160"/>
        <v>-72.06</v>
      </c>
      <c r="Y334" s="2"/>
      <c r="Z334" s="19">
        <f t="shared" si="161"/>
        <v>0</v>
      </c>
    </row>
    <row r="335" spans="1:26" s="24" customFormat="1" hidden="1" outlineLevel="1" x14ac:dyDescent="0.25">
      <c r="A335" s="44"/>
      <c r="B335" s="11" t="str">
        <f>CONCATENATE("          ", "9150", " - ", "MISC. INCOME")</f>
        <v xml:space="preserve">          9150 - MISC. INCOME</v>
      </c>
      <c r="C335" s="11"/>
      <c r="D335" s="2">
        <f>--56556.35</f>
        <v>56556.35</v>
      </c>
      <c r="E335" s="2"/>
      <c r="F335" s="19">
        <f t="shared" si="154"/>
        <v>8.6258121270212693E-2</v>
      </c>
      <c r="G335" s="2"/>
      <c r="H335" s="2">
        <v>30575</v>
      </c>
      <c r="I335" s="2"/>
      <c r="J335" s="19">
        <f t="shared" si="155"/>
        <v>3.5039198870172844E-2</v>
      </c>
      <c r="K335" s="2"/>
      <c r="L335" s="2">
        <f t="shared" si="156"/>
        <v>25981.35</v>
      </c>
      <c r="M335" s="2"/>
      <c r="N335" s="19">
        <f t="shared" si="157"/>
        <v>0.84975797219950933</v>
      </c>
      <c r="O335" s="11"/>
      <c r="P335" s="2">
        <f>--537634.91</f>
        <v>537634.91</v>
      </c>
      <c r="Q335" s="2"/>
      <c r="R335" s="19">
        <f t="shared" si="158"/>
        <v>4.4359688269298175E-2</v>
      </c>
      <c r="S335" s="2"/>
      <c r="T335" s="2">
        <v>385900</v>
      </c>
      <c r="U335" s="2"/>
      <c r="V335" s="19">
        <f t="shared" si="159"/>
        <v>2.5837659221914083E-2</v>
      </c>
      <c r="W335" s="2"/>
      <c r="X335" s="2">
        <f t="shared" si="160"/>
        <v>151734.91000000003</v>
      </c>
      <c r="Y335" s="2"/>
      <c r="Z335" s="19">
        <f t="shared" si="161"/>
        <v>0.39319748639543933</v>
      </c>
    </row>
    <row r="336" spans="1:26" s="24" customFormat="1" hidden="1" outlineLevel="1" x14ac:dyDescent="0.25">
      <c r="A336" s="44"/>
      <c r="B336" s="11" t="str">
        <f>CONCATENATE("          ", "9151", " - ", "MISC. INCOME")</f>
        <v xml:space="preserve">          9151 - MISC. INCOME</v>
      </c>
      <c r="C336" s="11"/>
      <c r="D336" s="2">
        <f>-18698.07</f>
        <v>-18698.07</v>
      </c>
      <c r="E336" s="2"/>
      <c r="F336" s="19">
        <f t="shared" si="154"/>
        <v>-2.8517759536796947E-2</v>
      </c>
      <c r="G336" s="2"/>
      <c r="H336" s="2">
        <v>12850</v>
      </c>
      <c r="I336" s="2"/>
      <c r="J336" s="19">
        <f t="shared" si="155"/>
        <v>1.4726204594659724E-2</v>
      </c>
      <c r="K336" s="2"/>
      <c r="L336" s="2">
        <f t="shared" si="156"/>
        <v>-31548.07</v>
      </c>
      <c r="M336" s="2"/>
      <c r="N336" s="19">
        <f t="shared" si="157"/>
        <v>-2.4551027237354086</v>
      </c>
      <c r="O336" s="11"/>
      <c r="P336" s="2">
        <f>--150694.63</f>
        <v>150694.63</v>
      </c>
      <c r="Q336" s="2"/>
      <c r="R336" s="19">
        <f t="shared" si="158"/>
        <v>1.2433654672196098E-2</v>
      </c>
      <c r="S336" s="2"/>
      <c r="T336" s="2">
        <v>141950</v>
      </c>
      <c r="U336" s="2"/>
      <c r="V336" s="19">
        <f t="shared" si="159"/>
        <v>9.5041609913208199E-3</v>
      </c>
      <c r="W336" s="2"/>
      <c r="X336" s="2">
        <f t="shared" si="160"/>
        <v>8744.6300000000047</v>
      </c>
      <c r="Y336" s="2"/>
      <c r="Z336" s="19">
        <f t="shared" si="161"/>
        <v>6.1603592814371291E-2</v>
      </c>
    </row>
    <row r="337" spans="1:26" s="24" customFormat="1" hidden="1" outlineLevel="1" x14ac:dyDescent="0.25">
      <c r="A337" s="44"/>
      <c r="B337" s="11" t="str">
        <f>CONCATENATE("          ", "9152", " - ", "MISC. INCOME")</f>
        <v xml:space="preserve">          9152 - MISC. INCOME</v>
      </c>
      <c r="C337" s="11"/>
      <c r="D337" s="2">
        <f>--762.71</f>
        <v>762.71</v>
      </c>
      <c r="E337" s="2"/>
      <c r="F337" s="19">
        <f t="shared" si="154"/>
        <v>1.1632633943669266E-3</v>
      </c>
      <c r="G337" s="2"/>
      <c r="H337" s="2"/>
      <c r="I337" s="2"/>
      <c r="J337" s="19">
        <f t="shared" si="155"/>
        <v>0</v>
      </c>
      <c r="K337" s="2"/>
      <c r="L337" s="2">
        <f t="shared" si="156"/>
        <v>762.71</v>
      </c>
      <c r="M337" s="2"/>
      <c r="N337" s="19">
        <f t="shared" si="157"/>
        <v>0</v>
      </c>
      <c r="O337" s="11"/>
      <c r="P337" s="2">
        <f>--10637.6</f>
        <v>10637.6</v>
      </c>
      <c r="Q337" s="2"/>
      <c r="R337" s="19">
        <f t="shared" si="158"/>
        <v>8.7769713453593674E-4</v>
      </c>
      <c r="S337" s="2"/>
      <c r="T337" s="2"/>
      <c r="U337" s="2"/>
      <c r="V337" s="19">
        <f t="shared" si="159"/>
        <v>0</v>
      </c>
      <c r="W337" s="2"/>
      <c r="X337" s="2">
        <f t="shared" si="160"/>
        <v>10637.6</v>
      </c>
      <c r="Y337" s="2"/>
      <c r="Z337" s="19">
        <f t="shared" si="161"/>
        <v>0</v>
      </c>
    </row>
    <row r="338" spans="1:26" s="24" customFormat="1" hidden="1" outlineLevel="1" x14ac:dyDescent="0.25">
      <c r="A338" s="44"/>
      <c r="B338" s="11" t="str">
        <f>CONCATENATE("          ", "9153", " - ", "MISC. INCOME")</f>
        <v xml:space="preserve">          9153 - MISC. INCOME</v>
      </c>
      <c r="C338" s="11"/>
      <c r="D338" s="2">
        <f t="shared" ref="D338:D340" si="163">0</f>
        <v>0</v>
      </c>
      <c r="E338" s="2"/>
      <c r="F338" s="19">
        <f t="shared" si="154"/>
        <v>0</v>
      </c>
      <c r="G338" s="2"/>
      <c r="H338" s="2"/>
      <c r="I338" s="2"/>
      <c r="J338" s="19">
        <f t="shared" si="155"/>
        <v>0</v>
      </c>
      <c r="K338" s="2"/>
      <c r="L338" s="2">
        <f t="shared" si="156"/>
        <v>0</v>
      </c>
      <c r="M338" s="2"/>
      <c r="N338" s="19">
        <f t="shared" si="157"/>
        <v>0</v>
      </c>
      <c r="O338" s="11"/>
      <c r="P338" s="2">
        <f>--450</f>
        <v>450</v>
      </c>
      <c r="Q338" s="2"/>
      <c r="R338" s="19">
        <f t="shared" si="158"/>
        <v>3.7129024454874361E-5</v>
      </c>
      <c r="S338" s="2"/>
      <c r="T338" s="2"/>
      <c r="U338" s="2"/>
      <c r="V338" s="19">
        <f t="shared" si="159"/>
        <v>0</v>
      </c>
      <c r="W338" s="2"/>
      <c r="X338" s="2">
        <f t="shared" si="160"/>
        <v>450</v>
      </c>
      <c r="Y338" s="2"/>
      <c r="Z338" s="19">
        <f t="shared" si="161"/>
        <v>0</v>
      </c>
    </row>
    <row r="339" spans="1:26" s="24" customFormat="1" hidden="1" outlineLevel="1" x14ac:dyDescent="0.25">
      <c r="A339" s="44"/>
      <c r="B339" s="11" t="str">
        <f>CONCATENATE("          ", "9160", " - ", "MISC. INCOME")</f>
        <v xml:space="preserve">          9160 - MISC. INCOME</v>
      </c>
      <c r="C339" s="11"/>
      <c r="D339" s="2">
        <f t="shared" si="163"/>
        <v>0</v>
      </c>
      <c r="E339" s="2"/>
      <c r="F339" s="19">
        <f t="shared" si="154"/>
        <v>0</v>
      </c>
      <c r="G339" s="2"/>
      <c r="H339" s="2">
        <v>31800</v>
      </c>
      <c r="I339" s="2"/>
      <c r="J339" s="19">
        <f t="shared" si="155"/>
        <v>3.6443058841259084E-2</v>
      </c>
      <c r="K339" s="2"/>
      <c r="L339" s="2">
        <f t="shared" si="156"/>
        <v>-31800</v>
      </c>
      <c r="M339" s="2"/>
      <c r="N339" s="19">
        <f t="shared" si="157"/>
        <v>-1</v>
      </c>
      <c r="O339" s="11"/>
      <c r="P339" s="2">
        <f>--22475</f>
        <v>22475</v>
      </c>
      <c r="Q339" s="2"/>
      <c r="R339" s="19">
        <f t="shared" si="158"/>
        <v>1.8543884991628918E-3</v>
      </c>
      <c r="S339" s="2"/>
      <c r="T339" s="2">
        <v>392350</v>
      </c>
      <c r="U339" s="2"/>
      <c r="V339" s="19">
        <f t="shared" si="159"/>
        <v>2.6269514370868077E-2</v>
      </c>
      <c r="W339" s="2"/>
      <c r="X339" s="2">
        <f t="shared" si="160"/>
        <v>-369875</v>
      </c>
      <c r="Y339" s="2"/>
      <c r="Z339" s="19">
        <f t="shared" si="161"/>
        <v>-0.94271696189626608</v>
      </c>
    </row>
    <row r="340" spans="1:26" s="24" customFormat="1" hidden="1" outlineLevel="1" x14ac:dyDescent="0.25">
      <c r="A340" s="44"/>
      <c r="B340" s="11" t="str">
        <f>CONCATENATE("          ", "9163", " - ", "MISC. INCOME")</f>
        <v xml:space="preserve">          9163 - MISC. INCOME</v>
      </c>
      <c r="C340" s="11"/>
      <c r="D340" s="2">
        <f t="shared" si="163"/>
        <v>0</v>
      </c>
      <c r="E340" s="2"/>
      <c r="F340" s="19">
        <f t="shared" si="154"/>
        <v>0</v>
      </c>
      <c r="G340" s="2"/>
      <c r="H340" s="2"/>
      <c r="I340" s="2"/>
      <c r="J340" s="19">
        <f t="shared" si="155"/>
        <v>0</v>
      </c>
      <c r="K340" s="2"/>
      <c r="L340" s="2">
        <f t="shared" si="156"/>
        <v>0</v>
      </c>
      <c r="M340" s="2"/>
      <c r="N340" s="19">
        <f t="shared" si="157"/>
        <v>0</v>
      </c>
      <c r="O340" s="11"/>
      <c r="P340" s="2">
        <f>--488733.84</f>
        <v>488733.84</v>
      </c>
      <c r="Q340" s="2"/>
      <c r="R340" s="19">
        <f t="shared" si="158"/>
        <v>4.0324912660632567E-2</v>
      </c>
      <c r="S340" s="2"/>
      <c r="T340" s="2"/>
      <c r="U340" s="2"/>
      <c r="V340" s="19">
        <f t="shared" si="159"/>
        <v>0</v>
      </c>
      <c r="W340" s="2"/>
      <c r="X340" s="2">
        <f t="shared" si="160"/>
        <v>488733.84</v>
      </c>
      <c r="Y340" s="2"/>
      <c r="Z340" s="19">
        <f t="shared" si="161"/>
        <v>0</v>
      </c>
    </row>
    <row r="341" spans="1:26" x14ac:dyDescent="0.25">
      <c r="A341" s="9"/>
      <c r="B341" s="10"/>
      <c r="C341" s="10"/>
      <c r="D341" s="3"/>
      <c r="E341" s="3"/>
      <c r="F341" s="8"/>
      <c r="G341" s="3"/>
      <c r="H341" s="3"/>
      <c r="I341" s="3"/>
      <c r="J341" s="8"/>
      <c r="K341" s="3"/>
      <c r="L341" s="3"/>
      <c r="M341" s="3"/>
      <c r="N341" s="8"/>
      <c r="O341" s="10"/>
      <c r="P341" s="3"/>
      <c r="Q341" s="3"/>
      <c r="R341" s="8"/>
      <c r="S341" s="3"/>
      <c r="T341" s="3"/>
      <c r="U341" s="3"/>
      <c r="V341" s="8"/>
      <c r="W341" s="3"/>
      <c r="X341" s="3"/>
      <c r="Y341" s="3"/>
      <c r="Z341" s="8"/>
    </row>
    <row r="342" spans="1:26" s="23" customFormat="1" x14ac:dyDescent="0.25">
      <c r="A342" s="10"/>
      <c r="B342" s="29" t="s">
        <v>3</v>
      </c>
      <c r="C342" s="29"/>
      <c r="D342" s="22">
        <f>+D193-D195+D328</f>
        <v>-156790.56000000023</v>
      </c>
      <c r="E342" s="14"/>
      <c r="F342" s="20">
        <f>IF(D$12=0,0,D342/D$12)</f>
        <v>-0.2391324606079526</v>
      </c>
      <c r="G342" s="14"/>
      <c r="H342" s="22">
        <f>+H193-H195+H328</f>
        <v>-81083.485625807079</v>
      </c>
      <c r="I342" s="14"/>
      <c r="J342" s="20">
        <f>IF(H$12=0,0,H342/H$12)</f>
        <v>-9.2922334519360772E-2</v>
      </c>
      <c r="K342" s="15"/>
      <c r="L342" s="22">
        <f>+D342-H342</f>
        <v>-75707.074374193151</v>
      </c>
      <c r="M342" s="15"/>
      <c r="N342" s="20">
        <f>IF(H342=0,0,L342/H342)</f>
        <v>0.93369289430371094</v>
      </c>
      <c r="O342" s="28"/>
      <c r="P342" s="22">
        <f>+P193-P195+P328</f>
        <v>1014422.7300000002</v>
      </c>
      <c r="Q342" s="14"/>
      <c r="R342" s="20">
        <f>IF(P$12=0,0,P342/P$12)</f>
        <v>8.3698947443889823E-2</v>
      </c>
      <c r="S342" s="14"/>
      <c r="T342" s="22">
        <f>+T193-T195+T328</f>
        <v>1720964.5697307605</v>
      </c>
      <c r="U342" s="14"/>
      <c r="V342" s="20">
        <f>IF(T$12=0,0,T342/T$12)</f>
        <v>0.11522595513265455</v>
      </c>
      <c r="W342" s="15"/>
      <c r="X342" s="22">
        <f>+P342-T342</f>
        <v>-706541.83973076032</v>
      </c>
      <c r="Y342" s="15"/>
      <c r="Z342" s="20">
        <f>IF(T342=0,0,X342/T342)</f>
        <v>-0.41054990448832807</v>
      </c>
    </row>
    <row r="343" spans="1:26" x14ac:dyDescent="0.25">
      <c r="A343" s="9"/>
      <c r="B343" s="10"/>
      <c r="C343" s="9"/>
      <c r="D343" s="3"/>
      <c r="E343" s="3"/>
      <c r="F343" s="8"/>
      <c r="G343" s="3"/>
      <c r="H343" s="3"/>
      <c r="I343" s="3"/>
      <c r="J343" s="8"/>
      <c r="K343" s="3"/>
      <c r="L343" s="3"/>
      <c r="M343" s="3"/>
      <c r="N343" s="8"/>
      <c r="P343" s="3"/>
      <c r="Q343" s="3"/>
      <c r="R343" s="8"/>
      <c r="S343" s="3"/>
      <c r="T343" s="3"/>
      <c r="U343" s="3"/>
      <c r="V343" s="8"/>
      <c r="W343" s="3"/>
      <c r="X343" s="3"/>
      <c r="Y343" s="3"/>
      <c r="Z343" s="8"/>
    </row>
    <row r="344" spans="1:26" s="23" customFormat="1" x14ac:dyDescent="0.25">
      <c r="A344" s="52"/>
      <c r="B344" s="10" t="s">
        <v>14</v>
      </c>
      <c r="C344" s="10"/>
      <c r="D344" s="4">
        <v>477821.00999999995</v>
      </c>
      <c r="E344" s="4"/>
      <c r="F344" s="13">
        <f>IF(D$12=0,0,D344/D$12)</f>
        <v>0.72875888606735606</v>
      </c>
      <c r="G344" s="4"/>
      <c r="H344" s="4">
        <v>303375</v>
      </c>
      <c r="I344" s="4"/>
      <c r="J344" s="13">
        <f>IF(H$12=0,0,H344/H$12)</f>
        <v>0.34767021937003068</v>
      </c>
      <c r="K344" s="4"/>
      <c r="L344" s="4">
        <f>+D344-H344</f>
        <v>174446.00999999995</v>
      </c>
      <c r="M344" s="4"/>
      <c r="N344" s="13">
        <f>IF(H344=0,0,L344/H344)</f>
        <v>0.57501775030902336</v>
      </c>
      <c r="O344" s="10"/>
      <c r="P344" s="4">
        <v>1835422.21</v>
      </c>
      <c r="Q344" s="4"/>
      <c r="R344" s="13">
        <f>IF(P$12=0,0,P344/P$12)</f>
        <v>0.15143874693357676</v>
      </c>
      <c r="S344" s="4"/>
      <c r="T344" s="4">
        <v>1932225</v>
      </c>
      <c r="U344" s="4"/>
      <c r="V344" s="13">
        <f>IF(T$12=0,0,T344/T$12)</f>
        <v>0.12937074654071765</v>
      </c>
      <c r="W344" s="4"/>
      <c r="X344" s="4">
        <f>+P344-T344</f>
        <v>-96802.790000000037</v>
      </c>
      <c r="Y344" s="4"/>
      <c r="Z344" s="13">
        <f>IF(T344=0,0,X344/T344)</f>
        <v>-5.0099129242194895E-2</v>
      </c>
    </row>
    <row r="345" spans="1:26" x14ac:dyDescent="0.25">
      <c r="A345" s="9"/>
      <c r="B345" s="10"/>
      <c r="C345" s="10"/>
      <c r="D345" s="3"/>
      <c r="E345" s="3"/>
      <c r="F345" s="8"/>
      <c r="G345" s="3"/>
      <c r="H345" s="3"/>
      <c r="I345" s="3"/>
      <c r="J345" s="8"/>
      <c r="K345" s="3"/>
      <c r="L345" s="3"/>
      <c r="M345" s="3"/>
      <c r="N345" s="8"/>
      <c r="O345" s="10"/>
      <c r="P345" s="3"/>
      <c r="Q345" s="3"/>
      <c r="R345" s="8"/>
      <c r="S345" s="3"/>
      <c r="T345" s="3"/>
      <c r="U345" s="3"/>
      <c r="V345" s="8"/>
      <c r="W345" s="3"/>
      <c r="X345" s="3"/>
      <c r="Y345" s="3"/>
      <c r="Z345" s="8"/>
    </row>
    <row r="346" spans="1:26" s="23" customFormat="1" ht="15.75" thickBot="1" x14ac:dyDescent="0.3">
      <c r="A346" s="10"/>
      <c r="B346" s="29" t="s">
        <v>4</v>
      </c>
      <c r="C346" s="29"/>
      <c r="D346" s="31">
        <f>+D342-D344</f>
        <v>-634611.57000000018</v>
      </c>
      <c r="E346" s="14"/>
      <c r="F346" s="33">
        <f>IF(D$12=0,0,D346/D$12)</f>
        <v>-0.96789134667530863</v>
      </c>
      <c r="G346" s="14"/>
      <c r="H346" s="31">
        <f>+H342-H344</f>
        <v>-384458.48562580708</v>
      </c>
      <c r="I346" s="14"/>
      <c r="J346" s="33">
        <f>IF(H$12=0,0,H346/H$12)</f>
        <v>-0.44059255388939145</v>
      </c>
      <c r="K346" s="15"/>
      <c r="L346" s="31">
        <f>D346-H346</f>
        <v>-250153.0843741931</v>
      </c>
      <c r="M346" s="15"/>
      <c r="N346" s="33">
        <f>IF(H346=0,0,L346/H346)</f>
        <v>0.65066344931105713</v>
      </c>
      <c r="O346" s="28"/>
      <c r="P346" s="31">
        <f>+P342-P344</f>
        <v>-820999.47999999975</v>
      </c>
      <c r="Q346" s="14"/>
      <c r="R346" s="33">
        <f>IF(P$12=0,0,P346/P$12)</f>
        <v>-6.7739799489686947E-2</v>
      </c>
      <c r="S346" s="14"/>
      <c r="T346" s="31">
        <f>+T342-T344</f>
        <v>-211260.43026923947</v>
      </c>
      <c r="U346" s="14"/>
      <c r="V346" s="33">
        <f>IF(T$12=0,0,T346/T$12)</f>
        <v>-1.4144791408063106E-2</v>
      </c>
      <c r="W346" s="15"/>
      <c r="X346" s="31">
        <f>P346-T346</f>
        <v>-609739.04973076028</v>
      </c>
      <c r="Y346" s="15"/>
      <c r="Z346" s="33">
        <f>IF(T346=0,0,X346/T346)</f>
        <v>2.8861961937390848</v>
      </c>
    </row>
    <row r="347" spans="1:26" ht="15.75" thickTop="1" x14ac:dyDescent="0.25">
      <c r="A347" s="9"/>
      <c r="B347" s="9"/>
      <c r="C347" s="9"/>
      <c r="D347" s="3"/>
      <c r="E347" s="3"/>
      <c r="F347" s="8"/>
      <c r="G347" s="3"/>
      <c r="H347" s="3"/>
      <c r="I347" s="3"/>
      <c r="J347" s="8"/>
      <c r="K347" s="3"/>
      <c r="L347" s="3"/>
      <c r="M347" s="3"/>
      <c r="N347" s="8"/>
      <c r="P347" s="3"/>
      <c r="Q347" s="3"/>
      <c r="R347" s="8"/>
      <c r="S347" s="3"/>
      <c r="T347" s="3"/>
      <c r="U347" s="3"/>
      <c r="V347" s="8"/>
      <c r="W347" s="3"/>
      <c r="X347" s="3"/>
      <c r="Y347" s="3"/>
      <c r="Z347" s="8"/>
    </row>
    <row r="348" spans="1:26" x14ac:dyDescent="0.25">
      <c r="A348" s="9"/>
      <c r="B348" s="9"/>
      <c r="C348" s="9"/>
      <c r="D348" s="3"/>
      <c r="E348" s="3"/>
      <c r="F348" s="8"/>
      <c r="G348" s="3"/>
      <c r="H348" s="3"/>
      <c r="I348" s="3"/>
      <c r="J348" s="8"/>
      <c r="K348" s="3"/>
      <c r="L348" s="3"/>
      <c r="M348" s="3"/>
      <c r="N348" s="8"/>
      <c r="P348" s="3"/>
      <c r="Q348" s="3"/>
      <c r="R348" s="8"/>
      <c r="S348" s="3"/>
      <c r="T348" s="3"/>
      <c r="U348" s="3"/>
      <c r="V348" s="8"/>
      <c r="W348" s="3"/>
      <c r="X348" s="3"/>
      <c r="Y348" s="3"/>
      <c r="Z348" s="8"/>
    </row>
    <row r="349" spans="1:26" s="23" customFormat="1" ht="15.75" thickBot="1" x14ac:dyDescent="0.3">
      <c r="A349" s="10"/>
      <c r="B349" s="29" t="s">
        <v>5</v>
      </c>
      <c r="C349" s="29"/>
      <c r="D349" s="34">
        <f>SUM(D346:D348)</f>
        <v>-634611.57000000018</v>
      </c>
      <c r="E349" s="14"/>
      <c r="F349" s="35">
        <f>IF(D$12=0,0,D349/D$12)</f>
        <v>-0.96789134667530863</v>
      </c>
      <c r="G349" s="14"/>
      <c r="H349" s="34">
        <f>SUM(H346:H348)</f>
        <v>-384458.48562580708</v>
      </c>
      <c r="I349" s="14"/>
      <c r="J349" s="35">
        <f>IF(H$12=0,0,H349/H$12)</f>
        <v>-0.44059255388939145</v>
      </c>
      <c r="K349" s="15"/>
      <c r="L349" s="34">
        <f>+D349-H349</f>
        <v>-250153.0843741931</v>
      </c>
      <c r="M349" s="15"/>
      <c r="N349" s="35">
        <f>IF(H349=0,0,L349/H349)</f>
        <v>0.65066344931105713</v>
      </c>
      <c r="O349" s="28"/>
      <c r="P349" s="34">
        <f>SUM(P346:P348)</f>
        <v>-820999.47999999975</v>
      </c>
      <c r="Q349" s="14"/>
      <c r="R349" s="35">
        <f>IF(P$12=0,0,P349/P$12)</f>
        <v>-6.7739799489686947E-2</v>
      </c>
      <c r="S349" s="14"/>
      <c r="T349" s="34">
        <f>SUM(T346:T348)</f>
        <v>-211260.43026923947</v>
      </c>
      <c r="U349" s="14"/>
      <c r="V349" s="35">
        <f>IF(T$12=0,0,T349/T$12)</f>
        <v>-1.4144791408063106E-2</v>
      </c>
      <c r="W349" s="15"/>
      <c r="X349" s="34">
        <f>+P349-T349</f>
        <v>-609739.04973076028</v>
      </c>
      <c r="Y349" s="15"/>
      <c r="Z349" s="35">
        <f>IF(T349=0,0,X349/T349)</f>
        <v>2.8861961937390848</v>
      </c>
    </row>
    <row r="350" spans="1:26" ht="15.75" thickTop="1" x14ac:dyDescent="0.25">
      <c r="A350" s="9"/>
      <c r="C350" s="9"/>
      <c r="D350" s="17"/>
      <c r="E350" s="17"/>
      <c r="G350" s="17"/>
      <c r="H350" s="17"/>
      <c r="I350" s="17"/>
      <c r="J350" s="43"/>
      <c r="K350" s="17"/>
      <c r="L350" s="17"/>
      <c r="M350" s="17"/>
      <c r="P350" s="17"/>
      <c r="Q350" s="17"/>
      <c r="R350" s="43"/>
      <c r="S350" s="17"/>
      <c r="T350" s="17"/>
      <c r="U350" s="17"/>
      <c r="V350" s="43"/>
      <c r="W350" s="17"/>
      <c r="X350" s="17"/>
    </row>
    <row r="351" spans="1:26" x14ac:dyDescent="0.25">
      <c r="A351" s="9"/>
      <c r="B351" s="55">
        <v>44043.472892048609</v>
      </c>
      <c r="D351" s="17"/>
      <c r="E351" s="17"/>
      <c r="G351" s="17"/>
      <c r="H351" s="17"/>
      <c r="I351" s="17"/>
      <c r="J351" s="43"/>
      <c r="K351" s="17"/>
      <c r="L351" s="17"/>
      <c r="M351" s="17"/>
      <c r="P351" s="17"/>
      <c r="Q351" s="17"/>
      <c r="R351" s="43"/>
      <c r="S351" s="17"/>
      <c r="T351" s="17"/>
      <c r="U351" s="17"/>
      <c r="V351" s="43"/>
      <c r="W351" s="17"/>
      <c r="X351" s="17"/>
    </row>
    <row r="352" spans="1:26" x14ac:dyDescent="0.25">
      <c r="A352" s="9"/>
      <c r="B352" s="62" t="s">
        <v>314</v>
      </c>
      <c r="D352" s="17"/>
      <c r="E352" s="17"/>
      <c r="G352" s="17"/>
      <c r="H352" s="17"/>
      <c r="I352" s="17"/>
      <c r="J352" s="43"/>
      <c r="K352" s="17"/>
      <c r="L352" s="17"/>
      <c r="M352" s="17"/>
      <c r="P352" s="17"/>
      <c r="Q352" s="17"/>
      <c r="R352" s="43"/>
      <c r="S352" s="17"/>
      <c r="T352" s="17"/>
      <c r="U352" s="17"/>
      <c r="V352" s="43"/>
      <c r="W352" s="17"/>
      <c r="X352" s="17"/>
    </row>
    <row r="353" spans="1:24" x14ac:dyDescent="0.25">
      <c r="A353" s="9"/>
      <c r="B353" s="63"/>
      <c r="D353" s="17"/>
      <c r="E353" s="17"/>
      <c r="G353" s="17"/>
      <c r="H353" s="17"/>
      <c r="I353" s="17"/>
      <c r="J353" s="43"/>
      <c r="K353" s="17"/>
      <c r="L353" s="17"/>
      <c r="M353" s="17"/>
      <c r="P353" s="17"/>
      <c r="Q353" s="17"/>
      <c r="R353" s="43"/>
      <c r="S353" s="17"/>
      <c r="T353" s="17"/>
      <c r="U353" s="17"/>
      <c r="V353" s="43"/>
      <c r="W353" s="17"/>
      <c r="X353" s="17"/>
    </row>
    <row r="354" spans="1:24" x14ac:dyDescent="0.25">
      <c r="D354" s="17"/>
      <c r="E354" s="17"/>
      <c r="G354" s="17"/>
      <c r="H354" s="17"/>
      <c r="I354" s="17"/>
      <c r="J354" s="43"/>
      <c r="K354" s="17"/>
      <c r="L354" s="17"/>
      <c r="M354" s="17"/>
      <c r="P354" s="17"/>
      <c r="Q354" s="17"/>
      <c r="R354" s="43"/>
      <c r="S354" s="17"/>
      <c r="T354" s="17"/>
      <c r="U354" s="17"/>
      <c r="V354" s="43"/>
      <c r="W354" s="17"/>
      <c r="X35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","301", " - ", "Bookstore Operations")</f>
        <v>Department 301 - Bookstore Operations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-28568.05000000001</v>
      </c>
      <c r="E18" s="21"/>
      <c r="F18" s="32">
        <f t="shared" ref="F18:F28" si="0">IF(D$12=0,0,D18/D$12)</f>
        <v>0</v>
      </c>
      <c r="G18" s="21"/>
      <c r="H18" s="21">
        <f>SUM(OSRRefH22x_0)</f>
        <v>124331.2701071169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-152899.32010711692</v>
      </c>
      <c r="M18" s="4"/>
      <c r="N18" s="32">
        <f t="shared" ref="N18:N28" si="3">IF(H18=0,0,L18/H18)</f>
        <v>-1.2297736520779317</v>
      </c>
      <c r="O18" s="10"/>
      <c r="P18" s="21">
        <f>SUM(OSRRefP22x_0)</f>
        <v>1189707.6699999992</v>
      </c>
      <c r="Q18" s="21"/>
      <c r="R18" s="32">
        <f t="shared" ref="R18:R28" si="4">IF(P$12=0,0,P18/P$12)</f>
        <v>0</v>
      </c>
      <c r="S18" s="21"/>
      <c r="T18" s="21">
        <f>SUM(OSRRefT22x_0)</f>
        <v>1716733.22465877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-527025.55465877079</v>
      </c>
      <c r="Y18" s="4"/>
      <c r="Z18" s="32">
        <f t="shared" ref="Z18:Z28" si="7">IF(T18=0,0,X18/T18)</f>
        <v>-0.30699327483658745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808.92</v>
      </c>
      <c r="E19" s="1"/>
      <c r="F19" s="5">
        <f t="shared" si="0"/>
        <v>0</v>
      </c>
      <c r="G19" s="1"/>
      <c r="H19" s="1">
        <f>SUM(OSRRefH22_0x_0)</f>
        <v>14773.489327886138</v>
      </c>
      <c r="I19" s="1"/>
      <c r="J19" s="5">
        <f t="shared" si="1"/>
        <v>0</v>
      </c>
      <c r="K19" s="1"/>
      <c r="L19" s="1">
        <f t="shared" si="2"/>
        <v>-13964.569327886138</v>
      </c>
      <c r="M19" s="1"/>
      <c r="N19" s="5">
        <f t="shared" si="3"/>
        <v>-0.94524516300471417</v>
      </c>
      <c r="O19" s="12"/>
      <c r="P19" s="1">
        <f>SUM(OSRRefP22_0x_0)</f>
        <v>96872.78</v>
      </c>
      <c r="Q19" s="1"/>
      <c r="R19" s="5">
        <f t="shared" si="4"/>
        <v>0</v>
      </c>
      <c r="S19" s="1"/>
      <c r="T19" s="1">
        <f>SUM(OSRRefT22_0x_0)</f>
        <v>170031.03827876982</v>
      </c>
      <c r="U19" s="1"/>
      <c r="V19" s="5">
        <f t="shared" si="5"/>
        <v>0</v>
      </c>
      <c r="W19" s="1"/>
      <c r="X19" s="1">
        <f t="shared" si="6"/>
        <v>-73158.258278769819</v>
      </c>
      <c r="Y19" s="1"/>
      <c r="Z19" s="5">
        <f t="shared" si="7"/>
        <v>-0.43026413894400367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287.33999999999997</v>
      </c>
      <c r="E20" s="2"/>
      <c r="F20" s="7">
        <f t="shared" si="0"/>
        <v>0</v>
      </c>
      <c r="G20" s="2"/>
      <c r="H20" s="6">
        <v>3470.6914493169202</v>
      </c>
      <c r="I20" s="2"/>
      <c r="J20" s="7">
        <f t="shared" si="1"/>
        <v>0</v>
      </c>
      <c r="K20" s="2"/>
      <c r="L20" s="6">
        <f t="shared" si="2"/>
        <v>-3183.35144931692</v>
      </c>
      <c r="M20" s="2"/>
      <c r="N20" s="7">
        <f t="shared" si="3"/>
        <v>-0.91720958080080772</v>
      </c>
      <c r="O20" s="11"/>
      <c r="P20" s="6">
        <v>24928.37</v>
      </c>
      <c r="Q20" s="2"/>
      <c r="R20" s="7">
        <f t="shared" si="4"/>
        <v>0</v>
      </c>
      <c r="S20" s="2"/>
      <c r="T20" s="6">
        <v>28922.763182369959</v>
      </c>
      <c r="U20" s="2"/>
      <c r="V20" s="7">
        <f t="shared" si="5"/>
        <v>0</v>
      </c>
      <c r="W20" s="2"/>
      <c r="X20" s="6">
        <f t="shared" si="6"/>
        <v>-3994.3931823699604</v>
      </c>
      <c r="Y20" s="2"/>
      <c r="Z20" s="7">
        <f t="shared" si="7"/>
        <v>-0.1381055176915035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12.77</v>
      </c>
      <c r="E21" s="2"/>
      <c r="F21" s="7">
        <f t="shared" si="0"/>
        <v>0</v>
      </c>
      <c r="G21" s="2"/>
      <c r="H21" s="6">
        <v>861.66389046153904</v>
      </c>
      <c r="I21" s="2"/>
      <c r="J21" s="7">
        <f t="shared" si="1"/>
        <v>0</v>
      </c>
      <c r="K21" s="2"/>
      <c r="L21" s="6">
        <f t="shared" si="2"/>
        <v>-848.89389046153906</v>
      </c>
      <c r="M21" s="2"/>
      <c r="N21" s="7">
        <f t="shared" si="3"/>
        <v>-0.98517983619673344</v>
      </c>
      <c r="O21" s="11"/>
      <c r="P21" s="6">
        <v>6264.96</v>
      </c>
      <c r="Q21" s="2"/>
      <c r="R21" s="7">
        <f t="shared" si="4"/>
        <v>0</v>
      </c>
      <c r="S21" s="2"/>
      <c r="T21" s="6">
        <v>11631.061450999992</v>
      </c>
      <c r="U21" s="2"/>
      <c r="V21" s="7">
        <f t="shared" si="5"/>
        <v>0</v>
      </c>
      <c r="W21" s="2"/>
      <c r="X21" s="6">
        <f t="shared" si="6"/>
        <v>-5366.1014509999923</v>
      </c>
      <c r="Y21" s="2"/>
      <c r="Z21" s="7">
        <f t="shared" si="7"/>
        <v>-0.46135956495515174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905.2</v>
      </c>
      <c r="E22" s="2"/>
      <c r="F22" s="7">
        <f t="shared" si="0"/>
        <v>0</v>
      </c>
      <c r="G22" s="2"/>
      <c r="H22" s="6">
        <v>5680.25</v>
      </c>
      <c r="I22" s="2"/>
      <c r="J22" s="7">
        <f t="shared" si="1"/>
        <v>0</v>
      </c>
      <c r="K22" s="2"/>
      <c r="L22" s="6">
        <f t="shared" si="2"/>
        <v>-4775.05</v>
      </c>
      <c r="M22" s="2"/>
      <c r="N22" s="7">
        <f t="shared" si="3"/>
        <v>-0.84064081686545489</v>
      </c>
      <c r="O22" s="11"/>
      <c r="P22" s="6">
        <v>39694.700000000004</v>
      </c>
      <c r="Q22" s="2"/>
      <c r="R22" s="7">
        <f t="shared" si="4"/>
        <v>0</v>
      </c>
      <c r="S22" s="2"/>
      <c r="T22" s="6">
        <v>68163</v>
      </c>
      <c r="U22" s="2"/>
      <c r="V22" s="7">
        <f t="shared" si="5"/>
        <v>0</v>
      </c>
      <c r="W22" s="2"/>
      <c r="X22" s="6">
        <f t="shared" si="6"/>
        <v>-28468.299999999996</v>
      </c>
      <c r="Y22" s="2"/>
      <c r="Z22" s="7">
        <f t="shared" si="7"/>
        <v>-0.41765033815999875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-1316.72</v>
      </c>
      <c r="E23" s="2"/>
      <c r="F23" s="7">
        <f t="shared" si="0"/>
        <v>0</v>
      </c>
      <c r="G23" s="2"/>
      <c r="H23" s="6">
        <v>117.9119008</v>
      </c>
      <c r="I23" s="2"/>
      <c r="J23" s="7">
        <f t="shared" si="1"/>
        <v>0</v>
      </c>
      <c r="K23" s="2"/>
      <c r="L23" s="6">
        <f t="shared" si="2"/>
        <v>-1434.6319008</v>
      </c>
      <c r="M23" s="2"/>
      <c r="N23" s="7">
        <f t="shared" si="3"/>
        <v>-12.166981373944571</v>
      </c>
      <c r="O23" s="11"/>
      <c r="P23" s="6">
        <v>0</v>
      </c>
      <c r="Q23" s="2"/>
      <c r="R23" s="7">
        <f t="shared" si="4"/>
        <v>0</v>
      </c>
      <c r="S23" s="2"/>
      <c r="T23" s="6">
        <v>1591.6189353999998</v>
      </c>
      <c r="U23" s="2"/>
      <c r="V23" s="7">
        <f t="shared" si="5"/>
        <v>0</v>
      </c>
      <c r="W23" s="2"/>
      <c r="X23" s="6">
        <f t="shared" si="6"/>
        <v>-1591.6189353999998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390.79</v>
      </c>
      <c r="E24" s="2"/>
      <c r="F24" s="7">
        <f t="shared" si="0"/>
        <v>0</v>
      </c>
      <c r="G24" s="2"/>
      <c r="H24" s="6">
        <v>1788.6235346153799</v>
      </c>
      <c r="I24" s="2"/>
      <c r="J24" s="7">
        <f t="shared" si="1"/>
        <v>0</v>
      </c>
      <c r="K24" s="2"/>
      <c r="L24" s="6">
        <f t="shared" si="2"/>
        <v>-1397.8335346153799</v>
      </c>
      <c r="M24" s="2"/>
      <c r="N24" s="7">
        <f t="shared" si="3"/>
        <v>-0.781513553614269</v>
      </c>
      <c r="O24" s="11"/>
      <c r="P24" s="6">
        <v>21242</v>
      </c>
      <c r="Q24" s="2"/>
      <c r="R24" s="7">
        <f t="shared" si="4"/>
        <v>0</v>
      </c>
      <c r="S24" s="2"/>
      <c r="T24" s="6">
        <v>23080.381149999961</v>
      </c>
      <c r="U24" s="2"/>
      <c r="V24" s="7">
        <f t="shared" si="5"/>
        <v>0</v>
      </c>
      <c r="W24" s="2"/>
      <c r="X24" s="6">
        <f t="shared" si="6"/>
        <v>-1838.3811499999611</v>
      </c>
      <c r="Y24" s="2"/>
      <c r="Z24" s="7">
        <f t="shared" si="7"/>
        <v>-7.9651247440511358E-2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353.19</v>
      </c>
      <c r="E26" s="2"/>
      <c r="F26" s="7">
        <f t="shared" si="0"/>
        <v>0</v>
      </c>
      <c r="G26" s="2"/>
      <c r="H26" s="6">
        <v>1254.2404038461502</v>
      </c>
      <c r="I26" s="2"/>
      <c r="J26" s="7">
        <f t="shared" si="1"/>
        <v>0</v>
      </c>
      <c r="K26" s="2"/>
      <c r="L26" s="6">
        <f t="shared" si="2"/>
        <v>-901.05040384615018</v>
      </c>
      <c r="M26" s="2"/>
      <c r="N26" s="7">
        <f t="shared" si="3"/>
        <v>-0.71840326709541746</v>
      </c>
      <c r="O26" s="11"/>
      <c r="P26" s="6">
        <v>16122.9</v>
      </c>
      <c r="Q26" s="2"/>
      <c r="R26" s="7">
        <f t="shared" si="4"/>
        <v>0</v>
      </c>
      <c r="S26" s="2"/>
      <c r="T26" s="6">
        <v>16205.285249999959</v>
      </c>
      <c r="U26" s="2"/>
      <c r="V26" s="7">
        <f t="shared" si="5"/>
        <v>0</v>
      </c>
      <c r="W26" s="2"/>
      <c r="X26" s="6">
        <f t="shared" si="6"/>
        <v>-82.385249999959342</v>
      </c>
      <c r="Y26" s="2"/>
      <c r="Z26" s="7">
        <f t="shared" si="7"/>
        <v>-5.0838506529812272E-3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176.35</v>
      </c>
      <c r="E27" s="2"/>
      <c r="F27" s="7">
        <f t="shared" si="0"/>
        <v>0</v>
      </c>
      <c r="G27" s="2"/>
      <c r="H27" s="6">
        <v>1100.10814884615</v>
      </c>
      <c r="I27" s="2"/>
      <c r="J27" s="7">
        <f t="shared" si="1"/>
        <v>0</v>
      </c>
      <c r="K27" s="2"/>
      <c r="L27" s="6">
        <f t="shared" si="2"/>
        <v>-923.75814884614999</v>
      </c>
      <c r="M27" s="2"/>
      <c r="N27" s="7">
        <f t="shared" si="3"/>
        <v>-0.83969757865627581</v>
      </c>
      <c r="O27" s="11"/>
      <c r="P27" s="6">
        <v>-14372.76</v>
      </c>
      <c r="Q27" s="2"/>
      <c r="R27" s="7">
        <f t="shared" si="4"/>
        <v>0</v>
      </c>
      <c r="S27" s="2"/>
      <c r="T27" s="6">
        <v>14436.928309999959</v>
      </c>
      <c r="U27" s="2"/>
      <c r="V27" s="7">
        <f t="shared" si="5"/>
        <v>0</v>
      </c>
      <c r="W27" s="2"/>
      <c r="X27" s="6">
        <f t="shared" si="6"/>
        <v>-28809.688309999961</v>
      </c>
      <c r="Y27" s="2"/>
      <c r="Z27" s="7">
        <f t="shared" si="7"/>
        <v>-1.9955552657309028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500</v>
      </c>
      <c r="I28" s="2"/>
      <c r="J28" s="7">
        <f t="shared" si="1"/>
        <v>0</v>
      </c>
      <c r="K28" s="2"/>
      <c r="L28" s="6">
        <f t="shared" si="2"/>
        <v>-500</v>
      </c>
      <c r="M28" s="2"/>
      <c r="N28" s="7">
        <f t="shared" si="3"/>
        <v>-1</v>
      </c>
      <c r="O28" s="11"/>
      <c r="P28" s="6">
        <v>2992.61</v>
      </c>
      <c r="Q28" s="2"/>
      <c r="R28" s="7">
        <f t="shared" si="4"/>
        <v>0</v>
      </c>
      <c r="S28" s="2"/>
      <c r="T28" s="6">
        <v>6000</v>
      </c>
      <c r="U28" s="2"/>
      <c r="V28" s="7">
        <f t="shared" si="5"/>
        <v>0</v>
      </c>
      <c r="W28" s="2"/>
      <c r="X28" s="6">
        <f t="shared" si="6"/>
        <v>-3007.39</v>
      </c>
      <c r="Y28" s="2"/>
      <c r="Z28" s="7">
        <f t="shared" si="7"/>
        <v>-0.50123166666666663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3823.4</v>
      </c>
      <c r="E29" s="1"/>
      <c r="F29" s="5">
        <f t="shared" ref="F29:F39" si="8">IF(D$12=0,0,D29/D$12)</f>
        <v>0</v>
      </c>
      <c r="G29" s="1"/>
      <c r="H29" s="1">
        <f>SUM(OSRRefH22_1x_0)</f>
        <v>43096.780779230772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-39273.380779230771</v>
      </c>
      <c r="M29" s="1"/>
      <c r="N29" s="5">
        <f t="shared" ref="N29:N39" si="11">IF(H29=0,0,L29/H29)</f>
        <v>-0.91128339679044945</v>
      </c>
      <c r="O29" s="12"/>
      <c r="P29" s="1">
        <f>SUM(OSRRefP22_1x_0)</f>
        <v>393621.75</v>
      </c>
      <c r="Q29" s="1"/>
      <c r="R29" s="5">
        <f t="shared" ref="R29:R39" si="12">IF(P$12=0,0,P29/P$12)</f>
        <v>0</v>
      </c>
      <c r="S29" s="1"/>
      <c r="T29" s="1">
        <f>SUM(OSRRefT22_1x_0)</f>
        <v>583123.18638000009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-189501.43638000009</v>
      </c>
      <c r="Y29" s="1"/>
      <c r="Z29" s="5">
        <f t="shared" ref="Z29:Z39" si="15">IF(T29=0,0,X29/T29)</f>
        <v>-0.32497667869531244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9645.4350000000013</v>
      </c>
      <c r="I30" s="2"/>
      <c r="J30" s="7">
        <f t="shared" si="9"/>
        <v>0</v>
      </c>
      <c r="K30" s="2"/>
      <c r="L30" s="6">
        <f t="shared" si="10"/>
        <v>-9645.4350000000013</v>
      </c>
      <c r="M30" s="2"/>
      <c r="N30" s="7">
        <f t="shared" si="11"/>
        <v>-1</v>
      </c>
      <c r="O30" s="11"/>
      <c r="P30" s="6">
        <v>93238.31</v>
      </c>
      <c r="Q30" s="2"/>
      <c r="R30" s="7">
        <f t="shared" si="12"/>
        <v>0</v>
      </c>
      <c r="S30" s="2"/>
      <c r="T30" s="6">
        <v>125390.65499999998</v>
      </c>
      <c r="U30" s="2"/>
      <c r="V30" s="7">
        <f t="shared" si="13"/>
        <v>0</v>
      </c>
      <c r="W30" s="2"/>
      <c r="X30" s="6">
        <f t="shared" si="14"/>
        <v>-32152.344999999987</v>
      </c>
      <c r="Y30" s="2"/>
      <c r="Z30" s="7">
        <f t="shared" si="15"/>
        <v>-0.25641739410325265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3823.4</v>
      </c>
      <c r="E31" s="2"/>
      <c r="F31" s="7">
        <f t="shared" si="8"/>
        <v>0</v>
      </c>
      <c r="G31" s="2"/>
      <c r="H31" s="6">
        <v>9072.7182692307706</v>
      </c>
      <c r="I31" s="2"/>
      <c r="J31" s="7">
        <f t="shared" si="9"/>
        <v>0</v>
      </c>
      <c r="K31" s="2"/>
      <c r="L31" s="6">
        <f t="shared" si="10"/>
        <v>-5249.318269230771</v>
      </c>
      <c r="M31" s="2"/>
      <c r="N31" s="7">
        <f t="shared" si="11"/>
        <v>-0.57858274813109944</v>
      </c>
      <c r="O31" s="11"/>
      <c r="P31" s="6">
        <v>68657</v>
      </c>
      <c r="Q31" s="2"/>
      <c r="R31" s="7">
        <f t="shared" si="12"/>
        <v>0</v>
      </c>
      <c r="S31" s="2"/>
      <c r="T31" s="6">
        <v>116148.21750000016</v>
      </c>
      <c r="U31" s="2"/>
      <c r="V31" s="7">
        <f t="shared" si="13"/>
        <v>0</v>
      </c>
      <c r="W31" s="2"/>
      <c r="X31" s="6">
        <f t="shared" si="14"/>
        <v>-47491.217500000159</v>
      </c>
      <c r="Y31" s="2"/>
      <c r="Z31" s="7">
        <f t="shared" si="15"/>
        <v>-0.40888460040292995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5631.0275099999999</v>
      </c>
      <c r="I33" s="2"/>
      <c r="J33" s="7">
        <f t="shared" si="9"/>
        <v>0</v>
      </c>
      <c r="K33" s="2"/>
      <c r="L33" s="6">
        <f t="shared" si="10"/>
        <v>-5631.0275099999999</v>
      </c>
      <c r="M33" s="2"/>
      <c r="N33" s="7">
        <f t="shared" si="11"/>
        <v>-1</v>
      </c>
      <c r="O33" s="11"/>
      <c r="P33" s="6">
        <v>-1647.01</v>
      </c>
      <c r="Q33" s="2"/>
      <c r="R33" s="7">
        <f t="shared" si="12"/>
        <v>0</v>
      </c>
      <c r="S33" s="2"/>
      <c r="T33" s="6">
        <v>71142.71388000001</v>
      </c>
      <c r="U33" s="2"/>
      <c r="V33" s="7">
        <f t="shared" si="13"/>
        <v>0</v>
      </c>
      <c r="W33" s="2"/>
      <c r="X33" s="6">
        <f t="shared" si="14"/>
        <v>-72789.723880000005</v>
      </c>
      <c r="Y33" s="2"/>
      <c r="Z33" s="7">
        <f t="shared" si="15"/>
        <v>-1.0231507895914413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59852.88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59852.88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11923.01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11923.01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18747.599999999999</v>
      </c>
      <c r="I36" s="2"/>
      <c r="J36" s="7">
        <f t="shared" si="9"/>
        <v>0</v>
      </c>
      <c r="K36" s="2"/>
      <c r="L36" s="6">
        <f t="shared" si="10"/>
        <v>-18747.599999999999</v>
      </c>
      <c r="M36" s="2"/>
      <c r="N36" s="7">
        <f t="shared" si="11"/>
        <v>-1</v>
      </c>
      <c r="O36" s="11"/>
      <c r="P36" s="6">
        <v>159329.81999999998</v>
      </c>
      <c r="Q36" s="2"/>
      <c r="R36" s="7">
        <f t="shared" si="12"/>
        <v>0</v>
      </c>
      <c r="S36" s="2"/>
      <c r="T36" s="6">
        <v>36207.599999999999</v>
      </c>
      <c r="U36" s="2"/>
      <c r="V36" s="7">
        <f t="shared" si="13"/>
        <v>0</v>
      </c>
      <c r="W36" s="2"/>
      <c r="X36" s="6">
        <f t="shared" si="14"/>
        <v>123122.21999999997</v>
      </c>
      <c r="Y36" s="2"/>
      <c r="Z36" s="7">
        <f t="shared" si="15"/>
        <v>3.4004523912106843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2267.7399999999998</v>
      </c>
      <c r="Q37" s="2"/>
      <c r="R37" s="7">
        <f t="shared" si="12"/>
        <v>0</v>
      </c>
      <c r="S37" s="2"/>
      <c r="T37" s="6">
        <v>234234</v>
      </c>
      <c r="U37" s="2"/>
      <c r="V37" s="7">
        <f t="shared" si="13"/>
        <v>0</v>
      </c>
      <c r="W37" s="2"/>
      <c r="X37" s="6">
        <f t="shared" si="14"/>
        <v>-231966.26</v>
      </c>
      <c r="Y37" s="2"/>
      <c r="Z37" s="7">
        <f t="shared" si="15"/>
        <v>-0.99031848493386954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-2415.19</v>
      </c>
      <c r="E40" s="1"/>
      <c r="F40" s="5">
        <f t="shared" ref="F40:F44" si="16">IF(D$12=0,0,D40/D$12)</f>
        <v>0</v>
      </c>
      <c r="G40" s="1"/>
      <c r="H40" s="1">
        <f>SUM(OSRRefH22_2x_0)</f>
        <v>300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-2715.19</v>
      </c>
      <c r="M40" s="1"/>
      <c r="N40" s="5">
        <f t="shared" ref="N40:N44" si="19">IF(H40=0,0,L40/H40)</f>
        <v>-9.0506333333333338</v>
      </c>
      <c r="O40" s="12"/>
      <c r="P40" s="1">
        <f>SUM(OSRRefP22_2x_0)</f>
        <v>11799.88</v>
      </c>
      <c r="Q40" s="1"/>
      <c r="R40" s="5">
        <f t="shared" ref="R40:R44" si="20">IF(P$12=0,0,P40/P$12)</f>
        <v>0</v>
      </c>
      <c r="S40" s="1"/>
      <c r="T40" s="1">
        <f>SUM(OSRRefT22_2x_0)</f>
        <v>42600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-30800.120000000003</v>
      </c>
      <c r="Y40" s="1"/>
      <c r="Z40" s="5">
        <f t="shared" ref="Z40:Z44" si="23">IF(T40=0,0,X40/T40)</f>
        <v>-0.72300751173708921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-2415.19</v>
      </c>
      <c r="E41" s="2"/>
      <c r="F41" s="7">
        <f t="shared" si="16"/>
        <v>0</v>
      </c>
      <c r="G41" s="2"/>
      <c r="H41" s="6">
        <v>300</v>
      </c>
      <c r="I41" s="2"/>
      <c r="J41" s="7">
        <f t="shared" si="17"/>
        <v>0</v>
      </c>
      <c r="K41" s="2"/>
      <c r="L41" s="6">
        <f t="shared" si="18"/>
        <v>-2715.19</v>
      </c>
      <c r="M41" s="2"/>
      <c r="N41" s="7">
        <f t="shared" si="19"/>
        <v>-9.0506333333333338</v>
      </c>
      <c r="O41" s="11"/>
      <c r="P41" s="6">
        <v>11799.88</v>
      </c>
      <c r="Q41" s="2"/>
      <c r="R41" s="7">
        <f t="shared" si="20"/>
        <v>0</v>
      </c>
      <c r="S41" s="2"/>
      <c r="T41" s="6">
        <v>42600</v>
      </c>
      <c r="U41" s="2"/>
      <c r="V41" s="7">
        <f t="shared" si="21"/>
        <v>0</v>
      </c>
      <c r="W41" s="2"/>
      <c r="X41" s="6">
        <f t="shared" si="22"/>
        <v>-30800.120000000003</v>
      </c>
      <c r="Y41" s="2"/>
      <c r="Z41" s="7">
        <f t="shared" si="23"/>
        <v>-0.72300751173708921</v>
      </c>
    </row>
    <row r="42" spans="1:26" s="26" customFormat="1" outlineLevel="1" collapsed="1" x14ac:dyDescent="0.25">
      <c r="A42" s="25"/>
      <c r="B42" s="12" t="str">
        <f>CONCATENATE("     ","Bad Debts/Over/Short                              ")</f>
        <v xml:space="preserve">     Bad Debts/Over/Short                              </v>
      </c>
      <c r="C42" s="12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-125</v>
      </c>
      <c r="M42" s="1"/>
      <c r="N42" s="5">
        <f t="shared" si="19"/>
        <v>-1</v>
      </c>
      <c r="O42" s="12"/>
      <c r="P42" s="1">
        <f>SUM(OSRRefP22_3x_0)</f>
        <v>-19.53</v>
      </c>
      <c r="Q42" s="1"/>
      <c r="R42" s="5">
        <f t="shared" si="20"/>
        <v>0</v>
      </c>
      <c r="S42" s="1"/>
      <c r="T42" s="1">
        <f>SUM(OSRRefT22_3x_0)</f>
        <v>1500</v>
      </c>
      <c r="U42" s="1"/>
      <c r="V42" s="5">
        <f t="shared" si="21"/>
        <v>0</v>
      </c>
      <c r="W42" s="1"/>
      <c r="X42" s="1">
        <f t="shared" si="22"/>
        <v>-1519.53</v>
      </c>
      <c r="Y42" s="1"/>
      <c r="Z42" s="5">
        <f t="shared" si="23"/>
        <v>-1.01302</v>
      </c>
    </row>
    <row r="43" spans="1:26" s="24" customFormat="1" hidden="1" outlineLevel="2" x14ac:dyDescent="0.25">
      <c r="A43" s="27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16"/>
        <v>0</v>
      </c>
      <c r="G43" s="2"/>
      <c r="H43" s="6">
        <v>125</v>
      </c>
      <c r="I43" s="2"/>
      <c r="J43" s="7">
        <f t="shared" si="17"/>
        <v>0</v>
      </c>
      <c r="K43" s="2"/>
      <c r="L43" s="6">
        <f t="shared" si="18"/>
        <v>-125</v>
      </c>
      <c r="M43" s="2"/>
      <c r="N43" s="7">
        <f t="shared" si="19"/>
        <v>-1</v>
      </c>
      <c r="O43" s="11"/>
      <c r="P43" s="6">
        <v>-64.33</v>
      </c>
      <c r="Q43" s="2"/>
      <c r="R43" s="7">
        <f t="shared" si="20"/>
        <v>0</v>
      </c>
      <c r="S43" s="2"/>
      <c r="T43" s="6">
        <v>1500</v>
      </c>
      <c r="U43" s="2"/>
      <c r="V43" s="7">
        <f t="shared" si="21"/>
        <v>0</v>
      </c>
      <c r="W43" s="2"/>
      <c r="X43" s="6">
        <f t="shared" si="22"/>
        <v>-1564.33</v>
      </c>
      <c r="Y43" s="2"/>
      <c r="Z43" s="7">
        <f t="shared" si="23"/>
        <v>-1.0428866666666665</v>
      </c>
    </row>
    <row r="44" spans="1:26" s="24" customFormat="1" hidden="1" outlineLevel="2" x14ac:dyDescent="0.25">
      <c r="A44" s="27"/>
      <c r="B44" s="11" t="str">
        <f>CONCATENATE("          ", "6342", " - ", "BAD DEBT")</f>
        <v xml:space="preserve">          6342 - BAD DEBT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44.8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44.8</v>
      </c>
      <c r="Y44" s="2"/>
      <c r="Z44" s="7">
        <f t="shared" si="23"/>
        <v>0</v>
      </c>
    </row>
    <row r="45" spans="1:26" s="26" customFormat="1" outlineLevel="1" collapsed="1" x14ac:dyDescent="0.25">
      <c r="A45" s="25"/>
      <c r="B45" s="12" t="str">
        <f>CONCATENATE("     ","Bank/card Fees                                    ")</f>
        <v xml:space="preserve">     Bank/card Fees                                    </v>
      </c>
      <c r="C45" s="12"/>
      <c r="D45" s="1">
        <f>SUM(OSRRefD22_4x_0)</f>
        <v>3698.6</v>
      </c>
      <c r="E45" s="1"/>
      <c r="F45" s="5">
        <f t="shared" ref="F45:F51" si="24">IF(D$12=0,0,D45/D$12)</f>
        <v>0</v>
      </c>
      <c r="G45" s="1"/>
      <c r="H45" s="1">
        <f>SUM(OSRRefH22_4x_0)</f>
        <v>8000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-4301.3999999999996</v>
      </c>
      <c r="M45" s="1"/>
      <c r="N45" s="5">
        <f t="shared" ref="N45:N51" si="27">IF(H45=0,0,L45/H45)</f>
        <v>-0.5376749999999999</v>
      </c>
      <c r="O45" s="12"/>
      <c r="P45" s="1">
        <f>SUM(OSRRefP22_4x_0)</f>
        <v>142763.71000000002</v>
      </c>
      <c r="Q45" s="1"/>
      <c r="R45" s="5">
        <f t="shared" ref="R45:R51" si="28">IF(P$12=0,0,P45/P$12)</f>
        <v>0</v>
      </c>
      <c r="S45" s="1"/>
      <c r="T45" s="1">
        <f>SUM(OSRRefT22_4x_0)</f>
        <v>181400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-38636.289999999979</v>
      </c>
      <c r="Y45" s="1"/>
      <c r="Z45" s="5">
        <f t="shared" ref="Z45:Z51" si="31">IF(T45=0,0,X45/T45)</f>
        <v>-0.21298947078280034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3698.6</v>
      </c>
      <c r="E46" s="2"/>
      <c r="F46" s="7">
        <f t="shared" si="24"/>
        <v>0</v>
      </c>
      <c r="G46" s="2"/>
      <c r="H46" s="6">
        <v>8000</v>
      </c>
      <c r="I46" s="2"/>
      <c r="J46" s="7">
        <f t="shared" si="25"/>
        <v>0</v>
      </c>
      <c r="K46" s="2"/>
      <c r="L46" s="6">
        <f t="shared" si="26"/>
        <v>-4301.3999999999996</v>
      </c>
      <c r="M46" s="2"/>
      <c r="N46" s="7">
        <f t="shared" si="27"/>
        <v>-0.5376749999999999</v>
      </c>
      <c r="O46" s="11"/>
      <c r="P46" s="6">
        <v>142763.71000000002</v>
      </c>
      <c r="Q46" s="2"/>
      <c r="R46" s="7">
        <f t="shared" si="28"/>
        <v>0</v>
      </c>
      <c r="S46" s="2"/>
      <c r="T46" s="6">
        <v>181400</v>
      </c>
      <c r="U46" s="2"/>
      <c r="V46" s="7">
        <f t="shared" si="29"/>
        <v>0</v>
      </c>
      <c r="W46" s="2"/>
      <c r="X46" s="6">
        <f t="shared" si="30"/>
        <v>-38636.289999999979</v>
      </c>
      <c r="Y46" s="2"/>
      <c r="Z46" s="7">
        <f t="shared" si="31"/>
        <v>-0.21298947078280034</v>
      </c>
    </row>
    <row r="47" spans="1:26" s="26" customFormat="1" outlineLevel="1" collapsed="1" x14ac:dyDescent="0.25">
      <c r="A47" s="25"/>
      <c r="B47" s="12" t="str">
        <f>CONCATENATE("     ","Depreciation                                      ")</f>
        <v xml:space="preserve">     Depreciation                                      </v>
      </c>
      <c r="C47" s="12"/>
      <c r="D47" s="1">
        <f>SUM(OSRRefD22_5x_0)</f>
        <v>30179.309999999998</v>
      </c>
      <c r="E47" s="1"/>
      <c r="F47" s="5">
        <f t="shared" si="24"/>
        <v>0</v>
      </c>
      <c r="G47" s="1"/>
      <c r="H47" s="1">
        <f>SUM(OSRRefH22_5x_0)</f>
        <v>31271</v>
      </c>
      <c r="I47" s="1"/>
      <c r="J47" s="5">
        <f t="shared" si="25"/>
        <v>0</v>
      </c>
      <c r="K47" s="1"/>
      <c r="L47" s="1">
        <f t="shared" si="26"/>
        <v>-1091.6900000000023</v>
      </c>
      <c r="M47" s="1"/>
      <c r="N47" s="5">
        <f t="shared" si="27"/>
        <v>-3.4910620063317528E-2</v>
      </c>
      <c r="O47" s="12"/>
      <c r="P47" s="1">
        <f>SUM(OSRRefP22_5x_0)</f>
        <v>358192.45</v>
      </c>
      <c r="Q47" s="1"/>
      <c r="R47" s="5">
        <f t="shared" si="28"/>
        <v>0</v>
      </c>
      <c r="S47" s="1"/>
      <c r="T47" s="1">
        <f>SUM(OSRRefT22_5x_0)</f>
        <v>369669</v>
      </c>
      <c r="U47" s="1"/>
      <c r="V47" s="5">
        <f t="shared" si="29"/>
        <v>0</v>
      </c>
      <c r="W47" s="1"/>
      <c r="X47" s="1">
        <f t="shared" si="30"/>
        <v>-11476.549999999988</v>
      </c>
      <c r="Y47" s="1"/>
      <c r="Z47" s="5">
        <f t="shared" si="31"/>
        <v>-3.1045475817555675E-2</v>
      </c>
    </row>
    <row r="48" spans="1:26" s="24" customFormat="1" hidden="1" outlineLevel="2" x14ac:dyDescent="0.25">
      <c r="A48" s="27"/>
      <c r="B48" s="11" t="str">
        <f>CONCATENATE("          ", "6321", " - ", "BUILDING DEPRECIATION")</f>
        <v xml:space="preserve">          6321 - BUILDING DEPRECIATION</v>
      </c>
      <c r="C48" s="11"/>
      <c r="D48" s="6">
        <v>16396.25</v>
      </c>
      <c r="E48" s="2"/>
      <c r="F48" s="7">
        <f t="shared" si="24"/>
        <v>0</v>
      </c>
      <c r="G48" s="2"/>
      <c r="H48" s="6">
        <v>16397</v>
      </c>
      <c r="I48" s="2"/>
      <c r="J48" s="7">
        <f t="shared" si="25"/>
        <v>0</v>
      </c>
      <c r="K48" s="2"/>
      <c r="L48" s="6">
        <f t="shared" si="26"/>
        <v>-0.75</v>
      </c>
      <c r="M48" s="2"/>
      <c r="N48" s="7">
        <f t="shared" si="27"/>
        <v>-4.574007440385436E-5</v>
      </c>
      <c r="O48" s="11"/>
      <c r="P48" s="6">
        <v>196757.97</v>
      </c>
      <c r="Q48" s="2"/>
      <c r="R48" s="7">
        <f t="shared" si="28"/>
        <v>0</v>
      </c>
      <c r="S48" s="2"/>
      <c r="T48" s="6">
        <v>196932</v>
      </c>
      <c r="U48" s="2"/>
      <c r="V48" s="7">
        <f t="shared" si="29"/>
        <v>0</v>
      </c>
      <c r="W48" s="2"/>
      <c r="X48" s="6">
        <f t="shared" si="30"/>
        <v>-174.02999999999884</v>
      </c>
      <c r="Y48" s="2"/>
      <c r="Z48" s="7">
        <f t="shared" si="31"/>
        <v>-8.8370605081956627E-4</v>
      </c>
    </row>
    <row r="49" spans="1:26" s="24" customFormat="1" hidden="1" outlineLevel="2" x14ac:dyDescent="0.25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13783.06</v>
      </c>
      <c r="E49" s="2"/>
      <c r="F49" s="7">
        <f t="shared" si="24"/>
        <v>0</v>
      </c>
      <c r="G49" s="2"/>
      <c r="H49" s="6">
        <v>13049</v>
      </c>
      <c r="I49" s="2"/>
      <c r="J49" s="7">
        <f t="shared" si="25"/>
        <v>0</v>
      </c>
      <c r="K49" s="2"/>
      <c r="L49" s="6">
        <f t="shared" si="26"/>
        <v>734.05999999999949</v>
      </c>
      <c r="M49" s="2"/>
      <c r="N49" s="7">
        <f t="shared" si="27"/>
        <v>5.6254119089585372E-2</v>
      </c>
      <c r="O49" s="11"/>
      <c r="P49" s="6">
        <v>161434.48000000001</v>
      </c>
      <c r="Q49" s="2"/>
      <c r="R49" s="7">
        <f t="shared" si="28"/>
        <v>0</v>
      </c>
      <c r="S49" s="2"/>
      <c r="T49" s="6">
        <v>156588</v>
      </c>
      <c r="U49" s="2"/>
      <c r="V49" s="7">
        <f t="shared" si="29"/>
        <v>0</v>
      </c>
      <c r="W49" s="2"/>
      <c r="X49" s="6">
        <f t="shared" si="30"/>
        <v>4846.4800000000105</v>
      </c>
      <c r="Y49" s="2"/>
      <c r="Z49" s="7">
        <f t="shared" si="31"/>
        <v>3.0950519835491932E-2</v>
      </c>
    </row>
    <row r="50" spans="1:26" s="24" customFormat="1" hidden="1" outlineLevel="2" x14ac:dyDescent="0.25">
      <c r="A50" s="27"/>
      <c r="B50" s="11" t="str">
        <f>CONCATENATE("          ", "6324", " - ", "FURNITURE + FIXT DEPRECIATION")</f>
        <v xml:space="preserve">          6324 - FURNITURE + FIXT DEPRECIATION</v>
      </c>
      <c r="C50" s="11"/>
      <c r="D50" s="6"/>
      <c r="E50" s="2"/>
      <c r="F50" s="7">
        <f t="shared" si="24"/>
        <v>0</v>
      </c>
      <c r="G50" s="2"/>
      <c r="H50" s="6">
        <v>1492</v>
      </c>
      <c r="I50" s="2"/>
      <c r="J50" s="7">
        <f t="shared" si="25"/>
        <v>0</v>
      </c>
      <c r="K50" s="2"/>
      <c r="L50" s="6">
        <f t="shared" si="26"/>
        <v>-1492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13152</v>
      </c>
      <c r="U50" s="2"/>
      <c r="V50" s="7">
        <f t="shared" si="29"/>
        <v>0</v>
      </c>
      <c r="W50" s="2"/>
      <c r="X50" s="6">
        <f t="shared" si="30"/>
        <v>-13152</v>
      </c>
      <c r="Y50" s="2"/>
      <c r="Z50" s="7">
        <f t="shared" si="31"/>
        <v>-1</v>
      </c>
    </row>
    <row r="51" spans="1:26" s="24" customFormat="1" hidden="1" outlineLevel="2" x14ac:dyDescent="0.25">
      <c r="A51" s="27"/>
      <c r="B51" s="11" t="str">
        <f>CONCATENATE("          ", "6326", " - ", "VEHICLES DEPRECIATION EXPENSE")</f>
        <v xml:space="preserve">          6326 - VEHICLES DEPRECIATION EXPENSE</v>
      </c>
      <c r="C51" s="11"/>
      <c r="D51" s="6"/>
      <c r="E51" s="2"/>
      <c r="F51" s="7">
        <f t="shared" si="24"/>
        <v>0</v>
      </c>
      <c r="G51" s="2"/>
      <c r="H51" s="6">
        <v>333</v>
      </c>
      <c r="I51" s="2"/>
      <c r="J51" s="7">
        <f t="shared" si="25"/>
        <v>0</v>
      </c>
      <c r="K51" s="2"/>
      <c r="L51" s="6">
        <f t="shared" si="26"/>
        <v>-333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2997</v>
      </c>
      <c r="U51" s="2"/>
      <c r="V51" s="7">
        <f t="shared" si="29"/>
        <v>0</v>
      </c>
      <c r="W51" s="2"/>
      <c r="X51" s="6">
        <f t="shared" si="30"/>
        <v>-2997</v>
      </c>
      <c r="Y51" s="2"/>
      <c r="Z51" s="7">
        <f t="shared" si="31"/>
        <v>-1</v>
      </c>
    </row>
    <row r="52" spans="1:26" s="26" customFormat="1" outlineLevel="1" collapsed="1" x14ac:dyDescent="0.25">
      <c r="A52" s="25"/>
      <c r="B52" s="12" t="str">
        <f>CONCATENATE("     ","Discounts and Markdowns                           ")</f>
        <v xml:space="preserve">     Discounts and Markdowns                           </v>
      </c>
      <c r="C52" s="12"/>
      <c r="D52" s="1">
        <f>SUM(OSRRefD22_6x_0)</f>
        <v>-2.86</v>
      </c>
      <c r="E52" s="1"/>
      <c r="F52" s="5">
        <f t="shared" ref="F52:F54" si="32">IF(D$12=0,0,D52/D$12)</f>
        <v>0</v>
      </c>
      <c r="G52" s="1"/>
      <c r="H52" s="1">
        <f>SUM(OSRRefH22_6x_0)</f>
        <v>-400</v>
      </c>
      <c r="I52" s="1"/>
      <c r="J52" s="5">
        <f t="shared" ref="J52:J54" si="33">IF(H$12=0,0,H52/H$12)</f>
        <v>0</v>
      </c>
      <c r="K52" s="1"/>
      <c r="L52" s="1">
        <f t="shared" ref="L52:L54" si="34">+D52-H52</f>
        <v>397.14</v>
      </c>
      <c r="M52" s="1"/>
      <c r="N52" s="5">
        <f t="shared" ref="N52:N54" si="35">IF(H52=0,0,L52/H52)</f>
        <v>-0.99285000000000001</v>
      </c>
      <c r="O52" s="12"/>
      <c r="P52" s="1">
        <f>SUM(OSRRefP22_6x_0)</f>
        <v>-2405.42</v>
      </c>
      <c r="Q52" s="1"/>
      <c r="R52" s="5">
        <f t="shared" ref="R52:R54" si="36">IF(P$12=0,0,P52/P$12)</f>
        <v>0</v>
      </c>
      <c r="S52" s="1"/>
      <c r="T52" s="1">
        <f>SUM(OSRRefT22_6x_0)</f>
        <v>-4800</v>
      </c>
      <c r="U52" s="1"/>
      <c r="V52" s="5">
        <f t="shared" ref="V52:V54" si="37">IF(T$12=0,0,T52/T$12)</f>
        <v>0</v>
      </c>
      <c r="W52" s="1"/>
      <c r="X52" s="1">
        <f t="shared" ref="X52:X54" si="38">+P52-T52</f>
        <v>2394.58</v>
      </c>
      <c r="Y52" s="1"/>
      <c r="Z52" s="5">
        <f t="shared" ref="Z52:Z54" si="39">IF(T52=0,0,X52/T52)</f>
        <v>-0.49887083333333332</v>
      </c>
    </row>
    <row r="53" spans="1:26" s="24" customFormat="1" hidden="1" outlineLevel="2" x14ac:dyDescent="0.25">
      <c r="A53" s="27"/>
      <c r="B53" s="11" t="str">
        <f>CONCATENATE("          ", "6382", " - ", "DISCOUNTS/MARK DOWNS")</f>
        <v xml:space="preserve">          6382 - DISCOUNTS/MARK DOWNS</v>
      </c>
      <c r="C53" s="11"/>
      <c r="D53" s="6"/>
      <c r="E53" s="2"/>
      <c r="F53" s="7">
        <f t="shared" si="32"/>
        <v>0</v>
      </c>
      <c r="G53" s="2"/>
      <c r="H53" s="6">
        <v>-400</v>
      </c>
      <c r="I53" s="2"/>
      <c r="J53" s="7">
        <f t="shared" si="33"/>
        <v>0</v>
      </c>
      <c r="K53" s="2"/>
      <c r="L53" s="6">
        <f t="shared" si="34"/>
        <v>400</v>
      </c>
      <c r="M53" s="2"/>
      <c r="N53" s="7">
        <f t="shared" si="35"/>
        <v>-1</v>
      </c>
      <c r="O53" s="11"/>
      <c r="P53" s="6">
        <v>357.4</v>
      </c>
      <c r="Q53" s="2"/>
      <c r="R53" s="7">
        <f t="shared" si="36"/>
        <v>0</v>
      </c>
      <c r="S53" s="2"/>
      <c r="T53" s="6">
        <v>-4800</v>
      </c>
      <c r="U53" s="2"/>
      <c r="V53" s="7">
        <f t="shared" si="37"/>
        <v>0</v>
      </c>
      <c r="W53" s="2"/>
      <c r="X53" s="6">
        <f t="shared" si="38"/>
        <v>5157.3999999999996</v>
      </c>
      <c r="Y53" s="2"/>
      <c r="Z53" s="7">
        <f t="shared" si="39"/>
        <v>-1.0744583333333333</v>
      </c>
    </row>
    <row r="54" spans="1:26" s="24" customFormat="1" hidden="1" outlineLevel="2" x14ac:dyDescent="0.25">
      <c r="A54" s="27"/>
      <c r="B54" s="11" t="str">
        <f>CONCATENATE("          ", "9175", " - ", "EARNED DISCOUNTS")</f>
        <v xml:space="preserve">          9175 - EARNED DISCOUNTS</v>
      </c>
      <c r="C54" s="11"/>
      <c r="D54" s="6">
        <v>-2.86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-2.86</v>
      </c>
      <c r="M54" s="2"/>
      <c r="N54" s="7">
        <f t="shared" si="35"/>
        <v>0</v>
      </c>
      <c r="O54" s="11"/>
      <c r="P54" s="6">
        <v>-2762.82</v>
      </c>
      <c r="Q54" s="2"/>
      <c r="R54" s="7">
        <f t="shared" si="36"/>
        <v>0</v>
      </c>
      <c r="S54" s="2"/>
      <c r="T54" s="6"/>
      <c r="U54" s="2"/>
      <c r="V54" s="7">
        <f t="shared" si="37"/>
        <v>0</v>
      </c>
      <c r="W54" s="2"/>
      <c r="X54" s="6">
        <f t="shared" si="38"/>
        <v>-2762.82</v>
      </c>
      <c r="Y54" s="2"/>
      <c r="Z54" s="7">
        <f t="shared" si="39"/>
        <v>0</v>
      </c>
    </row>
    <row r="55" spans="1:26" s="26" customFormat="1" outlineLevel="1" collapsed="1" x14ac:dyDescent="0.25">
      <c r="A55" s="25"/>
      <c r="B55" s="12" t="str">
        <f>CONCATENATE("     ","Donations                                         ")</f>
        <v xml:space="preserve">     Donations                                         </v>
      </c>
      <c r="C55" s="12"/>
      <c r="D55" s="1">
        <f>SUM(OSRRefD22_7x_0)</f>
        <v>0</v>
      </c>
      <c r="E55" s="1"/>
      <c r="F55" s="5">
        <f t="shared" ref="F55:F57" si="40">IF(D$12=0,0,D55/D$12)</f>
        <v>0</v>
      </c>
      <c r="G55" s="1"/>
      <c r="H55" s="1">
        <f>SUM(OSRRefH22_7x_0)</f>
        <v>1000</v>
      </c>
      <c r="I55" s="1"/>
      <c r="J55" s="5">
        <f t="shared" ref="J55:J57" si="41">IF(H$12=0,0,H55/H$12)</f>
        <v>0</v>
      </c>
      <c r="K55" s="1"/>
      <c r="L55" s="1">
        <f t="shared" ref="L55:L57" si="42">+D55-H55</f>
        <v>-1000</v>
      </c>
      <c r="M55" s="1"/>
      <c r="N55" s="5">
        <f t="shared" ref="N55:N57" si="43">IF(H55=0,0,L55/H55)</f>
        <v>-1</v>
      </c>
      <c r="O55" s="12"/>
      <c r="P55" s="1">
        <f>SUM(OSRRefP22_7x_0)</f>
        <v>10985.64</v>
      </c>
      <c r="Q55" s="1"/>
      <c r="R55" s="5">
        <f t="shared" ref="R55:R57" si="44">IF(P$12=0,0,P55/P$12)</f>
        <v>0</v>
      </c>
      <c r="S55" s="1"/>
      <c r="T55" s="1">
        <f>SUM(OSRRefT22_7x_0)</f>
        <v>12000</v>
      </c>
      <c r="U55" s="1"/>
      <c r="V55" s="5">
        <f t="shared" ref="V55:V57" si="45">IF(T$12=0,0,T55/T$12)</f>
        <v>0</v>
      </c>
      <c r="W55" s="1"/>
      <c r="X55" s="1">
        <f t="shared" ref="X55:X57" si="46">+P55-T55</f>
        <v>-1014.3600000000006</v>
      </c>
      <c r="Y55" s="1"/>
      <c r="Z55" s="5">
        <f t="shared" ref="Z55:Z57" si="47">IF(T55=0,0,X55/T55)</f>
        <v>-8.453000000000005E-2</v>
      </c>
    </row>
    <row r="56" spans="1:26" s="24" customFormat="1" hidden="1" outlineLevel="2" x14ac:dyDescent="0.25">
      <c r="A56" s="27"/>
      <c r="B56" s="11" t="str">
        <f>CONCATENATE("          ", "6395", " - ", "DONATION-OFF CAMPUS")</f>
        <v xml:space="preserve">          6395 - DONATION-OFF CAMPUS</v>
      </c>
      <c r="C56" s="11"/>
      <c r="D56" s="6"/>
      <c r="E56" s="2"/>
      <c r="F56" s="7">
        <f t="shared" si="40"/>
        <v>0</v>
      </c>
      <c r="G56" s="2"/>
      <c r="H56" s="6">
        <v>1000</v>
      </c>
      <c r="I56" s="2"/>
      <c r="J56" s="7">
        <f t="shared" si="41"/>
        <v>0</v>
      </c>
      <c r="K56" s="2"/>
      <c r="L56" s="6">
        <f t="shared" si="42"/>
        <v>-1000</v>
      </c>
      <c r="M56" s="2"/>
      <c r="N56" s="7">
        <f t="shared" si="43"/>
        <v>-1</v>
      </c>
      <c r="O56" s="11"/>
      <c r="P56" s="6"/>
      <c r="Q56" s="2"/>
      <c r="R56" s="7">
        <f t="shared" si="44"/>
        <v>0</v>
      </c>
      <c r="S56" s="2"/>
      <c r="T56" s="6">
        <v>12000</v>
      </c>
      <c r="U56" s="2"/>
      <c r="V56" s="7">
        <f t="shared" si="45"/>
        <v>0</v>
      </c>
      <c r="W56" s="2"/>
      <c r="X56" s="6">
        <f t="shared" si="46"/>
        <v>-12000</v>
      </c>
      <c r="Y56" s="2"/>
      <c r="Z56" s="7">
        <f t="shared" si="47"/>
        <v>-1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0</v>
      </c>
      <c r="M57" s="2"/>
      <c r="N57" s="7">
        <f t="shared" si="43"/>
        <v>0</v>
      </c>
      <c r="O57" s="11"/>
      <c r="P57" s="6">
        <v>10985.64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10985.64</v>
      </c>
      <c r="Y57" s="2"/>
      <c r="Z57" s="7">
        <f t="shared" si="47"/>
        <v>0</v>
      </c>
    </row>
    <row r="58" spans="1:26" s="26" customFormat="1" outlineLevel="1" collapsed="1" x14ac:dyDescent="0.25">
      <c r="A58" s="25"/>
      <c r="B58" s="12" t="str">
        <f>CONCATENATE("     ","Employees' Appreciation                           ")</f>
        <v xml:space="preserve">     Employees' Appreciation                           </v>
      </c>
      <c r="C58" s="12"/>
      <c r="D58" s="1">
        <f>SUM(OSRRefD22_8x_0)</f>
        <v>57</v>
      </c>
      <c r="E58" s="1"/>
      <c r="F58" s="5">
        <f t="shared" ref="F58:F70" si="48">IF(D$12=0,0,D58/D$12)</f>
        <v>0</v>
      </c>
      <c r="G58" s="1"/>
      <c r="H58" s="1">
        <f>SUM(OSRRefH22_8x_0)</f>
        <v>200</v>
      </c>
      <c r="I58" s="1"/>
      <c r="J58" s="5">
        <f t="shared" ref="J58:J70" si="49">IF(H$12=0,0,H58/H$12)</f>
        <v>0</v>
      </c>
      <c r="K58" s="1"/>
      <c r="L58" s="1">
        <f t="shared" ref="L58:L70" si="50">+D58-H58</f>
        <v>-143</v>
      </c>
      <c r="M58" s="1"/>
      <c r="N58" s="5">
        <f t="shared" ref="N58:N70" si="51">IF(H58=0,0,L58/H58)</f>
        <v>-0.71499999999999997</v>
      </c>
      <c r="O58" s="12"/>
      <c r="P58" s="1">
        <f>SUM(OSRRefP22_8x_0)</f>
        <v>1114.72</v>
      </c>
      <c r="Q58" s="1"/>
      <c r="R58" s="5">
        <f t="shared" ref="R58:R70" si="52">IF(P$12=0,0,P58/P$12)</f>
        <v>0</v>
      </c>
      <c r="S58" s="1"/>
      <c r="T58" s="1">
        <f>SUM(OSRRefT22_8x_0)</f>
        <v>2400</v>
      </c>
      <c r="U58" s="1"/>
      <c r="V58" s="5">
        <f t="shared" ref="V58:V70" si="53">IF(T$12=0,0,T58/T$12)</f>
        <v>0</v>
      </c>
      <c r="W58" s="1"/>
      <c r="X58" s="1">
        <f t="shared" ref="X58:X70" si="54">+P58-T58</f>
        <v>-1285.28</v>
      </c>
      <c r="Y58" s="1"/>
      <c r="Z58" s="5">
        <f t="shared" ref="Z58:Z70" si="55">IF(T58=0,0,X58/T58)</f>
        <v>-0.53553333333333331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6">
        <v>57</v>
      </c>
      <c r="E59" s="2"/>
      <c r="F59" s="7">
        <f t="shared" si="48"/>
        <v>0</v>
      </c>
      <c r="G59" s="2"/>
      <c r="H59" s="6">
        <v>200</v>
      </c>
      <c r="I59" s="2"/>
      <c r="J59" s="7">
        <f t="shared" si="49"/>
        <v>0</v>
      </c>
      <c r="K59" s="2"/>
      <c r="L59" s="6">
        <f t="shared" si="50"/>
        <v>-143</v>
      </c>
      <c r="M59" s="2"/>
      <c r="N59" s="7">
        <f t="shared" si="51"/>
        <v>-0.71499999999999997</v>
      </c>
      <c r="O59" s="11"/>
      <c r="P59" s="6">
        <v>1114.72</v>
      </c>
      <c r="Q59" s="2"/>
      <c r="R59" s="7">
        <f t="shared" si="52"/>
        <v>0</v>
      </c>
      <c r="S59" s="2"/>
      <c r="T59" s="6">
        <v>2400</v>
      </c>
      <c r="U59" s="2"/>
      <c r="V59" s="7">
        <f t="shared" si="53"/>
        <v>0</v>
      </c>
      <c r="W59" s="2"/>
      <c r="X59" s="6">
        <f t="shared" si="54"/>
        <v>-1285.28</v>
      </c>
      <c r="Y59" s="2"/>
      <c r="Z59" s="7">
        <f t="shared" si="55"/>
        <v>-0.53553333333333331</v>
      </c>
    </row>
    <row r="60" spans="1:26" s="26" customFormat="1" outlineLevel="1" collapsed="1" x14ac:dyDescent="0.25">
      <c r="A60" s="25"/>
      <c r="B60" s="12" t="str">
        <f>CONCATENATE("     ","Equipment Rental                                  ")</f>
        <v xml:space="preserve">     Equipment Rental                                  </v>
      </c>
      <c r="C60" s="12"/>
      <c r="D60" s="1">
        <f>SUM(OSRRefD22_9x_0)</f>
        <v>0</v>
      </c>
      <c r="E60" s="1"/>
      <c r="F60" s="5">
        <f t="shared" si="48"/>
        <v>0</v>
      </c>
      <c r="G60" s="1"/>
      <c r="H60" s="1">
        <f>SUM(OSRRefH22_9x_0)</f>
        <v>0</v>
      </c>
      <c r="I60" s="1"/>
      <c r="J60" s="5">
        <f t="shared" si="49"/>
        <v>0</v>
      </c>
      <c r="K60" s="1"/>
      <c r="L60" s="1">
        <f t="shared" si="50"/>
        <v>0</v>
      </c>
      <c r="M60" s="1"/>
      <c r="N60" s="5">
        <f t="shared" si="51"/>
        <v>0</v>
      </c>
      <c r="O60" s="12"/>
      <c r="P60" s="1">
        <f>SUM(OSRRefP22_9x_0)</f>
        <v>299.33999999999997</v>
      </c>
      <c r="Q60" s="1"/>
      <c r="R60" s="5">
        <f t="shared" si="52"/>
        <v>0</v>
      </c>
      <c r="S60" s="1"/>
      <c r="T60" s="1">
        <f>SUM(OSRRefT22_9x_0)</f>
        <v>0</v>
      </c>
      <c r="U60" s="1"/>
      <c r="V60" s="5">
        <f t="shared" si="53"/>
        <v>0</v>
      </c>
      <c r="W60" s="1"/>
      <c r="X60" s="1">
        <f t="shared" si="54"/>
        <v>299.33999999999997</v>
      </c>
      <c r="Y60" s="1"/>
      <c r="Z60" s="5">
        <f t="shared" si="55"/>
        <v>0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6"/>
      <c r="E61" s="2"/>
      <c r="F61" s="7">
        <f t="shared" si="48"/>
        <v>0</v>
      </c>
      <c r="G61" s="2"/>
      <c r="H61" s="6"/>
      <c r="I61" s="2"/>
      <c r="J61" s="7">
        <f t="shared" si="49"/>
        <v>0</v>
      </c>
      <c r="K61" s="2"/>
      <c r="L61" s="6">
        <f t="shared" si="50"/>
        <v>0</v>
      </c>
      <c r="M61" s="2"/>
      <c r="N61" s="7">
        <f t="shared" si="51"/>
        <v>0</v>
      </c>
      <c r="O61" s="11"/>
      <c r="P61" s="6">
        <v>299.33999999999997</v>
      </c>
      <c r="Q61" s="2"/>
      <c r="R61" s="7">
        <f t="shared" si="52"/>
        <v>0</v>
      </c>
      <c r="S61" s="2"/>
      <c r="T61" s="6"/>
      <c r="U61" s="2"/>
      <c r="V61" s="7">
        <f t="shared" si="53"/>
        <v>0</v>
      </c>
      <c r="W61" s="2"/>
      <c r="X61" s="6">
        <f t="shared" si="54"/>
        <v>299.33999999999997</v>
      </c>
      <c r="Y61" s="2"/>
      <c r="Z61" s="7">
        <f t="shared" si="55"/>
        <v>0</v>
      </c>
    </row>
    <row r="62" spans="1:26" s="26" customFormat="1" outlineLevel="1" collapsed="1" x14ac:dyDescent="0.25">
      <c r="A62" s="25"/>
      <c r="B62" s="12" t="str">
        <f>CONCATENATE("     ","Freight out/Postage                               ")</f>
        <v xml:space="preserve">     Freight out/Postage                               </v>
      </c>
      <c r="C62" s="12"/>
      <c r="D62" s="1">
        <f>SUM(OSRRefD22_10x_0)</f>
        <v>173.67</v>
      </c>
      <c r="E62" s="1"/>
      <c r="F62" s="5">
        <f t="shared" si="48"/>
        <v>0</v>
      </c>
      <c r="G62" s="1"/>
      <c r="H62" s="1">
        <f>SUM(OSRRefH22_10x_0)</f>
        <v>30</v>
      </c>
      <c r="I62" s="1"/>
      <c r="J62" s="5">
        <f t="shared" si="49"/>
        <v>0</v>
      </c>
      <c r="K62" s="1"/>
      <c r="L62" s="1">
        <f t="shared" si="50"/>
        <v>143.66999999999999</v>
      </c>
      <c r="M62" s="1"/>
      <c r="N62" s="5">
        <f t="shared" si="51"/>
        <v>4.7889999999999997</v>
      </c>
      <c r="O62" s="12"/>
      <c r="P62" s="1">
        <f>SUM(OSRRefP22_10x_0)</f>
        <v>202.67</v>
      </c>
      <c r="Q62" s="1"/>
      <c r="R62" s="5">
        <f t="shared" si="52"/>
        <v>0</v>
      </c>
      <c r="S62" s="1"/>
      <c r="T62" s="1">
        <f>SUM(OSRRefT22_10x_0)</f>
        <v>360</v>
      </c>
      <c r="U62" s="1"/>
      <c r="V62" s="5">
        <f t="shared" si="53"/>
        <v>0</v>
      </c>
      <c r="W62" s="1"/>
      <c r="X62" s="1">
        <f t="shared" si="54"/>
        <v>-157.33000000000001</v>
      </c>
      <c r="Y62" s="1"/>
      <c r="Z62" s="5">
        <f t="shared" si="55"/>
        <v>-0.43702777777777779</v>
      </c>
    </row>
    <row r="63" spans="1:26" s="24" customFormat="1" hidden="1" outlineLevel="2" x14ac:dyDescent="0.25">
      <c r="A63" s="27"/>
      <c r="B63" s="11" t="str">
        <f>CONCATENATE("          ", "6307", " - ", "POSTAGE")</f>
        <v xml:space="preserve">          6307 - POSTAGE</v>
      </c>
      <c r="C63" s="11"/>
      <c r="D63" s="6">
        <v>173.67</v>
      </c>
      <c r="E63" s="2"/>
      <c r="F63" s="7">
        <f t="shared" si="48"/>
        <v>0</v>
      </c>
      <c r="G63" s="2"/>
      <c r="H63" s="6">
        <v>30</v>
      </c>
      <c r="I63" s="2"/>
      <c r="J63" s="7">
        <f t="shared" si="49"/>
        <v>0</v>
      </c>
      <c r="K63" s="2"/>
      <c r="L63" s="6">
        <f t="shared" si="50"/>
        <v>143.66999999999999</v>
      </c>
      <c r="M63" s="2"/>
      <c r="N63" s="7">
        <f t="shared" si="51"/>
        <v>4.7889999999999997</v>
      </c>
      <c r="O63" s="11"/>
      <c r="P63" s="6">
        <v>202.67</v>
      </c>
      <c r="Q63" s="2"/>
      <c r="R63" s="7">
        <f t="shared" si="52"/>
        <v>0</v>
      </c>
      <c r="S63" s="2"/>
      <c r="T63" s="6">
        <v>360</v>
      </c>
      <c r="U63" s="2"/>
      <c r="V63" s="7">
        <f t="shared" si="53"/>
        <v>0</v>
      </c>
      <c r="W63" s="2"/>
      <c r="X63" s="6">
        <f t="shared" si="54"/>
        <v>-157.33000000000001</v>
      </c>
      <c r="Y63" s="2"/>
      <c r="Z63" s="7">
        <f t="shared" si="55"/>
        <v>-0.43702777777777779</v>
      </c>
    </row>
    <row r="64" spans="1:26" s="26" customFormat="1" outlineLevel="1" collapsed="1" x14ac:dyDescent="0.25">
      <c r="A64" s="25"/>
      <c r="B64" s="12" t="str">
        <f>CONCATENATE("     ","General                                           ")</f>
        <v xml:space="preserve">     General                                           </v>
      </c>
      <c r="C64" s="12"/>
      <c r="D64" s="1">
        <f>SUM(OSRRefD22_11x_0)</f>
        <v>0</v>
      </c>
      <c r="E64" s="1"/>
      <c r="F64" s="5">
        <f t="shared" si="48"/>
        <v>0</v>
      </c>
      <c r="G64" s="1"/>
      <c r="H64" s="1">
        <f>SUM(OSRRefH22_11x_0)</f>
        <v>100</v>
      </c>
      <c r="I64" s="1"/>
      <c r="J64" s="5">
        <f t="shared" si="49"/>
        <v>0</v>
      </c>
      <c r="K64" s="1"/>
      <c r="L64" s="1">
        <f t="shared" si="50"/>
        <v>-100</v>
      </c>
      <c r="M64" s="1"/>
      <c r="N64" s="5">
        <f t="shared" si="51"/>
        <v>-1</v>
      </c>
      <c r="O64" s="12"/>
      <c r="P64" s="1">
        <f>SUM(OSRRefP22_11x_0)</f>
        <v>-11754.76</v>
      </c>
      <c r="Q64" s="1"/>
      <c r="R64" s="5">
        <f t="shared" si="52"/>
        <v>0</v>
      </c>
      <c r="S64" s="1"/>
      <c r="T64" s="1">
        <f>SUM(OSRRefT22_11x_0)</f>
        <v>1200</v>
      </c>
      <c r="U64" s="1"/>
      <c r="V64" s="5">
        <f t="shared" si="53"/>
        <v>0</v>
      </c>
      <c r="W64" s="1"/>
      <c r="X64" s="1">
        <f t="shared" si="54"/>
        <v>-12954.76</v>
      </c>
      <c r="Y64" s="1"/>
      <c r="Z64" s="5">
        <f t="shared" si="55"/>
        <v>-10.795633333333333</v>
      </c>
    </row>
    <row r="65" spans="1:26" s="24" customFormat="1" hidden="1" outlineLevel="2" x14ac:dyDescent="0.25">
      <c r="A65" s="27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48"/>
        <v>0</v>
      </c>
      <c r="G65" s="2"/>
      <c r="H65" s="6">
        <v>100</v>
      </c>
      <c r="I65" s="2"/>
      <c r="J65" s="7">
        <f t="shared" si="49"/>
        <v>0</v>
      </c>
      <c r="K65" s="2"/>
      <c r="L65" s="6">
        <f t="shared" si="50"/>
        <v>-100</v>
      </c>
      <c r="M65" s="2"/>
      <c r="N65" s="7">
        <f t="shared" si="51"/>
        <v>-1</v>
      </c>
      <c r="O65" s="11"/>
      <c r="P65" s="6">
        <v>-11754.76</v>
      </c>
      <c r="Q65" s="2"/>
      <c r="R65" s="7">
        <f t="shared" si="52"/>
        <v>0</v>
      </c>
      <c r="S65" s="2"/>
      <c r="T65" s="6">
        <v>1200</v>
      </c>
      <c r="U65" s="2"/>
      <c r="V65" s="7">
        <f t="shared" si="53"/>
        <v>0</v>
      </c>
      <c r="W65" s="2"/>
      <c r="X65" s="6">
        <f t="shared" si="54"/>
        <v>-12954.76</v>
      </c>
      <c r="Y65" s="2"/>
      <c r="Z65" s="7">
        <f t="shared" si="55"/>
        <v>-10.795633333333333</v>
      </c>
    </row>
    <row r="66" spans="1:26" s="26" customFormat="1" outlineLevel="1" collapsed="1" x14ac:dyDescent="0.25">
      <c r="A66" s="25"/>
      <c r="B66" s="12" t="str">
        <f>CONCATENATE("     ","Insurance                                         ")</f>
        <v xml:space="preserve">     Insurance                                         </v>
      </c>
      <c r="C66" s="12"/>
      <c r="D66" s="1">
        <f>SUM(OSRRefD22_12x_0)</f>
        <v>3883.56</v>
      </c>
      <c r="E66" s="1"/>
      <c r="F66" s="5">
        <f t="shared" si="48"/>
        <v>0</v>
      </c>
      <c r="G66" s="1"/>
      <c r="H66" s="1">
        <f>SUM(OSRRefH22_12x_0)</f>
        <v>3660</v>
      </c>
      <c r="I66" s="1"/>
      <c r="J66" s="5">
        <f t="shared" si="49"/>
        <v>0</v>
      </c>
      <c r="K66" s="1"/>
      <c r="L66" s="1">
        <f t="shared" si="50"/>
        <v>223.55999999999995</v>
      </c>
      <c r="M66" s="1"/>
      <c r="N66" s="5">
        <f t="shared" si="51"/>
        <v>6.1081967213114742E-2</v>
      </c>
      <c r="O66" s="12"/>
      <c r="P66" s="1">
        <f>SUM(OSRRefP22_12x_0)</f>
        <v>46602.720000000001</v>
      </c>
      <c r="Q66" s="1"/>
      <c r="R66" s="5">
        <f t="shared" si="52"/>
        <v>0</v>
      </c>
      <c r="S66" s="1"/>
      <c r="T66" s="1">
        <f>SUM(OSRRefT22_12x_0)</f>
        <v>43920</v>
      </c>
      <c r="U66" s="1"/>
      <c r="V66" s="5">
        <f t="shared" si="53"/>
        <v>0</v>
      </c>
      <c r="W66" s="1"/>
      <c r="X66" s="1">
        <f t="shared" si="54"/>
        <v>2682.7200000000012</v>
      </c>
      <c r="Y66" s="1"/>
      <c r="Z66" s="5">
        <f t="shared" si="55"/>
        <v>6.1081967213114784E-2</v>
      </c>
    </row>
    <row r="67" spans="1:26" s="24" customFormat="1" hidden="1" outlineLevel="2" x14ac:dyDescent="0.25">
      <c r="A67" s="27"/>
      <c r="B67" s="11" t="str">
        <f>CONCATENATE("          ", "6314", " - ", "LIABILITY INSURANCE")</f>
        <v xml:space="preserve">          6314 - LIABILITY INSURANCE</v>
      </c>
      <c r="C67" s="11"/>
      <c r="D67" s="6">
        <v>3883.56</v>
      </c>
      <c r="E67" s="2"/>
      <c r="F67" s="7">
        <f t="shared" si="48"/>
        <v>0</v>
      </c>
      <c r="G67" s="2"/>
      <c r="H67" s="6">
        <v>3660</v>
      </c>
      <c r="I67" s="2"/>
      <c r="J67" s="7">
        <f t="shared" si="49"/>
        <v>0</v>
      </c>
      <c r="K67" s="2"/>
      <c r="L67" s="6">
        <f t="shared" si="50"/>
        <v>223.55999999999995</v>
      </c>
      <c r="M67" s="2"/>
      <c r="N67" s="7">
        <f t="shared" si="51"/>
        <v>6.1081967213114742E-2</v>
      </c>
      <c r="O67" s="11"/>
      <c r="P67" s="6">
        <v>46602.720000000001</v>
      </c>
      <c r="Q67" s="2"/>
      <c r="R67" s="7">
        <f t="shared" si="52"/>
        <v>0</v>
      </c>
      <c r="S67" s="2"/>
      <c r="T67" s="6">
        <v>43920</v>
      </c>
      <c r="U67" s="2"/>
      <c r="V67" s="7">
        <f t="shared" si="53"/>
        <v>0</v>
      </c>
      <c r="W67" s="2"/>
      <c r="X67" s="6">
        <f t="shared" si="54"/>
        <v>2682.7200000000012</v>
      </c>
      <c r="Y67" s="2"/>
      <c r="Z67" s="7">
        <f t="shared" si="55"/>
        <v>6.1081967213114784E-2</v>
      </c>
    </row>
    <row r="68" spans="1:26" s="26" customFormat="1" outlineLevel="1" collapsed="1" x14ac:dyDescent="0.25">
      <c r="A68" s="25"/>
      <c r="B68" s="12" t="str">
        <f>CONCATENATE("     ","Inventory Adjustment                              ")</f>
        <v xml:space="preserve">     Inventory Adjustment                              </v>
      </c>
      <c r="C68" s="12"/>
      <c r="D68" s="1">
        <f>SUM(OSRRefD22_13x_0)</f>
        <v>-99781</v>
      </c>
      <c r="E68" s="1"/>
      <c r="F68" s="5">
        <f t="shared" si="48"/>
        <v>0</v>
      </c>
      <c r="G68" s="1"/>
      <c r="H68" s="1">
        <f>SUM(OSRRefH22_13x_0)</f>
        <v>0</v>
      </c>
      <c r="I68" s="1"/>
      <c r="J68" s="5">
        <f t="shared" si="49"/>
        <v>0</v>
      </c>
      <c r="K68" s="1"/>
      <c r="L68" s="1">
        <f t="shared" si="50"/>
        <v>-99781</v>
      </c>
      <c r="M68" s="1"/>
      <c r="N68" s="5">
        <f t="shared" si="51"/>
        <v>0</v>
      </c>
      <c r="O68" s="12"/>
      <c r="P68" s="1">
        <f>SUM(OSRRefP22_13x_0)</f>
        <v>-99781</v>
      </c>
      <c r="Q68" s="1"/>
      <c r="R68" s="5">
        <f t="shared" si="52"/>
        <v>0</v>
      </c>
      <c r="S68" s="1"/>
      <c r="T68" s="1">
        <f>SUM(OSRRefT22_13x_0)</f>
        <v>0</v>
      </c>
      <c r="U68" s="1"/>
      <c r="V68" s="5">
        <f t="shared" si="53"/>
        <v>0</v>
      </c>
      <c r="W68" s="1"/>
      <c r="X68" s="1">
        <f t="shared" si="54"/>
        <v>-99781</v>
      </c>
      <c r="Y68" s="1"/>
      <c r="Z68" s="5">
        <f t="shared" si="55"/>
        <v>0</v>
      </c>
    </row>
    <row r="69" spans="1:26" s="24" customFormat="1" hidden="1" outlineLevel="2" x14ac:dyDescent="0.25">
      <c r="A69" s="27"/>
      <c r="B69" s="11" t="str">
        <f>CONCATENATE("          ", "6408", " - ", "INVENTORY ADJUSTMENT")</f>
        <v xml:space="preserve">          6408 - INVENTORY ADJUSTMENT</v>
      </c>
      <c r="C69" s="11"/>
      <c r="D69" s="6"/>
      <c r="E69" s="2"/>
      <c r="F69" s="7">
        <f t="shared" si="48"/>
        <v>0</v>
      </c>
      <c r="G69" s="2"/>
      <c r="H69" s="6">
        <v>0</v>
      </c>
      <c r="I69" s="2"/>
      <c r="J69" s="7">
        <f t="shared" si="49"/>
        <v>0</v>
      </c>
      <c r="K69" s="2"/>
      <c r="L69" s="6">
        <f t="shared" si="50"/>
        <v>0</v>
      </c>
      <c r="M69" s="2"/>
      <c r="N69" s="7">
        <f t="shared" si="51"/>
        <v>0</v>
      </c>
      <c r="O69" s="11"/>
      <c r="P69" s="6"/>
      <c r="Q69" s="2"/>
      <c r="R69" s="7">
        <f t="shared" si="52"/>
        <v>0</v>
      </c>
      <c r="S69" s="2"/>
      <c r="T69" s="6">
        <v>0</v>
      </c>
      <c r="U69" s="2"/>
      <c r="V69" s="7">
        <f t="shared" si="53"/>
        <v>0</v>
      </c>
      <c r="W69" s="2"/>
      <c r="X69" s="6">
        <f t="shared" si="54"/>
        <v>0</v>
      </c>
      <c r="Y69" s="2"/>
      <c r="Z69" s="7">
        <f t="shared" si="55"/>
        <v>0</v>
      </c>
    </row>
    <row r="70" spans="1:26" s="24" customFormat="1" hidden="1" outlineLevel="2" x14ac:dyDescent="0.25">
      <c r="A70" s="27"/>
      <c r="B70" s="11" t="str">
        <f>CONCATENATE("          ", "7700", " - ", "INV. SHRINKAGE @ RETAIL-CONTRA")</f>
        <v xml:space="preserve">          7700 - INV. SHRINKAGE @ RETAIL-CONTRA</v>
      </c>
      <c r="C70" s="11"/>
      <c r="D70" s="6">
        <v>-99781</v>
      </c>
      <c r="E70" s="2"/>
      <c r="F70" s="7">
        <f t="shared" si="48"/>
        <v>0</v>
      </c>
      <c r="G70" s="2"/>
      <c r="H70" s="6"/>
      <c r="I70" s="2"/>
      <c r="J70" s="7">
        <f t="shared" si="49"/>
        <v>0</v>
      </c>
      <c r="K70" s="2"/>
      <c r="L70" s="6">
        <f t="shared" si="50"/>
        <v>-99781</v>
      </c>
      <c r="M70" s="2"/>
      <c r="N70" s="7">
        <f t="shared" si="51"/>
        <v>0</v>
      </c>
      <c r="O70" s="11"/>
      <c r="P70" s="6">
        <v>-99781</v>
      </c>
      <c r="Q70" s="2"/>
      <c r="R70" s="7">
        <f t="shared" si="52"/>
        <v>0</v>
      </c>
      <c r="S70" s="2"/>
      <c r="T70" s="6"/>
      <c r="U70" s="2"/>
      <c r="V70" s="7">
        <f t="shared" si="53"/>
        <v>0</v>
      </c>
      <c r="W70" s="2"/>
      <c r="X70" s="6">
        <f t="shared" si="54"/>
        <v>-99781</v>
      </c>
      <c r="Y70" s="2"/>
      <c r="Z70" s="7">
        <f t="shared" si="55"/>
        <v>0</v>
      </c>
    </row>
    <row r="71" spans="1:26" s="26" customFormat="1" outlineLevel="1" collapsed="1" x14ac:dyDescent="0.25">
      <c r="A71" s="25"/>
      <c r="B71" s="12" t="str">
        <f>CONCATENATE("     ","Professional Services                             ")</f>
        <v xml:space="preserve">     Professional Services                             </v>
      </c>
      <c r="C71" s="12"/>
      <c r="D71" s="1">
        <f>SUM(OSRRefD22_14x_0)</f>
        <v>6675.57</v>
      </c>
      <c r="E71" s="1"/>
      <c r="F71" s="5">
        <f t="shared" ref="F71:F79" si="56">IF(D$12=0,0,D71/D$12)</f>
        <v>0</v>
      </c>
      <c r="G71" s="1"/>
      <c r="H71" s="1">
        <f>SUM(OSRRefH22_14x_0)</f>
        <v>900</v>
      </c>
      <c r="I71" s="1"/>
      <c r="J71" s="5">
        <f t="shared" ref="J71:J79" si="57">IF(H$12=0,0,H71/H$12)</f>
        <v>0</v>
      </c>
      <c r="K71" s="1"/>
      <c r="L71" s="1">
        <f t="shared" ref="L71:L79" si="58">+D71-H71</f>
        <v>5775.57</v>
      </c>
      <c r="M71" s="1"/>
      <c r="N71" s="5">
        <f t="shared" ref="N71:N79" si="59">IF(H71=0,0,L71/H71)</f>
        <v>6.4173</v>
      </c>
      <c r="O71" s="12"/>
      <c r="P71" s="1">
        <f>SUM(OSRRefP22_14x_0)</f>
        <v>11333.98</v>
      </c>
      <c r="Q71" s="1"/>
      <c r="R71" s="5">
        <f t="shared" ref="R71:R79" si="60">IF(P$12=0,0,P71/P$12)</f>
        <v>0</v>
      </c>
      <c r="S71" s="1"/>
      <c r="T71" s="1">
        <f>SUM(OSRRefT22_14x_0)</f>
        <v>10800</v>
      </c>
      <c r="U71" s="1"/>
      <c r="V71" s="5">
        <f t="shared" ref="V71:V79" si="61">IF(T$12=0,0,T71/T$12)</f>
        <v>0</v>
      </c>
      <c r="W71" s="1"/>
      <c r="X71" s="1">
        <f t="shared" ref="X71:X79" si="62">+P71-T71</f>
        <v>533.97999999999956</v>
      </c>
      <c r="Y71" s="1"/>
      <c r="Z71" s="5">
        <f t="shared" ref="Z71:Z79" si="63">IF(T71=0,0,X71/T71)</f>
        <v>4.9442592592592552E-2</v>
      </c>
    </row>
    <row r="72" spans="1:26" s="24" customFormat="1" hidden="1" outlineLevel="2" x14ac:dyDescent="0.25">
      <c r="A72" s="27"/>
      <c r="B72" s="11" t="str">
        <f>CONCATENATE("          ", "6336", " - ", "PROFESSIONAL SERVICES")</f>
        <v xml:space="preserve">          6336 - PROFESSIONAL SERVICES</v>
      </c>
      <c r="C72" s="11"/>
      <c r="D72" s="6">
        <v>6675.57</v>
      </c>
      <c r="E72" s="2"/>
      <c r="F72" s="7">
        <f t="shared" si="56"/>
        <v>0</v>
      </c>
      <c r="G72" s="2"/>
      <c r="H72" s="6">
        <v>900</v>
      </c>
      <c r="I72" s="2"/>
      <c r="J72" s="7">
        <f t="shared" si="57"/>
        <v>0</v>
      </c>
      <c r="K72" s="2"/>
      <c r="L72" s="6">
        <f t="shared" si="58"/>
        <v>5775.57</v>
      </c>
      <c r="M72" s="2"/>
      <c r="N72" s="7">
        <f t="shared" si="59"/>
        <v>6.4173</v>
      </c>
      <c r="O72" s="11"/>
      <c r="P72" s="6">
        <v>11333.98</v>
      </c>
      <c r="Q72" s="2"/>
      <c r="R72" s="7">
        <f t="shared" si="60"/>
        <v>0</v>
      </c>
      <c r="S72" s="2"/>
      <c r="T72" s="6">
        <v>10800</v>
      </c>
      <c r="U72" s="2"/>
      <c r="V72" s="7">
        <f t="shared" si="61"/>
        <v>0</v>
      </c>
      <c r="W72" s="2"/>
      <c r="X72" s="6">
        <f t="shared" si="62"/>
        <v>533.97999999999956</v>
      </c>
      <c r="Y72" s="2"/>
      <c r="Z72" s="7">
        <f t="shared" si="63"/>
        <v>4.9442592592592552E-2</v>
      </c>
    </row>
    <row r="73" spans="1:26" s="26" customFormat="1" outlineLevel="1" collapsed="1" x14ac:dyDescent="0.25">
      <c r="A73" s="25"/>
      <c r="B73" s="12" t="str">
        <f>CONCATENATE("     ","Rent                                              ")</f>
        <v xml:space="preserve">     Rent                                              </v>
      </c>
      <c r="C73" s="12"/>
      <c r="D73" s="1">
        <f>SUM(OSRRefD22_15x_0)</f>
        <v>-800</v>
      </c>
      <c r="E73" s="1"/>
      <c r="F73" s="5">
        <f t="shared" si="56"/>
        <v>0</v>
      </c>
      <c r="G73" s="1"/>
      <c r="H73" s="1">
        <f>SUM(OSRRefH22_15x_0)</f>
        <v>-800</v>
      </c>
      <c r="I73" s="1"/>
      <c r="J73" s="5">
        <f t="shared" si="57"/>
        <v>0</v>
      </c>
      <c r="K73" s="1"/>
      <c r="L73" s="1">
        <f t="shared" si="58"/>
        <v>0</v>
      </c>
      <c r="M73" s="1"/>
      <c r="N73" s="5">
        <f t="shared" si="59"/>
        <v>0</v>
      </c>
      <c r="O73" s="12"/>
      <c r="P73" s="1">
        <f>SUM(OSRRefP22_15x_0)</f>
        <v>-8000</v>
      </c>
      <c r="Q73" s="1"/>
      <c r="R73" s="5">
        <f t="shared" si="60"/>
        <v>0</v>
      </c>
      <c r="S73" s="1"/>
      <c r="T73" s="1">
        <f>SUM(OSRRefT22_15x_0)</f>
        <v>-9600</v>
      </c>
      <c r="U73" s="1"/>
      <c r="V73" s="5">
        <f t="shared" si="61"/>
        <v>0</v>
      </c>
      <c r="W73" s="1"/>
      <c r="X73" s="1">
        <f t="shared" si="62"/>
        <v>1600</v>
      </c>
      <c r="Y73" s="1"/>
      <c r="Z73" s="5">
        <f t="shared" si="63"/>
        <v>-0.16666666666666666</v>
      </c>
    </row>
    <row r="74" spans="1:26" s="24" customFormat="1" hidden="1" outlineLevel="2" x14ac:dyDescent="0.25">
      <c r="A74" s="27"/>
      <c r="B74" s="11" t="str">
        <f>CONCATENATE("          ", "6273", " - ", "RENT")</f>
        <v xml:space="preserve">          6273 - RENT</v>
      </c>
      <c r="C74" s="11"/>
      <c r="D74" s="6">
        <v>-800</v>
      </c>
      <c r="E74" s="2"/>
      <c r="F74" s="7">
        <f t="shared" si="56"/>
        <v>0</v>
      </c>
      <c r="G74" s="2"/>
      <c r="H74" s="6">
        <v>-800</v>
      </c>
      <c r="I74" s="2"/>
      <c r="J74" s="7">
        <f t="shared" si="57"/>
        <v>0</v>
      </c>
      <c r="K74" s="2"/>
      <c r="L74" s="6">
        <f t="shared" si="58"/>
        <v>0</v>
      </c>
      <c r="M74" s="2"/>
      <c r="N74" s="7">
        <f t="shared" si="59"/>
        <v>0</v>
      </c>
      <c r="O74" s="11"/>
      <c r="P74" s="6">
        <v>-8000</v>
      </c>
      <c r="Q74" s="2"/>
      <c r="R74" s="7">
        <f t="shared" si="60"/>
        <v>0</v>
      </c>
      <c r="S74" s="2"/>
      <c r="T74" s="6">
        <v>-9600</v>
      </c>
      <c r="U74" s="2"/>
      <c r="V74" s="7">
        <f t="shared" si="61"/>
        <v>0</v>
      </c>
      <c r="W74" s="2"/>
      <c r="X74" s="6">
        <f t="shared" si="62"/>
        <v>1600</v>
      </c>
      <c r="Y74" s="2"/>
      <c r="Z74" s="7">
        <f t="shared" si="63"/>
        <v>-0.16666666666666666</v>
      </c>
    </row>
    <row r="75" spans="1:26" s="26" customFormat="1" outlineLevel="1" collapsed="1" x14ac:dyDescent="0.25">
      <c r="A75" s="25"/>
      <c r="B75" s="12" t="str">
        <f>CONCATENATE("     ","Repair and Maintenance                            ")</f>
        <v xml:space="preserve">     Repair and Maintenance                            </v>
      </c>
      <c r="C75" s="12"/>
      <c r="D75" s="1">
        <f>SUM(OSRRefD22_16x_0)</f>
        <v>5878.92</v>
      </c>
      <c r="E75" s="1"/>
      <c r="F75" s="5">
        <f t="shared" si="56"/>
        <v>0</v>
      </c>
      <c r="G75" s="1"/>
      <c r="H75" s="1">
        <f>SUM(OSRRefH22_16x_0)</f>
        <v>7000</v>
      </c>
      <c r="I75" s="1"/>
      <c r="J75" s="5">
        <f t="shared" si="57"/>
        <v>0</v>
      </c>
      <c r="K75" s="1"/>
      <c r="L75" s="1">
        <f t="shared" si="58"/>
        <v>-1121.08</v>
      </c>
      <c r="M75" s="1"/>
      <c r="N75" s="5">
        <f t="shared" si="59"/>
        <v>-0.16015428571428569</v>
      </c>
      <c r="O75" s="12"/>
      <c r="P75" s="1">
        <f>SUM(OSRRefP22_16x_0)</f>
        <v>71633.09</v>
      </c>
      <c r="Q75" s="1"/>
      <c r="R75" s="5">
        <f t="shared" si="60"/>
        <v>0</v>
      </c>
      <c r="S75" s="1"/>
      <c r="T75" s="1">
        <f>SUM(OSRRefT22_16x_0)</f>
        <v>126285</v>
      </c>
      <c r="U75" s="1"/>
      <c r="V75" s="5">
        <f t="shared" si="61"/>
        <v>0</v>
      </c>
      <c r="W75" s="1"/>
      <c r="X75" s="1">
        <f t="shared" si="62"/>
        <v>-54651.91</v>
      </c>
      <c r="Y75" s="1"/>
      <c r="Z75" s="5">
        <f t="shared" si="63"/>
        <v>-0.43276644098665717</v>
      </c>
    </row>
    <row r="76" spans="1:26" s="24" customFormat="1" hidden="1" outlineLevel="2" x14ac:dyDescent="0.25">
      <c r="A76" s="27"/>
      <c r="B76" s="11" t="str">
        <f>CONCATENATE("          ", "6371", " - ", "COMPUTER SOFTWARE MAINTENANCE")</f>
        <v xml:space="preserve">          6371 - COMPUTER SOFTWARE MAINTENANCE</v>
      </c>
      <c r="C76" s="11"/>
      <c r="D76" s="6">
        <v>631.04999999999995</v>
      </c>
      <c r="E76" s="2"/>
      <c r="F76" s="7">
        <f t="shared" si="56"/>
        <v>0</v>
      </c>
      <c r="G76" s="2"/>
      <c r="H76" s="6"/>
      <c r="I76" s="2"/>
      <c r="J76" s="7">
        <f t="shared" si="57"/>
        <v>0</v>
      </c>
      <c r="K76" s="2"/>
      <c r="L76" s="6">
        <f t="shared" si="58"/>
        <v>631.04999999999995</v>
      </c>
      <c r="M76" s="2"/>
      <c r="N76" s="7">
        <f t="shared" si="59"/>
        <v>0</v>
      </c>
      <c r="O76" s="11"/>
      <c r="P76" s="6">
        <v>17048.550000000003</v>
      </c>
      <c r="Q76" s="2"/>
      <c r="R76" s="7">
        <f t="shared" si="60"/>
        <v>0</v>
      </c>
      <c r="S76" s="2"/>
      <c r="T76" s="6">
        <v>48535</v>
      </c>
      <c r="U76" s="2"/>
      <c r="V76" s="7">
        <f t="shared" si="61"/>
        <v>0</v>
      </c>
      <c r="W76" s="2"/>
      <c r="X76" s="6">
        <f t="shared" si="62"/>
        <v>-31486.449999999997</v>
      </c>
      <c r="Y76" s="2"/>
      <c r="Z76" s="7">
        <f t="shared" si="63"/>
        <v>-0.64873699392191198</v>
      </c>
    </row>
    <row r="77" spans="1:26" s="24" customFormat="1" hidden="1" outlineLevel="2" x14ac:dyDescent="0.25">
      <c r="A77" s="27"/>
      <c r="B77" s="11" t="str">
        <f>CONCATENATE("          ", "6372", " - ", "COMPUTER HARDWARE MAINTENANCE")</f>
        <v xml:space="preserve">          6372 - COMPUTER HARDWARE MAINTENANCE</v>
      </c>
      <c r="C77" s="11"/>
      <c r="D77" s="6">
        <v>-2</v>
      </c>
      <c r="E77" s="2"/>
      <c r="F77" s="7">
        <f t="shared" si="56"/>
        <v>0</v>
      </c>
      <c r="G77" s="2"/>
      <c r="H77" s="6"/>
      <c r="I77" s="2"/>
      <c r="J77" s="7">
        <f t="shared" si="57"/>
        <v>0</v>
      </c>
      <c r="K77" s="2"/>
      <c r="L77" s="6">
        <f t="shared" si="58"/>
        <v>-2</v>
      </c>
      <c r="M77" s="2"/>
      <c r="N77" s="7">
        <f t="shared" si="59"/>
        <v>0</v>
      </c>
      <c r="O77" s="11"/>
      <c r="P77" s="6">
        <v>50.32</v>
      </c>
      <c r="Q77" s="2"/>
      <c r="R77" s="7">
        <f t="shared" si="60"/>
        <v>0</v>
      </c>
      <c r="S77" s="2"/>
      <c r="T77" s="6"/>
      <c r="U77" s="2"/>
      <c r="V77" s="7">
        <f t="shared" si="61"/>
        <v>0</v>
      </c>
      <c r="W77" s="2"/>
      <c r="X77" s="6">
        <f t="shared" si="62"/>
        <v>50.32</v>
      </c>
      <c r="Y77" s="2"/>
      <c r="Z77" s="7">
        <f t="shared" si="63"/>
        <v>0</v>
      </c>
    </row>
    <row r="78" spans="1:26" s="24" customFormat="1" hidden="1" outlineLevel="2" x14ac:dyDescent="0.25">
      <c r="A78" s="27"/>
      <c r="B78" s="11" t="str">
        <f>CONCATENATE("          ", "6373", " - ", "MAINTENANCE CONTRACTS")</f>
        <v xml:space="preserve">          6373 - MAINTENANCE CONTRACTS</v>
      </c>
      <c r="C78" s="11"/>
      <c r="D78" s="6">
        <v>3596.58</v>
      </c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3596.58</v>
      </c>
      <c r="M78" s="2"/>
      <c r="N78" s="7">
        <f t="shared" si="59"/>
        <v>0</v>
      </c>
      <c r="O78" s="11"/>
      <c r="P78" s="6">
        <v>16291.630000000001</v>
      </c>
      <c r="Q78" s="2"/>
      <c r="R78" s="7">
        <f t="shared" si="60"/>
        <v>0</v>
      </c>
      <c r="S78" s="2"/>
      <c r="T78" s="6"/>
      <c r="U78" s="2"/>
      <c r="V78" s="7">
        <f t="shared" si="61"/>
        <v>0</v>
      </c>
      <c r="W78" s="2"/>
      <c r="X78" s="6">
        <f t="shared" si="62"/>
        <v>16291.630000000001</v>
      </c>
      <c r="Y78" s="2"/>
      <c r="Z78" s="7">
        <f t="shared" si="63"/>
        <v>0</v>
      </c>
    </row>
    <row r="79" spans="1:26" s="24" customFormat="1" hidden="1" outlineLevel="2" x14ac:dyDescent="0.25">
      <c r="A79" s="27"/>
      <c r="B79" s="11" t="str">
        <f>CONCATENATE("          ", "6375", " - ", "OUTSIDE REPAIRS &amp; MAINTENANCE")</f>
        <v xml:space="preserve">          6375 - OUTSIDE REPAIRS &amp; MAINTENANCE</v>
      </c>
      <c r="C79" s="11"/>
      <c r="D79" s="6">
        <v>1653.29</v>
      </c>
      <c r="E79" s="2"/>
      <c r="F79" s="7">
        <f t="shared" si="56"/>
        <v>0</v>
      </c>
      <c r="G79" s="2"/>
      <c r="H79" s="6">
        <v>7000</v>
      </c>
      <c r="I79" s="2"/>
      <c r="J79" s="7">
        <f t="shared" si="57"/>
        <v>0</v>
      </c>
      <c r="K79" s="2"/>
      <c r="L79" s="6">
        <f t="shared" si="58"/>
        <v>-5346.71</v>
      </c>
      <c r="M79" s="2"/>
      <c r="N79" s="7">
        <f t="shared" si="59"/>
        <v>-0.76381571428571426</v>
      </c>
      <c r="O79" s="11"/>
      <c r="P79" s="6">
        <v>38242.590000000004</v>
      </c>
      <c r="Q79" s="2"/>
      <c r="R79" s="7">
        <f t="shared" si="60"/>
        <v>0</v>
      </c>
      <c r="S79" s="2"/>
      <c r="T79" s="6">
        <v>77750</v>
      </c>
      <c r="U79" s="2"/>
      <c r="V79" s="7">
        <f t="shared" si="61"/>
        <v>0</v>
      </c>
      <c r="W79" s="2"/>
      <c r="X79" s="6">
        <f t="shared" si="62"/>
        <v>-39507.409999999996</v>
      </c>
      <c r="Y79" s="2"/>
      <c r="Z79" s="7">
        <f t="shared" si="63"/>
        <v>-0.50813389067524106</v>
      </c>
    </row>
    <row r="80" spans="1:26" s="26" customFormat="1" outlineLevel="1" collapsed="1" x14ac:dyDescent="0.25">
      <c r="A80" s="25"/>
      <c r="B80" s="12" t="str">
        <f>CONCATENATE("     ","Services                                          ")</f>
        <v xml:space="preserve">     Services                                          </v>
      </c>
      <c r="C80" s="12"/>
      <c r="D80" s="1">
        <f>SUM(OSRRefD22_17x_0)</f>
        <v>7166.0199999999995</v>
      </c>
      <c r="E80" s="1"/>
      <c r="F80" s="5">
        <f t="shared" ref="F80:F83" si="64">IF(D$12=0,0,D80/D$12)</f>
        <v>0</v>
      </c>
      <c r="G80" s="1"/>
      <c r="H80" s="1">
        <f>SUM(OSRRefH22_17x_0)</f>
        <v>4100</v>
      </c>
      <c r="I80" s="1"/>
      <c r="J80" s="5">
        <f t="shared" ref="J80:J83" si="65">IF(H$12=0,0,H80/H$12)</f>
        <v>0</v>
      </c>
      <c r="K80" s="1"/>
      <c r="L80" s="1">
        <f t="shared" ref="L80:L83" si="66">+D80-H80</f>
        <v>3066.0199999999995</v>
      </c>
      <c r="M80" s="1"/>
      <c r="N80" s="5">
        <f t="shared" ref="N80:N83" si="67">IF(H80=0,0,L80/H80)</f>
        <v>0.74780975609756084</v>
      </c>
      <c r="O80" s="12"/>
      <c r="P80" s="1">
        <f>SUM(OSRRefP22_17x_0)</f>
        <v>52755.83</v>
      </c>
      <c r="Q80" s="1"/>
      <c r="R80" s="5">
        <f t="shared" ref="R80:R83" si="68">IF(P$12=0,0,P80/P$12)</f>
        <v>0</v>
      </c>
      <c r="S80" s="1"/>
      <c r="T80" s="1">
        <f>SUM(OSRRefT22_17x_0)</f>
        <v>49200</v>
      </c>
      <c r="U80" s="1"/>
      <c r="V80" s="5">
        <f t="shared" ref="V80:V83" si="69">IF(T$12=0,0,T80/T$12)</f>
        <v>0</v>
      </c>
      <c r="W80" s="1"/>
      <c r="X80" s="1">
        <f t="shared" ref="X80:X83" si="70">+P80-T80</f>
        <v>3555.8300000000017</v>
      </c>
      <c r="Y80" s="1"/>
      <c r="Z80" s="5">
        <f t="shared" ref="Z80:Z83" si="71">IF(T80=0,0,X80/T80)</f>
        <v>7.2272967479674835E-2</v>
      </c>
    </row>
    <row r="81" spans="1:26" s="24" customFormat="1" hidden="1" outlineLevel="2" x14ac:dyDescent="0.25">
      <c r="A81" s="27"/>
      <c r="B81" s="11" t="str">
        <f>CONCATENATE("          ", "6282", " - ", "JANITORIAL/EXTERMINATOR EXPENS")</f>
        <v xml:space="preserve">          6282 - JANITORIAL/EXTERMINATOR EXPENS</v>
      </c>
      <c r="C81" s="11"/>
      <c r="D81" s="6">
        <v>728.86</v>
      </c>
      <c r="E81" s="2"/>
      <c r="F81" s="7">
        <f t="shared" si="64"/>
        <v>0</v>
      </c>
      <c r="G81" s="2"/>
      <c r="H81" s="6"/>
      <c r="I81" s="2"/>
      <c r="J81" s="7">
        <f t="shared" si="65"/>
        <v>0</v>
      </c>
      <c r="K81" s="2"/>
      <c r="L81" s="6">
        <f t="shared" si="66"/>
        <v>728.86</v>
      </c>
      <c r="M81" s="2"/>
      <c r="N81" s="7">
        <f t="shared" si="67"/>
        <v>0</v>
      </c>
      <c r="O81" s="11"/>
      <c r="P81" s="6">
        <v>2953.86</v>
      </c>
      <c r="Q81" s="2"/>
      <c r="R81" s="7">
        <f t="shared" si="68"/>
        <v>0</v>
      </c>
      <c r="S81" s="2"/>
      <c r="T81" s="6"/>
      <c r="U81" s="2"/>
      <c r="V81" s="7">
        <f t="shared" si="69"/>
        <v>0</v>
      </c>
      <c r="W81" s="2"/>
      <c r="X81" s="6">
        <f t="shared" si="70"/>
        <v>2953.86</v>
      </c>
      <c r="Y81" s="2"/>
      <c r="Z81" s="7">
        <f t="shared" si="71"/>
        <v>0</v>
      </c>
    </row>
    <row r="82" spans="1:26" s="24" customFormat="1" hidden="1" outlineLevel="2" x14ac:dyDescent="0.25">
      <c r="A82" s="27"/>
      <c r="B82" s="11" t="str">
        <f>CONCATENATE("          ", "6283", " - ", "PLANT SERVICE")</f>
        <v xml:space="preserve">          6283 - PLANT SERVICE</v>
      </c>
      <c r="C82" s="11"/>
      <c r="D82" s="6"/>
      <c r="E82" s="2"/>
      <c r="F82" s="7">
        <f t="shared" si="64"/>
        <v>0</v>
      </c>
      <c r="G82" s="2"/>
      <c r="H82" s="6"/>
      <c r="I82" s="2"/>
      <c r="J82" s="7">
        <f t="shared" si="65"/>
        <v>0</v>
      </c>
      <c r="K82" s="2"/>
      <c r="L82" s="6">
        <f t="shared" si="66"/>
        <v>0</v>
      </c>
      <c r="M82" s="2"/>
      <c r="N82" s="7">
        <f t="shared" si="67"/>
        <v>0</v>
      </c>
      <c r="O82" s="11"/>
      <c r="P82" s="6">
        <v>363.33</v>
      </c>
      <c r="Q82" s="2"/>
      <c r="R82" s="7">
        <f t="shared" si="68"/>
        <v>0</v>
      </c>
      <c r="S82" s="2"/>
      <c r="T82" s="6"/>
      <c r="U82" s="2"/>
      <c r="V82" s="7">
        <f t="shared" si="69"/>
        <v>0</v>
      </c>
      <c r="W82" s="2"/>
      <c r="X82" s="6">
        <f t="shared" si="70"/>
        <v>363.33</v>
      </c>
      <c r="Y82" s="2"/>
      <c r="Z82" s="7">
        <f t="shared" si="71"/>
        <v>0</v>
      </c>
    </row>
    <row r="83" spans="1:26" s="24" customFormat="1" hidden="1" outlineLevel="2" x14ac:dyDescent="0.25">
      <c r="A83" s="27"/>
      <c r="B83" s="11" t="str">
        <f>CONCATENATE("          ", "6285", " - ", "JANITORIAL SERVICES")</f>
        <v xml:space="preserve">          6285 - JANITORIAL SERVICES</v>
      </c>
      <c r="C83" s="11"/>
      <c r="D83" s="6">
        <v>6437.16</v>
      </c>
      <c r="E83" s="2"/>
      <c r="F83" s="7">
        <f t="shared" si="64"/>
        <v>0</v>
      </c>
      <c r="G83" s="2"/>
      <c r="H83" s="6">
        <v>4100</v>
      </c>
      <c r="I83" s="2"/>
      <c r="J83" s="7">
        <f t="shared" si="65"/>
        <v>0</v>
      </c>
      <c r="K83" s="2"/>
      <c r="L83" s="6">
        <f t="shared" si="66"/>
        <v>2337.16</v>
      </c>
      <c r="M83" s="2"/>
      <c r="N83" s="7">
        <f t="shared" si="67"/>
        <v>0.5700390243902439</v>
      </c>
      <c r="O83" s="11"/>
      <c r="P83" s="6">
        <v>49438.64</v>
      </c>
      <c r="Q83" s="2"/>
      <c r="R83" s="7">
        <f t="shared" si="68"/>
        <v>0</v>
      </c>
      <c r="S83" s="2"/>
      <c r="T83" s="6">
        <v>49200</v>
      </c>
      <c r="U83" s="2"/>
      <c r="V83" s="7">
        <f t="shared" si="69"/>
        <v>0</v>
      </c>
      <c r="W83" s="2"/>
      <c r="X83" s="6">
        <f t="shared" si="70"/>
        <v>238.63999999999942</v>
      </c>
      <c r="Y83" s="2"/>
      <c r="Z83" s="7">
        <f t="shared" si="71"/>
        <v>4.8504065040650291E-3</v>
      </c>
    </row>
    <row r="84" spans="1:26" s="26" customFormat="1" outlineLevel="1" collapsed="1" x14ac:dyDescent="0.25">
      <c r="A84" s="25"/>
      <c r="B84" s="12" t="str">
        <f>CONCATENATE("     ","Subscriptions &amp; Dues                              ")</f>
        <v xml:space="preserve">     Subscriptions &amp; Dues                              </v>
      </c>
      <c r="C84" s="12"/>
      <c r="D84" s="1">
        <f>SUM(OSRRefD22_18x_0)</f>
        <v>0</v>
      </c>
      <c r="E84" s="1"/>
      <c r="F84" s="5">
        <f t="shared" ref="F84:F86" si="72">IF(D$12=0,0,D84/D$12)</f>
        <v>0</v>
      </c>
      <c r="G84" s="1"/>
      <c r="H84" s="1">
        <f>SUM(OSRRefH22_18x_0)</f>
        <v>100</v>
      </c>
      <c r="I84" s="1"/>
      <c r="J84" s="5">
        <f t="shared" ref="J84:J86" si="73">IF(H$12=0,0,H84/H$12)</f>
        <v>0</v>
      </c>
      <c r="K84" s="1"/>
      <c r="L84" s="1">
        <f t="shared" ref="L84:L86" si="74">+D84-H84</f>
        <v>-100</v>
      </c>
      <c r="M84" s="1"/>
      <c r="N84" s="5">
        <f t="shared" ref="N84:N86" si="75">IF(H84=0,0,L84/H84)</f>
        <v>-1</v>
      </c>
      <c r="O84" s="12"/>
      <c r="P84" s="1">
        <f>SUM(OSRRefP22_18x_0)</f>
        <v>1280.3</v>
      </c>
      <c r="Q84" s="1"/>
      <c r="R84" s="5">
        <f t="shared" ref="R84:R86" si="76">IF(P$12=0,0,P84/P$12)</f>
        <v>0</v>
      </c>
      <c r="S84" s="1"/>
      <c r="T84" s="1">
        <f>SUM(OSRRefT22_18x_0)</f>
        <v>6045</v>
      </c>
      <c r="U84" s="1"/>
      <c r="V84" s="5">
        <f t="shared" ref="V84:V86" si="77">IF(T$12=0,0,T84/T$12)</f>
        <v>0</v>
      </c>
      <c r="W84" s="1"/>
      <c r="X84" s="1">
        <f t="shared" ref="X84:X86" si="78">+P84-T84</f>
        <v>-4764.7</v>
      </c>
      <c r="Y84" s="1"/>
      <c r="Z84" s="5">
        <f t="shared" ref="Z84:Z86" si="79">IF(T84=0,0,X84/T84)</f>
        <v>-0.78820512820512822</v>
      </c>
    </row>
    <row r="85" spans="1:26" s="24" customFormat="1" hidden="1" outlineLevel="2" x14ac:dyDescent="0.25">
      <c r="A85" s="27"/>
      <c r="B85" s="11" t="str">
        <f>CONCATENATE("          ", "6258", " - ", "MEMBERSHIP DUES")</f>
        <v xml:space="preserve">          6258 - MEMBERSHIP DUES</v>
      </c>
      <c r="C85" s="11"/>
      <c r="D85" s="6"/>
      <c r="E85" s="2"/>
      <c r="F85" s="7">
        <f t="shared" si="72"/>
        <v>0</v>
      </c>
      <c r="G85" s="2"/>
      <c r="H85" s="6">
        <v>100</v>
      </c>
      <c r="I85" s="2"/>
      <c r="J85" s="7">
        <f t="shared" si="73"/>
        <v>0</v>
      </c>
      <c r="K85" s="2"/>
      <c r="L85" s="6">
        <f t="shared" si="74"/>
        <v>-100</v>
      </c>
      <c r="M85" s="2"/>
      <c r="N85" s="7">
        <f t="shared" si="75"/>
        <v>-1</v>
      </c>
      <c r="O85" s="11"/>
      <c r="P85" s="6">
        <v>875</v>
      </c>
      <c r="Q85" s="2"/>
      <c r="R85" s="7">
        <f t="shared" si="76"/>
        <v>0</v>
      </c>
      <c r="S85" s="2"/>
      <c r="T85" s="6">
        <v>6045</v>
      </c>
      <c r="U85" s="2"/>
      <c r="V85" s="7">
        <f t="shared" si="77"/>
        <v>0</v>
      </c>
      <c r="W85" s="2"/>
      <c r="X85" s="6">
        <f t="shared" si="78"/>
        <v>-5170</v>
      </c>
      <c r="Y85" s="2"/>
      <c r="Z85" s="7">
        <f t="shared" si="79"/>
        <v>-0.85525227460711328</v>
      </c>
    </row>
    <row r="86" spans="1:26" s="24" customFormat="1" hidden="1" outlineLevel="2" x14ac:dyDescent="0.25">
      <c r="A86" s="27"/>
      <c r="B86" s="11" t="str">
        <f>CONCATENATE("          ", "6275", " - ", "SUBSCRIPTIONS")</f>
        <v xml:space="preserve">          6275 - SUBSCRIPTIONS</v>
      </c>
      <c r="C86" s="11"/>
      <c r="D86" s="6"/>
      <c r="E86" s="2"/>
      <c r="F86" s="7">
        <f t="shared" si="72"/>
        <v>0</v>
      </c>
      <c r="G86" s="2"/>
      <c r="H86" s="6"/>
      <c r="I86" s="2"/>
      <c r="J86" s="7">
        <f t="shared" si="73"/>
        <v>0</v>
      </c>
      <c r="K86" s="2"/>
      <c r="L86" s="6">
        <f t="shared" si="74"/>
        <v>0</v>
      </c>
      <c r="M86" s="2"/>
      <c r="N86" s="7">
        <f t="shared" si="75"/>
        <v>0</v>
      </c>
      <c r="O86" s="11"/>
      <c r="P86" s="6">
        <v>405.3</v>
      </c>
      <c r="Q86" s="2"/>
      <c r="R86" s="7">
        <f t="shared" si="76"/>
        <v>0</v>
      </c>
      <c r="S86" s="2"/>
      <c r="T86" s="6"/>
      <c r="U86" s="2"/>
      <c r="V86" s="7">
        <f t="shared" si="77"/>
        <v>0</v>
      </c>
      <c r="W86" s="2"/>
      <c r="X86" s="6">
        <f t="shared" si="78"/>
        <v>405.3</v>
      </c>
      <c r="Y86" s="2"/>
      <c r="Z86" s="7">
        <f t="shared" si="79"/>
        <v>0</v>
      </c>
    </row>
    <row r="87" spans="1:26" s="26" customFormat="1" outlineLevel="1" collapsed="1" x14ac:dyDescent="0.25">
      <c r="A87" s="25"/>
      <c r="B87" s="12" t="str">
        <f>CONCATENATE("     ","Supplies                                          ")</f>
        <v xml:space="preserve">     Supplies                                          </v>
      </c>
      <c r="C87" s="12"/>
      <c r="D87" s="1">
        <f>SUM(OSRRefD22_19x_0)</f>
        <v>5632.3200000000006</v>
      </c>
      <c r="E87" s="1"/>
      <c r="F87" s="5">
        <f t="shared" ref="F87:F94" si="80">IF(D$12=0,0,D87/D$12)</f>
        <v>0</v>
      </c>
      <c r="G87" s="1"/>
      <c r="H87" s="1">
        <f>SUM(OSRRefH22_19x_0)</f>
        <v>4250</v>
      </c>
      <c r="I87" s="1"/>
      <c r="J87" s="5">
        <f t="shared" ref="J87:J94" si="81">IF(H$12=0,0,H87/H$12)</f>
        <v>0</v>
      </c>
      <c r="K87" s="1"/>
      <c r="L87" s="1">
        <f t="shared" ref="L87:L94" si="82">+D87-H87</f>
        <v>1382.3200000000006</v>
      </c>
      <c r="M87" s="1"/>
      <c r="N87" s="5">
        <f t="shared" ref="N87:N94" si="83">IF(H87=0,0,L87/H87)</f>
        <v>0.32525176470588252</v>
      </c>
      <c r="O87" s="12"/>
      <c r="P87" s="1">
        <f>SUM(OSRRefP22_19x_0)</f>
        <v>22697.69</v>
      </c>
      <c r="Q87" s="1"/>
      <c r="R87" s="5">
        <f t="shared" ref="R87:R94" si="84">IF(P$12=0,0,P87/P$12)</f>
        <v>0</v>
      </c>
      <c r="S87" s="1"/>
      <c r="T87" s="1">
        <f>SUM(OSRRefT22_19x_0)</f>
        <v>51100</v>
      </c>
      <c r="U87" s="1"/>
      <c r="V87" s="5">
        <f t="shared" ref="V87:V94" si="85">IF(T$12=0,0,T87/T$12)</f>
        <v>0</v>
      </c>
      <c r="W87" s="1"/>
      <c r="X87" s="1">
        <f t="shared" ref="X87:X94" si="86">+P87-T87</f>
        <v>-28402.31</v>
      </c>
      <c r="Y87" s="1"/>
      <c r="Z87" s="5">
        <f t="shared" ref="Z87:Z94" si="87">IF(T87=0,0,X87/T87)</f>
        <v>-0.55581819960861056</v>
      </c>
    </row>
    <row r="88" spans="1:26" s="24" customFormat="1" hidden="1" outlineLevel="2" x14ac:dyDescent="0.25">
      <c r="A88" s="27"/>
      <c r="B88" s="11" t="str">
        <f>CONCATENATE("          ", "6234", " - ", "EXPENDABLE SUPPLIES &amp; EQUIPMEN")</f>
        <v xml:space="preserve">          6234 - EXPENDABLE SUPPLIES &amp; EQUIPMEN</v>
      </c>
      <c r="C88" s="11"/>
      <c r="D88" s="6"/>
      <c r="E88" s="2"/>
      <c r="F88" s="7">
        <f t="shared" si="80"/>
        <v>0</v>
      </c>
      <c r="G88" s="2"/>
      <c r="H88" s="6"/>
      <c r="I88" s="2"/>
      <c r="J88" s="7">
        <f t="shared" si="81"/>
        <v>0</v>
      </c>
      <c r="K88" s="2"/>
      <c r="L88" s="6">
        <f t="shared" si="82"/>
        <v>0</v>
      </c>
      <c r="M88" s="2"/>
      <c r="N88" s="7">
        <f t="shared" si="83"/>
        <v>0</v>
      </c>
      <c r="O88" s="11"/>
      <c r="P88" s="6">
        <v>2149.0500000000002</v>
      </c>
      <c r="Q88" s="2"/>
      <c r="R88" s="7">
        <f t="shared" si="84"/>
        <v>0</v>
      </c>
      <c r="S88" s="2"/>
      <c r="T88" s="6"/>
      <c r="U88" s="2"/>
      <c r="V88" s="7">
        <f t="shared" si="85"/>
        <v>0</v>
      </c>
      <c r="W88" s="2"/>
      <c r="X88" s="6">
        <f t="shared" si="86"/>
        <v>2149.0500000000002</v>
      </c>
      <c r="Y88" s="2"/>
      <c r="Z88" s="7">
        <f t="shared" si="87"/>
        <v>0</v>
      </c>
    </row>
    <row r="89" spans="1:26" s="24" customFormat="1" hidden="1" outlineLevel="2" x14ac:dyDescent="0.25">
      <c r="A89" s="27"/>
      <c r="B89" s="11" t="str">
        <f>CONCATENATE("          ", "6235", " - ", "COVID-19 EXPENSES")</f>
        <v xml:space="preserve">          6235 - COVID-19 EXPENSES</v>
      </c>
      <c r="C89" s="11"/>
      <c r="D89" s="6">
        <v>3511.67</v>
      </c>
      <c r="E89" s="2"/>
      <c r="F89" s="7">
        <f t="shared" si="80"/>
        <v>0</v>
      </c>
      <c r="G89" s="2"/>
      <c r="H89" s="6"/>
      <c r="I89" s="2"/>
      <c r="J89" s="7">
        <f t="shared" si="81"/>
        <v>0</v>
      </c>
      <c r="K89" s="2"/>
      <c r="L89" s="6">
        <f t="shared" si="82"/>
        <v>3511.67</v>
      </c>
      <c r="M89" s="2"/>
      <c r="N89" s="7">
        <f t="shared" si="83"/>
        <v>0</v>
      </c>
      <c r="O89" s="11"/>
      <c r="P89" s="6">
        <v>5061.67</v>
      </c>
      <c r="Q89" s="2"/>
      <c r="R89" s="7">
        <f t="shared" si="84"/>
        <v>0</v>
      </c>
      <c r="S89" s="2"/>
      <c r="T89" s="6"/>
      <c r="U89" s="2"/>
      <c r="V89" s="7">
        <f t="shared" si="85"/>
        <v>0</v>
      </c>
      <c r="W89" s="2"/>
      <c r="X89" s="6">
        <f t="shared" si="86"/>
        <v>5061.67</v>
      </c>
      <c r="Y89" s="2"/>
      <c r="Z89" s="7">
        <f t="shared" si="87"/>
        <v>0</v>
      </c>
    </row>
    <row r="90" spans="1:26" s="24" customFormat="1" hidden="1" outlineLevel="2" x14ac:dyDescent="0.25">
      <c r="A90" s="27"/>
      <c r="B90" s="11" t="str">
        <f>CONCATENATE("          ", "6237", " - ", "JANITORIAL SUPPLIES")</f>
        <v xml:space="preserve">          6237 - JANITORIAL SUPPLIES</v>
      </c>
      <c r="C90" s="11"/>
      <c r="D90" s="6">
        <v>1763.02</v>
      </c>
      <c r="E90" s="2"/>
      <c r="F90" s="7">
        <f t="shared" si="80"/>
        <v>0</v>
      </c>
      <c r="G90" s="2"/>
      <c r="H90" s="6"/>
      <c r="I90" s="2"/>
      <c r="J90" s="7">
        <f t="shared" si="81"/>
        <v>0</v>
      </c>
      <c r="K90" s="2"/>
      <c r="L90" s="6">
        <f t="shared" si="82"/>
        <v>1763.02</v>
      </c>
      <c r="M90" s="2"/>
      <c r="N90" s="7">
        <f t="shared" si="83"/>
        <v>0</v>
      </c>
      <c r="O90" s="11"/>
      <c r="P90" s="6">
        <v>6170.69</v>
      </c>
      <c r="Q90" s="2"/>
      <c r="R90" s="7">
        <f t="shared" si="84"/>
        <v>0</v>
      </c>
      <c r="S90" s="2"/>
      <c r="T90" s="6"/>
      <c r="U90" s="2"/>
      <c r="V90" s="7">
        <f t="shared" si="85"/>
        <v>0</v>
      </c>
      <c r="W90" s="2"/>
      <c r="X90" s="6">
        <f t="shared" si="86"/>
        <v>6170.69</v>
      </c>
      <c r="Y90" s="2"/>
      <c r="Z90" s="7">
        <f t="shared" si="87"/>
        <v>0</v>
      </c>
    </row>
    <row r="91" spans="1:26" s="24" customFormat="1" hidden="1" outlineLevel="2" x14ac:dyDescent="0.25">
      <c r="A91" s="27"/>
      <c r="B91" s="11" t="str">
        <f>CONCATENATE("          ", "6241", " - ", "OFFICE EXPENSE")</f>
        <v xml:space="preserve">          6241 - OFFICE EXPENSE</v>
      </c>
      <c r="C91" s="11"/>
      <c r="D91" s="6">
        <v>395.27</v>
      </c>
      <c r="E91" s="2"/>
      <c r="F91" s="7">
        <f t="shared" si="80"/>
        <v>0</v>
      </c>
      <c r="G91" s="2"/>
      <c r="H91" s="6"/>
      <c r="I91" s="2"/>
      <c r="J91" s="7">
        <f t="shared" si="81"/>
        <v>0</v>
      </c>
      <c r="K91" s="2"/>
      <c r="L91" s="6">
        <f t="shared" si="82"/>
        <v>395.27</v>
      </c>
      <c r="M91" s="2"/>
      <c r="N91" s="7">
        <f t="shared" si="83"/>
        <v>0</v>
      </c>
      <c r="O91" s="11"/>
      <c r="P91" s="6">
        <v>9744.1299999999992</v>
      </c>
      <c r="Q91" s="2"/>
      <c r="R91" s="7">
        <f t="shared" si="84"/>
        <v>0</v>
      </c>
      <c r="S91" s="2"/>
      <c r="T91" s="6"/>
      <c r="U91" s="2"/>
      <c r="V91" s="7">
        <f t="shared" si="85"/>
        <v>0</v>
      </c>
      <c r="W91" s="2"/>
      <c r="X91" s="6">
        <f t="shared" si="86"/>
        <v>9744.1299999999992</v>
      </c>
      <c r="Y91" s="2"/>
      <c r="Z91" s="7">
        <f t="shared" si="87"/>
        <v>0</v>
      </c>
    </row>
    <row r="92" spans="1:26" s="24" customFormat="1" hidden="1" outlineLevel="2" x14ac:dyDescent="0.25">
      <c r="A92" s="27"/>
      <c r="B92" s="11" t="str">
        <f>CONCATENATE("          ", "6245", " - ", "PRINTING")</f>
        <v xml:space="preserve">          6245 - PRINTING</v>
      </c>
      <c r="C92" s="11"/>
      <c r="D92" s="6"/>
      <c r="E92" s="2"/>
      <c r="F92" s="7">
        <f t="shared" si="80"/>
        <v>0</v>
      </c>
      <c r="G92" s="2"/>
      <c r="H92" s="6"/>
      <c r="I92" s="2"/>
      <c r="J92" s="7">
        <f t="shared" si="81"/>
        <v>0</v>
      </c>
      <c r="K92" s="2"/>
      <c r="L92" s="6">
        <f t="shared" si="82"/>
        <v>0</v>
      </c>
      <c r="M92" s="2"/>
      <c r="N92" s="7">
        <f t="shared" si="83"/>
        <v>0</v>
      </c>
      <c r="O92" s="11"/>
      <c r="P92" s="6">
        <v>19.73</v>
      </c>
      <c r="Q92" s="2"/>
      <c r="R92" s="7">
        <f t="shared" si="84"/>
        <v>0</v>
      </c>
      <c r="S92" s="2"/>
      <c r="T92" s="6"/>
      <c r="U92" s="2"/>
      <c r="V92" s="7">
        <f t="shared" si="85"/>
        <v>0</v>
      </c>
      <c r="W92" s="2"/>
      <c r="X92" s="6">
        <f t="shared" si="86"/>
        <v>19.73</v>
      </c>
      <c r="Y92" s="2"/>
      <c r="Z92" s="7">
        <f t="shared" si="87"/>
        <v>0</v>
      </c>
    </row>
    <row r="93" spans="1:26" s="24" customFormat="1" hidden="1" outlineLevel="2" x14ac:dyDescent="0.25">
      <c r="A93" s="27"/>
      <c r="B93" s="11" t="str">
        <f>CONCATENATE("          ", "6247", " - ", "STORE SUPPLIES")</f>
        <v xml:space="preserve">          6247 - STORE SUPPLIES</v>
      </c>
      <c r="C93" s="11"/>
      <c r="D93" s="6">
        <v>-37.64</v>
      </c>
      <c r="E93" s="2"/>
      <c r="F93" s="7">
        <f t="shared" si="80"/>
        <v>0</v>
      </c>
      <c r="G93" s="2"/>
      <c r="H93" s="6">
        <v>3250</v>
      </c>
      <c r="I93" s="2"/>
      <c r="J93" s="7">
        <f t="shared" si="81"/>
        <v>0</v>
      </c>
      <c r="K93" s="2"/>
      <c r="L93" s="6">
        <f t="shared" si="82"/>
        <v>-3287.64</v>
      </c>
      <c r="M93" s="2"/>
      <c r="N93" s="7">
        <f t="shared" si="83"/>
        <v>-1.0115815384615385</v>
      </c>
      <c r="O93" s="11"/>
      <c r="P93" s="6">
        <v>-491.49</v>
      </c>
      <c r="Q93" s="2"/>
      <c r="R93" s="7">
        <f t="shared" si="84"/>
        <v>0</v>
      </c>
      <c r="S93" s="2"/>
      <c r="T93" s="6">
        <v>39100</v>
      </c>
      <c r="U93" s="2"/>
      <c r="V93" s="7">
        <f t="shared" si="85"/>
        <v>0</v>
      </c>
      <c r="W93" s="2"/>
      <c r="X93" s="6">
        <f t="shared" si="86"/>
        <v>-39591.49</v>
      </c>
      <c r="Y93" s="2"/>
      <c r="Z93" s="7">
        <f t="shared" si="87"/>
        <v>-1.0125700767263426</v>
      </c>
    </row>
    <row r="94" spans="1:26" s="24" customFormat="1" hidden="1" outlineLevel="2" x14ac:dyDescent="0.25">
      <c r="A94" s="27"/>
      <c r="B94" s="11" t="str">
        <f>CONCATENATE("          ", "6248", " - ", "UNIFORMS")</f>
        <v xml:space="preserve">          6248 - UNIFORMS</v>
      </c>
      <c r="C94" s="11"/>
      <c r="D94" s="6"/>
      <c r="E94" s="2"/>
      <c r="F94" s="7">
        <f t="shared" si="80"/>
        <v>0</v>
      </c>
      <c r="G94" s="2"/>
      <c r="H94" s="6">
        <v>1000</v>
      </c>
      <c r="I94" s="2"/>
      <c r="J94" s="7">
        <f t="shared" si="81"/>
        <v>0</v>
      </c>
      <c r="K94" s="2"/>
      <c r="L94" s="6">
        <f t="shared" si="82"/>
        <v>-1000</v>
      </c>
      <c r="M94" s="2"/>
      <c r="N94" s="7">
        <f t="shared" si="83"/>
        <v>-1</v>
      </c>
      <c r="O94" s="11"/>
      <c r="P94" s="6">
        <v>43.91</v>
      </c>
      <c r="Q94" s="2"/>
      <c r="R94" s="7">
        <f t="shared" si="84"/>
        <v>0</v>
      </c>
      <c r="S94" s="2"/>
      <c r="T94" s="6">
        <v>12000</v>
      </c>
      <c r="U94" s="2"/>
      <c r="V94" s="7">
        <f t="shared" si="85"/>
        <v>0</v>
      </c>
      <c r="W94" s="2"/>
      <c r="X94" s="6">
        <f t="shared" si="86"/>
        <v>-11956.09</v>
      </c>
      <c r="Y94" s="2"/>
      <c r="Z94" s="7">
        <f t="shared" si="87"/>
        <v>-0.99634083333333334</v>
      </c>
    </row>
    <row r="95" spans="1:26" s="26" customFormat="1" outlineLevel="1" collapsed="1" x14ac:dyDescent="0.25">
      <c r="A95" s="25"/>
      <c r="B95" s="12" t="str">
        <f>CONCATENATE("     ","Telephone/Data Lines                              ")</f>
        <v xml:space="preserve">     Telephone/Data Lines                              </v>
      </c>
      <c r="C95" s="12"/>
      <c r="D95" s="1">
        <f>SUM(OSRRefD22_20x_0)</f>
        <v>319.70999999999998</v>
      </c>
      <c r="E95" s="1"/>
      <c r="F95" s="5">
        <f t="shared" ref="F95:F102" si="88">IF(D$12=0,0,D95/D$12)</f>
        <v>0</v>
      </c>
      <c r="G95" s="1"/>
      <c r="H95" s="1">
        <f>SUM(OSRRefH22_20x_0)</f>
        <v>500</v>
      </c>
      <c r="I95" s="1"/>
      <c r="J95" s="5">
        <f t="shared" ref="J95:J102" si="89">IF(H$12=0,0,H95/H$12)</f>
        <v>0</v>
      </c>
      <c r="K95" s="1"/>
      <c r="L95" s="1">
        <f t="shared" ref="L95:L102" si="90">+D95-H95</f>
        <v>-180.29000000000002</v>
      </c>
      <c r="M95" s="1"/>
      <c r="N95" s="5">
        <f t="shared" ref="N95:N102" si="91">IF(H95=0,0,L95/H95)</f>
        <v>-0.36058000000000007</v>
      </c>
      <c r="O95" s="12"/>
      <c r="P95" s="1">
        <f>SUM(OSRRefP22_20x_0)</f>
        <v>6086.13</v>
      </c>
      <c r="Q95" s="1"/>
      <c r="R95" s="5">
        <f t="shared" ref="R95:R102" si="92">IF(P$12=0,0,P95/P$12)</f>
        <v>0</v>
      </c>
      <c r="S95" s="1"/>
      <c r="T95" s="1">
        <f>SUM(OSRRefT22_20x_0)</f>
        <v>6000</v>
      </c>
      <c r="U95" s="1"/>
      <c r="V95" s="5">
        <f t="shared" ref="V95:V102" si="93">IF(T$12=0,0,T95/T$12)</f>
        <v>0</v>
      </c>
      <c r="W95" s="1"/>
      <c r="X95" s="1">
        <f t="shared" ref="X95:X102" si="94">+P95-T95</f>
        <v>86.130000000000109</v>
      </c>
      <c r="Y95" s="1"/>
      <c r="Z95" s="5">
        <f t="shared" ref="Z95:Z102" si="95">IF(T95=0,0,X95/T95)</f>
        <v>1.4355000000000019E-2</v>
      </c>
    </row>
    <row r="96" spans="1:26" s="24" customFormat="1" hidden="1" outlineLevel="2" x14ac:dyDescent="0.25">
      <c r="A96" s="27"/>
      <c r="B96" s="11" t="str">
        <f>CONCATENATE("          ", "6309", " - ", "TELEPHONE")</f>
        <v xml:space="preserve">          6309 - TELEPHONE</v>
      </c>
      <c r="C96" s="11"/>
      <c r="D96" s="6">
        <v>319.70999999999998</v>
      </c>
      <c r="E96" s="2"/>
      <c r="F96" s="7">
        <f t="shared" si="88"/>
        <v>0</v>
      </c>
      <c r="G96" s="2"/>
      <c r="H96" s="6">
        <v>500</v>
      </c>
      <c r="I96" s="2"/>
      <c r="J96" s="7">
        <f t="shared" si="89"/>
        <v>0</v>
      </c>
      <c r="K96" s="2"/>
      <c r="L96" s="6">
        <f t="shared" si="90"/>
        <v>-180.29000000000002</v>
      </c>
      <c r="M96" s="2"/>
      <c r="N96" s="7">
        <f t="shared" si="91"/>
        <v>-0.36058000000000007</v>
      </c>
      <c r="O96" s="11"/>
      <c r="P96" s="6">
        <v>6086.13</v>
      </c>
      <c r="Q96" s="2"/>
      <c r="R96" s="7">
        <f t="shared" si="92"/>
        <v>0</v>
      </c>
      <c r="S96" s="2"/>
      <c r="T96" s="6">
        <v>6000</v>
      </c>
      <c r="U96" s="2"/>
      <c r="V96" s="7">
        <f t="shared" si="93"/>
        <v>0</v>
      </c>
      <c r="W96" s="2"/>
      <c r="X96" s="6">
        <f t="shared" si="94"/>
        <v>86.130000000000109</v>
      </c>
      <c r="Y96" s="2"/>
      <c r="Z96" s="7">
        <f t="shared" si="95"/>
        <v>1.4355000000000019E-2</v>
      </c>
    </row>
    <row r="97" spans="1:26" s="26" customFormat="1" outlineLevel="1" collapsed="1" x14ac:dyDescent="0.25">
      <c r="A97" s="25"/>
      <c r="B97" s="12" t="str">
        <f>CONCATENATE("     ","Training                                          ")</f>
        <v xml:space="preserve">     Training                                          </v>
      </c>
      <c r="C97" s="12"/>
      <c r="D97" s="1">
        <f>SUM(OSRRefD22_21x_0)</f>
        <v>0</v>
      </c>
      <c r="E97" s="1"/>
      <c r="F97" s="5">
        <f t="shared" si="88"/>
        <v>0</v>
      </c>
      <c r="G97" s="1"/>
      <c r="H97" s="1">
        <f>SUM(OSRRefH22_21x_0)</f>
        <v>1125</v>
      </c>
      <c r="I97" s="1"/>
      <c r="J97" s="5">
        <f t="shared" si="89"/>
        <v>0</v>
      </c>
      <c r="K97" s="1"/>
      <c r="L97" s="1">
        <f t="shared" si="90"/>
        <v>-1125</v>
      </c>
      <c r="M97" s="1"/>
      <c r="N97" s="5">
        <f t="shared" si="91"/>
        <v>-1</v>
      </c>
      <c r="O97" s="12"/>
      <c r="P97" s="1">
        <f>SUM(OSRRefP22_21x_0)</f>
        <v>13942.81</v>
      </c>
      <c r="Q97" s="1"/>
      <c r="R97" s="5">
        <f t="shared" si="92"/>
        <v>0</v>
      </c>
      <c r="S97" s="1"/>
      <c r="T97" s="1">
        <f>SUM(OSRRefT22_21x_0)</f>
        <v>13500</v>
      </c>
      <c r="U97" s="1"/>
      <c r="V97" s="5">
        <f t="shared" si="93"/>
        <v>0</v>
      </c>
      <c r="W97" s="1"/>
      <c r="X97" s="1">
        <f t="shared" si="94"/>
        <v>442.80999999999949</v>
      </c>
      <c r="Y97" s="1"/>
      <c r="Z97" s="5">
        <f t="shared" si="95"/>
        <v>3.28007407407407E-2</v>
      </c>
    </row>
    <row r="98" spans="1:26" s="24" customFormat="1" hidden="1" outlineLevel="2" x14ac:dyDescent="0.25">
      <c r="A98" s="27"/>
      <c r="B98" s="11" t="str">
        <f>CONCATENATE("          ", "6376", " - ", "TRAINING")</f>
        <v xml:space="preserve">          6376 - TRAINING</v>
      </c>
      <c r="C98" s="11"/>
      <c r="D98" s="6"/>
      <c r="E98" s="2"/>
      <c r="F98" s="7">
        <f t="shared" si="88"/>
        <v>0</v>
      </c>
      <c r="G98" s="2"/>
      <c r="H98" s="6">
        <v>1125</v>
      </c>
      <c r="I98" s="2"/>
      <c r="J98" s="7">
        <f t="shared" si="89"/>
        <v>0</v>
      </c>
      <c r="K98" s="2"/>
      <c r="L98" s="6">
        <f t="shared" si="90"/>
        <v>-1125</v>
      </c>
      <c r="M98" s="2"/>
      <c r="N98" s="7">
        <f t="shared" si="91"/>
        <v>-1</v>
      </c>
      <c r="O98" s="11"/>
      <c r="P98" s="6">
        <v>13942.81</v>
      </c>
      <c r="Q98" s="2"/>
      <c r="R98" s="7">
        <f t="shared" si="92"/>
        <v>0</v>
      </c>
      <c r="S98" s="2"/>
      <c r="T98" s="6">
        <v>13500</v>
      </c>
      <c r="U98" s="2"/>
      <c r="V98" s="7">
        <f t="shared" si="93"/>
        <v>0</v>
      </c>
      <c r="W98" s="2"/>
      <c r="X98" s="6">
        <f t="shared" si="94"/>
        <v>442.80999999999949</v>
      </c>
      <c r="Y98" s="2"/>
      <c r="Z98" s="7">
        <f t="shared" si="95"/>
        <v>3.28007407407407E-2</v>
      </c>
    </row>
    <row r="99" spans="1:26" s="26" customFormat="1" outlineLevel="1" collapsed="1" x14ac:dyDescent="0.25">
      <c r="A99" s="25"/>
      <c r="B99" s="12" t="str">
        <f>CONCATENATE("     ","Travel                                            ")</f>
        <v xml:space="preserve">     Travel                                            </v>
      </c>
      <c r="C99" s="12"/>
      <c r="D99" s="1">
        <f>SUM(OSRRefD22_22x_0)</f>
        <v>0</v>
      </c>
      <c r="E99" s="1"/>
      <c r="F99" s="5">
        <f t="shared" si="88"/>
        <v>0</v>
      </c>
      <c r="G99" s="1"/>
      <c r="H99" s="1">
        <f>SUM(OSRRefH22_22x_0)</f>
        <v>0</v>
      </c>
      <c r="I99" s="1"/>
      <c r="J99" s="5">
        <f t="shared" si="89"/>
        <v>0</v>
      </c>
      <c r="K99" s="1"/>
      <c r="L99" s="1">
        <f t="shared" si="90"/>
        <v>0</v>
      </c>
      <c r="M99" s="1"/>
      <c r="N99" s="5">
        <f t="shared" si="91"/>
        <v>0</v>
      </c>
      <c r="O99" s="12"/>
      <c r="P99" s="1">
        <f>SUM(OSRRefP22_22x_0)</f>
        <v>943.89</v>
      </c>
      <c r="Q99" s="1"/>
      <c r="R99" s="5">
        <f t="shared" si="92"/>
        <v>0</v>
      </c>
      <c r="S99" s="1"/>
      <c r="T99" s="1">
        <f>SUM(OSRRefT22_22x_0)</f>
        <v>0</v>
      </c>
      <c r="U99" s="1"/>
      <c r="V99" s="5">
        <f t="shared" si="93"/>
        <v>0</v>
      </c>
      <c r="W99" s="1"/>
      <c r="X99" s="1">
        <f t="shared" si="94"/>
        <v>943.89</v>
      </c>
      <c r="Y99" s="1"/>
      <c r="Z99" s="5">
        <f t="shared" si="95"/>
        <v>0</v>
      </c>
    </row>
    <row r="100" spans="1:26" s="24" customFormat="1" hidden="1" outlineLevel="2" x14ac:dyDescent="0.25">
      <c r="A100" s="27"/>
      <c r="B100" s="11" t="str">
        <f>CONCATENATE("          ", "6292", " - ", "TRAVEL/CONFERENCE")</f>
        <v xml:space="preserve">          6292 - TRAVEL/CONFERENCE</v>
      </c>
      <c r="C100" s="11"/>
      <c r="D100" s="6"/>
      <c r="E100" s="2"/>
      <c r="F100" s="7">
        <f t="shared" si="88"/>
        <v>0</v>
      </c>
      <c r="G100" s="2"/>
      <c r="H100" s="6"/>
      <c r="I100" s="2"/>
      <c r="J100" s="7">
        <f t="shared" si="89"/>
        <v>0</v>
      </c>
      <c r="K100" s="2"/>
      <c r="L100" s="6">
        <f t="shared" si="90"/>
        <v>0</v>
      </c>
      <c r="M100" s="2"/>
      <c r="N100" s="7">
        <f t="shared" si="91"/>
        <v>0</v>
      </c>
      <c r="O100" s="11"/>
      <c r="P100" s="6">
        <v>636.70000000000005</v>
      </c>
      <c r="Q100" s="2"/>
      <c r="R100" s="7">
        <f t="shared" si="92"/>
        <v>0</v>
      </c>
      <c r="S100" s="2"/>
      <c r="T100" s="6"/>
      <c r="U100" s="2"/>
      <c r="V100" s="7">
        <f t="shared" si="93"/>
        <v>0</v>
      </c>
      <c r="W100" s="2"/>
      <c r="X100" s="6">
        <f t="shared" si="94"/>
        <v>636.70000000000005</v>
      </c>
      <c r="Y100" s="2"/>
      <c r="Z100" s="7">
        <f t="shared" si="95"/>
        <v>0</v>
      </c>
    </row>
    <row r="101" spans="1:26" s="24" customFormat="1" hidden="1" outlineLevel="2" x14ac:dyDescent="0.25">
      <c r="A101" s="27"/>
      <c r="B101" s="11" t="str">
        <f>CONCATENATE("          ", "6294", " - ", "TRAVEL OPERATIONAL")</f>
        <v xml:space="preserve">          6294 - TRAVEL OPERATIONAL</v>
      </c>
      <c r="C101" s="11"/>
      <c r="D101" s="6"/>
      <c r="E101" s="2"/>
      <c r="F101" s="7">
        <f t="shared" si="88"/>
        <v>0</v>
      </c>
      <c r="G101" s="2"/>
      <c r="H101" s="6"/>
      <c r="I101" s="2"/>
      <c r="J101" s="7">
        <f t="shared" si="89"/>
        <v>0</v>
      </c>
      <c r="K101" s="2"/>
      <c r="L101" s="6">
        <f t="shared" si="90"/>
        <v>0</v>
      </c>
      <c r="M101" s="2"/>
      <c r="N101" s="7">
        <f t="shared" si="91"/>
        <v>0</v>
      </c>
      <c r="O101" s="11"/>
      <c r="P101" s="6">
        <v>-144.33000000000001</v>
      </c>
      <c r="Q101" s="2"/>
      <c r="R101" s="7">
        <f t="shared" si="92"/>
        <v>0</v>
      </c>
      <c r="S101" s="2"/>
      <c r="T101" s="6"/>
      <c r="U101" s="2"/>
      <c r="V101" s="7">
        <f t="shared" si="93"/>
        <v>0</v>
      </c>
      <c r="W101" s="2"/>
      <c r="X101" s="6">
        <f t="shared" si="94"/>
        <v>-144.33000000000001</v>
      </c>
      <c r="Y101" s="2"/>
      <c r="Z101" s="7">
        <f t="shared" si="95"/>
        <v>0</v>
      </c>
    </row>
    <row r="102" spans="1:26" s="24" customFormat="1" hidden="1" outlineLevel="2" x14ac:dyDescent="0.25">
      <c r="A102" s="27"/>
      <c r="B102" s="11" t="str">
        <f>CONCATENATE("          ", "6298", " - ", "VEHICLE MILEAGE")</f>
        <v xml:space="preserve">          6298 - VEHICLE MILEAGE</v>
      </c>
      <c r="C102" s="11"/>
      <c r="D102" s="6"/>
      <c r="E102" s="2"/>
      <c r="F102" s="7">
        <f t="shared" si="88"/>
        <v>0</v>
      </c>
      <c r="G102" s="2"/>
      <c r="H102" s="6"/>
      <c r="I102" s="2"/>
      <c r="J102" s="7">
        <f t="shared" si="89"/>
        <v>0</v>
      </c>
      <c r="K102" s="2"/>
      <c r="L102" s="6">
        <f t="shared" si="90"/>
        <v>0</v>
      </c>
      <c r="M102" s="2"/>
      <c r="N102" s="7">
        <f t="shared" si="91"/>
        <v>0</v>
      </c>
      <c r="O102" s="11"/>
      <c r="P102" s="6">
        <v>451.52</v>
      </c>
      <c r="Q102" s="2"/>
      <c r="R102" s="7">
        <f t="shared" si="92"/>
        <v>0</v>
      </c>
      <c r="S102" s="2"/>
      <c r="T102" s="6"/>
      <c r="U102" s="2"/>
      <c r="V102" s="7">
        <f t="shared" si="93"/>
        <v>0</v>
      </c>
      <c r="W102" s="2"/>
      <c r="X102" s="6">
        <f t="shared" si="94"/>
        <v>451.52</v>
      </c>
      <c r="Y102" s="2"/>
      <c r="Z102" s="7">
        <f t="shared" si="95"/>
        <v>0</v>
      </c>
    </row>
    <row r="103" spans="1:26" s="26" customFormat="1" outlineLevel="1" collapsed="1" x14ac:dyDescent="0.25">
      <c r="A103" s="25"/>
      <c r="B103" s="12" t="str">
        <f>CONCATENATE("     ","Utilities                                         ")</f>
        <v xml:space="preserve">     Utilities                                         </v>
      </c>
      <c r="C103" s="12"/>
      <c r="D103" s="1">
        <f>SUM(OSRRefD22_23x_0)</f>
        <v>6134</v>
      </c>
      <c r="E103" s="1"/>
      <c r="F103" s="5">
        <f t="shared" ref="F103:F104" si="96">IF(D$12=0,0,D103/D$12)</f>
        <v>0</v>
      </c>
      <c r="G103" s="1"/>
      <c r="H103" s="1">
        <f>SUM(OSRRefH22_23x_0)</f>
        <v>5000</v>
      </c>
      <c r="I103" s="1"/>
      <c r="J103" s="5">
        <f t="shared" ref="J103:J104" si="97">IF(H$12=0,0,H103/H$12)</f>
        <v>0</v>
      </c>
      <c r="K103" s="1"/>
      <c r="L103" s="1">
        <f t="shared" ref="L103:L104" si="98">+D103-H103</f>
        <v>1134</v>
      </c>
      <c r="M103" s="1"/>
      <c r="N103" s="5">
        <f t="shared" ref="N103:N104" si="99">IF(H103=0,0,L103/H103)</f>
        <v>0.2268</v>
      </c>
      <c r="O103" s="12"/>
      <c r="P103" s="1">
        <f>SUM(OSRRefP22_23x_0)</f>
        <v>68539</v>
      </c>
      <c r="Q103" s="1"/>
      <c r="R103" s="5">
        <f t="shared" ref="R103:R104" si="100">IF(P$12=0,0,P103/P$12)</f>
        <v>0</v>
      </c>
      <c r="S103" s="1"/>
      <c r="T103" s="1">
        <f>SUM(OSRRefT22_23x_0)</f>
        <v>60000</v>
      </c>
      <c r="U103" s="1"/>
      <c r="V103" s="5">
        <f t="shared" ref="V103:V104" si="101">IF(T$12=0,0,T103/T$12)</f>
        <v>0</v>
      </c>
      <c r="W103" s="1"/>
      <c r="X103" s="1">
        <f t="shared" ref="X103:X104" si="102">+P103-T103</f>
        <v>8539</v>
      </c>
      <c r="Y103" s="1"/>
      <c r="Z103" s="5">
        <f t="shared" ref="Z103:Z104" si="103">IF(T103=0,0,X103/T103)</f>
        <v>0.14231666666666667</v>
      </c>
    </row>
    <row r="104" spans="1:26" s="24" customFormat="1" hidden="1" outlineLevel="2" x14ac:dyDescent="0.25">
      <c r="A104" s="27"/>
      <c r="B104" s="11" t="str">
        <f>CONCATENATE("          ", "6274", " - ", "UTILITIES")</f>
        <v xml:space="preserve">          6274 - UTILITIES</v>
      </c>
      <c r="C104" s="11"/>
      <c r="D104" s="6">
        <v>6134</v>
      </c>
      <c r="E104" s="2"/>
      <c r="F104" s="7">
        <f t="shared" si="96"/>
        <v>0</v>
      </c>
      <c r="G104" s="2"/>
      <c r="H104" s="6">
        <v>5000</v>
      </c>
      <c r="I104" s="2"/>
      <c r="J104" s="7">
        <f t="shared" si="97"/>
        <v>0</v>
      </c>
      <c r="K104" s="2"/>
      <c r="L104" s="6">
        <f t="shared" si="98"/>
        <v>1134</v>
      </c>
      <c r="M104" s="2"/>
      <c r="N104" s="7">
        <f t="shared" si="99"/>
        <v>0.2268</v>
      </c>
      <c r="O104" s="11"/>
      <c r="P104" s="6">
        <v>68539</v>
      </c>
      <c r="Q104" s="2"/>
      <c r="R104" s="7">
        <f t="shared" si="100"/>
        <v>0</v>
      </c>
      <c r="S104" s="2"/>
      <c r="T104" s="6">
        <v>60000</v>
      </c>
      <c r="U104" s="2"/>
      <c r="V104" s="7">
        <f t="shared" si="101"/>
        <v>0</v>
      </c>
      <c r="W104" s="2"/>
      <c r="X104" s="6">
        <f t="shared" si="102"/>
        <v>8539</v>
      </c>
      <c r="Y104" s="2"/>
      <c r="Z104" s="7">
        <f t="shared" si="103"/>
        <v>0.14231666666666667</v>
      </c>
    </row>
    <row r="105" spans="1:26" s="60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8" t="s">
        <v>0</v>
      </c>
      <c r="C106" s="10"/>
      <c r="D106" s="4">
        <f>SUM(OSRRefD25x_0)</f>
        <v>48960.65</v>
      </c>
      <c r="E106" s="4"/>
      <c r="F106" s="13">
        <f t="shared" ref="F106:F110" si="104">IF(D$12=0,0,D106/D$12)</f>
        <v>0</v>
      </c>
      <c r="G106" s="4"/>
      <c r="H106" s="4">
        <f>SUM(OSRRefH25x_0)</f>
        <v>24000</v>
      </c>
      <c r="I106" s="4"/>
      <c r="J106" s="13">
        <f t="shared" ref="J106:J110" si="105">IF(H$12=0,0,H106/H$12)</f>
        <v>0</v>
      </c>
      <c r="K106" s="4"/>
      <c r="L106" s="4">
        <f t="shared" ref="L106:L110" si="106">+D106-H106</f>
        <v>24960.65</v>
      </c>
      <c r="M106" s="4"/>
      <c r="N106" s="13">
        <f t="shared" ref="N106:N110" si="107">IF(H106=0,0,L106/H106)</f>
        <v>1.0400270833333334</v>
      </c>
      <c r="O106" s="10"/>
      <c r="P106" s="4">
        <f>SUM(OSRRefP25x_0)</f>
        <v>269200.71000000002</v>
      </c>
      <c r="Q106" s="4"/>
      <c r="R106" s="13">
        <f t="shared" ref="R106:R110" si="108">IF(P$12=0,0,P106/P$12)</f>
        <v>0</v>
      </c>
      <c r="S106" s="4"/>
      <c r="T106" s="4">
        <f>SUM(OSRRefT25x_0)</f>
        <v>288000</v>
      </c>
      <c r="U106" s="4"/>
      <c r="V106" s="13">
        <f t="shared" ref="V106:V110" si="109">IF(T$12=0,0,T106/T$12)</f>
        <v>0</v>
      </c>
      <c r="W106" s="4"/>
      <c r="X106" s="4">
        <f t="shared" ref="X106:X110" si="110">+P106-T106</f>
        <v>-18799.289999999979</v>
      </c>
      <c r="Y106" s="4"/>
      <c r="Z106" s="13">
        <f t="shared" ref="Z106:Z110" si="111">IF(T106=0,0,X106/T106)</f>
        <v>-6.5275312499999932E-2</v>
      </c>
    </row>
    <row r="107" spans="1:26" s="24" customFormat="1" hidden="1" outlineLevel="1" x14ac:dyDescent="0.25">
      <c r="A107" s="44"/>
      <c r="B107" s="11" t="str">
        <f>CONCATENATE("          ", "9150", " - ", "MISC. INCOME")</f>
        <v xml:space="preserve">          9150 - MISC. INCOME</v>
      </c>
      <c r="C107" s="11"/>
      <c r="D107" s="2">
        <f>--48960.65</f>
        <v>48960.65</v>
      </c>
      <c r="E107" s="2"/>
      <c r="F107" s="19">
        <f t="shared" si="104"/>
        <v>0</v>
      </c>
      <c r="G107" s="2"/>
      <c r="H107" s="2">
        <v>21500</v>
      </c>
      <c r="I107" s="2"/>
      <c r="J107" s="19">
        <f t="shared" si="105"/>
        <v>0</v>
      </c>
      <c r="K107" s="2"/>
      <c r="L107" s="2">
        <f t="shared" si="106"/>
        <v>27460.65</v>
      </c>
      <c r="M107" s="2"/>
      <c r="N107" s="19">
        <f t="shared" si="107"/>
        <v>1.2772395348837211</v>
      </c>
      <c r="O107" s="11"/>
      <c r="P107" s="2">
        <f>--262102.31</f>
        <v>262102.31</v>
      </c>
      <c r="Q107" s="2"/>
      <c r="R107" s="19">
        <f t="shared" si="108"/>
        <v>0</v>
      </c>
      <c r="S107" s="2"/>
      <c r="T107" s="2">
        <v>258000</v>
      </c>
      <c r="U107" s="2"/>
      <c r="V107" s="19">
        <f t="shared" si="109"/>
        <v>0</v>
      </c>
      <c r="W107" s="2"/>
      <c r="X107" s="2">
        <f t="shared" si="110"/>
        <v>4102.3099999999977</v>
      </c>
      <c r="Y107" s="2"/>
      <c r="Z107" s="19">
        <f t="shared" si="111"/>
        <v>1.5900426356589139E-2</v>
      </c>
    </row>
    <row r="108" spans="1:26" s="24" customFormat="1" hidden="1" outlineLevel="1" x14ac:dyDescent="0.25">
      <c r="A108" s="44"/>
      <c r="B108" s="11" t="str">
        <f>CONCATENATE("          ", "9151", " - ", "MISC. INCOME")</f>
        <v xml:space="preserve">          9151 - MISC. INCOME</v>
      </c>
      <c r="C108" s="11"/>
      <c r="D108" s="2">
        <f t="shared" ref="D108:D110" si="112">0</f>
        <v>0</v>
      </c>
      <c r="E108" s="2"/>
      <c r="F108" s="19">
        <f t="shared" si="104"/>
        <v>0</v>
      </c>
      <c r="G108" s="2"/>
      <c r="H108" s="2">
        <v>500</v>
      </c>
      <c r="I108" s="2"/>
      <c r="J108" s="19">
        <f t="shared" si="105"/>
        <v>0</v>
      </c>
      <c r="K108" s="2"/>
      <c r="L108" s="2">
        <f t="shared" si="106"/>
        <v>-500</v>
      </c>
      <c r="M108" s="2"/>
      <c r="N108" s="19">
        <f t="shared" si="107"/>
        <v>-1</v>
      </c>
      <c r="O108" s="11"/>
      <c r="P108" s="2">
        <f>--6648.4</f>
        <v>6648.4</v>
      </c>
      <c r="Q108" s="2"/>
      <c r="R108" s="19">
        <f t="shared" si="108"/>
        <v>0</v>
      </c>
      <c r="S108" s="2"/>
      <c r="T108" s="2">
        <v>6000</v>
      </c>
      <c r="U108" s="2"/>
      <c r="V108" s="19">
        <f t="shared" si="109"/>
        <v>0</v>
      </c>
      <c r="W108" s="2"/>
      <c r="X108" s="2">
        <f t="shared" si="110"/>
        <v>648.39999999999964</v>
      </c>
      <c r="Y108" s="2"/>
      <c r="Z108" s="19">
        <f t="shared" si="111"/>
        <v>0.1080666666666666</v>
      </c>
    </row>
    <row r="109" spans="1:26" s="24" customFormat="1" hidden="1" outlineLevel="1" x14ac:dyDescent="0.25">
      <c r="A109" s="44"/>
      <c r="B109" s="11" t="str">
        <f>CONCATENATE("          ", "9153", " - ", "MISC. INCOME")</f>
        <v xml:space="preserve">          9153 - MISC. INCOME</v>
      </c>
      <c r="C109" s="11"/>
      <c r="D109" s="2">
        <f t="shared" si="112"/>
        <v>0</v>
      </c>
      <c r="E109" s="2"/>
      <c r="F109" s="19">
        <f t="shared" si="104"/>
        <v>0</v>
      </c>
      <c r="G109" s="2"/>
      <c r="H109" s="2"/>
      <c r="I109" s="2"/>
      <c r="J109" s="19">
        <f t="shared" si="105"/>
        <v>0</v>
      </c>
      <c r="K109" s="2"/>
      <c r="L109" s="2">
        <f t="shared" si="106"/>
        <v>0</v>
      </c>
      <c r="M109" s="2"/>
      <c r="N109" s="19">
        <f t="shared" si="107"/>
        <v>0</v>
      </c>
      <c r="O109" s="11"/>
      <c r="P109" s="2">
        <f>--450</f>
        <v>450</v>
      </c>
      <c r="Q109" s="2"/>
      <c r="R109" s="19">
        <f t="shared" si="108"/>
        <v>0</v>
      </c>
      <c r="S109" s="2"/>
      <c r="T109" s="2"/>
      <c r="U109" s="2"/>
      <c r="V109" s="19">
        <f t="shared" si="109"/>
        <v>0</v>
      </c>
      <c r="W109" s="2"/>
      <c r="X109" s="2">
        <f t="shared" si="110"/>
        <v>450</v>
      </c>
      <c r="Y109" s="2"/>
      <c r="Z109" s="19">
        <f t="shared" si="111"/>
        <v>0</v>
      </c>
    </row>
    <row r="110" spans="1:26" s="24" customFormat="1" hidden="1" outlineLevel="1" x14ac:dyDescent="0.25">
      <c r="A110" s="44"/>
      <c r="B110" s="11" t="str">
        <f>CONCATENATE("          ", "9160", " - ", "MISC. INCOME")</f>
        <v xml:space="preserve">          9160 - MISC. INCOME</v>
      </c>
      <c r="C110" s="11"/>
      <c r="D110" s="2">
        <f t="shared" si="112"/>
        <v>0</v>
      </c>
      <c r="E110" s="2"/>
      <c r="F110" s="19">
        <f t="shared" si="104"/>
        <v>0</v>
      </c>
      <c r="G110" s="2"/>
      <c r="H110" s="2">
        <v>2000</v>
      </c>
      <c r="I110" s="2"/>
      <c r="J110" s="19">
        <f t="shared" si="105"/>
        <v>0</v>
      </c>
      <c r="K110" s="2"/>
      <c r="L110" s="2">
        <f t="shared" si="106"/>
        <v>-2000</v>
      </c>
      <c r="M110" s="2"/>
      <c r="N110" s="19">
        <f t="shared" si="107"/>
        <v>-1</v>
      </c>
      <c r="O110" s="11"/>
      <c r="P110" s="2">
        <f>0</f>
        <v>0</v>
      </c>
      <c r="Q110" s="2"/>
      <c r="R110" s="19">
        <f t="shared" si="108"/>
        <v>0</v>
      </c>
      <c r="S110" s="2"/>
      <c r="T110" s="2">
        <v>24000</v>
      </c>
      <c r="U110" s="2"/>
      <c r="V110" s="19">
        <f t="shared" si="109"/>
        <v>0</v>
      </c>
      <c r="W110" s="2"/>
      <c r="X110" s="2">
        <f t="shared" si="110"/>
        <v>-24000</v>
      </c>
      <c r="Y110" s="2"/>
      <c r="Z110" s="19">
        <f t="shared" si="111"/>
        <v>-1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9" t="s">
        <v>3</v>
      </c>
      <c r="C112" s="29"/>
      <c r="D112" s="22">
        <f>+D16-D18+D106</f>
        <v>77528.700000000012</v>
      </c>
      <c r="E112" s="14"/>
      <c r="F112" s="20">
        <f>IF(D$12=0,0,D112/D$12)</f>
        <v>0</v>
      </c>
      <c r="G112" s="14"/>
      <c r="H112" s="22">
        <f>+H16-H18+H106</f>
        <v>-100331.2701071169</v>
      </c>
      <c r="I112" s="14"/>
      <c r="J112" s="20">
        <f>IF(H$12=0,0,H112/H$12)</f>
        <v>0</v>
      </c>
      <c r="K112" s="15"/>
      <c r="L112" s="22">
        <f>+D112-H112</f>
        <v>177859.97010711691</v>
      </c>
      <c r="M112" s="15"/>
      <c r="N112" s="20">
        <f>IF(H112=0,0,L112/H112)</f>
        <v>-1.7727271858238003</v>
      </c>
      <c r="O112" s="28"/>
      <c r="P112" s="22">
        <f>+P16-P18+P106</f>
        <v>-920506.95999999926</v>
      </c>
      <c r="Q112" s="14"/>
      <c r="R112" s="20">
        <f>IF(P$12=0,0,P112/P$12)</f>
        <v>0</v>
      </c>
      <c r="S112" s="14"/>
      <c r="T112" s="22">
        <f>+T16-T18+T106</f>
        <v>-1428733.22465877</v>
      </c>
      <c r="U112" s="14"/>
      <c r="V112" s="20">
        <f>IF(T$12=0,0,T112/T$12)</f>
        <v>0</v>
      </c>
      <c r="W112" s="15"/>
      <c r="X112" s="22">
        <f>+P112-T112</f>
        <v>508226.26465877076</v>
      </c>
      <c r="Y112" s="15"/>
      <c r="Z112" s="20">
        <f>IF(T112=0,0,X112/T112)</f>
        <v>-0.35571809760366735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/>
      <c r="E114" s="4"/>
      <c r="F114" s="13">
        <f>IF(D$12=0,0,D114/D$12)</f>
        <v>0</v>
      </c>
      <c r="G114" s="4"/>
      <c r="H114" s="4"/>
      <c r="I114" s="4"/>
      <c r="J114" s="13">
        <f>IF(H$12=0,0,H114/H$12)</f>
        <v>0</v>
      </c>
      <c r="K114" s="4"/>
      <c r="L114" s="4">
        <f>+D114-H114</f>
        <v>0</v>
      </c>
      <c r="M114" s="4"/>
      <c r="N114" s="13">
        <f>IF(H114=0,0,L114/H114)</f>
        <v>0</v>
      </c>
      <c r="O114" s="10"/>
      <c r="P114" s="4"/>
      <c r="Q114" s="4"/>
      <c r="R114" s="13">
        <f>IF(P$12=0,0,P114/P$12)</f>
        <v>0</v>
      </c>
      <c r="S114" s="4"/>
      <c r="T114" s="4"/>
      <c r="U114" s="4"/>
      <c r="V114" s="13">
        <f>IF(T$12=0,0,T114/T$12)</f>
        <v>0</v>
      </c>
      <c r="W114" s="4"/>
      <c r="X114" s="4">
        <f>+P114-T114</f>
        <v>0</v>
      </c>
      <c r="Y114" s="4"/>
      <c r="Z114" s="13">
        <f>IF(T114=0,0,X114/T114)</f>
        <v>0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4</v>
      </c>
      <c r="C116" s="29"/>
      <c r="D116" s="31">
        <f>+D112-D114</f>
        <v>77528.700000000012</v>
      </c>
      <c r="E116" s="14"/>
      <c r="F116" s="33">
        <f>IF(D$12=0,0,D116/D$12)</f>
        <v>0</v>
      </c>
      <c r="G116" s="14"/>
      <c r="H116" s="31">
        <f>+H112-H114</f>
        <v>-100331.2701071169</v>
      </c>
      <c r="I116" s="14"/>
      <c r="J116" s="33">
        <f>IF(H$12=0,0,H116/H$12)</f>
        <v>0</v>
      </c>
      <c r="K116" s="15"/>
      <c r="L116" s="31">
        <f>D116-H116</f>
        <v>177859.97010711691</v>
      </c>
      <c r="M116" s="15"/>
      <c r="N116" s="33">
        <f>IF(H116=0,0,L116/H116)</f>
        <v>-1.7727271858238003</v>
      </c>
      <c r="O116" s="28"/>
      <c r="P116" s="31">
        <f>+P112-P114</f>
        <v>-920506.95999999926</v>
      </c>
      <c r="Q116" s="14"/>
      <c r="R116" s="33">
        <f>IF(P$12=0,0,P116/P$12)</f>
        <v>0</v>
      </c>
      <c r="S116" s="14"/>
      <c r="T116" s="31">
        <f>+T112-T114</f>
        <v>-1428733.22465877</v>
      </c>
      <c r="U116" s="14"/>
      <c r="V116" s="33">
        <f>IF(T$12=0,0,T116/T$12)</f>
        <v>0</v>
      </c>
      <c r="W116" s="15"/>
      <c r="X116" s="31">
        <f>P116-T116</f>
        <v>508226.26465877076</v>
      </c>
      <c r="Y116" s="15"/>
      <c r="Z116" s="33">
        <f>IF(T116=0,0,X116/T116)</f>
        <v>-0.35571809760366735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5</v>
      </c>
      <c r="C119" s="29"/>
      <c r="D119" s="34">
        <f>SUM(D116:D118)</f>
        <v>77528.700000000012</v>
      </c>
      <c r="E119" s="14"/>
      <c r="F119" s="35">
        <f>IF(D$12=0,0,D119/D$12)</f>
        <v>0</v>
      </c>
      <c r="G119" s="14"/>
      <c r="H119" s="34">
        <f>SUM(H116:H118)</f>
        <v>-100331.2701071169</v>
      </c>
      <c r="I119" s="14"/>
      <c r="J119" s="35">
        <f>IF(H$12=0,0,H119/H$12)</f>
        <v>0</v>
      </c>
      <c r="K119" s="15"/>
      <c r="L119" s="34">
        <f>+D119-H119</f>
        <v>177859.97010711691</v>
      </c>
      <c r="M119" s="15"/>
      <c r="N119" s="35">
        <f>IF(H119=0,0,L119/H119)</f>
        <v>-1.7727271858238003</v>
      </c>
      <c r="O119" s="28"/>
      <c r="P119" s="34">
        <f>SUM(P116:P118)</f>
        <v>-920506.95999999926</v>
      </c>
      <c r="Q119" s="14"/>
      <c r="R119" s="35">
        <f>IF(P$12=0,0,P119/P$12)</f>
        <v>0</v>
      </c>
      <c r="S119" s="14"/>
      <c r="T119" s="34">
        <f>SUM(T116:T118)</f>
        <v>-1428733.22465877</v>
      </c>
      <c r="U119" s="14"/>
      <c r="V119" s="35">
        <f>IF(T$12=0,0,T119/T$12)</f>
        <v>0</v>
      </c>
      <c r="W119" s="15"/>
      <c r="X119" s="34">
        <f>+P119-T119</f>
        <v>508226.26465877076</v>
      </c>
      <c r="Y119" s="15"/>
      <c r="Z119" s="35">
        <f>IF(T119=0,0,X119/T119)</f>
        <v>-0.35571809760366735</v>
      </c>
    </row>
    <row r="120" spans="1:26" ht="15.75" thickTop="1" x14ac:dyDescent="0.25">
      <c r="A120" s="9"/>
      <c r="C120" s="9"/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55">
        <v>44043.473273229167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A122" s="9"/>
      <c r="B122" s="62" t="s">
        <v>314</v>
      </c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A123" s="9"/>
      <c r="B123" s="63"/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","306", " - ", "Warehouse")</f>
        <v>Department 306 - Warehouse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46589.19</v>
      </c>
      <c r="E18" s="21"/>
      <c r="F18" s="32">
        <f t="shared" ref="F18:F28" si="0">IF(D$12=0,0,D18/D$12)</f>
        <v>0</v>
      </c>
      <c r="G18" s="21"/>
      <c r="H18" s="21">
        <f>SUM(OSRRefH22x_0)</f>
        <v>29427.251392785998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17161.938607214004</v>
      </c>
      <c r="M18" s="4"/>
      <c r="N18" s="32">
        <f t="shared" ref="N18:N28" si="3">IF(H18=0,0,L18/H18)</f>
        <v>0.58319883084361734</v>
      </c>
      <c r="O18" s="10"/>
      <c r="P18" s="21">
        <f>SUM(OSRRefP22x_0)</f>
        <v>519485.78</v>
      </c>
      <c r="Q18" s="21"/>
      <c r="R18" s="32">
        <f t="shared" ref="R18:R28" si="4">IF(P$12=0,0,P18/P$12)</f>
        <v>0</v>
      </c>
      <c r="S18" s="21"/>
      <c r="T18" s="21">
        <f>SUM(OSRRefT22x_0)</f>
        <v>500473.40673891798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19012.373261082044</v>
      </c>
      <c r="Y18" s="4"/>
      <c r="Z18" s="32">
        <f t="shared" ref="Z18:Z28" si="7">IF(T18=0,0,X18/T18)</f>
        <v>3.798877823492474E-2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5075</v>
      </c>
      <c r="E19" s="1"/>
      <c r="F19" s="5">
        <f t="shared" si="0"/>
        <v>0</v>
      </c>
      <c r="G19" s="1"/>
      <c r="H19" s="1">
        <f>SUM(OSRRefH22_0x_0)</f>
        <v>4941.1852847860009</v>
      </c>
      <c r="I19" s="1"/>
      <c r="J19" s="5">
        <f t="shared" si="1"/>
        <v>0</v>
      </c>
      <c r="K19" s="1"/>
      <c r="L19" s="1">
        <f t="shared" si="2"/>
        <v>133.81471521399908</v>
      </c>
      <c r="M19" s="1"/>
      <c r="N19" s="5">
        <f t="shared" si="3"/>
        <v>2.7081501198916183E-2</v>
      </c>
      <c r="O19" s="12"/>
      <c r="P19" s="1">
        <f>SUM(OSRRefP22_0x_0)</f>
        <v>53527.07</v>
      </c>
      <c r="Q19" s="1"/>
      <c r="R19" s="5">
        <f t="shared" si="4"/>
        <v>0</v>
      </c>
      <c r="S19" s="1"/>
      <c r="T19" s="1">
        <f>SUM(OSRRefT22_0x_0)</f>
        <v>58749.201334918005</v>
      </c>
      <c r="U19" s="1"/>
      <c r="V19" s="5">
        <f t="shared" si="5"/>
        <v>0</v>
      </c>
      <c r="W19" s="1"/>
      <c r="X19" s="1">
        <f t="shared" si="6"/>
        <v>-5222.1313349180055</v>
      </c>
      <c r="Y19" s="1"/>
      <c r="Z19" s="5">
        <f t="shared" si="7"/>
        <v>-8.8888550248498344E-2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2972.15</v>
      </c>
      <c r="E20" s="2"/>
      <c r="F20" s="7">
        <f t="shared" si="0"/>
        <v>0</v>
      </c>
      <c r="G20" s="2"/>
      <c r="H20" s="6">
        <v>1877.2267320660001</v>
      </c>
      <c r="I20" s="2"/>
      <c r="J20" s="7">
        <f t="shared" si="1"/>
        <v>0</v>
      </c>
      <c r="K20" s="2"/>
      <c r="L20" s="6">
        <f t="shared" si="2"/>
        <v>1094.923267934</v>
      </c>
      <c r="M20" s="2"/>
      <c r="N20" s="7">
        <f t="shared" si="3"/>
        <v>0.58326639464001862</v>
      </c>
      <c r="O20" s="11"/>
      <c r="P20" s="6">
        <v>19409.289999999997</v>
      </c>
      <c r="Q20" s="2"/>
      <c r="R20" s="7">
        <f t="shared" si="4"/>
        <v>0</v>
      </c>
      <c r="S20" s="2"/>
      <c r="T20" s="6">
        <v>16170.925881558001</v>
      </c>
      <c r="U20" s="2"/>
      <c r="V20" s="7">
        <f t="shared" si="5"/>
        <v>0</v>
      </c>
      <c r="W20" s="2"/>
      <c r="X20" s="6">
        <f t="shared" si="6"/>
        <v>3238.3641184419957</v>
      </c>
      <c r="Y20" s="2"/>
      <c r="Z20" s="7">
        <f t="shared" si="7"/>
        <v>0.20025842318250689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921.85</v>
      </c>
      <c r="E21" s="2"/>
      <c r="F21" s="7">
        <f t="shared" si="0"/>
        <v>0</v>
      </c>
      <c r="G21" s="2"/>
      <c r="H21" s="6">
        <v>466.05655180000002</v>
      </c>
      <c r="I21" s="2"/>
      <c r="J21" s="7">
        <f t="shared" si="1"/>
        <v>0</v>
      </c>
      <c r="K21" s="2"/>
      <c r="L21" s="6">
        <f t="shared" si="2"/>
        <v>455.7934482</v>
      </c>
      <c r="M21" s="2"/>
      <c r="N21" s="7">
        <f t="shared" si="3"/>
        <v>0.97797884492694731</v>
      </c>
      <c r="O21" s="11"/>
      <c r="P21" s="6">
        <v>8372.41</v>
      </c>
      <c r="Q21" s="2"/>
      <c r="R21" s="7">
        <f t="shared" si="4"/>
        <v>0</v>
      </c>
      <c r="S21" s="2"/>
      <c r="T21" s="6">
        <v>8344.2590433999994</v>
      </c>
      <c r="U21" s="2"/>
      <c r="V21" s="7">
        <f t="shared" si="5"/>
        <v>0</v>
      </c>
      <c r="W21" s="2"/>
      <c r="X21" s="6">
        <f t="shared" si="6"/>
        <v>28.150956600000427</v>
      </c>
      <c r="Y21" s="2"/>
      <c r="Z21" s="7">
        <f t="shared" si="7"/>
        <v>3.3736915948536848E-3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696.78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33.779999999999973</v>
      </c>
      <c r="M22" s="2"/>
      <c r="N22" s="7">
        <f t="shared" si="3"/>
        <v>5.0950226244343852E-2</v>
      </c>
      <c r="O22" s="11"/>
      <c r="P22" s="6">
        <v>19979.009999999998</v>
      </c>
      <c r="Q22" s="2"/>
      <c r="R22" s="7">
        <f t="shared" si="4"/>
        <v>0</v>
      </c>
      <c r="S22" s="2"/>
      <c r="T22" s="6">
        <v>7956</v>
      </c>
      <c r="U22" s="2"/>
      <c r="V22" s="7">
        <f t="shared" si="5"/>
        <v>0</v>
      </c>
      <c r="W22" s="2"/>
      <c r="X22" s="6">
        <f t="shared" si="6"/>
        <v>12023.009999999998</v>
      </c>
      <c r="Y22" s="2"/>
      <c r="Z22" s="7">
        <f t="shared" si="7"/>
        <v>1.5111877828054296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-1120.3</v>
      </c>
      <c r="E23" s="2"/>
      <c r="F23" s="7">
        <f t="shared" si="0"/>
        <v>0</v>
      </c>
      <c r="G23" s="2"/>
      <c r="H23" s="6">
        <v>63.776159720000003</v>
      </c>
      <c r="I23" s="2"/>
      <c r="J23" s="7">
        <f t="shared" si="1"/>
        <v>0</v>
      </c>
      <c r="K23" s="2"/>
      <c r="L23" s="6">
        <f t="shared" si="2"/>
        <v>-1184.0761597199999</v>
      </c>
      <c r="M23" s="2"/>
      <c r="N23" s="7">
        <f t="shared" si="3"/>
        <v>-18.566125099386898</v>
      </c>
      <c r="O23" s="11"/>
      <c r="P23" s="6">
        <v>0</v>
      </c>
      <c r="Q23" s="2"/>
      <c r="R23" s="7">
        <f t="shared" si="4"/>
        <v>0</v>
      </c>
      <c r="S23" s="2"/>
      <c r="T23" s="6">
        <v>1141.8459743600001</v>
      </c>
      <c r="U23" s="2"/>
      <c r="V23" s="7">
        <f t="shared" si="5"/>
        <v>0</v>
      </c>
      <c r="W23" s="2"/>
      <c r="X23" s="6">
        <f t="shared" si="6"/>
        <v>-1141.8459743600001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298.81</v>
      </c>
      <c r="E24" s="2"/>
      <c r="F24" s="7">
        <f t="shared" si="0"/>
        <v>0</v>
      </c>
      <c r="G24" s="2"/>
      <c r="H24" s="6">
        <v>724.55319919999999</v>
      </c>
      <c r="I24" s="2"/>
      <c r="J24" s="7">
        <f t="shared" si="1"/>
        <v>0</v>
      </c>
      <c r="K24" s="2"/>
      <c r="L24" s="6">
        <f t="shared" si="2"/>
        <v>-425.74319919999999</v>
      </c>
      <c r="M24" s="2"/>
      <c r="N24" s="7">
        <f t="shared" si="3"/>
        <v>-0.58759411961754537</v>
      </c>
      <c r="O24" s="11"/>
      <c r="P24" s="6">
        <v>7876.9</v>
      </c>
      <c r="Q24" s="2"/>
      <c r="R24" s="7">
        <f t="shared" si="4"/>
        <v>0</v>
      </c>
      <c r="S24" s="2"/>
      <c r="T24" s="6">
        <v>9247.466789600001</v>
      </c>
      <c r="U24" s="2"/>
      <c r="V24" s="7">
        <f t="shared" si="5"/>
        <v>0</v>
      </c>
      <c r="W24" s="2"/>
      <c r="X24" s="6">
        <f t="shared" si="6"/>
        <v>-1370.5667896000014</v>
      </c>
      <c r="Y24" s="2"/>
      <c r="Z24" s="7">
        <f t="shared" si="7"/>
        <v>-0.14820997152878504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953.08</v>
      </c>
      <c r="E26" s="2"/>
      <c r="F26" s="7">
        <f t="shared" si="0"/>
        <v>0</v>
      </c>
      <c r="G26" s="2"/>
      <c r="H26" s="6">
        <v>631.224604</v>
      </c>
      <c r="I26" s="2"/>
      <c r="J26" s="7">
        <f t="shared" si="1"/>
        <v>0</v>
      </c>
      <c r="K26" s="2"/>
      <c r="L26" s="6">
        <f t="shared" si="2"/>
        <v>321.85539600000004</v>
      </c>
      <c r="M26" s="2"/>
      <c r="N26" s="7">
        <f t="shared" si="3"/>
        <v>0.50989044780643566</v>
      </c>
      <c r="O26" s="11"/>
      <c r="P26" s="6">
        <v>4661.3</v>
      </c>
      <c r="Q26" s="2"/>
      <c r="R26" s="7">
        <f t="shared" si="4"/>
        <v>0</v>
      </c>
      <c r="S26" s="2"/>
      <c r="T26" s="6">
        <v>8046.1758520000003</v>
      </c>
      <c r="U26" s="2"/>
      <c r="V26" s="7">
        <f t="shared" si="5"/>
        <v>0</v>
      </c>
      <c r="W26" s="2"/>
      <c r="X26" s="6">
        <f t="shared" si="6"/>
        <v>-3384.8758520000001</v>
      </c>
      <c r="Y26" s="2"/>
      <c r="Z26" s="7">
        <f t="shared" si="7"/>
        <v>-0.42068131672248221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312.63</v>
      </c>
      <c r="E27" s="2"/>
      <c r="F27" s="7">
        <f t="shared" si="0"/>
        <v>0</v>
      </c>
      <c r="G27" s="2"/>
      <c r="H27" s="6">
        <v>515.34803799999997</v>
      </c>
      <c r="I27" s="2"/>
      <c r="J27" s="7">
        <f t="shared" si="1"/>
        <v>0</v>
      </c>
      <c r="K27" s="2"/>
      <c r="L27" s="6">
        <f t="shared" si="2"/>
        <v>-202.71803799999998</v>
      </c>
      <c r="M27" s="2"/>
      <c r="N27" s="7">
        <f t="shared" si="3"/>
        <v>-0.39336142383838857</v>
      </c>
      <c r="O27" s="11"/>
      <c r="P27" s="6">
        <v>-9617.31</v>
      </c>
      <c r="Q27" s="2"/>
      <c r="R27" s="7">
        <f t="shared" si="4"/>
        <v>0</v>
      </c>
      <c r="S27" s="2"/>
      <c r="T27" s="6">
        <v>7842.5277939999996</v>
      </c>
      <c r="U27" s="2"/>
      <c r="V27" s="7">
        <f t="shared" si="5"/>
        <v>0</v>
      </c>
      <c r="W27" s="2"/>
      <c r="X27" s="6">
        <f t="shared" si="6"/>
        <v>-17459.837793999999</v>
      </c>
      <c r="Y27" s="2"/>
      <c r="Z27" s="7">
        <f t="shared" si="7"/>
        <v>-2.2263023163727662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40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40</v>
      </c>
      <c r="M28" s="2"/>
      <c r="N28" s="7">
        <f t="shared" si="3"/>
        <v>0</v>
      </c>
      <c r="O28" s="11"/>
      <c r="P28" s="6">
        <v>2845.47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2845.47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39913.72</v>
      </c>
      <c r="E29" s="1"/>
      <c r="F29" s="5">
        <f t="shared" ref="F29:F39" si="8">IF(D$12=0,0,D29/D$12)</f>
        <v>0</v>
      </c>
      <c r="G29" s="1"/>
      <c r="H29" s="1">
        <f>SUM(OSRRefH22_1x_0)</f>
        <v>23561.066107999999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16352.653892000002</v>
      </c>
      <c r="M29" s="1"/>
      <c r="N29" s="5">
        <f t="shared" ref="N29:N39" si="11">IF(H29=0,0,L29/H29)</f>
        <v>0.69405407280987041</v>
      </c>
      <c r="O29" s="12"/>
      <c r="P29" s="1">
        <f>SUM(OSRRefP22_1x_0)</f>
        <v>452215.37999999995</v>
      </c>
      <c r="Q29" s="1"/>
      <c r="R29" s="5">
        <f t="shared" ref="R29:R39" si="12">IF(P$12=0,0,P29/P$12)</f>
        <v>0</v>
      </c>
      <c r="S29" s="1"/>
      <c r="T29" s="1">
        <f>SUM(OSRRefT22_1x_0)</f>
        <v>426824.20540400001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25391.174595999939</v>
      </c>
      <c r="Y29" s="1"/>
      <c r="Z29" s="5">
        <f t="shared" ref="Z29:Z39" si="15">IF(T29=0,0,X29/T29)</f>
        <v>5.9488600399235897E-2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3807.2751079999994</v>
      </c>
      <c r="I30" s="2"/>
      <c r="J30" s="7">
        <f t="shared" si="9"/>
        <v>0</v>
      </c>
      <c r="K30" s="2"/>
      <c r="L30" s="6">
        <f t="shared" si="10"/>
        <v>-3807.2751079999994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49494.576403999999</v>
      </c>
      <c r="U30" s="2"/>
      <c r="V30" s="7">
        <f t="shared" si="13"/>
        <v>0</v>
      </c>
      <c r="W30" s="2"/>
      <c r="X30" s="6">
        <f t="shared" si="14"/>
        <v>-49494.576403999999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4277.84</v>
      </c>
      <c r="E31" s="2"/>
      <c r="F31" s="7">
        <f t="shared" si="8"/>
        <v>0</v>
      </c>
      <c r="G31" s="2"/>
      <c r="H31" s="6">
        <v>3649.5360000000001</v>
      </c>
      <c r="I31" s="2"/>
      <c r="J31" s="7">
        <f t="shared" si="9"/>
        <v>0</v>
      </c>
      <c r="K31" s="2"/>
      <c r="L31" s="6">
        <f t="shared" si="10"/>
        <v>628.30400000000009</v>
      </c>
      <c r="M31" s="2"/>
      <c r="N31" s="7">
        <f t="shared" si="11"/>
        <v>0.17215996773288442</v>
      </c>
      <c r="O31" s="11"/>
      <c r="P31" s="6">
        <v>94654.399999999994</v>
      </c>
      <c r="Q31" s="2"/>
      <c r="R31" s="7">
        <f t="shared" si="12"/>
        <v>0</v>
      </c>
      <c r="S31" s="2"/>
      <c r="T31" s="6">
        <v>45686.784</v>
      </c>
      <c r="U31" s="2"/>
      <c r="V31" s="7">
        <f t="shared" si="13"/>
        <v>0</v>
      </c>
      <c r="W31" s="2"/>
      <c r="X31" s="6">
        <f t="shared" si="14"/>
        <v>48967.615999999995</v>
      </c>
      <c r="Y31" s="2"/>
      <c r="Z31" s="7">
        <f t="shared" si="15"/>
        <v>1.0718114017392864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>
        <v>8856.15</v>
      </c>
      <c r="E33" s="2"/>
      <c r="F33" s="7">
        <f t="shared" si="8"/>
        <v>0</v>
      </c>
      <c r="G33" s="2"/>
      <c r="H33" s="6">
        <v>3460.8</v>
      </c>
      <c r="I33" s="2"/>
      <c r="J33" s="7">
        <f t="shared" si="9"/>
        <v>0</v>
      </c>
      <c r="K33" s="2"/>
      <c r="L33" s="6">
        <f t="shared" si="10"/>
        <v>5395.3499999999995</v>
      </c>
      <c r="M33" s="2"/>
      <c r="N33" s="7">
        <f t="shared" si="11"/>
        <v>1.5589892510402217</v>
      </c>
      <c r="O33" s="11"/>
      <c r="P33" s="6">
        <v>10606.15</v>
      </c>
      <c r="Q33" s="2"/>
      <c r="R33" s="7">
        <f t="shared" si="12"/>
        <v>0</v>
      </c>
      <c r="S33" s="2"/>
      <c r="T33" s="6">
        <v>44990.400000000001</v>
      </c>
      <c r="U33" s="2"/>
      <c r="V33" s="7">
        <f t="shared" si="13"/>
        <v>0</v>
      </c>
      <c r="W33" s="2"/>
      <c r="X33" s="6">
        <f t="shared" si="14"/>
        <v>-34384.25</v>
      </c>
      <c r="Y33" s="2"/>
      <c r="Z33" s="7">
        <f t="shared" si="15"/>
        <v>-0.76425748604146659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10511.13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10511.13</v>
      </c>
      <c r="M34" s="2"/>
      <c r="N34" s="7">
        <f t="shared" si="11"/>
        <v>0</v>
      </c>
      <c r="O34" s="11"/>
      <c r="P34" s="6">
        <v>46909.49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46909.49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>
        <v>1347.41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1347.41</v>
      </c>
      <c r="M35" s="2"/>
      <c r="N35" s="7">
        <f t="shared" si="11"/>
        <v>0</v>
      </c>
      <c r="O35" s="11"/>
      <c r="P35" s="6">
        <v>15402.92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15402.92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14921.190000000002</v>
      </c>
      <c r="E36" s="2"/>
      <c r="F36" s="7">
        <f t="shared" si="8"/>
        <v>0</v>
      </c>
      <c r="G36" s="2"/>
      <c r="H36" s="6">
        <v>12643.455</v>
      </c>
      <c r="I36" s="2"/>
      <c r="J36" s="7">
        <f t="shared" si="9"/>
        <v>0</v>
      </c>
      <c r="K36" s="2"/>
      <c r="L36" s="6">
        <f t="shared" si="10"/>
        <v>2277.7350000000024</v>
      </c>
      <c r="M36" s="2"/>
      <c r="N36" s="7">
        <f t="shared" si="11"/>
        <v>0.18015131148882979</v>
      </c>
      <c r="O36" s="11"/>
      <c r="P36" s="6">
        <v>271625.24</v>
      </c>
      <c r="Q36" s="2"/>
      <c r="R36" s="7">
        <f t="shared" si="12"/>
        <v>0</v>
      </c>
      <c r="S36" s="2"/>
      <c r="T36" s="6">
        <v>58782.705000000002</v>
      </c>
      <c r="U36" s="2"/>
      <c r="V36" s="7">
        <f t="shared" si="13"/>
        <v>0</v>
      </c>
      <c r="W36" s="2"/>
      <c r="X36" s="6">
        <f t="shared" si="14"/>
        <v>212842.53499999997</v>
      </c>
      <c r="Y36" s="2"/>
      <c r="Z36" s="7">
        <f t="shared" si="15"/>
        <v>3.6208360095031349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13017.18</v>
      </c>
      <c r="Q37" s="2"/>
      <c r="R37" s="7">
        <f t="shared" si="12"/>
        <v>0</v>
      </c>
      <c r="S37" s="2"/>
      <c r="T37" s="6">
        <v>227869.74</v>
      </c>
      <c r="U37" s="2"/>
      <c r="V37" s="7">
        <f t="shared" si="13"/>
        <v>0</v>
      </c>
      <c r="W37" s="2"/>
      <c r="X37" s="6">
        <f t="shared" si="14"/>
        <v>-214852.56</v>
      </c>
      <c r="Y37" s="2"/>
      <c r="Z37" s="7">
        <f t="shared" si="15"/>
        <v>-0.94287446854505563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0</v>
      </c>
      <c r="E40" s="1"/>
      <c r="F40" s="5">
        <f t="shared" ref="F40:F52" si="16">IF(D$12=0,0,D40/D$12)</f>
        <v>0</v>
      </c>
      <c r="G40" s="1"/>
      <c r="H40" s="1">
        <f>SUM(OSRRefH22_2x_0)</f>
        <v>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0</v>
      </c>
      <c r="M40" s="1"/>
      <c r="N40" s="5">
        <f t="shared" ref="N40:N52" si="19">IF(H40=0,0,L40/H40)</f>
        <v>0</v>
      </c>
      <c r="O40" s="12"/>
      <c r="P40" s="1">
        <f>SUM(OSRRefP22_2x_0)</f>
        <v>360</v>
      </c>
      <c r="Q40" s="1"/>
      <c r="R40" s="5">
        <f t="shared" ref="R40:R52" si="20">IF(P$12=0,0,P40/P$12)</f>
        <v>0</v>
      </c>
      <c r="S40" s="1"/>
      <c r="T40" s="1">
        <f>SUM(OSRRefT22_2x_0)</f>
        <v>800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-440</v>
      </c>
      <c r="Y40" s="1"/>
      <c r="Z40" s="5">
        <f t="shared" ref="Z40:Z52" si="23">IF(T40=0,0,X40/T40)</f>
        <v>-0.55000000000000004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360</v>
      </c>
      <c r="Q41" s="2"/>
      <c r="R41" s="7">
        <f t="shared" si="20"/>
        <v>0</v>
      </c>
      <c r="S41" s="2"/>
      <c r="T41" s="6">
        <v>800</v>
      </c>
      <c r="U41" s="2"/>
      <c r="V41" s="7">
        <f t="shared" si="21"/>
        <v>0</v>
      </c>
      <c r="W41" s="2"/>
      <c r="X41" s="6">
        <f t="shared" si="22"/>
        <v>-440</v>
      </c>
      <c r="Y41" s="2"/>
      <c r="Z41" s="7">
        <f t="shared" si="23"/>
        <v>-0.55000000000000004</v>
      </c>
    </row>
    <row r="42" spans="1:26" s="26" customFormat="1" outlineLevel="1" collapsed="1" x14ac:dyDescent="0.25">
      <c r="A42" s="25"/>
      <c r="B42" s="12" t="str">
        <f>CONCATENATE("     ","Employees' Appreciation                           ")</f>
        <v xml:space="preserve">     Employees' Appreciation                           </v>
      </c>
      <c r="C42" s="12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2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600</v>
      </c>
      <c r="U42" s="1"/>
      <c r="V42" s="5">
        <f t="shared" si="21"/>
        <v>0</v>
      </c>
      <c r="W42" s="1"/>
      <c r="X42" s="1">
        <f t="shared" si="22"/>
        <v>-600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>
        <v>50</v>
      </c>
      <c r="I43" s="2"/>
      <c r="J43" s="7">
        <f t="shared" si="17"/>
        <v>0</v>
      </c>
      <c r="K43" s="2"/>
      <c r="L43" s="6">
        <f t="shared" si="18"/>
        <v>-50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600</v>
      </c>
      <c r="U43" s="2"/>
      <c r="V43" s="7">
        <f t="shared" si="21"/>
        <v>0</v>
      </c>
      <c r="W43" s="2"/>
      <c r="X43" s="6">
        <f t="shared" si="22"/>
        <v>-600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","Equipment Rental                                  ")</f>
        <v xml:space="preserve">     Equipment Rental                                  </v>
      </c>
      <c r="C44" s="12"/>
      <c r="D44" s="1">
        <f>SUM(OSRRefD22_4x_0)</f>
        <v>91.26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-33.739999999999995</v>
      </c>
      <c r="M44" s="1"/>
      <c r="N44" s="5">
        <f t="shared" si="19"/>
        <v>-0.26991999999999994</v>
      </c>
      <c r="O44" s="12"/>
      <c r="P44" s="1">
        <f>SUM(OSRRefP22_4x_0)</f>
        <v>1157.98</v>
      </c>
      <c r="Q44" s="1"/>
      <c r="R44" s="5">
        <f t="shared" si="20"/>
        <v>0</v>
      </c>
      <c r="S44" s="1"/>
      <c r="T44" s="1">
        <f>SUM(OSRRefT22_4x_0)</f>
        <v>1500</v>
      </c>
      <c r="U44" s="1"/>
      <c r="V44" s="5">
        <f t="shared" si="21"/>
        <v>0</v>
      </c>
      <c r="W44" s="1"/>
      <c r="X44" s="1">
        <f t="shared" si="22"/>
        <v>-342.02</v>
      </c>
      <c r="Y44" s="1"/>
      <c r="Z44" s="5">
        <f t="shared" si="23"/>
        <v>-0.22801333333333332</v>
      </c>
    </row>
    <row r="45" spans="1:26" s="24" customFormat="1" hidden="1" outlineLevel="2" x14ac:dyDescent="0.25">
      <c r="A45" s="27"/>
      <c r="B45" s="11" t="str">
        <f>CONCATENATE("          ", "6351", " - ", "EQUIPMENT RENTAL")</f>
        <v xml:space="preserve">          6351 - EQUIPMENT RENTAL</v>
      </c>
      <c r="C45" s="11"/>
      <c r="D45" s="6">
        <v>91.26</v>
      </c>
      <c r="E45" s="2"/>
      <c r="F45" s="7">
        <f t="shared" si="16"/>
        <v>0</v>
      </c>
      <c r="G45" s="2"/>
      <c r="H45" s="6">
        <v>125</v>
      </c>
      <c r="I45" s="2"/>
      <c r="J45" s="7">
        <f t="shared" si="17"/>
        <v>0</v>
      </c>
      <c r="K45" s="2"/>
      <c r="L45" s="6">
        <f t="shared" si="18"/>
        <v>-33.739999999999995</v>
      </c>
      <c r="M45" s="2"/>
      <c r="N45" s="7">
        <f t="shared" si="19"/>
        <v>-0.26991999999999994</v>
      </c>
      <c r="O45" s="11"/>
      <c r="P45" s="6">
        <v>1157.98</v>
      </c>
      <c r="Q45" s="2"/>
      <c r="R45" s="7">
        <f t="shared" si="20"/>
        <v>0</v>
      </c>
      <c r="S45" s="2"/>
      <c r="T45" s="6">
        <v>1500</v>
      </c>
      <c r="U45" s="2"/>
      <c r="V45" s="7">
        <f t="shared" si="21"/>
        <v>0</v>
      </c>
      <c r="W45" s="2"/>
      <c r="X45" s="6">
        <f t="shared" si="22"/>
        <v>-342.02</v>
      </c>
      <c r="Y45" s="2"/>
      <c r="Z45" s="7">
        <f t="shared" si="23"/>
        <v>-0.22801333333333332</v>
      </c>
    </row>
    <row r="46" spans="1:26" s="26" customFormat="1" outlineLevel="1" collapsed="1" x14ac:dyDescent="0.25">
      <c r="A46" s="25"/>
      <c r="B46" s="12" t="str">
        <f>CONCATENATE("     ","Freight out/Postage                               ")</f>
        <v xml:space="preserve">     Freight out/Postage                               </v>
      </c>
      <c r="C46" s="12"/>
      <c r="D46" s="1">
        <f>SUM(OSRRefD22_5x_0)</f>
        <v>315.95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305.95</v>
      </c>
      <c r="M46" s="1"/>
      <c r="N46" s="5">
        <f t="shared" si="19"/>
        <v>30.594999999999999</v>
      </c>
      <c r="O46" s="12"/>
      <c r="P46" s="1">
        <f>SUM(OSRRefP22_5x_0)</f>
        <v>4545.7</v>
      </c>
      <c r="Q46" s="1"/>
      <c r="R46" s="5">
        <f t="shared" si="20"/>
        <v>0</v>
      </c>
      <c r="S46" s="1"/>
      <c r="T46" s="1">
        <f>SUM(OSRRefT22_5x_0)</f>
        <v>120</v>
      </c>
      <c r="U46" s="1"/>
      <c r="V46" s="5">
        <f t="shared" si="21"/>
        <v>0</v>
      </c>
      <c r="W46" s="1"/>
      <c r="X46" s="1">
        <f t="shared" si="22"/>
        <v>4425.7</v>
      </c>
      <c r="Y46" s="1"/>
      <c r="Z46" s="5">
        <f t="shared" si="23"/>
        <v>36.880833333333335</v>
      </c>
    </row>
    <row r="47" spans="1:26" s="24" customFormat="1" hidden="1" outlineLevel="2" x14ac:dyDescent="0.25">
      <c r="A47" s="27"/>
      <c r="B47" s="11" t="str">
        <f>CONCATENATE("          ", "6307", " - ", "POSTAGE")</f>
        <v xml:space="preserve">          6307 - POSTAGE</v>
      </c>
      <c r="C47" s="11"/>
      <c r="D47" s="6">
        <v>315.95</v>
      </c>
      <c r="E47" s="2"/>
      <c r="F47" s="7">
        <f t="shared" si="16"/>
        <v>0</v>
      </c>
      <c r="G47" s="2"/>
      <c r="H47" s="6">
        <v>10</v>
      </c>
      <c r="I47" s="2"/>
      <c r="J47" s="7">
        <f t="shared" si="17"/>
        <v>0</v>
      </c>
      <c r="K47" s="2"/>
      <c r="L47" s="6">
        <f t="shared" si="18"/>
        <v>305.95</v>
      </c>
      <c r="M47" s="2"/>
      <c r="N47" s="7">
        <f t="shared" si="19"/>
        <v>30.594999999999999</v>
      </c>
      <c r="O47" s="11"/>
      <c r="P47" s="6">
        <v>4545.7</v>
      </c>
      <c r="Q47" s="2"/>
      <c r="R47" s="7">
        <f t="shared" si="20"/>
        <v>0</v>
      </c>
      <c r="S47" s="2"/>
      <c r="T47" s="6">
        <v>120</v>
      </c>
      <c r="U47" s="2"/>
      <c r="V47" s="7">
        <f t="shared" si="21"/>
        <v>0</v>
      </c>
      <c r="W47" s="2"/>
      <c r="X47" s="6">
        <f t="shared" si="22"/>
        <v>4425.7</v>
      </c>
      <c r="Y47" s="2"/>
      <c r="Z47" s="7">
        <f t="shared" si="23"/>
        <v>36.880833333333335</v>
      </c>
    </row>
    <row r="48" spans="1:26" s="26" customFormat="1" outlineLevel="1" collapsed="1" x14ac:dyDescent="0.25">
      <c r="A48" s="25"/>
      <c r="B48" s="12" t="str">
        <f>CONCATENATE("     ","General                                           ")</f>
        <v xml:space="preserve">     General                                           </v>
      </c>
      <c r="C48" s="12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2"/>
      <c r="P48" s="1">
        <f>SUM(OSRRefP22_6x_0)</f>
        <v>89.45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89.45</v>
      </c>
      <c r="Y48" s="1"/>
      <c r="Z48" s="5">
        <f t="shared" si="23"/>
        <v>0</v>
      </c>
    </row>
    <row r="49" spans="1:26" s="24" customFormat="1" hidden="1" outlineLevel="2" x14ac:dyDescent="0.25">
      <c r="A49" s="27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89.45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89.45</v>
      </c>
      <c r="Y49" s="2"/>
      <c r="Z49" s="7">
        <f t="shared" si="23"/>
        <v>0</v>
      </c>
    </row>
    <row r="50" spans="1:26" s="26" customFormat="1" outlineLevel="1" collapsed="1" x14ac:dyDescent="0.25">
      <c r="A50" s="25"/>
      <c r="B50" s="12" t="str">
        <f>CONCATENATE("     ","Repair and Maintenance                            ")</f>
        <v xml:space="preserve">     Repair and Maintenance                            </v>
      </c>
      <c r="C50" s="12"/>
      <c r="D50" s="1">
        <f>SUM(OSRRefD22_7x_0)</f>
        <v>27.86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-97.14</v>
      </c>
      <c r="M50" s="1"/>
      <c r="N50" s="5">
        <f t="shared" si="19"/>
        <v>-0.77712000000000003</v>
      </c>
      <c r="O50" s="12"/>
      <c r="P50" s="1">
        <f>SUM(OSRRefP22_7x_0)</f>
        <v>533.03</v>
      </c>
      <c r="Q50" s="1"/>
      <c r="R50" s="5">
        <f t="shared" si="20"/>
        <v>0</v>
      </c>
      <c r="S50" s="1"/>
      <c r="T50" s="1">
        <f>SUM(OSRRefT22_7x_0)</f>
        <v>1500</v>
      </c>
      <c r="U50" s="1"/>
      <c r="V50" s="5">
        <f t="shared" si="21"/>
        <v>0</v>
      </c>
      <c r="W50" s="1"/>
      <c r="X50" s="1">
        <f t="shared" si="22"/>
        <v>-966.97</v>
      </c>
      <c r="Y50" s="1"/>
      <c r="Z50" s="5">
        <f t="shared" si="23"/>
        <v>-0.6446466666666667</v>
      </c>
    </row>
    <row r="51" spans="1:26" s="24" customFormat="1" hidden="1" outlineLevel="2" x14ac:dyDescent="0.25">
      <c r="A51" s="27"/>
      <c r="B51" s="11" t="str">
        <f>CONCATENATE("          ", "6373", " - ", "MAINTENANCE CONTRACTS")</f>
        <v xml:space="preserve">          6373 - MAINTENANCE CONTRACTS</v>
      </c>
      <c r="C51" s="11"/>
      <c r="D51" s="6">
        <v>27.86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27.86</v>
      </c>
      <c r="M51" s="2"/>
      <c r="N51" s="7">
        <f t="shared" si="19"/>
        <v>0</v>
      </c>
      <c r="O51" s="11"/>
      <c r="P51" s="6">
        <v>220.7</v>
      </c>
      <c r="Q51" s="2"/>
      <c r="R51" s="7">
        <f t="shared" si="20"/>
        <v>0</v>
      </c>
      <c r="S51" s="2"/>
      <c r="T51" s="6"/>
      <c r="U51" s="2"/>
      <c r="V51" s="7">
        <f t="shared" si="21"/>
        <v>0</v>
      </c>
      <c r="W51" s="2"/>
      <c r="X51" s="6">
        <f t="shared" si="22"/>
        <v>220.7</v>
      </c>
      <c r="Y51" s="2"/>
      <c r="Z51" s="7">
        <f t="shared" si="23"/>
        <v>0</v>
      </c>
    </row>
    <row r="52" spans="1:26" s="24" customFormat="1" hidden="1" outlineLevel="2" x14ac:dyDescent="0.25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16"/>
        <v>0</v>
      </c>
      <c r="G52" s="2"/>
      <c r="H52" s="6">
        <v>125</v>
      </c>
      <c r="I52" s="2"/>
      <c r="J52" s="7">
        <f t="shared" si="17"/>
        <v>0</v>
      </c>
      <c r="K52" s="2"/>
      <c r="L52" s="6">
        <f t="shared" si="18"/>
        <v>-125</v>
      </c>
      <c r="M52" s="2"/>
      <c r="N52" s="7">
        <f t="shared" si="19"/>
        <v>-1</v>
      </c>
      <c r="O52" s="11"/>
      <c r="P52" s="6">
        <v>312.33</v>
      </c>
      <c r="Q52" s="2"/>
      <c r="R52" s="7">
        <f t="shared" si="20"/>
        <v>0</v>
      </c>
      <c r="S52" s="2"/>
      <c r="T52" s="6">
        <v>1500</v>
      </c>
      <c r="U52" s="2"/>
      <c r="V52" s="7">
        <f t="shared" si="21"/>
        <v>0</v>
      </c>
      <c r="W52" s="2"/>
      <c r="X52" s="6">
        <f t="shared" si="22"/>
        <v>-1187.67</v>
      </c>
      <c r="Y52" s="2"/>
      <c r="Z52" s="7">
        <f t="shared" si="23"/>
        <v>-0.79178000000000004</v>
      </c>
    </row>
    <row r="53" spans="1:26" s="26" customFormat="1" outlineLevel="1" collapsed="1" x14ac:dyDescent="0.25">
      <c r="A53" s="25"/>
      <c r="B53" s="12" t="str">
        <f>CONCATENATE("     ","Supplies                                          ")</f>
        <v xml:space="preserve">     Supplies                                          </v>
      </c>
      <c r="C53" s="12"/>
      <c r="D53" s="1">
        <f>SUM(OSRRefD22_8x_0)</f>
        <v>1089.2</v>
      </c>
      <c r="E53" s="1"/>
      <c r="F53" s="5">
        <f t="shared" ref="F53:F57" si="24">IF(D$12=0,0,D53/D$12)</f>
        <v>0</v>
      </c>
      <c r="G53" s="1"/>
      <c r="H53" s="1">
        <f>SUM(OSRRefH22_8x_0)</f>
        <v>450</v>
      </c>
      <c r="I53" s="1"/>
      <c r="J53" s="5">
        <f t="shared" ref="J53:J57" si="25">IF(H$12=0,0,H53/H$12)</f>
        <v>0</v>
      </c>
      <c r="K53" s="1"/>
      <c r="L53" s="1">
        <f t="shared" ref="L53:L57" si="26">+D53-H53</f>
        <v>639.20000000000005</v>
      </c>
      <c r="M53" s="1"/>
      <c r="N53" s="5">
        <f t="shared" ref="N53:N57" si="27">IF(H53=0,0,L53/H53)</f>
        <v>1.4204444444444446</v>
      </c>
      <c r="O53" s="12"/>
      <c r="P53" s="1">
        <f>SUM(OSRRefP22_8x_0)</f>
        <v>5208.9699999999993</v>
      </c>
      <c r="Q53" s="1"/>
      <c r="R53" s="5">
        <f t="shared" ref="R53:R57" si="28">IF(P$12=0,0,P53/P$12)</f>
        <v>0</v>
      </c>
      <c r="S53" s="1"/>
      <c r="T53" s="1">
        <f>SUM(OSRRefT22_8x_0)</f>
        <v>6900</v>
      </c>
      <c r="U53" s="1"/>
      <c r="V53" s="5">
        <f t="shared" ref="V53:V57" si="29">IF(T$12=0,0,T53/T$12)</f>
        <v>0</v>
      </c>
      <c r="W53" s="1"/>
      <c r="X53" s="1">
        <f t="shared" ref="X53:X57" si="30">+P53-T53</f>
        <v>-1691.0300000000007</v>
      </c>
      <c r="Y53" s="1"/>
      <c r="Z53" s="5">
        <f t="shared" ref="Z53:Z57" si="31">IF(T53=0,0,X53/T53)</f>
        <v>-0.245076811594203</v>
      </c>
    </row>
    <row r="54" spans="1:26" s="24" customFormat="1" hidden="1" outlineLevel="2" x14ac:dyDescent="0.25">
      <c r="A54" s="27"/>
      <c r="B54" s="11" t="str">
        <f>CONCATENATE("          ", "6237", " - ", "JANITORIAL SUPPLIES")</f>
        <v xml:space="preserve">          6237 - JANITORIAL SUPPLIES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226.95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226.95</v>
      </c>
      <c r="Y54" s="2"/>
      <c r="Z54" s="7">
        <f t="shared" si="31"/>
        <v>0</v>
      </c>
    </row>
    <row r="55" spans="1:26" s="24" customFormat="1" hidden="1" outlineLevel="2" x14ac:dyDescent="0.25">
      <c r="A55" s="27"/>
      <c r="B55" s="11" t="str">
        <f>CONCATENATE("          ", "6241", " - ", "OFFICE EXPENSE")</f>
        <v xml:space="preserve">          6241 - OFFICE EXPENSE</v>
      </c>
      <c r="C55" s="11"/>
      <c r="D55" s="6">
        <v>190.44</v>
      </c>
      <c r="E55" s="2"/>
      <c r="F55" s="7">
        <f t="shared" si="24"/>
        <v>0</v>
      </c>
      <c r="G55" s="2"/>
      <c r="H55" s="6">
        <v>150</v>
      </c>
      <c r="I55" s="2"/>
      <c r="J55" s="7">
        <f t="shared" si="25"/>
        <v>0</v>
      </c>
      <c r="K55" s="2"/>
      <c r="L55" s="6">
        <f t="shared" si="26"/>
        <v>40.44</v>
      </c>
      <c r="M55" s="2"/>
      <c r="N55" s="7">
        <f t="shared" si="27"/>
        <v>0.26960000000000001</v>
      </c>
      <c r="O55" s="11"/>
      <c r="P55" s="6">
        <v>2500.04</v>
      </c>
      <c r="Q55" s="2"/>
      <c r="R55" s="7">
        <f t="shared" si="28"/>
        <v>0</v>
      </c>
      <c r="S55" s="2"/>
      <c r="T55" s="6">
        <v>2300</v>
      </c>
      <c r="U55" s="2"/>
      <c r="V55" s="7">
        <f t="shared" si="29"/>
        <v>0</v>
      </c>
      <c r="W55" s="2"/>
      <c r="X55" s="6">
        <f t="shared" si="30"/>
        <v>200.03999999999996</v>
      </c>
      <c r="Y55" s="2"/>
      <c r="Z55" s="7">
        <f t="shared" si="31"/>
        <v>8.6973913043478249E-2</v>
      </c>
    </row>
    <row r="56" spans="1:26" s="24" customFormat="1" hidden="1" outlineLevel="2" x14ac:dyDescent="0.25">
      <c r="A56" s="27"/>
      <c r="B56" s="11" t="str">
        <f>CONCATENATE("          ", "6243", " - ", "PAPER SUPPLIES")</f>
        <v xml:space="preserve">          6243 - PAPER SUPPLIES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1000</v>
      </c>
      <c r="U56" s="2"/>
      <c r="V56" s="7">
        <f t="shared" si="29"/>
        <v>0</v>
      </c>
      <c r="W56" s="2"/>
      <c r="X56" s="6">
        <f t="shared" si="30"/>
        <v>-1000</v>
      </c>
      <c r="Y56" s="2"/>
      <c r="Z56" s="7">
        <f t="shared" si="31"/>
        <v>-1</v>
      </c>
    </row>
    <row r="57" spans="1:26" s="24" customFormat="1" hidden="1" outlineLevel="2" x14ac:dyDescent="0.25">
      <c r="A57" s="27"/>
      <c r="B57" s="11" t="str">
        <f>CONCATENATE("          ", "6247", " - ", "STORE SUPPLIES")</f>
        <v xml:space="preserve">          6247 - STORE SUPPLIES</v>
      </c>
      <c r="C57" s="11"/>
      <c r="D57" s="6">
        <v>898.76</v>
      </c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598.76</v>
      </c>
      <c r="M57" s="2"/>
      <c r="N57" s="7">
        <f t="shared" si="27"/>
        <v>1.9958666666666667</v>
      </c>
      <c r="O57" s="11"/>
      <c r="P57" s="6">
        <v>2481.98</v>
      </c>
      <c r="Q57" s="2"/>
      <c r="R57" s="7">
        <f t="shared" si="28"/>
        <v>0</v>
      </c>
      <c r="S57" s="2"/>
      <c r="T57" s="6">
        <v>3600</v>
      </c>
      <c r="U57" s="2"/>
      <c r="V57" s="7">
        <f t="shared" si="29"/>
        <v>0</v>
      </c>
      <c r="W57" s="2"/>
      <c r="X57" s="6">
        <f t="shared" si="30"/>
        <v>-1118.02</v>
      </c>
      <c r="Y57" s="2"/>
      <c r="Z57" s="7">
        <f t="shared" si="31"/>
        <v>-0.31056111111111112</v>
      </c>
    </row>
    <row r="58" spans="1:26" s="26" customFormat="1" outlineLevel="1" collapsed="1" x14ac:dyDescent="0.25">
      <c r="A58" s="25"/>
      <c r="B58" s="12" t="str">
        <f>CONCATENATE("     ","Telephone/Data Lines                              ")</f>
        <v xml:space="preserve">     Telephone/Data Lines                              </v>
      </c>
      <c r="C58" s="12"/>
      <c r="D58" s="1">
        <f>SUM(OSRRefD22_9x_0)</f>
        <v>76.2</v>
      </c>
      <c r="E58" s="1"/>
      <c r="F58" s="5">
        <f t="shared" ref="F58:F61" si="32">IF(D$12=0,0,D58/D$12)</f>
        <v>0</v>
      </c>
      <c r="G58" s="1"/>
      <c r="H58" s="1">
        <f>SUM(OSRRefH22_9x_0)</f>
        <v>165</v>
      </c>
      <c r="I58" s="1"/>
      <c r="J58" s="5">
        <f t="shared" ref="J58:J61" si="33">IF(H$12=0,0,H58/H$12)</f>
        <v>0</v>
      </c>
      <c r="K58" s="1"/>
      <c r="L58" s="1">
        <f t="shared" ref="L58:L61" si="34">+D58-H58</f>
        <v>-88.8</v>
      </c>
      <c r="M58" s="1"/>
      <c r="N58" s="5">
        <f t="shared" ref="N58:N61" si="35">IF(H58=0,0,L58/H58)</f>
        <v>-0.53818181818181821</v>
      </c>
      <c r="O58" s="12"/>
      <c r="P58" s="1">
        <f>SUM(OSRRefP22_9x_0)</f>
        <v>1768.2</v>
      </c>
      <c r="Q58" s="1"/>
      <c r="R58" s="5">
        <f t="shared" ref="R58:R61" si="36">IF(P$12=0,0,P58/P$12)</f>
        <v>0</v>
      </c>
      <c r="S58" s="1"/>
      <c r="T58" s="1">
        <f>SUM(OSRRefT22_9x_0)</f>
        <v>1980</v>
      </c>
      <c r="U58" s="1"/>
      <c r="V58" s="5">
        <f t="shared" ref="V58:V61" si="37">IF(T$12=0,0,T58/T$12)</f>
        <v>0</v>
      </c>
      <c r="W58" s="1"/>
      <c r="X58" s="1">
        <f t="shared" ref="X58:X61" si="38">+P58-T58</f>
        <v>-211.79999999999995</v>
      </c>
      <c r="Y58" s="1"/>
      <c r="Z58" s="5">
        <f t="shared" ref="Z58:Z61" si="39">IF(T58=0,0,X58/T58)</f>
        <v>-0.10696969696969695</v>
      </c>
    </row>
    <row r="59" spans="1:26" s="24" customFormat="1" hidden="1" outlineLevel="2" x14ac:dyDescent="0.25">
      <c r="A59" s="27"/>
      <c r="B59" s="11" t="str">
        <f>CONCATENATE("          ", "6309", " - ", "TELEPHONE")</f>
        <v xml:space="preserve">          6309 - TELEPHONE</v>
      </c>
      <c r="C59" s="11"/>
      <c r="D59" s="6">
        <v>76.2</v>
      </c>
      <c r="E59" s="2"/>
      <c r="F59" s="7">
        <f t="shared" si="32"/>
        <v>0</v>
      </c>
      <c r="G59" s="2"/>
      <c r="H59" s="6">
        <v>165</v>
      </c>
      <c r="I59" s="2"/>
      <c r="J59" s="7">
        <f t="shared" si="33"/>
        <v>0</v>
      </c>
      <c r="K59" s="2"/>
      <c r="L59" s="6">
        <f t="shared" si="34"/>
        <v>-88.8</v>
      </c>
      <c r="M59" s="2"/>
      <c r="N59" s="7">
        <f t="shared" si="35"/>
        <v>-0.53818181818181821</v>
      </c>
      <c r="O59" s="11"/>
      <c r="P59" s="6">
        <v>1768.2</v>
      </c>
      <c r="Q59" s="2"/>
      <c r="R59" s="7">
        <f t="shared" si="36"/>
        <v>0</v>
      </c>
      <c r="S59" s="2"/>
      <c r="T59" s="6">
        <v>1980</v>
      </c>
      <c r="U59" s="2"/>
      <c r="V59" s="7">
        <f t="shared" si="37"/>
        <v>0</v>
      </c>
      <c r="W59" s="2"/>
      <c r="X59" s="6">
        <f t="shared" si="38"/>
        <v>-211.79999999999995</v>
      </c>
      <c r="Y59" s="2"/>
      <c r="Z59" s="7">
        <f t="shared" si="39"/>
        <v>-0.10696969696969695</v>
      </c>
    </row>
    <row r="60" spans="1:26" s="26" customFormat="1" outlineLevel="1" collapsed="1" x14ac:dyDescent="0.25">
      <c r="A60" s="25"/>
      <c r="B60" s="12" t="str">
        <f>CONCATENATE("     ","Training                                          ")</f>
        <v xml:space="preserve">     Training                                          </v>
      </c>
      <c r="C60" s="12"/>
      <c r="D60" s="1">
        <f>SUM(OSRRefD22_10x_0)</f>
        <v>0</v>
      </c>
      <c r="E60" s="1"/>
      <c r="F60" s="5">
        <f t="shared" si="32"/>
        <v>0</v>
      </c>
      <c r="G60" s="1"/>
      <c r="H60" s="1">
        <f>SUM(OSRRefH22_10x_0)</f>
        <v>0</v>
      </c>
      <c r="I60" s="1"/>
      <c r="J60" s="5">
        <f t="shared" si="33"/>
        <v>0</v>
      </c>
      <c r="K60" s="1"/>
      <c r="L60" s="1">
        <f t="shared" si="34"/>
        <v>0</v>
      </c>
      <c r="M60" s="1"/>
      <c r="N60" s="5">
        <f t="shared" si="35"/>
        <v>0</v>
      </c>
      <c r="O60" s="12"/>
      <c r="P60" s="1">
        <f>SUM(OSRRefP22_10x_0)</f>
        <v>80</v>
      </c>
      <c r="Q60" s="1"/>
      <c r="R60" s="5">
        <f t="shared" si="36"/>
        <v>0</v>
      </c>
      <c r="S60" s="1"/>
      <c r="T60" s="1">
        <f>SUM(OSRRefT22_10x_0)</f>
        <v>1500</v>
      </c>
      <c r="U60" s="1"/>
      <c r="V60" s="5">
        <f t="shared" si="37"/>
        <v>0</v>
      </c>
      <c r="W60" s="1"/>
      <c r="X60" s="1">
        <f t="shared" si="38"/>
        <v>-1420</v>
      </c>
      <c r="Y60" s="1"/>
      <c r="Z60" s="5">
        <f t="shared" si="39"/>
        <v>-0.94666666666666666</v>
      </c>
    </row>
    <row r="61" spans="1:26" s="24" customFormat="1" hidden="1" outlineLevel="2" x14ac:dyDescent="0.25">
      <c r="A61" s="27"/>
      <c r="B61" s="11" t="str">
        <f>CONCATENATE("          ", "6376", " - ", "TRAINING")</f>
        <v xml:space="preserve">          6376 - TRAINING</v>
      </c>
      <c r="C61" s="11"/>
      <c r="D61" s="6"/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0</v>
      </c>
      <c r="M61" s="2"/>
      <c r="N61" s="7">
        <f t="shared" si="35"/>
        <v>0</v>
      </c>
      <c r="O61" s="11"/>
      <c r="P61" s="6">
        <v>80</v>
      </c>
      <c r="Q61" s="2"/>
      <c r="R61" s="7">
        <f t="shared" si="36"/>
        <v>0</v>
      </c>
      <c r="S61" s="2"/>
      <c r="T61" s="6">
        <v>1500</v>
      </c>
      <c r="U61" s="2"/>
      <c r="V61" s="7">
        <f t="shared" si="37"/>
        <v>0</v>
      </c>
      <c r="W61" s="2"/>
      <c r="X61" s="6">
        <f t="shared" si="38"/>
        <v>-1420</v>
      </c>
      <c r="Y61" s="2"/>
      <c r="Z61" s="7">
        <f t="shared" si="39"/>
        <v>-0.94666666666666666</v>
      </c>
    </row>
    <row r="62" spans="1:26" s="60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3">
        <f>IF(D$12=0,0,D63/D$12)</f>
        <v>0</v>
      </c>
      <c r="G63" s="4"/>
      <c r="H63" s="4">
        <f>SUM(0)</f>
        <v>0</v>
      </c>
      <c r="I63" s="4"/>
      <c r="J63" s="13">
        <f>IF(H$12=0,0,H63/H$12)</f>
        <v>0</v>
      </c>
      <c r="K63" s="4"/>
      <c r="L63" s="4">
        <f>+D63-H63</f>
        <v>0</v>
      </c>
      <c r="M63" s="4"/>
      <c r="N63" s="13">
        <f>IF(H63=0,0,L63/H63)</f>
        <v>0</v>
      </c>
      <c r="O63" s="10"/>
      <c r="P63" s="4">
        <f>SUM(0)</f>
        <v>0</v>
      </c>
      <c r="Q63" s="4"/>
      <c r="R63" s="13">
        <f>IF(P$12=0,0,P63/P$12)</f>
        <v>0</v>
      </c>
      <c r="S63" s="4"/>
      <c r="T63" s="4">
        <f>SUM(0)</f>
        <v>0</v>
      </c>
      <c r="U63" s="4"/>
      <c r="V63" s="13">
        <f>IF(T$12=0,0,T63/T$12)</f>
        <v>0</v>
      </c>
      <c r="W63" s="4"/>
      <c r="X63" s="4">
        <f>+P63-T63</f>
        <v>0</v>
      </c>
      <c r="Y63" s="4"/>
      <c r="Z63" s="13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2">
        <f>+D16-D18+D63</f>
        <v>-46589.19</v>
      </c>
      <c r="E65" s="14"/>
      <c r="F65" s="20">
        <f>IF(D$12=0,0,D65/D$12)</f>
        <v>0</v>
      </c>
      <c r="G65" s="14"/>
      <c r="H65" s="22">
        <f>+H16-H18+H63</f>
        <v>-29427.251392785998</v>
      </c>
      <c r="I65" s="14"/>
      <c r="J65" s="20">
        <f>IF(H$12=0,0,H65/H$12)</f>
        <v>0</v>
      </c>
      <c r="K65" s="15"/>
      <c r="L65" s="22">
        <f>+D65-H65</f>
        <v>-17161.938607214004</v>
      </c>
      <c r="M65" s="15"/>
      <c r="N65" s="20">
        <f>IF(H65=0,0,L65/H65)</f>
        <v>0.58319883084361734</v>
      </c>
      <c r="O65" s="28"/>
      <c r="P65" s="22">
        <f>+P16-P18+P63</f>
        <v>-519485.78</v>
      </c>
      <c r="Q65" s="14"/>
      <c r="R65" s="20">
        <f>IF(P$12=0,0,P65/P$12)</f>
        <v>0</v>
      </c>
      <c r="S65" s="14"/>
      <c r="T65" s="22">
        <f>+T16-T18+T63</f>
        <v>-500473.40673891798</v>
      </c>
      <c r="U65" s="14"/>
      <c r="V65" s="20">
        <f>IF(T$12=0,0,T65/T$12)</f>
        <v>0</v>
      </c>
      <c r="W65" s="15"/>
      <c r="X65" s="22">
        <f>+P65-T65</f>
        <v>-19012.373261082044</v>
      </c>
      <c r="Y65" s="15"/>
      <c r="Z65" s="20">
        <f>IF(T65=0,0,X65/T65)</f>
        <v>3.798877823492474E-2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/>
      <c r="E67" s="4"/>
      <c r="F67" s="13">
        <f>IF(D$12=0,0,D67/D$12)</f>
        <v>0</v>
      </c>
      <c r="G67" s="4"/>
      <c r="H67" s="4"/>
      <c r="I67" s="4"/>
      <c r="J67" s="13">
        <f>IF(H$12=0,0,H67/H$12)</f>
        <v>0</v>
      </c>
      <c r="K67" s="4"/>
      <c r="L67" s="4">
        <f>+D67-H67</f>
        <v>0</v>
      </c>
      <c r="M67" s="4"/>
      <c r="N67" s="13">
        <f>IF(H67=0,0,L67/H67)</f>
        <v>0</v>
      </c>
      <c r="O67" s="10"/>
      <c r="P67" s="4"/>
      <c r="Q67" s="4"/>
      <c r="R67" s="13">
        <f>IF(P$12=0,0,P67/P$12)</f>
        <v>0</v>
      </c>
      <c r="S67" s="4"/>
      <c r="T67" s="4"/>
      <c r="U67" s="4"/>
      <c r="V67" s="13">
        <f>IF(T$12=0,0,T67/T$12)</f>
        <v>0</v>
      </c>
      <c r="W67" s="4"/>
      <c r="X67" s="4">
        <f>+P67-T67</f>
        <v>0</v>
      </c>
      <c r="Y67" s="4"/>
      <c r="Z67" s="13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1">
        <f>+D65-D67</f>
        <v>-46589.19</v>
      </c>
      <c r="E69" s="14"/>
      <c r="F69" s="33">
        <f>IF(D$12=0,0,D69/D$12)</f>
        <v>0</v>
      </c>
      <c r="G69" s="14"/>
      <c r="H69" s="31">
        <f>+H65-H67</f>
        <v>-29427.251392785998</v>
      </c>
      <c r="I69" s="14"/>
      <c r="J69" s="33">
        <f>IF(H$12=0,0,H69/H$12)</f>
        <v>0</v>
      </c>
      <c r="K69" s="15"/>
      <c r="L69" s="31">
        <f>D69-H69</f>
        <v>-17161.938607214004</v>
      </c>
      <c r="M69" s="15"/>
      <c r="N69" s="33">
        <f>IF(H69=0,0,L69/H69)</f>
        <v>0.58319883084361734</v>
      </c>
      <c r="O69" s="28"/>
      <c r="P69" s="31">
        <f>+P65-P67</f>
        <v>-519485.78</v>
      </c>
      <c r="Q69" s="14"/>
      <c r="R69" s="33">
        <f>IF(P$12=0,0,P69/P$12)</f>
        <v>0</v>
      </c>
      <c r="S69" s="14"/>
      <c r="T69" s="31">
        <f>+T65-T67</f>
        <v>-500473.40673891798</v>
      </c>
      <c r="U69" s="14"/>
      <c r="V69" s="33">
        <f>IF(T$12=0,0,T69/T$12)</f>
        <v>0</v>
      </c>
      <c r="W69" s="15"/>
      <c r="X69" s="31">
        <f>P69-T69</f>
        <v>-19012.373261082044</v>
      </c>
      <c r="Y69" s="15"/>
      <c r="Z69" s="33">
        <f>IF(T69=0,0,X69/T69)</f>
        <v>3.798877823492474E-2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4">
        <f>SUM(D69:D71)</f>
        <v>-46589.19</v>
      </c>
      <c r="E72" s="14"/>
      <c r="F72" s="35">
        <f>IF(D$12=0,0,D72/D$12)</f>
        <v>0</v>
      </c>
      <c r="G72" s="14"/>
      <c r="H72" s="34">
        <f>SUM(H69:H71)</f>
        <v>-29427.251392785998</v>
      </c>
      <c r="I72" s="14"/>
      <c r="J72" s="35">
        <f>IF(H$12=0,0,H72/H$12)</f>
        <v>0</v>
      </c>
      <c r="K72" s="15"/>
      <c r="L72" s="34">
        <f>+D72-H72</f>
        <v>-17161.938607214004</v>
      </c>
      <c r="M72" s="15"/>
      <c r="N72" s="35">
        <f>IF(H72=0,0,L72/H72)</f>
        <v>0.58319883084361734</v>
      </c>
      <c r="O72" s="28"/>
      <c r="P72" s="34">
        <f>SUM(P69:P71)</f>
        <v>-519485.78</v>
      </c>
      <c r="Q72" s="14"/>
      <c r="R72" s="35">
        <f>IF(P$12=0,0,P72/P$12)</f>
        <v>0</v>
      </c>
      <c r="S72" s="14"/>
      <c r="T72" s="34">
        <f>SUM(T69:T71)</f>
        <v>-500473.40673891798</v>
      </c>
      <c r="U72" s="14"/>
      <c r="V72" s="35">
        <f>IF(T$12=0,0,T72/T$12)</f>
        <v>0</v>
      </c>
      <c r="W72" s="15"/>
      <c r="X72" s="34">
        <f>+P72-T72</f>
        <v>-19012.373261082044</v>
      </c>
      <c r="Y72" s="15"/>
      <c r="Z72" s="35">
        <f>IF(T72=0,0,X72/T72)</f>
        <v>3.798877823492474E-2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5">
        <v>44043.473334606482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2" t="s">
        <v>314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63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1"/>
  <sheetViews>
    <sheetView tabSelected="1" zoomScale="80" workbookViewId="0">
      <pane xSplit="3" ySplit="10" topLeftCell="D88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303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21864.080000000005</v>
      </c>
      <c r="E12" s="4"/>
      <c r="F12" s="13"/>
      <c r="G12" s="4"/>
      <c r="H12" s="4">
        <f>SUM(OSRRefH13x_0)</f>
        <v>50122</v>
      </c>
      <c r="I12" s="4"/>
      <c r="J12" s="13"/>
      <c r="K12" s="4"/>
      <c r="L12" s="4">
        <f t="shared" ref="L12:L42" si="0">+D12-H12</f>
        <v>-28257.919999999995</v>
      </c>
      <c r="M12" s="4"/>
      <c r="N12" s="13">
        <f t="shared" ref="N12:N42" si="1">IF(H12=0,0,L12/H12)</f>
        <v>-0.56378277004109956</v>
      </c>
      <c r="O12" s="10"/>
      <c r="P12" s="4">
        <f>SUM(OSRRefP13x_0)</f>
        <v>4951110.9999999981</v>
      </c>
      <c r="Q12" s="4"/>
      <c r="R12" s="13"/>
      <c r="S12" s="4"/>
      <c r="T12" s="4">
        <f>SUM(OSRRefT13x_0)</f>
        <v>5481451</v>
      </c>
      <c r="U12" s="4"/>
      <c r="V12" s="13"/>
      <c r="W12" s="4"/>
      <c r="X12" s="4">
        <f t="shared" ref="X12:X42" si="2">+P12-T12</f>
        <v>-530340.00000000186</v>
      </c>
      <c r="Y12" s="4"/>
      <c r="Z12" s="13">
        <f t="shared" ref="Z12:Z42" si="3">IF(T12=0,0,X12/T12)</f>
        <v>-9.6751754234417467E-2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--15904.07</f>
        <v>15904.07</v>
      </c>
      <c r="E13" s="2"/>
      <c r="F13" s="19"/>
      <c r="G13" s="2"/>
      <c r="H13" s="2"/>
      <c r="I13" s="2"/>
      <c r="J13" s="19"/>
      <c r="K13" s="2"/>
      <c r="L13" s="2">
        <f t="shared" si="0"/>
        <v>15904.07</v>
      </c>
      <c r="M13" s="2"/>
      <c r="N13" s="19">
        <f t="shared" si="1"/>
        <v>0</v>
      </c>
      <c r="O13" s="11"/>
      <c r="P13" s="2">
        <f>--2451163.71</f>
        <v>2451163.71</v>
      </c>
      <c r="Q13" s="2"/>
      <c r="R13" s="19"/>
      <c r="S13" s="2"/>
      <c r="T13" s="2"/>
      <c r="U13" s="2"/>
      <c r="V13" s="19"/>
      <c r="W13" s="2"/>
      <c r="X13" s="2">
        <f t="shared" si="2"/>
        <v>2451163.71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--15376.45</f>
        <v>15376.45</v>
      </c>
      <c r="E14" s="2"/>
      <c r="F14" s="19"/>
      <c r="G14" s="2"/>
      <c r="H14" s="2"/>
      <c r="I14" s="2"/>
      <c r="J14" s="19"/>
      <c r="K14" s="2"/>
      <c r="L14" s="2">
        <f t="shared" si="0"/>
        <v>15376.45</v>
      </c>
      <c r="M14" s="2"/>
      <c r="N14" s="19">
        <f t="shared" si="1"/>
        <v>0</v>
      </c>
      <c r="O14" s="11"/>
      <c r="P14" s="2">
        <f>--1271803.19</f>
        <v>1271803.19</v>
      </c>
      <c r="Q14" s="2"/>
      <c r="R14" s="19"/>
      <c r="S14" s="2"/>
      <c r="T14" s="2"/>
      <c r="U14" s="2"/>
      <c r="V14" s="19"/>
      <c r="W14" s="2"/>
      <c r="X14" s="2">
        <f t="shared" si="2"/>
        <v>1271803.19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--895</f>
        <v>895</v>
      </c>
      <c r="E15" s="2"/>
      <c r="F15" s="19"/>
      <c r="G15" s="2"/>
      <c r="H15" s="2"/>
      <c r="I15" s="2"/>
      <c r="J15" s="19"/>
      <c r="K15" s="2"/>
      <c r="L15" s="2">
        <f t="shared" si="0"/>
        <v>895</v>
      </c>
      <c r="M15" s="2"/>
      <c r="N15" s="19">
        <f t="shared" si="1"/>
        <v>0</v>
      </c>
      <c r="O15" s="11"/>
      <c r="P15" s="2">
        <f>--34659.88</f>
        <v>34659.879999999997</v>
      </c>
      <c r="Q15" s="2"/>
      <c r="R15" s="19"/>
      <c r="S15" s="2"/>
      <c r="T15" s="2"/>
      <c r="U15" s="2"/>
      <c r="V15" s="19"/>
      <c r="W15" s="2"/>
      <c r="X15" s="2">
        <f t="shared" si="2"/>
        <v>34659.879999999997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 t="shared" ref="D16:D17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/>
      <c r="U16" s="2"/>
      <c r="V16" s="19"/>
      <c r="W16" s="2"/>
      <c r="X16" s="2">
        <f t="shared" si="2"/>
        <v>42195.3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/>
      <c r="U17" s="2"/>
      <c r="V17" s="19"/>
      <c r="W17" s="2"/>
      <c r="X17" s="2">
        <f t="shared" si="2"/>
        <v>1052.48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--64.99</f>
        <v>64.989999999999995</v>
      </c>
      <c r="E18" s="2"/>
      <c r="F18" s="19"/>
      <c r="G18" s="2"/>
      <c r="H18" s="2"/>
      <c r="I18" s="2"/>
      <c r="J18" s="19"/>
      <c r="K18" s="2"/>
      <c r="L18" s="2">
        <f t="shared" si="0"/>
        <v>64.989999999999995</v>
      </c>
      <c r="M18" s="2"/>
      <c r="N18" s="19">
        <f t="shared" si="1"/>
        <v>0</v>
      </c>
      <c r="O18" s="11"/>
      <c r="P18" s="2">
        <f>--2778.35</f>
        <v>2778.35</v>
      </c>
      <c r="Q18" s="2"/>
      <c r="R18" s="19"/>
      <c r="S18" s="2"/>
      <c r="T18" s="2"/>
      <c r="U18" s="2"/>
      <c r="V18" s="19"/>
      <c r="W18" s="2"/>
      <c r="X18" s="2">
        <f t="shared" si="2"/>
        <v>2778.35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--13.9</f>
        <v>13.9</v>
      </c>
      <c r="E19" s="2"/>
      <c r="F19" s="19"/>
      <c r="G19" s="2"/>
      <c r="H19" s="2"/>
      <c r="I19" s="2"/>
      <c r="J19" s="19"/>
      <c r="K19" s="2"/>
      <c r="L19" s="2">
        <f t="shared" si="0"/>
        <v>13.9</v>
      </c>
      <c r="M19" s="2"/>
      <c r="N19" s="19">
        <f t="shared" si="1"/>
        <v>0</v>
      </c>
      <c r="O19" s="11"/>
      <c r="P19" s="2">
        <f>--1233.88</f>
        <v>1233.8800000000001</v>
      </c>
      <c r="Q19" s="2"/>
      <c r="R19" s="19"/>
      <c r="S19" s="2"/>
      <c r="T19" s="2"/>
      <c r="U19" s="2"/>
      <c r="V19" s="19"/>
      <c r="W19" s="2"/>
      <c r="X19" s="2">
        <f t="shared" si="2"/>
        <v>1233.8800000000001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--4179.3</f>
        <v>4179.3</v>
      </c>
      <c r="Q20" s="2"/>
      <c r="R20" s="19"/>
      <c r="S20" s="2"/>
      <c r="T20" s="2"/>
      <c r="U20" s="2"/>
      <c r="V20" s="19"/>
      <c r="W20" s="2"/>
      <c r="X20" s="2">
        <f t="shared" si="2"/>
        <v>4179.3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-16200.52</f>
        <v>-16200.52</v>
      </c>
      <c r="E21" s="2"/>
      <c r="F21" s="19"/>
      <c r="G21" s="2"/>
      <c r="H21" s="2">
        <v>50122</v>
      </c>
      <c r="I21" s="2"/>
      <c r="J21" s="19"/>
      <c r="K21" s="2"/>
      <c r="L21" s="2">
        <f t="shared" si="0"/>
        <v>-66322.52</v>
      </c>
      <c r="M21" s="2"/>
      <c r="N21" s="19">
        <f t="shared" si="1"/>
        <v>-1.3232217389569452</v>
      </c>
      <c r="O21" s="11"/>
      <c r="P21" s="2">
        <f>--591246.5</f>
        <v>591246.5</v>
      </c>
      <c r="Q21" s="2"/>
      <c r="R21" s="19"/>
      <c r="S21" s="2"/>
      <c r="T21" s="2">
        <v>5481451</v>
      </c>
      <c r="U21" s="2"/>
      <c r="V21" s="19"/>
      <c r="W21" s="2"/>
      <c r="X21" s="2">
        <f t="shared" si="2"/>
        <v>-4890204.5</v>
      </c>
      <c r="Y21" s="2"/>
      <c r="Z21" s="19">
        <f t="shared" si="3"/>
        <v>-0.89213686303133966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--2671.34</f>
        <v>2671.34</v>
      </c>
      <c r="E22" s="2"/>
      <c r="F22" s="19"/>
      <c r="G22" s="2"/>
      <c r="H22" s="2"/>
      <c r="I22" s="2"/>
      <c r="J22" s="19"/>
      <c r="K22" s="2"/>
      <c r="L22" s="2">
        <f t="shared" si="0"/>
        <v>2671.34</v>
      </c>
      <c r="M22" s="2"/>
      <c r="N22" s="19">
        <f t="shared" si="1"/>
        <v>0</v>
      </c>
      <c r="O22" s="11"/>
      <c r="P22" s="2">
        <f>--153953.68</f>
        <v>153953.68</v>
      </c>
      <c r="Q22" s="2"/>
      <c r="R22" s="19"/>
      <c r="S22" s="2"/>
      <c r="T22" s="2"/>
      <c r="U22" s="2"/>
      <c r="V22" s="19"/>
      <c r="W22" s="2"/>
      <c r="X22" s="2">
        <f t="shared" si="2"/>
        <v>153953.68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--1718.15</f>
        <v>1718.15</v>
      </c>
      <c r="E23" s="2"/>
      <c r="F23" s="19"/>
      <c r="G23" s="2"/>
      <c r="H23" s="2"/>
      <c r="I23" s="2"/>
      <c r="J23" s="19"/>
      <c r="K23" s="2"/>
      <c r="L23" s="2">
        <f t="shared" si="0"/>
        <v>1718.15</v>
      </c>
      <c r="M23" s="2"/>
      <c r="N23" s="19">
        <f t="shared" si="1"/>
        <v>0</v>
      </c>
      <c r="O23" s="11"/>
      <c r="P23" s="2">
        <f>--71943.61</f>
        <v>71943.61</v>
      </c>
      <c r="Q23" s="2"/>
      <c r="R23" s="19"/>
      <c r="S23" s="2"/>
      <c r="T23" s="2"/>
      <c r="U23" s="2"/>
      <c r="V23" s="19"/>
      <c r="W23" s="2"/>
      <c r="X23" s="2">
        <f t="shared" si="2"/>
        <v>71943.61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--1836.93</f>
        <v>1836.93</v>
      </c>
      <c r="E25" s="2"/>
      <c r="F25" s="19"/>
      <c r="G25" s="2"/>
      <c r="H25" s="2"/>
      <c r="I25" s="2"/>
      <c r="J25" s="19"/>
      <c r="K25" s="2"/>
      <c r="L25" s="2">
        <f t="shared" si="0"/>
        <v>1836.93</v>
      </c>
      <c r="M25" s="2"/>
      <c r="N25" s="19">
        <f t="shared" si="1"/>
        <v>0</v>
      </c>
      <c r="O25" s="11"/>
      <c r="P25" s="2">
        <f>--533640.31</f>
        <v>533640.31000000006</v>
      </c>
      <c r="Q25" s="2"/>
      <c r="R25" s="19"/>
      <c r="S25" s="2"/>
      <c r="T25" s="2"/>
      <c r="U25" s="2"/>
      <c r="V25" s="19"/>
      <c r="W25" s="2"/>
      <c r="X25" s="2">
        <f t="shared" si="2"/>
        <v>533640.31000000006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--679.21</f>
        <v>679.21</v>
      </c>
      <c r="E26" s="2"/>
      <c r="F26" s="19"/>
      <c r="G26" s="2"/>
      <c r="H26" s="2"/>
      <c r="I26" s="2"/>
      <c r="J26" s="19"/>
      <c r="K26" s="2"/>
      <c r="L26" s="2">
        <f t="shared" si="0"/>
        <v>679.21</v>
      </c>
      <c r="M26" s="2"/>
      <c r="N26" s="19">
        <f t="shared" si="1"/>
        <v>0</v>
      </c>
      <c r="O26" s="11"/>
      <c r="P26" s="2">
        <f>--16342.67</f>
        <v>16342.67</v>
      </c>
      <c r="Q26" s="2"/>
      <c r="R26" s="19"/>
      <c r="S26" s="2"/>
      <c r="T26" s="2"/>
      <c r="U26" s="2"/>
      <c r="V26" s="19"/>
      <c r="W26" s="2"/>
      <c r="X26" s="2">
        <f t="shared" si="2"/>
        <v>16342.67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 t="shared" ref="D27:D28" si="5"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--8266.16</f>
        <v>8266.16</v>
      </c>
      <c r="Q27" s="2"/>
      <c r="R27" s="19"/>
      <c r="S27" s="2"/>
      <c r="T27" s="2"/>
      <c r="U27" s="2"/>
      <c r="V27" s="19"/>
      <c r="W27" s="2"/>
      <c r="X27" s="2">
        <f t="shared" si="2"/>
        <v>8266.16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"4114", " - ", "NON-TAXABLE SALES-REMAINDERS")</f>
        <v xml:space="preserve">          4114 - NON-TAXABLE SALES-REMAINDERS</v>
      </c>
      <c r="C28" s="11"/>
      <c r="D28" s="2">
        <f t="shared" si="5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--3.19</f>
        <v>3.19</v>
      </c>
      <c r="Q28" s="2"/>
      <c r="R28" s="19"/>
      <c r="S28" s="2"/>
      <c r="T28" s="2"/>
      <c r="U28" s="2"/>
      <c r="V28" s="19"/>
      <c r="W28" s="2"/>
      <c r="X28" s="2">
        <f t="shared" si="2"/>
        <v>3.19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"4118", " - ", "NON-TAXABLE SALES-STUDY GUIDES")</f>
        <v xml:space="preserve">          4118 - NON-TAXABLE SALES-STUDY GUIDES</v>
      </c>
      <c r="C29" s="11"/>
      <c r="D29" s="2">
        <f>--10.09</f>
        <v>10.09</v>
      </c>
      <c r="E29" s="2"/>
      <c r="F29" s="19"/>
      <c r="G29" s="2"/>
      <c r="H29" s="2"/>
      <c r="I29" s="2"/>
      <c r="J29" s="19"/>
      <c r="K29" s="2"/>
      <c r="L29" s="2">
        <f t="shared" si="0"/>
        <v>10.09</v>
      </c>
      <c r="M29" s="2"/>
      <c r="N29" s="19">
        <f t="shared" si="1"/>
        <v>0</v>
      </c>
      <c r="O29" s="11"/>
      <c r="P29" s="2">
        <f>--126.03</f>
        <v>126.03</v>
      </c>
      <c r="Q29" s="2"/>
      <c r="R29" s="19"/>
      <c r="S29" s="2"/>
      <c r="T29" s="2"/>
      <c r="U29" s="2"/>
      <c r="V29" s="19"/>
      <c r="W29" s="2"/>
      <c r="X29" s="2">
        <f t="shared" si="2"/>
        <v>126.03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"4201", " - ", "SALES RETURN TAXABLE-NEW TEXT")</f>
        <v xml:space="preserve">          4201 - SALES RETURN TAXABLE-NEW TEXT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-121451.61</f>
        <v>-121451.61</v>
      </c>
      <c r="Q30" s="2"/>
      <c r="R30" s="19"/>
      <c r="S30" s="2"/>
      <c r="T30" s="2"/>
      <c r="U30" s="2"/>
      <c r="V30" s="19"/>
      <c r="W30" s="2"/>
      <c r="X30" s="2">
        <f t="shared" si="2"/>
        <v>-121451.61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"4202", " - ", "SALES RETURN TAXABLE-USED TEXT")</f>
        <v xml:space="preserve">          4202 - SALES RETURN TAXABLE-USED TEXT</v>
      </c>
      <c r="C31" s="11"/>
      <c r="D31" s="2">
        <f>-186.35</f>
        <v>-186.35</v>
      </c>
      <c r="E31" s="2"/>
      <c r="F31" s="19"/>
      <c r="G31" s="2"/>
      <c r="H31" s="2"/>
      <c r="I31" s="2"/>
      <c r="J31" s="19"/>
      <c r="K31" s="2"/>
      <c r="L31" s="2">
        <f t="shared" si="0"/>
        <v>-186.35</v>
      </c>
      <c r="M31" s="2"/>
      <c r="N31" s="19">
        <f t="shared" si="1"/>
        <v>0</v>
      </c>
      <c r="O31" s="11"/>
      <c r="P31" s="2">
        <f>-45799.46</f>
        <v>-45799.46</v>
      </c>
      <c r="Q31" s="2"/>
      <c r="R31" s="19"/>
      <c r="S31" s="2"/>
      <c r="T31" s="2"/>
      <c r="U31" s="2"/>
      <c r="V31" s="19"/>
      <c r="W31" s="2"/>
      <c r="X31" s="2">
        <f t="shared" si="2"/>
        <v>-45799.46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"4203", " - ", "SALES RETURN TAXABLE-RENTAL TE")</f>
        <v xml:space="preserve">          4203 - SALES RETURN TAXABLE-RENTAL TE</v>
      </c>
      <c r="C32" s="11"/>
      <c r="D32" s="2">
        <f t="shared" ref="D32:D33" si="6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-144.99</f>
        <v>-144.99</v>
      </c>
      <c r="Q32" s="2"/>
      <c r="R32" s="19"/>
      <c r="S32" s="2"/>
      <c r="T32" s="2"/>
      <c r="U32" s="2"/>
      <c r="V32" s="19"/>
      <c r="W32" s="2"/>
      <c r="X32" s="2">
        <f t="shared" si="2"/>
        <v>-144.99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"4204", " - ", "SALES RETURN TAXABLE-DIGITAL T")</f>
        <v xml:space="preserve">          4204 - SALES RETURN TAXABLE-DIGITAL T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-17255.33</f>
        <v>-17255.330000000002</v>
      </c>
      <c r="Q33" s="2"/>
      <c r="R33" s="19"/>
      <c r="S33" s="2"/>
      <c r="T33" s="2"/>
      <c r="U33" s="2"/>
      <c r="V33" s="19"/>
      <c r="W33" s="2"/>
      <c r="X33" s="2">
        <f t="shared" si="2"/>
        <v>-17255.330000000002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"4213", " - ", "NON-TAXABLE SALES-TRADE BOOKS")</f>
        <v xml:space="preserve">          4213 - NON-TAXABLE SALES-TRADE BOOKS</v>
      </c>
      <c r="C34" s="11"/>
      <c r="D34" s="2">
        <f>-100.7</f>
        <v>-100.7</v>
      </c>
      <c r="E34" s="2"/>
      <c r="F34" s="19"/>
      <c r="G34" s="2"/>
      <c r="H34" s="2"/>
      <c r="I34" s="2"/>
      <c r="J34" s="19"/>
      <c r="K34" s="2"/>
      <c r="L34" s="2">
        <f t="shared" si="0"/>
        <v>-100.7</v>
      </c>
      <c r="M34" s="2"/>
      <c r="N34" s="19">
        <f t="shared" si="1"/>
        <v>0</v>
      </c>
      <c r="O34" s="11"/>
      <c r="P34" s="2">
        <f>-2869.37</f>
        <v>-2869.37</v>
      </c>
      <c r="Q34" s="2"/>
      <c r="R34" s="19"/>
      <c r="S34" s="2"/>
      <c r="T34" s="2"/>
      <c r="U34" s="2"/>
      <c r="V34" s="19"/>
      <c r="W34" s="2"/>
      <c r="X34" s="2">
        <f t="shared" si="2"/>
        <v>-2869.37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"4214", " - ", "SALES RETURN TAXABLE-REMAINDER")</f>
        <v xml:space="preserve">          4214 - SALES RETURN TAXABLE-REMAINDER</v>
      </c>
      <c r="C35" s="11"/>
      <c r="D35" s="2">
        <f t="shared" ref="D35:D36" si="7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-11.94</f>
        <v>-11.94</v>
      </c>
      <c r="Q35" s="2"/>
      <c r="R35" s="19"/>
      <c r="S35" s="2"/>
      <c r="T35" s="2"/>
      <c r="U35" s="2"/>
      <c r="V35" s="19"/>
      <c r="W35" s="2"/>
      <c r="X35" s="2">
        <f t="shared" si="2"/>
        <v>-11.94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"4218", " - ", "SALES RETURN TAXABLE-STUDY GUI")</f>
        <v xml:space="preserve">          4218 - SALES RETURN TAXABLE-STUDY GUI</v>
      </c>
      <c r="C36" s="11"/>
      <c r="D36" s="2">
        <f t="shared" si="7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-39.25</f>
        <v>-39.25</v>
      </c>
      <c r="Q36" s="2"/>
      <c r="R36" s="19"/>
      <c r="S36" s="2"/>
      <c r="T36" s="2"/>
      <c r="U36" s="2"/>
      <c r="V36" s="19"/>
      <c r="W36" s="2"/>
      <c r="X36" s="2">
        <f t="shared" si="2"/>
        <v>-39.25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"4301", " - ", "SALES RETURN NON TAXABLE-NEW T")</f>
        <v xml:space="preserve">          4301 - SALES RETURN NON TAXABLE-NEW T</v>
      </c>
      <c r="C37" s="11"/>
      <c r="D37" s="2">
        <f>-253.49</f>
        <v>-253.49</v>
      </c>
      <c r="E37" s="2"/>
      <c r="F37" s="19"/>
      <c r="G37" s="2"/>
      <c r="H37" s="2"/>
      <c r="I37" s="2"/>
      <c r="J37" s="19"/>
      <c r="K37" s="2"/>
      <c r="L37" s="2">
        <f t="shared" si="0"/>
        <v>-253.49</v>
      </c>
      <c r="M37" s="2"/>
      <c r="N37" s="19">
        <f t="shared" si="1"/>
        <v>0</v>
      </c>
      <c r="O37" s="11"/>
      <c r="P37" s="2">
        <f>-21543.36</f>
        <v>-21543.360000000001</v>
      </c>
      <c r="Q37" s="2"/>
      <c r="R37" s="19"/>
      <c r="S37" s="2"/>
      <c r="T37" s="2"/>
      <c r="U37" s="2"/>
      <c r="V37" s="19"/>
      <c r="W37" s="2"/>
      <c r="X37" s="2">
        <f t="shared" si="2"/>
        <v>-21543.360000000001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"4302", " - ", "SALES RETURN NON TAXABLE-TEXT")</f>
        <v xml:space="preserve">          4302 - SALES RETURN NON TAXABLE-TEXT</v>
      </c>
      <c r="C38" s="11"/>
      <c r="D38" s="2">
        <f>-95.75</f>
        <v>-95.75</v>
      </c>
      <c r="E38" s="2"/>
      <c r="F38" s="19"/>
      <c r="G38" s="2"/>
      <c r="H38" s="2"/>
      <c r="I38" s="2"/>
      <c r="J38" s="19"/>
      <c r="K38" s="2"/>
      <c r="L38" s="2">
        <f t="shared" si="0"/>
        <v>-95.75</v>
      </c>
      <c r="M38" s="2"/>
      <c r="N38" s="19">
        <f t="shared" si="1"/>
        <v>0</v>
      </c>
      <c r="O38" s="11"/>
      <c r="P38" s="2">
        <f>-1475.62</f>
        <v>-1475.62</v>
      </c>
      <c r="Q38" s="2"/>
      <c r="R38" s="19"/>
      <c r="S38" s="2"/>
      <c r="T38" s="2"/>
      <c r="U38" s="2"/>
      <c r="V38" s="19"/>
      <c r="W38" s="2"/>
      <c r="X38" s="2">
        <f t="shared" si="2"/>
        <v>-1475.62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"4303", " - ", "SALES RETURN NON-TAXABLE-RENTA")</f>
        <v xml:space="preserve">          4303 - SALES RETURN NON-TAXABLE-RENTA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-184.99</f>
        <v>-184.99</v>
      </c>
      <c r="Q39" s="2"/>
      <c r="R39" s="19"/>
      <c r="S39" s="2"/>
      <c r="T39" s="2"/>
      <c r="U39" s="2"/>
      <c r="V39" s="19"/>
      <c r="W39" s="2"/>
      <c r="X39" s="2">
        <f t="shared" si="2"/>
        <v>-184.99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"4304", " - ", "SALES RETURN NON TAXABLE-DIGIT")</f>
        <v xml:space="preserve">          4304 - SALES RETURN NON TAXABLE-DIGIT</v>
      </c>
      <c r="C40" s="11"/>
      <c r="D40" s="2">
        <f>-398.87</f>
        <v>-398.87</v>
      </c>
      <c r="E40" s="2"/>
      <c r="F40" s="19"/>
      <c r="G40" s="2"/>
      <c r="H40" s="2"/>
      <c r="I40" s="2"/>
      <c r="J40" s="19"/>
      <c r="K40" s="2"/>
      <c r="L40" s="2">
        <f t="shared" si="0"/>
        <v>-398.87</v>
      </c>
      <c r="M40" s="2"/>
      <c r="N40" s="19">
        <f t="shared" si="1"/>
        <v>0</v>
      </c>
      <c r="O40" s="11"/>
      <c r="P40" s="2">
        <f>-19873.2</f>
        <v>-19873.2</v>
      </c>
      <c r="Q40" s="2"/>
      <c r="R40" s="19"/>
      <c r="S40" s="2"/>
      <c r="T40" s="2"/>
      <c r="U40" s="2"/>
      <c r="V40" s="19"/>
      <c r="W40" s="2"/>
      <c r="X40" s="2">
        <f t="shared" si="2"/>
        <v>-19873.2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"4311", " - ", "SALES RETURN NON TAXABLE-NO VA")</f>
        <v xml:space="preserve">          4311 - SALES RETURN NON TAXABLE-NO VA</v>
      </c>
      <c r="C41" s="11"/>
      <c r="D41" s="2">
        <f>-70.37</f>
        <v>-70.37</v>
      </c>
      <c r="E41" s="2"/>
      <c r="F41" s="19"/>
      <c r="G41" s="2"/>
      <c r="H41" s="2"/>
      <c r="I41" s="2"/>
      <c r="J41" s="19"/>
      <c r="K41" s="2"/>
      <c r="L41" s="2">
        <f t="shared" si="0"/>
        <v>-70.37</v>
      </c>
      <c r="M41" s="2"/>
      <c r="N41" s="19">
        <f t="shared" si="1"/>
        <v>0</v>
      </c>
      <c r="O41" s="11"/>
      <c r="P41" s="2">
        <f>-1011.65</f>
        <v>-1011.65</v>
      </c>
      <c r="Q41" s="2"/>
      <c r="R41" s="19"/>
      <c r="S41" s="2"/>
      <c r="T41" s="2"/>
      <c r="U41" s="2"/>
      <c r="V41" s="19"/>
      <c r="W41" s="2"/>
      <c r="X41" s="2">
        <f t="shared" si="2"/>
        <v>-1011.65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"4313", " - ", "SALES RETURN NON TAXABLE-TRADE")</f>
        <v xml:space="preserve">          4313 - SALES RETURN NON TAXABLE-TRADE</v>
      </c>
      <c r="C42" s="11"/>
      <c r="D42" s="2">
        <f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-2481.44</f>
        <v>-2481.44</v>
      </c>
      <c r="Q42" s="2"/>
      <c r="R42" s="19"/>
      <c r="S42" s="2"/>
      <c r="T42" s="2"/>
      <c r="U42" s="2"/>
      <c r="V42" s="19"/>
      <c r="W42" s="2"/>
      <c r="X42" s="2">
        <f t="shared" si="2"/>
        <v>-2481.44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8" t="s">
        <v>8</v>
      </c>
      <c r="C44" s="10"/>
      <c r="D44" s="4">
        <f>SUM(OSRRefD16x_0)</f>
        <v>92599.11</v>
      </c>
      <c r="E44" s="4"/>
      <c r="F44" s="13">
        <f t="shared" ref="F44:F61" si="8">IF(D$12=0,0,D44/D$12)</f>
        <v>4.2352163914511829</v>
      </c>
      <c r="G44" s="4"/>
      <c r="H44" s="4">
        <f>SUM(OSRRefH16x_0)</f>
        <v>36124.369999999995</v>
      </c>
      <c r="I44" s="4"/>
      <c r="J44" s="13">
        <f t="shared" ref="J44:J61" si="9">IF(H$12=0,0,H44/H$12)</f>
        <v>0.72072882167511265</v>
      </c>
      <c r="K44" s="4"/>
      <c r="L44" s="4">
        <f t="shared" ref="L44:L61" si="10">+D44-H44</f>
        <v>56474.740000000005</v>
      </c>
      <c r="M44" s="4"/>
      <c r="N44" s="13">
        <f t="shared" ref="N44:N61" si="11">IF(H44=0,0,L44/H44)</f>
        <v>1.563341865892748</v>
      </c>
      <c r="O44" s="10"/>
      <c r="P44" s="4">
        <f>SUM(OSRRefP16x_0)</f>
        <v>3627976.85</v>
      </c>
      <c r="Q44" s="4"/>
      <c r="R44" s="13">
        <f t="shared" ref="R44:R61" si="12">IF(P$12=0,0,P44/P$12)</f>
        <v>0.73276015221634128</v>
      </c>
      <c r="S44" s="4"/>
      <c r="T44" s="4">
        <f>SUM(OSRRefT16x_0)</f>
        <v>3953494.0000000005</v>
      </c>
      <c r="U44" s="4"/>
      <c r="V44" s="13">
        <f t="shared" ref="V44:V61" si="13">IF(T$12=0,0,T44/T$12)</f>
        <v>0.72124953775925393</v>
      </c>
      <c r="W44" s="4"/>
      <c r="X44" s="4">
        <f t="shared" ref="X44:X61" si="14">+P44-T44</f>
        <v>-325517.15000000037</v>
      </c>
      <c r="Y44" s="4"/>
      <c r="Z44" s="13">
        <f t="shared" ref="Z44:Z61" si="15">IF(T44=0,0,X44/T44)</f>
        <v>-8.2336573673818733E-2</v>
      </c>
    </row>
    <row r="45" spans="1:26" s="24" customFormat="1" hidden="1" outlineLevel="1" x14ac:dyDescent="0.25">
      <c r="A45" s="44"/>
      <c r="B45" s="11" t="str">
        <f>CONCATENATE("          ", "5000", " - ", "PURCHASES @ COST")</f>
        <v xml:space="preserve">          5000 - PURCHASES @ COST</v>
      </c>
      <c r="C45" s="11"/>
      <c r="D45" s="2"/>
      <c r="E45" s="2"/>
      <c r="F45" s="19">
        <f t="shared" si="8"/>
        <v>0</v>
      </c>
      <c r="G45" s="2"/>
      <c r="H45" s="2">
        <v>36124.369999999995</v>
      </c>
      <c r="I45" s="2"/>
      <c r="J45" s="19">
        <f t="shared" si="9"/>
        <v>0.72072882167511265</v>
      </c>
      <c r="K45" s="2"/>
      <c r="L45" s="2">
        <f t="shared" si="10"/>
        <v>-36124.369999999995</v>
      </c>
      <c r="M45" s="2"/>
      <c r="N45" s="19">
        <f t="shared" si="11"/>
        <v>-1</v>
      </c>
      <c r="O45" s="11"/>
      <c r="P45" s="2"/>
      <c r="Q45" s="2"/>
      <c r="R45" s="19">
        <f t="shared" si="12"/>
        <v>0</v>
      </c>
      <c r="S45" s="2"/>
      <c r="T45" s="2">
        <v>3953494.0000000005</v>
      </c>
      <c r="U45" s="2"/>
      <c r="V45" s="19">
        <f t="shared" si="13"/>
        <v>0.72124953775925393</v>
      </c>
      <c r="W45" s="2"/>
      <c r="X45" s="2">
        <f t="shared" si="14"/>
        <v>-3953494.0000000005</v>
      </c>
      <c r="Y45" s="2"/>
      <c r="Z45" s="19">
        <f t="shared" si="15"/>
        <v>-1</v>
      </c>
    </row>
    <row r="46" spans="1:26" s="24" customFormat="1" hidden="1" outlineLevel="1" x14ac:dyDescent="0.25">
      <c r="A46" s="44"/>
      <c r="B46" s="11" t="str">
        <f>CONCATENATE("          ", "5001", " - ", "PURCHASES @ COST-NEW TEXT")</f>
        <v xml:space="preserve">          5001 - PURCHASES @ COST-NEW TEXT</v>
      </c>
      <c r="C46" s="11"/>
      <c r="D46" s="2">
        <v>21388.809999999998</v>
      </c>
      <c r="E46" s="2"/>
      <c r="F46" s="19">
        <f t="shared" si="8"/>
        <v>0.97826252007859427</v>
      </c>
      <c r="G46" s="2"/>
      <c r="H46" s="2"/>
      <c r="I46" s="2"/>
      <c r="J46" s="19">
        <f t="shared" si="9"/>
        <v>0</v>
      </c>
      <c r="K46" s="2"/>
      <c r="L46" s="2">
        <f t="shared" si="10"/>
        <v>21388.809999999998</v>
      </c>
      <c r="M46" s="2"/>
      <c r="N46" s="19">
        <f t="shared" si="11"/>
        <v>0</v>
      </c>
      <c r="O46" s="11"/>
      <c r="P46" s="2">
        <v>1662669.27</v>
      </c>
      <c r="Q46" s="2"/>
      <c r="R46" s="19">
        <f t="shared" si="12"/>
        <v>0.33581740946627953</v>
      </c>
      <c r="S46" s="2"/>
      <c r="T46" s="2"/>
      <c r="U46" s="2"/>
      <c r="V46" s="19">
        <f t="shared" si="13"/>
        <v>0</v>
      </c>
      <c r="W46" s="2"/>
      <c r="X46" s="2">
        <f t="shared" si="14"/>
        <v>1662669.27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"5002", " - ", "PURCHASES @ COST-USED TEXT")</f>
        <v xml:space="preserve">          5002 - PURCHASES @ COST-USED TEXT</v>
      </c>
      <c r="C47" s="11"/>
      <c r="D47" s="2">
        <v>121021.81</v>
      </c>
      <c r="E47" s="2"/>
      <c r="F47" s="19">
        <f t="shared" si="8"/>
        <v>5.5351887662321015</v>
      </c>
      <c r="G47" s="2"/>
      <c r="H47" s="2"/>
      <c r="I47" s="2"/>
      <c r="J47" s="19">
        <f t="shared" si="9"/>
        <v>0</v>
      </c>
      <c r="K47" s="2"/>
      <c r="L47" s="2">
        <f t="shared" si="10"/>
        <v>121021.81</v>
      </c>
      <c r="M47" s="2"/>
      <c r="N47" s="19">
        <f t="shared" si="11"/>
        <v>0</v>
      </c>
      <c r="O47" s="11"/>
      <c r="P47" s="2">
        <v>731343.19</v>
      </c>
      <c r="Q47" s="2"/>
      <c r="R47" s="19">
        <f t="shared" si="12"/>
        <v>0.14771294563987764</v>
      </c>
      <c r="S47" s="2"/>
      <c r="T47" s="2"/>
      <c r="U47" s="2"/>
      <c r="V47" s="19">
        <f t="shared" si="13"/>
        <v>0</v>
      </c>
      <c r="W47" s="2"/>
      <c r="X47" s="2">
        <f t="shared" si="14"/>
        <v>731343.19</v>
      </c>
      <c r="Y47" s="2"/>
      <c r="Z47" s="19">
        <f t="shared" si="15"/>
        <v>0</v>
      </c>
    </row>
    <row r="48" spans="1:26" s="24" customFormat="1" hidden="1" outlineLevel="1" x14ac:dyDescent="0.25">
      <c r="A48" s="44"/>
      <c r="B48" s="11" t="str">
        <f>CONCATENATE("          ", "5003", " - ", "PURCHASES @ COST-RENTAL TEXT")</f>
        <v xml:space="preserve">          5003 - PURCHASES @ COST-RENTAL TEXT</v>
      </c>
      <c r="C48" s="11"/>
      <c r="D48" s="2">
        <v>24656.6</v>
      </c>
      <c r="E48" s="2"/>
      <c r="F48" s="19">
        <f t="shared" si="8"/>
        <v>1.1277218158733409</v>
      </c>
      <c r="G48" s="2"/>
      <c r="H48" s="2"/>
      <c r="I48" s="2"/>
      <c r="J48" s="19">
        <f t="shared" si="9"/>
        <v>0</v>
      </c>
      <c r="K48" s="2"/>
      <c r="L48" s="2">
        <f t="shared" si="10"/>
        <v>24656.6</v>
      </c>
      <c r="M48" s="2"/>
      <c r="N48" s="19">
        <f t="shared" si="11"/>
        <v>0</v>
      </c>
      <c r="O48" s="11"/>
      <c r="P48" s="2">
        <v>24578.2</v>
      </c>
      <c r="Q48" s="2"/>
      <c r="R48" s="19">
        <f t="shared" si="12"/>
        <v>4.9641787469519487E-3</v>
      </c>
      <c r="S48" s="2"/>
      <c r="T48" s="2"/>
      <c r="U48" s="2"/>
      <c r="V48" s="19">
        <f t="shared" si="13"/>
        <v>0</v>
      </c>
      <c r="W48" s="2"/>
      <c r="X48" s="2">
        <f t="shared" si="14"/>
        <v>24578.2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"5004", " - ", "PURCHASES @ COST-DIGITAL TEXT")</f>
        <v xml:space="preserve">          5004 - PURCHASES @ COST-DIGITAL TEXT</v>
      </c>
      <c r="C49" s="11"/>
      <c r="D49" s="2">
        <v>5038.95</v>
      </c>
      <c r="E49" s="2"/>
      <c r="F49" s="19">
        <f t="shared" si="8"/>
        <v>0.23046704915093608</v>
      </c>
      <c r="G49" s="2"/>
      <c r="H49" s="2"/>
      <c r="I49" s="2"/>
      <c r="J49" s="19">
        <f t="shared" si="9"/>
        <v>0</v>
      </c>
      <c r="K49" s="2"/>
      <c r="L49" s="2">
        <f t="shared" si="10"/>
        <v>5038.95</v>
      </c>
      <c r="M49" s="2"/>
      <c r="N49" s="19">
        <f t="shared" si="11"/>
        <v>0</v>
      </c>
      <c r="O49" s="11"/>
      <c r="P49" s="2">
        <v>451308.6</v>
      </c>
      <c r="Q49" s="2"/>
      <c r="R49" s="19">
        <f t="shared" si="12"/>
        <v>9.1152995761961328E-2</v>
      </c>
      <c r="S49" s="2"/>
      <c r="T49" s="2"/>
      <c r="U49" s="2"/>
      <c r="V49" s="19">
        <f t="shared" si="13"/>
        <v>0</v>
      </c>
      <c r="W49" s="2"/>
      <c r="X49" s="2">
        <f t="shared" si="14"/>
        <v>451308.6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"5011", " - ", "PURCHASES @ COST-NO VALUE TEXT")</f>
        <v xml:space="preserve">          5011 - PURCHASES @ COST-NO VALUE TEXT</v>
      </c>
      <c r="C50" s="11"/>
      <c r="D50" s="2">
        <v>99</v>
      </c>
      <c r="E50" s="2"/>
      <c r="F50" s="19">
        <f t="shared" si="8"/>
        <v>4.5279746506598937E-3</v>
      </c>
      <c r="G50" s="2"/>
      <c r="H50" s="2"/>
      <c r="I50" s="2"/>
      <c r="J50" s="19">
        <f t="shared" si="9"/>
        <v>0</v>
      </c>
      <c r="K50" s="2"/>
      <c r="L50" s="2">
        <f t="shared" si="10"/>
        <v>99</v>
      </c>
      <c r="M50" s="2"/>
      <c r="N50" s="19">
        <f t="shared" si="11"/>
        <v>0</v>
      </c>
      <c r="O50" s="11"/>
      <c r="P50" s="2">
        <v>6462</v>
      </c>
      <c r="Q50" s="2"/>
      <c r="R50" s="19">
        <f t="shared" si="12"/>
        <v>1.3051616091822628E-3</v>
      </c>
      <c r="S50" s="2"/>
      <c r="T50" s="2"/>
      <c r="U50" s="2"/>
      <c r="V50" s="19">
        <f t="shared" si="13"/>
        <v>0</v>
      </c>
      <c r="W50" s="2"/>
      <c r="X50" s="2">
        <f t="shared" si="14"/>
        <v>6462</v>
      </c>
      <c r="Y50" s="2"/>
      <c r="Z50" s="19">
        <f t="shared" si="15"/>
        <v>0</v>
      </c>
    </row>
    <row r="51" spans="1:26" s="24" customFormat="1" hidden="1" outlineLevel="1" x14ac:dyDescent="0.25">
      <c r="A51" s="44"/>
      <c r="B51" s="11" t="str">
        <f>CONCATENATE("          ", "5013", " - ", "PURCHASES @ COST-TRADE BOOKS")</f>
        <v xml:space="preserve">          5013 - PURCHASES @ COST-TRADE BOOKS</v>
      </c>
      <c r="C51" s="11"/>
      <c r="D51" s="2">
        <v>-420.76</v>
      </c>
      <c r="E51" s="2"/>
      <c r="F51" s="19">
        <f t="shared" si="8"/>
        <v>-1.9244349636481382E-2</v>
      </c>
      <c r="G51" s="2"/>
      <c r="H51" s="2"/>
      <c r="I51" s="2"/>
      <c r="J51" s="19">
        <f t="shared" si="9"/>
        <v>0</v>
      </c>
      <c r="K51" s="2"/>
      <c r="L51" s="2">
        <f t="shared" si="10"/>
        <v>-420.76</v>
      </c>
      <c r="M51" s="2"/>
      <c r="N51" s="19">
        <f t="shared" si="11"/>
        <v>0</v>
      </c>
      <c r="O51" s="11"/>
      <c r="P51" s="2">
        <v>2777.09</v>
      </c>
      <c r="Q51" s="2"/>
      <c r="R51" s="19">
        <f t="shared" si="12"/>
        <v>5.6090239140265709E-4</v>
      </c>
      <c r="S51" s="2"/>
      <c r="T51" s="2"/>
      <c r="U51" s="2"/>
      <c r="V51" s="19">
        <f t="shared" si="13"/>
        <v>0</v>
      </c>
      <c r="W51" s="2"/>
      <c r="X51" s="2">
        <f t="shared" si="14"/>
        <v>2777.09</v>
      </c>
      <c r="Y51" s="2"/>
      <c r="Z51" s="19">
        <f t="shared" si="15"/>
        <v>0</v>
      </c>
    </row>
    <row r="52" spans="1:26" s="24" customFormat="1" hidden="1" outlineLevel="1" x14ac:dyDescent="0.25">
      <c r="A52" s="44"/>
      <c r="B52" s="11" t="str">
        <f>CONCATENATE("          ", "5014", " - ", "PURCHASES @ COST-REMAINDERS")</f>
        <v xml:space="preserve">          5014 - PURCHASES @ COST-REMAINDERS</v>
      </c>
      <c r="C52" s="11"/>
      <c r="D52" s="2">
        <v>132</v>
      </c>
      <c r="E52" s="2"/>
      <c r="F52" s="19">
        <f t="shared" si="8"/>
        <v>6.0372995342131922E-3</v>
      </c>
      <c r="G52" s="2"/>
      <c r="H52" s="2"/>
      <c r="I52" s="2"/>
      <c r="J52" s="19">
        <f t="shared" si="9"/>
        <v>0</v>
      </c>
      <c r="K52" s="2"/>
      <c r="L52" s="2">
        <f t="shared" si="10"/>
        <v>132</v>
      </c>
      <c r="M52" s="2"/>
      <c r="N52" s="19">
        <f t="shared" si="11"/>
        <v>0</v>
      </c>
      <c r="O52" s="11"/>
      <c r="P52" s="2">
        <v>732.61</v>
      </c>
      <c r="Q52" s="2"/>
      <c r="R52" s="19">
        <f t="shared" si="12"/>
        <v>1.479688094247938E-4</v>
      </c>
      <c r="S52" s="2"/>
      <c r="T52" s="2"/>
      <c r="U52" s="2"/>
      <c r="V52" s="19">
        <f t="shared" si="13"/>
        <v>0</v>
      </c>
      <c r="W52" s="2"/>
      <c r="X52" s="2">
        <f t="shared" si="14"/>
        <v>732.61</v>
      </c>
      <c r="Y52" s="2"/>
      <c r="Z52" s="19">
        <f t="shared" si="15"/>
        <v>0</v>
      </c>
    </row>
    <row r="53" spans="1:26" s="24" customFormat="1" hidden="1" outlineLevel="1" x14ac:dyDescent="0.25">
      <c r="A53" s="44"/>
      <c r="B53" s="11" t="str">
        <f>CONCATENATE("          ", "5018", " - ", "PURCHASES @ COST-STUDY GUIDES")</f>
        <v xml:space="preserve">          5018 - PURCHASES @ COST-STUDY GUIDES</v>
      </c>
      <c r="C53" s="11"/>
      <c r="D53" s="2">
        <v>-249.38</v>
      </c>
      <c r="E53" s="2"/>
      <c r="F53" s="19">
        <f t="shared" si="8"/>
        <v>-1.1405922407894589E-2</v>
      </c>
      <c r="G53" s="2"/>
      <c r="H53" s="2"/>
      <c r="I53" s="2"/>
      <c r="J53" s="19">
        <f t="shared" si="9"/>
        <v>0</v>
      </c>
      <c r="K53" s="2"/>
      <c r="L53" s="2">
        <f t="shared" si="10"/>
        <v>-249.38</v>
      </c>
      <c r="M53" s="2"/>
      <c r="N53" s="19">
        <f t="shared" si="11"/>
        <v>0</v>
      </c>
      <c r="O53" s="11"/>
      <c r="P53" s="2">
        <v>-454.52</v>
      </c>
      <c r="Q53" s="2"/>
      <c r="R53" s="19">
        <f t="shared" si="12"/>
        <v>-9.1801617859102772E-5</v>
      </c>
      <c r="S53" s="2"/>
      <c r="T53" s="2"/>
      <c r="U53" s="2"/>
      <c r="V53" s="19">
        <f t="shared" si="13"/>
        <v>0</v>
      </c>
      <c r="W53" s="2"/>
      <c r="X53" s="2">
        <f t="shared" si="14"/>
        <v>-454.52</v>
      </c>
      <c r="Y53" s="2"/>
      <c r="Z53" s="19">
        <f t="shared" si="15"/>
        <v>0</v>
      </c>
    </row>
    <row r="54" spans="1:26" s="24" customFormat="1" hidden="1" outlineLevel="1" x14ac:dyDescent="0.25">
      <c r="A54" s="44"/>
      <c r="B54" s="11" t="str">
        <f>CONCATENATE("          ", "5200", " - ", "PURCHASES OFFSET")</f>
        <v xml:space="preserve">          5200 - PURCHASES OFFSET</v>
      </c>
      <c r="C54" s="11"/>
      <c r="D54" s="2">
        <v>-173310</v>
      </c>
      <c r="E54" s="2"/>
      <c r="F54" s="19">
        <f t="shared" si="8"/>
        <v>-7.926699865715821</v>
      </c>
      <c r="G54" s="2"/>
      <c r="H54" s="2"/>
      <c r="I54" s="2"/>
      <c r="J54" s="19">
        <f t="shared" si="9"/>
        <v>0</v>
      </c>
      <c r="K54" s="2"/>
      <c r="L54" s="2">
        <f t="shared" si="10"/>
        <v>-173310</v>
      </c>
      <c r="M54" s="2"/>
      <c r="N54" s="19">
        <f t="shared" si="11"/>
        <v>0</v>
      </c>
      <c r="O54" s="11"/>
      <c r="P54" s="2">
        <v>-1792162</v>
      </c>
      <c r="Q54" s="2"/>
      <c r="R54" s="19">
        <f t="shared" si="12"/>
        <v>-0.36197168675879021</v>
      </c>
      <c r="S54" s="2"/>
      <c r="T54" s="2"/>
      <c r="U54" s="2"/>
      <c r="V54" s="19">
        <f t="shared" si="13"/>
        <v>0</v>
      </c>
      <c r="W54" s="2"/>
      <c r="X54" s="2">
        <f t="shared" si="14"/>
        <v>-1792162</v>
      </c>
      <c r="Y54" s="2"/>
      <c r="Z54" s="19">
        <f t="shared" si="15"/>
        <v>0</v>
      </c>
    </row>
    <row r="55" spans="1:26" s="24" customFormat="1" hidden="1" outlineLevel="1" x14ac:dyDescent="0.25">
      <c r="A55" s="44"/>
      <c r="B55" s="11" t="str">
        <f>CONCATENATE("          ", "5300", " - ", "COG$ OFFSET")</f>
        <v xml:space="preserve">          5300 - COG$ OFFSET</v>
      </c>
      <c r="C55" s="11"/>
      <c r="D55" s="2">
        <v>91172.53</v>
      </c>
      <c r="E55" s="2"/>
      <c r="F55" s="19">
        <f t="shared" si="8"/>
        <v>4.1699687341063507</v>
      </c>
      <c r="G55" s="2"/>
      <c r="H55" s="2"/>
      <c r="I55" s="2"/>
      <c r="J55" s="19">
        <f t="shared" si="9"/>
        <v>0</v>
      </c>
      <c r="K55" s="2"/>
      <c r="L55" s="2">
        <f t="shared" si="10"/>
        <v>91172.53</v>
      </c>
      <c r="M55" s="2"/>
      <c r="N55" s="19">
        <f t="shared" si="11"/>
        <v>0</v>
      </c>
      <c r="O55" s="11"/>
      <c r="P55" s="2">
        <v>2452013</v>
      </c>
      <c r="Q55" s="2"/>
      <c r="R55" s="19">
        <f t="shared" si="12"/>
        <v>0.4952450066257858</v>
      </c>
      <c r="S55" s="2"/>
      <c r="T55" s="2"/>
      <c r="U55" s="2"/>
      <c r="V55" s="19">
        <f t="shared" si="13"/>
        <v>0</v>
      </c>
      <c r="W55" s="2"/>
      <c r="X55" s="2">
        <f t="shared" si="14"/>
        <v>2452013</v>
      </c>
      <c r="Y55" s="2"/>
      <c r="Z55" s="19">
        <f t="shared" si="15"/>
        <v>0</v>
      </c>
    </row>
    <row r="56" spans="1:26" s="24" customFormat="1" hidden="1" outlineLevel="1" x14ac:dyDescent="0.25">
      <c r="A56" s="44"/>
      <c r="B56" s="11" t="str">
        <f>CONCATENATE("          ", "5500", " - ", "FREIGHT-IN")</f>
        <v xml:space="preserve">          5500 - FREIGHT-IN</v>
      </c>
      <c r="C56" s="11"/>
      <c r="D56" s="2">
        <v>67.13</v>
      </c>
      <c r="E56" s="2"/>
      <c r="F56" s="19">
        <f t="shared" si="8"/>
        <v>3.0703327100888756E-3</v>
      </c>
      <c r="G56" s="2"/>
      <c r="H56" s="2"/>
      <c r="I56" s="2"/>
      <c r="J56" s="19">
        <f t="shared" si="9"/>
        <v>0</v>
      </c>
      <c r="K56" s="2"/>
      <c r="L56" s="2">
        <f t="shared" si="10"/>
        <v>67.13</v>
      </c>
      <c r="M56" s="2"/>
      <c r="N56" s="19">
        <f t="shared" si="11"/>
        <v>0</v>
      </c>
      <c r="O56" s="11"/>
      <c r="P56" s="2">
        <v>108.38</v>
      </c>
      <c r="Q56" s="2"/>
      <c r="R56" s="19">
        <f t="shared" si="12"/>
        <v>2.1890036397891308E-5</v>
      </c>
      <c r="S56" s="2"/>
      <c r="T56" s="2"/>
      <c r="U56" s="2"/>
      <c r="V56" s="19">
        <f t="shared" si="13"/>
        <v>0</v>
      </c>
      <c r="W56" s="2"/>
      <c r="X56" s="2">
        <f t="shared" si="14"/>
        <v>108.38</v>
      </c>
      <c r="Y56" s="2"/>
      <c r="Z56" s="19">
        <f t="shared" si="15"/>
        <v>0</v>
      </c>
    </row>
    <row r="57" spans="1:26" s="24" customFormat="1" hidden="1" outlineLevel="1" x14ac:dyDescent="0.25">
      <c r="A57" s="44"/>
      <c r="B57" s="11" t="str">
        <f>CONCATENATE("          ", "5501", " - ", "FREIGHT-IN-NEW TEXT")</f>
        <v xml:space="preserve">          5501 - FREIGHT-IN-NEW TEXT</v>
      </c>
      <c r="C57" s="11"/>
      <c r="D57" s="2">
        <v>2483.06</v>
      </c>
      <c r="E57" s="2"/>
      <c r="F57" s="19">
        <f t="shared" si="8"/>
        <v>0.11356800743502582</v>
      </c>
      <c r="G57" s="2"/>
      <c r="H57" s="2"/>
      <c r="I57" s="2"/>
      <c r="J57" s="19">
        <f t="shared" si="9"/>
        <v>0</v>
      </c>
      <c r="K57" s="2"/>
      <c r="L57" s="2">
        <f t="shared" si="10"/>
        <v>2483.06</v>
      </c>
      <c r="M57" s="2"/>
      <c r="N57" s="19">
        <f t="shared" si="11"/>
        <v>0</v>
      </c>
      <c r="O57" s="11"/>
      <c r="P57" s="2">
        <v>72230.790000000008</v>
      </c>
      <c r="Q57" s="2"/>
      <c r="R57" s="19">
        <f t="shared" si="12"/>
        <v>1.4588804411777486E-2</v>
      </c>
      <c r="S57" s="2"/>
      <c r="T57" s="2"/>
      <c r="U57" s="2"/>
      <c r="V57" s="19">
        <f t="shared" si="13"/>
        <v>0</v>
      </c>
      <c r="W57" s="2"/>
      <c r="X57" s="2">
        <f t="shared" si="14"/>
        <v>72230.790000000008</v>
      </c>
      <c r="Y57" s="2"/>
      <c r="Z57" s="19">
        <f t="shared" si="15"/>
        <v>0</v>
      </c>
    </row>
    <row r="58" spans="1:26" s="24" customFormat="1" hidden="1" outlineLevel="1" x14ac:dyDescent="0.25">
      <c r="A58" s="44"/>
      <c r="B58" s="11" t="str">
        <f>CONCATENATE("          ", "5502", " - ", "FREIGHT-IN-USED TEXT")</f>
        <v xml:space="preserve">          5502 - FREIGHT-IN-USED TEXT</v>
      </c>
      <c r="C58" s="11"/>
      <c r="D58" s="2">
        <v>519.36</v>
      </c>
      <c r="E58" s="2"/>
      <c r="F58" s="19">
        <f t="shared" si="8"/>
        <v>2.3754029440067905E-2</v>
      </c>
      <c r="G58" s="2"/>
      <c r="H58" s="2"/>
      <c r="I58" s="2"/>
      <c r="J58" s="19">
        <f t="shared" si="9"/>
        <v>0</v>
      </c>
      <c r="K58" s="2"/>
      <c r="L58" s="2">
        <f t="shared" si="10"/>
        <v>519.36</v>
      </c>
      <c r="M58" s="2"/>
      <c r="N58" s="19">
        <f t="shared" si="11"/>
        <v>0</v>
      </c>
      <c r="O58" s="11"/>
      <c r="P58" s="2">
        <v>16200.12</v>
      </c>
      <c r="Q58" s="2"/>
      <c r="R58" s="19">
        <f t="shared" si="12"/>
        <v>3.2720171290847662E-3</v>
      </c>
      <c r="S58" s="2"/>
      <c r="T58" s="2"/>
      <c r="U58" s="2"/>
      <c r="V58" s="19">
        <f t="shared" si="13"/>
        <v>0</v>
      </c>
      <c r="W58" s="2"/>
      <c r="X58" s="2">
        <f t="shared" si="14"/>
        <v>16200.12</v>
      </c>
      <c r="Y58" s="2"/>
      <c r="Z58" s="19">
        <f t="shared" si="15"/>
        <v>0</v>
      </c>
    </row>
    <row r="59" spans="1:26" s="24" customFormat="1" hidden="1" outlineLevel="1" x14ac:dyDescent="0.25">
      <c r="A59" s="44"/>
      <c r="B59" s="11" t="str">
        <f>CONCATENATE("          ", "5504", " - ", "FREIGHT-IN-DIGITAL TEXT")</f>
        <v xml:space="preserve">          5504 - FREIGHT-IN-DIGITAL TEXT</v>
      </c>
      <c r="C59" s="11"/>
      <c r="D59" s="2"/>
      <c r="E59" s="2"/>
      <c r="F59" s="19">
        <f t="shared" si="8"/>
        <v>0</v>
      </c>
      <c r="G59" s="2"/>
      <c r="H59" s="2"/>
      <c r="I59" s="2"/>
      <c r="J59" s="19">
        <f t="shared" si="9"/>
        <v>0</v>
      </c>
      <c r="K59" s="2"/>
      <c r="L59" s="2">
        <f t="shared" si="10"/>
        <v>0</v>
      </c>
      <c r="M59" s="2"/>
      <c r="N59" s="19">
        <f t="shared" si="11"/>
        <v>0</v>
      </c>
      <c r="O59" s="11"/>
      <c r="P59" s="2">
        <v>118.75</v>
      </c>
      <c r="Q59" s="2"/>
      <c r="R59" s="19">
        <f t="shared" si="12"/>
        <v>2.3984515798575319E-5</v>
      </c>
      <c r="S59" s="2"/>
      <c r="T59" s="2"/>
      <c r="U59" s="2"/>
      <c r="V59" s="19">
        <f t="shared" si="13"/>
        <v>0</v>
      </c>
      <c r="W59" s="2"/>
      <c r="X59" s="2">
        <f t="shared" si="14"/>
        <v>118.75</v>
      </c>
      <c r="Y59" s="2"/>
      <c r="Z59" s="19">
        <f t="shared" si="15"/>
        <v>0</v>
      </c>
    </row>
    <row r="60" spans="1:26" s="24" customFormat="1" hidden="1" outlineLevel="1" x14ac:dyDescent="0.25">
      <c r="A60" s="44"/>
      <c r="B60" s="11" t="str">
        <f>CONCATENATE("          ", "5513", " - ", "FREIGHT-IN-TRADE BOOKS")</f>
        <v xml:space="preserve">          5513 - FREIGHT-IN-TRADE BOOKS</v>
      </c>
      <c r="C60" s="11"/>
      <c r="D60" s="2"/>
      <c r="E60" s="2"/>
      <c r="F60" s="19">
        <f t="shared" si="8"/>
        <v>0</v>
      </c>
      <c r="G60" s="2"/>
      <c r="H60" s="2"/>
      <c r="I60" s="2"/>
      <c r="J60" s="19">
        <f t="shared" si="9"/>
        <v>0</v>
      </c>
      <c r="K60" s="2"/>
      <c r="L60" s="2">
        <f t="shared" si="10"/>
        <v>0</v>
      </c>
      <c r="M60" s="2"/>
      <c r="N60" s="19">
        <f t="shared" si="11"/>
        <v>0</v>
      </c>
      <c r="O60" s="11"/>
      <c r="P60" s="2">
        <v>30.24</v>
      </c>
      <c r="Q60" s="2"/>
      <c r="R60" s="19">
        <f t="shared" si="12"/>
        <v>6.1077200652540432E-6</v>
      </c>
      <c r="S60" s="2"/>
      <c r="T60" s="2"/>
      <c r="U60" s="2"/>
      <c r="V60" s="19">
        <f t="shared" si="13"/>
        <v>0</v>
      </c>
      <c r="W60" s="2"/>
      <c r="X60" s="2">
        <f t="shared" si="14"/>
        <v>30.24</v>
      </c>
      <c r="Y60" s="2"/>
      <c r="Z60" s="19">
        <f t="shared" si="15"/>
        <v>0</v>
      </c>
    </row>
    <row r="61" spans="1:26" s="24" customFormat="1" hidden="1" outlineLevel="1" x14ac:dyDescent="0.25">
      <c r="A61" s="44"/>
      <c r="B61" s="11" t="str">
        <f>CONCATENATE("          ", "5518", " - ", "FREIGHT-IN-STUDY GUIDES")</f>
        <v xml:space="preserve">          5518 - FREIGHT-IN-STUDY GUIDES</v>
      </c>
      <c r="C61" s="11"/>
      <c r="D61" s="2"/>
      <c r="E61" s="2"/>
      <c r="F61" s="19">
        <f t="shared" si="8"/>
        <v>0</v>
      </c>
      <c r="G61" s="2"/>
      <c r="H61" s="2"/>
      <c r="I61" s="2"/>
      <c r="J61" s="19">
        <f t="shared" si="9"/>
        <v>0</v>
      </c>
      <c r="K61" s="2"/>
      <c r="L61" s="2">
        <f t="shared" si="10"/>
        <v>0</v>
      </c>
      <c r="M61" s="2"/>
      <c r="N61" s="19">
        <f t="shared" si="11"/>
        <v>0</v>
      </c>
      <c r="O61" s="11"/>
      <c r="P61" s="2">
        <v>21.13</v>
      </c>
      <c r="Q61" s="2"/>
      <c r="R61" s="19">
        <f t="shared" si="12"/>
        <v>4.2677290006222863E-6</v>
      </c>
      <c r="S61" s="2"/>
      <c r="T61" s="2"/>
      <c r="U61" s="2"/>
      <c r="V61" s="19">
        <f t="shared" si="13"/>
        <v>0</v>
      </c>
      <c r="W61" s="2"/>
      <c r="X61" s="2">
        <f t="shared" si="14"/>
        <v>21.13</v>
      </c>
      <c r="Y61" s="2"/>
      <c r="Z61" s="19">
        <f t="shared" si="15"/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6</v>
      </c>
      <c r="C63" s="29"/>
      <c r="D63" s="22">
        <f>D12-D44</f>
        <v>-70735.03</v>
      </c>
      <c r="E63" s="14"/>
      <c r="F63" s="20">
        <f>IF(D$12=0,0,D63/D$12)</f>
        <v>-3.2352163914511829</v>
      </c>
      <c r="G63" s="14"/>
      <c r="H63" s="22">
        <f>H12-H44</f>
        <v>13997.630000000005</v>
      </c>
      <c r="I63" s="14"/>
      <c r="J63" s="20">
        <f>IF(H$12=0,0,H63/H$12)</f>
        <v>0.27927117832488735</v>
      </c>
      <c r="K63" s="15"/>
      <c r="L63" s="22">
        <f>+D63-H63</f>
        <v>-84732.66</v>
      </c>
      <c r="M63" s="15"/>
      <c r="N63" s="20">
        <f>IF(H63=0,0,L63/H63)</f>
        <v>-6.0533576041086938</v>
      </c>
      <c r="O63" s="28"/>
      <c r="P63" s="22">
        <f>P12-P44</f>
        <v>1323134.149999998</v>
      </c>
      <c r="Q63" s="14"/>
      <c r="R63" s="20">
        <f>IF(P$12=0,0,P63/P$12)</f>
        <v>0.26723984778365878</v>
      </c>
      <c r="S63" s="14"/>
      <c r="T63" s="22">
        <f>T12-T44</f>
        <v>1527956.9999999995</v>
      </c>
      <c r="U63" s="14"/>
      <c r="V63" s="20">
        <f>IF(T$12=0,0,T63/T$12)</f>
        <v>0.27875046224074601</v>
      </c>
      <c r="W63" s="15"/>
      <c r="X63" s="22">
        <f>+P63-T63</f>
        <v>-204822.85000000149</v>
      </c>
      <c r="Y63" s="15"/>
      <c r="Z63" s="20">
        <f>IF(T63=0,0,X63/T63)</f>
        <v>-0.13405014015446873</v>
      </c>
    </row>
    <row r="64" spans="1:26" x14ac:dyDescent="0.25">
      <c r="A64" s="9"/>
      <c r="B64" s="10"/>
      <c r="C64" s="9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8" t="s">
        <v>9</v>
      </c>
      <c r="C65" s="10"/>
      <c r="D65" s="21">
        <f>SUM(OSRRefD22x_0)</f>
        <v>3082.3200000000061</v>
      </c>
      <c r="E65" s="21"/>
      <c r="F65" s="32">
        <f t="shared" ref="F65:F76" si="16">IF(D$12=0,0,D65/D$12)</f>
        <v>0.14097643257800033</v>
      </c>
      <c r="G65" s="21"/>
      <c r="H65" s="21">
        <f>SUM(OSRRefH22x_0)</f>
        <v>98263.491895547864</v>
      </c>
      <c r="I65" s="21"/>
      <c r="J65" s="32">
        <f t="shared" ref="J65:J76" si="17">IF(H$12=0,0,H65/H$12)</f>
        <v>1.9604862514574013</v>
      </c>
      <c r="K65" s="4"/>
      <c r="L65" s="21">
        <f t="shared" ref="L65:L76" si="18">+D65-H65</f>
        <v>-95181.171895547857</v>
      </c>
      <c r="M65" s="4"/>
      <c r="N65" s="32">
        <f t="shared" ref="N65:N76" si="19">IF(H65=0,0,L65/H65)</f>
        <v>-0.96863209376605042</v>
      </c>
      <c r="O65" s="10"/>
      <c r="P65" s="21">
        <f>SUM(OSRRefP22x_0)</f>
        <v>512310.92000000004</v>
      </c>
      <c r="Q65" s="21"/>
      <c r="R65" s="32">
        <f t="shared" ref="R65:R76" si="20">IF(P$12=0,0,P65/P$12)</f>
        <v>0.10347393140650658</v>
      </c>
      <c r="S65" s="21"/>
      <c r="T65" s="21">
        <f>SUM(OSRRefT22x_0)</f>
        <v>727052.11861814698</v>
      </c>
      <c r="U65" s="21"/>
      <c r="V65" s="32">
        <f t="shared" ref="V65:V76" si="21">IF(T$12=0,0,T65/T$12)</f>
        <v>0.13263862408295668</v>
      </c>
      <c r="W65" s="4"/>
      <c r="X65" s="21">
        <f t="shared" ref="X65:X76" si="22">+P65-T65</f>
        <v>-214741.19861814694</v>
      </c>
      <c r="Y65" s="4"/>
      <c r="Z65" s="32">
        <f t="shared" ref="Z65:Z76" si="23">IF(T65=0,0,X65/T65)</f>
        <v>-0.29535874130494155</v>
      </c>
    </row>
    <row r="66" spans="1:26" s="26" customFormat="1" outlineLevel="1" collapsed="1" x14ac:dyDescent="0.25">
      <c r="A66" s="25"/>
      <c r="B66" s="12" t="str">
        <f>CONCATENATE("     ","*Benefits                                         ")</f>
        <v xml:space="preserve">     *Benefits                                         </v>
      </c>
      <c r="C66" s="12"/>
      <c r="D66" s="1">
        <f>SUM(OSRRefD22_0x_0)</f>
        <v>9832.65</v>
      </c>
      <c r="E66" s="1"/>
      <c r="F66" s="5">
        <f t="shared" si="16"/>
        <v>0.44971707019001017</v>
      </c>
      <c r="G66" s="1"/>
      <c r="H66" s="1">
        <f>SUM(OSRRefH22_0x_0)</f>
        <v>12368.559679824772</v>
      </c>
      <c r="I66" s="1"/>
      <c r="J66" s="5">
        <f t="shared" si="17"/>
        <v>0.2467690770484971</v>
      </c>
      <c r="K66" s="1"/>
      <c r="L66" s="1">
        <f t="shared" si="18"/>
        <v>-2535.909679824772</v>
      </c>
      <c r="M66" s="1"/>
      <c r="N66" s="5">
        <f t="shared" si="19"/>
        <v>-0.20502869739645374</v>
      </c>
      <c r="O66" s="12"/>
      <c r="P66" s="1">
        <f>SUM(OSRRefP22_0x_0)</f>
        <v>126499.94000000002</v>
      </c>
      <c r="Q66" s="1"/>
      <c r="R66" s="5">
        <f t="shared" si="20"/>
        <v>2.5549808921674362E-2</v>
      </c>
      <c r="S66" s="1"/>
      <c r="T66" s="1">
        <f>SUM(OSRRefT22_0x_0)</f>
        <v>153402.93081374699</v>
      </c>
      <c r="U66" s="1"/>
      <c r="V66" s="5">
        <f t="shared" si="21"/>
        <v>2.7985825434496632E-2</v>
      </c>
      <c r="W66" s="1"/>
      <c r="X66" s="1">
        <f t="shared" si="22"/>
        <v>-26902.990813746976</v>
      </c>
      <c r="Y66" s="1"/>
      <c r="Z66" s="5">
        <f t="shared" si="23"/>
        <v>-0.17537468594006875</v>
      </c>
    </row>
    <row r="67" spans="1:26" s="24" customFormat="1" hidden="1" outlineLevel="2" x14ac:dyDescent="0.25">
      <c r="A67" s="27"/>
      <c r="B67" s="11" t="str">
        <f>CONCATENATE("          ", "6111", " - ", "F.I.C.A.")</f>
        <v xml:space="preserve">          6111 - F.I.C.A.</v>
      </c>
      <c r="C67" s="11"/>
      <c r="D67" s="6">
        <v>1850.99</v>
      </c>
      <c r="E67" s="2"/>
      <c r="F67" s="7">
        <f t="shared" si="16"/>
        <v>8.4658947460858155E-2</v>
      </c>
      <c r="G67" s="2"/>
      <c r="H67" s="6">
        <v>1961.5487858986201</v>
      </c>
      <c r="I67" s="2"/>
      <c r="J67" s="7">
        <f t="shared" si="17"/>
        <v>3.9135485134244842E-2</v>
      </c>
      <c r="K67" s="2"/>
      <c r="L67" s="6">
        <f t="shared" si="18"/>
        <v>-110.55878589862004</v>
      </c>
      <c r="M67" s="2"/>
      <c r="N67" s="7">
        <f t="shared" si="19"/>
        <v>-5.6363005953976884E-2</v>
      </c>
      <c r="O67" s="11"/>
      <c r="P67" s="6">
        <v>21700.400000000001</v>
      </c>
      <c r="Q67" s="2"/>
      <c r="R67" s="7">
        <f t="shared" si="20"/>
        <v>4.3829354664034013E-3</v>
      </c>
      <c r="S67" s="2"/>
      <c r="T67" s="6">
        <v>22277.939012307041</v>
      </c>
      <c r="U67" s="2"/>
      <c r="V67" s="7">
        <f t="shared" si="21"/>
        <v>4.0642412040729804E-3</v>
      </c>
      <c r="W67" s="2"/>
      <c r="X67" s="6">
        <f t="shared" si="22"/>
        <v>-577.53901230703923</v>
      </c>
      <c r="Y67" s="2"/>
      <c r="Z67" s="7">
        <f t="shared" si="23"/>
        <v>-2.5924256816933933E-2</v>
      </c>
    </row>
    <row r="68" spans="1:26" s="24" customFormat="1" hidden="1" outlineLevel="2" x14ac:dyDescent="0.25">
      <c r="A68" s="27"/>
      <c r="B68" s="11" t="str">
        <f>CONCATENATE("          ", "6112", " - ", "COMPENSATION INSURANCE")</f>
        <v xml:space="preserve">          6112 - COMPENSATION INSURANCE</v>
      </c>
      <c r="C68" s="11"/>
      <c r="D68" s="6">
        <v>154.72</v>
      </c>
      <c r="E68" s="2"/>
      <c r="F68" s="7">
        <f t="shared" si="16"/>
        <v>7.0764468479807959E-3</v>
      </c>
      <c r="G68" s="2"/>
      <c r="H68" s="6">
        <v>557.54491450769206</v>
      </c>
      <c r="I68" s="2"/>
      <c r="J68" s="7">
        <f t="shared" si="17"/>
        <v>1.1123756324721521E-2</v>
      </c>
      <c r="K68" s="2"/>
      <c r="L68" s="6">
        <f t="shared" si="18"/>
        <v>-402.82491450769203</v>
      </c>
      <c r="M68" s="2"/>
      <c r="N68" s="7">
        <f t="shared" si="19"/>
        <v>-0.72249769305739853</v>
      </c>
      <c r="O68" s="11"/>
      <c r="P68" s="6">
        <v>1246.55</v>
      </c>
      <c r="Q68" s="2"/>
      <c r="R68" s="7">
        <f t="shared" si="20"/>
        <v>2.5177177405232893E-4</v>
      </c>
      <c r="S68" s="2"/>
      <c r="T68" s="6">
        <v>7253.4051995999962</v>
      </c>
      <c r="U68" s="2"/>
      <c r="V68" s="7">
        <f t="shared" si="21"/>
        <v>1.3232637124002378E-3</v>
      </c>
      <c r="W68" s="2"/>
      <c r="X68" s="6">
        <f t="shared" si="22"/>
        <v>-6006.855199599996</v>
      </c>
      <c r="Y68" s="2"/>
      <c r="Z68" s="7">
        <f t="shared" si="23"/>
        <v>-0.82814278732577307</v>
      </c>
    </row>
    <row r="69" spans="1:26" s="24" customFormat="1" hidden="1" outlineLevel="2" x14ac:dyDescent="0.25">
      <c r="A69" s="27"/>
      <c r="B69" s="11" t="str">
        <f>CONCATENATE("          ", "6113", " - ", "GROUP INSURANCE")</f>
        <v xml:space="preserve">          6113 - GROUP INSURANCE</v>
      </c>
      <c r="C69" s="11"/>
      <c r="D69" s="6">
        <v>4248.21</v>
      </c>
      <c r="E69" s="2"/>
      <c r="F69" s="7">
        <f t="shared" si="16"/>
        <v>0.19430088071393806</v>
      </c>
      <c r="G69" s="2"/>
      <c r="H69" s="6">
        <v>5311.7692307692296</v>
      </c>
      <c r="I69" s="2"/>
      <c r="J69" s="7">
        <f t="shared" si="17"/>
        <v>0.1059768012204068</v>
      </c>
      <c r="K69" s="2"/>
      <c r="L69" s="6">
        <f t="shared" si="18"/>
        <v>-1063.5592307692295</v>
      </c>
      <c r="M69" s="2"/>
      <c r="N69" s="7">
        <f t="shared" si="19"/>
        <v>-0.20022692714291901</v>
      </c>
      <c r="O69" s="11"/>
      <c r="P69" s="6">
        <v>50500.68</v>
      </c>
      <c r="Q69" s="2"/>
      <c r="R69" s="7">
        <f t="shared" si="20"/>
        <v>1.0199868271989867E-2</v>
      </c>
      <c r="S69" s="2"/>
      <c r="T69" s="6">
        <v>65628</v>
      </c>
      <c r="U69" s="2"/>
      <c r="V69" s="7">
        <f t="shared" si="21"/>
        <v>1.1972742253830236E-2</v>
      </c>
      <c r="W69" s="2"/>
      <c r="X69" s="6">
        <f t="shared" si="22"/>
        <v>-15127.32</v>
      </c>
      <c r="Y69" s="2"/>
      <c r="Z69" s="7">
        <f t="shared" si="23"/>
        <v>-0.2305010056683123</v>
      </c>
    </row>
    <row r="70" spans="1:26" s="24" customFormat="1" hidden="1" outlineLevel="2" x14ac:dyDescent="0.25">
      <c r="A70" s="27"/>
      <c r="B70" s="11" t="str">
        <f>CONCATENATE("          ", "6114", " - ", "STATE UNEMPLOYMENT INSURANCE")</f>
        <v xml:space="preserve">          6114 - STATE UNEMPLOYMENT INSURANCE</v>
      </c>
      <c r="C70" s="11"/>
      <c r="D70" s="6">
        <v>-745.41</v>
      </c>
      <c r="E70" s="2"/>
      <c r="F70" s="7">
        <f t="shared" si="16"/>
        <v>-3.4092904892407995E-2</v>
      </c>
      <c r="G70" s="2"/>
      <c r="H70" s="6">
        <v>76.295619880000004</v>
      </c>
      <c r="I70" s="2"/>
      <c r="J70" s="7">
        <f t="shared" si="17"/>
        <v>1.5221982339092615E-3</v>
      </c>
      <c r="K70" s="2"/>
      <c r="L70" s="6">
        <f t="shared" si="18"/>
        <v>-821.70561987999997</v>
      </c>
      <c r="M70" s="2"/>
      <c r="N70" s="7">
        <f t="shared" si="19"/>
        <v>-10.770023510817564</v>
      </c>
      <c r="O70" s="11"/>
      <c r="P70" s="6">
        <v>0</v>
      </c>
      <c r="Q70" s="2"/>
      <c r="R70" s="7">
        <f t="shared" si="20"/>
        <v>0</v>
      </c>
      <c r="S70" s="2"/>
      <c r="T70" s="6">
        <v>992.57123783999998</v>
      </c>
      <c r="U70" s="2"/>
      <c r="V70" s="7">
        <f t="shared" si="21"/>
        <v>1.8107819222319053E-4</v>
      </c>
      <c r="W70" s="2"/>
      <c r="X70" s="6">
        <f t="shared" si="22"/>
        <v>-992.57123783999998</v>
      </c>
      <c r="Y70" s="2"/>
      <c r="Z70" s="7">
        <f t="shared" si="23"/>
        <v>-1</v>
      </c>
    </row>
    <row r="71" spans="1:26" s="24" customFormat="1" hidden="1" outlineLevel="2" x14ac:dyDescent="0.25">
      <c r="A71" s="27"/>
      <c r="B71" s="11" t="str">
        <f>CONCATENATE("          ", "6115", " - ", "P.E.R.S.")</f>
        <v xml:space="preserve">          6115 - P.E.R.S.</v>
      </c>
      <c r="C71" s="11"/>
      <c r="D71" s="6">
        <v>1363.4</v>
      </c>
      <c r="E71" s="2"/>
      <c r="F71" s="7">
        <f t="shared" si="16"/>
        <v>6.2357986249592927E-2</v>
      </c>
      <c r="G71" s="2"/>
      <c r="H71" s="6">
        <v>1235.9586478769202</v>
      </c>
      <c r="I71" s="2"/>
      <c r="J71" s="7">
        <f t="shared" si="17"/>
        <v>2.465900498537409E-2</v>
      </c>
      <c r="K71" s="2"/>
      <c r="L71" s="6">
        <f t="shared" si="18"/>
        <v>127.44135212307992</v>
      </c>
      <c r="M71" s="2"/>
      <c r="N71" s="7">
        <f t="shared" si="19"/>
        <v>0.10311133980250353</v>
      </c>
      <c r="O71" s="11"/>
      <c r="P71" s="6">
        <v>17203.09</v>
      </c>
      <c r="Q71" s="2"/>
      <c r="R71" s="7">
        <f t="shared" si="20"/>
        <v>3.4745918643310576E-3</v>
      </c>
      <c r="S71" s="2"/>
      <c r="T71" s="6">
        <v>16067.46242239996</v>
      </c>
      <c r="U71" s="2"/>
      <c r="V71" s="7">
        <f t="shared" si="21"/>
        <v>2.9312425528204046E-3</v>
      </c>
      <c r="W71" s="2"/>
      <c r="X71" s="6">
        <f t="shared" si="22"/>
        <v>1135.6275776000402</v>
      </c>
      <c r="Y71" s="2"/>
      <c r="Z71" s="7">
        <f t="shared" si="23"/>
        <v>7.0678713772302948E-2</v>
      </c>
    </row>
    <row r="72" spans="1:26" s="24" customFormat="1" hidden="1" outlineLevel="2" x14ac:dyDescent="0.25">
      <c r="A72" s="27"/>
      <c r="B72" s="11" t="str">
        <f>CONCATENATE("          ", "6116", " - ", "EDUCATIONAL BENEFITS")</f>
        <v xml:space="preserve">          6116 - EDUCATIONAL BENEFITS</v>
      </c>
      <c r="C72" s="11"/>
      <c r="D72" s="6"/>
      <c r="E72" s="2"/>
      <c r="F72" s="7">
        <f t="shared" si="16"/>
        <v>0</v>
      </c>
      <c r="G72" s="2"/>
      <c r="H72" s="6">
        <v>0</v>
      </c>
      <c r="I72" s="2"/>
      <c r="J72" s="7">
        <f t="shared" si="17"/>
        <v>0</v>
      </c>
      <c r="K72" s="2"/>
      <c r="L72" s="6">
        <f t="shared" si="18"/>
        <v>0</v>
      </c>
      <c r="M72" s="2"/>
      <c r="N72" s="7">
        <f t="shared" si="19"/>
        <v>0</v>
      </c>
      <c r="O72" s="11"/>
      <c r="P72" s="6"/>
      <c r="Q72" s="2"/>
      <c r="R72" s="7">
        <f t="shared" si="20"/>
        <v>0</v>
      </c>
      <c r="S72" s="2"/>
      <c r="T72" s="6">
        <v>0</v>
      </c>
      <c r="U72" s="2"/>
      <c r="V72" s="7">
        <f t="shared" si="21"/>
        <v>0</v>
      </c>
      <c r="W72" s="2"/>
      <c r="X72" s="6">
        <f t="shared" si="22"/>
        <v>0</v>
      </c>
      <c r="Y72" s="2"/>
      <c r="Z72" s="7">
        <f t="shared" si="23"/>
        <v>0</v>
      </c>
    </row>
    <row r="73" spans="1:26" s="24" customFormat="1" hidden="1" outlineLevel="2" x14ac:dyDescent="0.25">
      <c r="A73" s="27"/>
      <c r="B73" s="11" t="str">
        <f>CONCATENATE("          ", "6117", " - ", "RETIREMENT STAFF HOURLY")</f>
        <v xml:space="preserve">          6117 - RETIREMENT STAFF HOURLY</v>
      </c>
      <c r="C73" s="11"/>
      <c r="D73" s="6">
        <v>220.92</v>
      </c>
      <c r="E73" s="2"/>
      <c r="F73" s="7">
        <f t="shared" si="16"/>
        <v>1.0104244038624078E-2</v>
      </c>
      <c r="G73" s="2"/>
      <c r="H73" s="6"/>
      <c r="I73" s="2"/>
      <c r="J73" s="7">
        <f t="shared" si="17"/>
        <v>0</v>
      </c>
      <c r="K73" s="2"/>
      <c r="L73" s="6">
        <f t="shared" si="18"/>
        <v>220.92</v>
      </c>
      <c r="M73" s="2"/>
      <c r="N73" s="7">
        <f t="shared" si="19"/>
        <v>0</v>
      </c>
      <c r="O73" s="11"/>
      <c r="P73" s="6">
        <v>2010.19</v>
      </c>
      <c r="Q73" s="2"/>
      <c r="R73" s="7">
        <f t="shared" si="20"/>
        <v>4.0600786368958416E-4</v>
      </c>
      <c r="S73" s="2"/>
      <c r="T73" s="6"/>
      <c r="U73" s="2"/>
      <c r="V73" s="7">
        <f t="shared" si="21"/>
        <v>0</v>
      </c>
      <c r="W73" s="2"/>
      <c r="X73" s="6">
        <f t="shared" si="22"/>
        <v>2010.19</v>
      </c>
      <c r="Y73" s="2"/>
      <c r="Z73" s="7">
        <f t="shared" si="23"/>
        <v>0</v>
      </c>
    </row>
    <row r="74" spans="1:26" s="24" customFormat="1" hidden="1" outlineLevel="2" x14ac:dyDescent="0.25">
      <c r="A74" s="27"/>
      <c r="B74" s="11" t="str">
        <f>CONCATENATE("          ", "6118", " - ", "VACATION")</f>
        <v xml:space="preserve">          6118 - VACATION</v>
      </c>
      <c r="C74" s="11"/>
      <c r="D74" s="6">
        <v>1355.16</v>
      </c>
      <c r="E74" s="2"/>
      <c r="F74" s="7">
        <f t="shared" si="16"/>
        <v>6.1981112399881438E-2</v>
      </c>
      <c r="G74" s="2"/>
      <c r="H74" s="6">
        <v>1427.9603583999999</v>
      </c>
      <c r="I74" s="2"/>
      <c r="J74" s="7">
        <f t="shared" si="17"/>
        <v>2.8489692318742266E-2</v>
      </c>
      <c r="K74" s="2"/>
      <c r="L74" s="6">
        <f t="shared" si="18"/>
        <v>-72.800358399999823</v>
      </c>
      <c r="M74" s="2"/>
      <c r="N74" s="7">
        <f t="shared" si="19"/>
        <v>-5.0982058410620812E-2</v>
      </c>
      <c r="O74" s="11"/>
      <c r="P74" s="6">
        <v>13353.38</v>
      </c>
      <c r="Q74" s="2"/>
      <c r="R74" s="7">
        <f t="shared" si="20"/>
        <v>2.6970471879947762E-3</v>
      </c>
      <c r="S74" s="2"/>
      <c r="T74" s="6">
        <v>18563.484659199999</v>
      </c>
      <c r="U74" s="2"/>
      <c r="V74" s="7">
        <f t="shared" si="21"/>
        <v>3.3866004930446334E-3</v>
      </c>
      <c r="W74" s="2"/>
      <c r="X74" s="6">
        <f t="shared" si="22"/>
        <v>-5210.1046592000002</v>
      </c>
      <c r="Y74" s="2"/>
      <c r="Z74" s="7">
        <f t="shared" si="23"/>
        <v>-0.28066415087739954</v>
      </c>
    </row>
    <row r="75" spans="1:26" s="24" customFormat="1" hidden="1" outlineLevel="2" x14ac:dyDescent="0.25">
      <c r="A75" s="27"/>
      <c r="B75" s="11" t="str">
        <f>CONCATENATE("          ", "6119", " - ", "SICK LEAVE")</f>
        <v xml:space="preserve">          6119 - SICK LEAVE</v>
      </c>
      <c r="C75" s="11"/>
      <c r="D75" s="6">
        <v>944.6</v>
      </c>
      <c r="E75" s="2"/>
      <c r="F75" s="7">
        <f t="shared" si="16"/>
        <v>4.3203281363771072E-2</v>
      </c>
      <c r="G75" s="2"/>
      <c r="H75" s="6">
        <v>1047.4821224923098</v>
      </c>
      <c r="I75" s="2"/>
      <c r="J75" s="7">
        <f t="shared" si="17"/>
        <v>2.0898649744469689E-2</v>
      </c>
      <c r="K75" s="2"/>
      <c r="L75" s="6">
        <f t="shared" si="18"/>
        <v>-102.8821224923098</v>
      </c>
      <c r="M75" s="2"/>
      <c r="N75" s="7">
        <f t="shared" si="19"/>
        <v>-9.8218499660422717E-2</v>
      </c>
      <c r="O75" s="11"/>
      <c r="P75" s="6">
        <v>13903.49</v>
      </c>
      <c r="Q75" s="2"/>
      <c r="R75" s="7">
        <f t="shared" si="20"/>
        <v>2.8081555836659703E-3</v>
      </c>
      <c r="S75" s="2"/>
      <c r="T75" s="6">
        <v>13620.0682824</v>
      </c>
      <c r="U75" s="2"/>
      <c r="V75" s="7">
        <f t="shared" si="21"/>
        <v>2.4847560039121027E-3</v>
      </c>
      <c r="W75" s="2"/>
      <c r="X75" s="6">
        <f t="shared" si="22"/>
        <v>283.42171760000019</v>
      </c>
      <c r="Y75" s="2"/>
      <c r="Z75" s="7">
        <f t="shared" si="23"/>
        <v>2.0809126042799712E-2</v>
      </c>
    </row>
    <row r="76" spans="1:26" s="24" customFormat="1" hidden="1" outlineLevel="2" x14ac:dyDescent="0.25">
      <c r="A76" s="27"/>
      <c r="B76" s="11" t="str">
        <f>CONCATENATE("          ", "6156", " - ", "EMPLOYEE MEALS")</f>
        <v xml:space="preserve">          6156 - EMPLOYEE MEALS</v>
      </c>
      <c r="C76" s="11"/>
      <c r="D76" s="6">
        <v>440.06</v>
      </c>
      <c r="E76" s="2"/>
      <c r="F76" s="7">
        <f t="shared" si="16"/>
        <v>2.0127076007771645E-2</v>
      </c>
      <c r="G76" s="2"/>
      <c r="H76" s="6">
        <v>750</v>
      </c>
      <c r="I76" s="2"/>
      <c r="J76" s="7">
        <f t="shared" si="17"/>
        <v>1.4963489086628626E-2</v>
      </c>
      <c r="K76" s="2"/>
      <c r="L76" s="6">
        <f t="shared" si="18"/>
        <v>-309.94</v>
      </c>
      <c r="M76" s="2"/>
      <c r="N76" s="7">
        <f t="shared" si="19"/>
        <v>-0.41325333333333331</v>
      </c>
      <c r="O76" s="11"/>
      <c r="P76" s="6">
        <v>6582.16</v>
      </c>
      <c r="Q76" s="2"/>
      <c r="R76" s="7">
        <f t="shared" si="20"/>
        <v>1.3294309095473727E-3</v>
      </c>
      <c r="S76" s="2"/>
      <c r="T76" s="6">
        <v>9000</v>
      </c>
      <c r="U76" s="2"/>
      <c r="V76" s="7">
        <f t="shared" si="21"/>
        <v>1.6419010221928464E-3</v>
      </c>
      <c r="W76" s="2"/>
      <c r="X76" s="6">
        <f t="shared" si="22"/>
        <v>-2417.84</v>
      </c>
      <c r="Y76" s="2"/>
      <c r="Z76" s="7">
        <f t="shared" si="23"/>
        <v>-0.26864888888888888</v>
      </c>
    </row>
    <row r="77" spans="1:26" s="26" customFormat="1" outlineLevel="1" collapsed="1" x14ac:dyDescent="0.25">
      <c r="A77" s="25"/>
      <c r="B77" s="12" t="str">
        <f>CONCATENATE("     ","*Payroll                                          ")</f>
        <v xml:space="preserve">     *Payroll                                          </v>
      </c>
      <c r="C77" s="12"/>
      <c r="D77" s="1">
        <f>SUM(OSRRefD22_1x_0)</f>
        <v>24597.489999999998</v>
      </c>
      <c r="E77" s="1"/>
      <c r="F77" s="5">
        <f t="shared" ref="F77:F87" si="24">IF(D$12=0,0,D77/D$12)</f>
        <v>1.1250182948470731</v>
      </c>
      <c r="G77" s="1"/>
      <c r="H77" s="1">
        <f>SUM(OSRRefH22_1x_0)</f>
        <v>27029.9322157231</v>
      </c>
      <c r="I77" s="1"/>
      <c r="J77" s="5">
        <f t="shared" ref="J77:J87" si="25">IF(H$12=0,0,H77/H$12)</f>
        <v>0.53928279429637882</v>
      </c>
      <c r="K77" s="1"/>
      <c r="L77" s="1">
        <f t="shared" ref="L77:L87" si="26">+D77-H77</f>
        <v>-2432.442215723102</v>
      </c>
      <c r="M77" s="1"/>
      <c r="N77" s="5">
        <f t="shared" ref="N77:N87" si="27">IF(H77=0,0,L77/H77)</f>
        <v>-8.9990688704286476E-2</v>
      </c>
      <c r="O77" s="12"/>
      <c r="P77" s="1">
        <f>SUM(OSRRefP22_1x_0)</f>
        <v>331883.90000000002</v>
      </c>
      <c r="Q77" s="1"/>
      <c r="R77" s="5">
        <f t="shared" ref="R77:R87" si="28">IF(P$12=0,0,P77/P$12)</f>
        <v>6.703220751867614E-2</v>
      </c>
      <c r="S77" s="1"/>
      <c r="T77" s="1">
        <f>SUM(OSRRefT22_1x_0)</f>
        <v>351669.18780439999</v>
      </c>
      <c r="U77" s="1"/>
      <c r="V77" s="5">
        <f t="shared" ref="V77:V87" si="29">IF(T$12=0,0,T77/T$12)</f>
        <v>6.4156222103308042E-2</v>
      </c>
      <c r="W77" s="1"/>
      <c r="X77" s="1">
        <f t="shared" ref="X77:X87" si="30">+P77-T77</f>
        <v>-19785.287804399966</v>
      </c>
      <c r="Y77" s="1"/>
      <c r="Z77" s="5">
        <f t="shared" ref="Z77:Z87" si="31">IF(T77=0,0,X77/T77)</f>
        <v>-5.6261078566270738E-2</v>
      </c>
    </row>
    <row r="78" spans="1:26" s="24" customFormat="1" hidden="1" outlineLevel="2" x14ac:dyDescent="0.25">
      <c r="A78" s="27"/>
      <c r="B78" s="11" t="str">
        <f>CONCATENATE("          ", "6001", " - ", "ADMINISTRATIVE SALARIES")</f>
        <v xml:space="preserve">          6001 - ADMINISTRATIVE SALARIES</v>
      </c>
      <c r="C78" s="11"/>
      <c r="D78" s="6"/>
      <c r="E78" s="2"/>
      <c r="F78" s="7">
        <f t="shared" si="24"/>
        <v>0</v>
      </c>
      <c r="G78" s="2"/>
      <c r="H78" s="6">
        <v>0</v>
      </c>
      <c r="I78" s="2"/>
      <c r="J78" s="7">
        <f t="shared" si="25"/>
        <v>0</v>
      </c>
      <c r="K78" s="2"/>
      <c r="L78" s="6">
        <f t="shared" si="26"/>
        <v>0</v>
      </c>
      <c r="M78" s="2"/>
      <c r="N78" s="7">
        <f t="shared" si="27"/>
        <v>0</v>
      </c>
      <c r="O78" s="11"/>
      <c r="P78" s="6"/>
      <c r="Q78" s="2"/>
      <c r="R78" s="7">
        <f t="shared" si="28"/>
        <v>0</v>
      </c>
      <c r="S78" s="2"/>
      <c r="T78" s="6">
        <v>0</v>
      </c>
      <c r="U78" s="2"/>
      <c r="V78" s="7">
        <f t="shared" si="29"/>
        <v>0</v>
      </c>
      <c r="W78" s="2"/>
      <c r="X78" s="6">
        <f t="shared" si="30"/>
        <v>0</v>
      </c>
      <c r="Y78" s="2"/>
      <c r="Z78" s="7">
        <f t="shared" si="31"/>
        <v>0</v>
      </c>
    </row>
    <row r="79" spans="1:26" s="24" customFormat="1" hidden="1" outlineLevel="2" x14ac:dyDescent="0.25">
      <c r="A79" s="27"/>
      <c r="B79" s="11" t="str">
        <f>CONCATENATE("          ", "6002", " - ", "STAFF SALARIES")</f>
        <v xml:space="preserve">          6002 - STAFF SALARIES</v>
      </c>
      <c r="C79" s="11"/>
      <c r="D79" s="6">
        <v>14558.33</v>
      </c>
      <c r="E79" s="2"/>
      <c r="F79" s="7">
        <f t="shared" si="24"/>
        <v>0.66585605248425717</v>
      </c>
      <c r="G79" s="2"/>
      <c r="H79" s="6">
        <v>12765.0123437231</v>
      </c>
      <c r="I79" s="2"/>
      <c r="J79" s="7">
        <f t="shared" si="25"/>
        <v>0.25467883052797374</v>
      </c>
      <c r="K79" s="2"/>
      <c r="L79" s="6">
        <f t="shared" si="26"/>
        <v>1793.3176562769004</v>
      </c>
      <c r="M79" s="2"/>
      <c r="N79" s="7">
        <f t="shared" si="27"/>
        <v>0.14048695042263104</v>
      </c>
      <c r="O79" s="11"/>
      <c r="P79" s="6">
        <v>186567.11000000002</v>
      </c>
      <c r="Q79" s="2"/>
      <c r="R79" s="7">
        <f t="shared" si="28"/>
        <v>3.7681867766648752E-2</v>
      </c>
      <c r="S79" s="2"/>
      <c r="T79" s="6">
        <v>165945.16046839999</v>
      </c>
      <c r="U79" s="2"/>
      <c r="V79" s="7">
        <f t="shared" si="29"/>
        <v>3.0273947622335762E-2</v>
      </c>
      <c r="W79" s="2"/>
      <c r="X79" s="6">
        <f t="shared" si="30"/>
        <v>20621.949531600025</v>
      </c>
      <c r="Y79" s="2"/>
      <c r="Z79" s="7">
        <f t="shared" si="31"/>
        <v>0.12426966519175441</v>
      </c>
    </row>
    <row r="80" spans="1:26" s="24" customFormat="1" hidden="1" outlineLevel="2" x14ac:dyDescent="0.25">
      <c r="A80" s="27"/>
      <c r="B80" s="11" t="str">
        <f>CONCATENATE("          ", "6003", " - ", "STAFF HOURLY-9 MONTH")</f>
        <v xml:space="preserve">          6003 - STAFF HOURLY-9 MONTH</v>
      </c>
      <c r="C80" s="11"/>
      <c r="D80" s="6"/>
      <c r="E80" s="2"/>
      <c r="F80" s="7">
        <f t="shared" si="24"/>
        <v>0</v>
      </c>
      <c r="G80" s="2"/>
      <c r="H80" s="6">
        <v>0</v>
      </c>
      <c r="I80" s="2"/>
      <c r="J80" s="7">
        <f t="shared" si="25"/>
        <v>0</v>
      </c>
      <c r="K80" s="2"/>
      <c r="L80" s="6">
        <f t="shared" si="26"/>
        <v>0</v>
      </c>
      <c r="M80" s="2"/>
      <c r="N80" s="7">
        <f t="shared" si="27"/>
        <v>0</v>
      </c>
      <c r="O80" s="11"/>
      <c r="P80" s="6"/>
      <c r="Q80" s="2"/>
      <c r="R80" s="7">
        <f t="shared" si="28"/>
        <v>0</v>
      </c>
      <c r="S80" s="2"/>
      <c r="T80" s="6">
        <v>0</v>
      </c>
      <c r="U80" s="2"/>
      <c r="V80" s="7">
        <f t="shared" si="29"/>
        <v>0</v>
      </c>
      <c r="W80" s="2"/>
      <c r="X80" s="6">
        <f t="shared" si="30"/>
        <v>0</v>
      </c>
      <c r="Y80" s="2"/>
      <c r="Z80" s="7">
        <f t="shared" si="31"/>
        <v>0</v>
      </c>
    </row>
    <row r="81" spans="1:26" s="24" customFormat="1" hidden="1" outlineLevel="2" x14ac:dyDescent="0.25">
      <c r="A81" s="27"/>
      <c r="B81" s="11" t="str">
        <f>CONCATENATE("          ", "6004", " - ", "STAFF HOURLY")</f>
        <v xml:space="preserve">          6004 - STAFF HOURLY</v>
      </c>
      <c r="C81" s="11"/>
      <c r="D81" s="6">
        <v>5669.27</v>
      </c>
      <c r="E81" s="2"/>
      <c r="F81" s="7">
        <f t="shared" si="24"/>
        <v>0.25929606916915776</v>
      </c>
      <c r="G81" s="2"/>
      <c r="H81" s="6">
        <v>5865.9348719999998</v>
      </c>
      <c r="I81" s="2"/>
      <c r="J81" s="7">
        <f t="shared" si="25"/>
        <v>0.11703313658672838</v>
      </c>
      <c r="K81" s="2"/>
      <c r="L81" s="6">
        <f t="shared" si="26"/>
        <v>-196.66487199999938</v>
      </c>
      <c r="M81" s="2"/>
      <c r="N81" s="7">
        <f t="shared" si="27"/>
        <v>-3.3526603395947041E-2</v>
      </c>
      <c r="O81" s="11"/>
      <c r="P81" s="6">
        <v>51297.07</v>
      </c>
      <c r="Q81" s="2"/>
      <c r="R81" s="7">
        <f t="shared" si="28"/>
        <v>1.0360719038615782E-2</v>
      </c>
      <c r="S81" s="2"/>
      <c r="T81" s="6">
        <v>76257.153336000003</v>
      </c>
      <c r="U81" s="2"/>
      <c r="V81" s="7">
        <f t="shared" si="29"/>
        <v>1.3911855334655004E-2</v>
      </c>
      <c r="W81" s="2"/>
      <c r="X81" s="6">
        <f t="shared" si="30"/>
        <v>-24960.083336000003</v>
      </c>
      <c r="Y81" s="2"/>
      <c r="Z81" s="7">
        <f t="shared" si="31"/>
        <v>-0.32731464845038577</v>
      </c>
    </row>
    <row r="82" spans="1:26" s="24" customFormat="1" hidden="1" outlineLevel="2" x14ac:dyDescent="0.25">
      <c r="A82" s="27"/>
      <c r="B82" s="11" t="str">
        <f>CONCATENATE("          ", "6005", " - ", "TEMPORARY WAGES-HOURLY")</f>
        <v xml:space="preserve">          6005 - TEMPORARY WAGES-HOURLY</v>
      </c>
      <c r="C82" s="11"/>
      <c r="D82" s="6">
        <v>1731.67</v>
      </c>
      <c r="E82" s="2"/>
      <c r="F82" s="7">
        <f t="shared" si="24"/>
        <v>7.9201594578870896E-2</v>
      </c>
      <c r="G82" s="2"/>
      <c r="H82" s="6">
        <v>3713.36</v>
      </c>
      <c r="I82" s="2"/>
      <c r="J82" s="7">
        <f t="shared" si="25"/>
        <v>7.4086429112964369E-2</v>
      </c>
      <c r="K82" s="2"/>
      <c r="L82" s="6">
        <f t="shared" si="26"/>
        <v>-1981.69</v>
      </c>
      <c r="M82" s="2"/>
      <c r="N82" s="7">
        <f t="shared" si="27"/>
        <v>-0.53366492879763883</v>
      </c>
      <c r="O82" s="11"/>
      <c r="P82" s="6">
        <v>26163.919999999998</v>
      </c>
      <c r="Q82" s="2"/>
      <c r="R82" s="7">
        <f t="shared" si="28"/>
        <v>5.2844543376224058E-3</v>
      </c>
      <c r="S82" s="2"/>
      <c r="T82" s="6">
        <v>40874.879999999997</v>
      </c>
      <c r="U82" s="2"/>
      <c r="V82" s="7">
        <f t="shared" si="29"/>
        <v>7.4569452504455475E-3</v>
      </c>
      <c r="W82" s="2"/>
      <c r="X82" s="6">
        <f t="shared" si="30"/>
        <v>-14710.96</v>
      </c>
      <c r="Y82" s="2"/>
      <c r="Z82" s="7">
        <f t="shared" si="31"/>
        <v>-0.35990221867318023</v>
      </c>
    </row>
    <row r="83" spans="1:26" s="24" customFormat="1" hidden="1" outlineLevel="2" x14ac:dyDescent="0.25">
      <c r="A83" s="27"/>
      <c r="B83" s="11" t="str">
        <f>CONCATENATE("          ", "6006", " - ", "TEMPORARY PART TIME")</f>
        <v xml:space="preserve">          6006 - TEMPORARY PART TIME</v>
      </c>
      <c r="C83" s="11"/>
      <c r="D83" s="6">
        <v>899.18</v>
      </c>
      <c r="E83" s="2"/>
      <c r="F83" s="7">
        <f t="shared" si="24"/>
        <v>4.1125901478589529E-2</v>
      </c>
      <c r="G83" s="2"/>
      <c r="H83" s="6">
        <v>0</v>
      </c>
      <c r="I83" s="2"/>
      <c r="J83" s="7">
        <f t="shared" si="25"/>
        <v>0</v>
      </c>
      <c r="K83" s="2"/>
      <c r="L83" s="6">
        <f t="shared" si="26"/>
        <v>899.18</v>
      </c>
      <c r="M83" s="2"/>
      <c r="N83" s="7">
        <f t="shared" si="27"/>
        <v>0</v>
      </c>
      <c r="O83" s="11"/>
      <c r="P83" s="6">
        <v>6181.55</v>
      </c>
      <c r="Q83" s="2"/>
      <c r="R83" s="7">
        <f t="shared" si="28"/>
        <v>1.2485177569236485E-3</v>
      </c>
      <c r="S83" s="2"/>
      <c r="T83" s="6">
        <v>0</v>
      </c>
      <c r="U83" s="2"/>
      <c r="V83" s="7">
        <f t="shared" si="29"/>
        <v>0</v>
      </c>
      <c r="W83" s="2"/>
      <c r="X83" s="6">
        <f t="shared" si="30"/>
        <v>6181.55</v>
      </c>
      <c r="Y83" s="2"/>
      <c r="Z83" s="7">
        <f t="shared" si="31"/>
        <v>0</v>
      </c>
    </row>
    <row r="84" spans="1:26" s="24" customFormat="1" hidden="1" outlineLevel="2" x14ac:dyDescent="0.25">
      <c r="A84" s="27"/>
      <c r="B84" s="11" t="str">
        <f>CONCATENATE("          ", "6007", " - ", "STUDENT HOURLY")</f>
        <v xml:space="preserve">          6007 - STUDENT HOURLY</v>
      </c>
      <c r="C84" s="11"/>
      <c r="D84" s="6">
        <v>1739.04</v>
      </c>
      <c r="E84" s="2"/>
      <c r="F84" s="7">
        <f t="shared" si="24"/>
        <v>7.9538677136197791E-2</v>
      </c>
      <c r="G84" s="2"/>
      <c r="H84" s="6">
        <v>4685.625</v>
      </c>
      <c r="I84" s="2"/>
      <c r="J84" s="7">
        <f t="shared" si="25"/>
        <v>9.3484398068712338E-2</v>
      </c>
      <c r="K84" s="2"/>
      <c r="L84" s="6">
        <f t="shared" si="26"/>
        <v>-2946.585</v>
      </c>
      <c r="M84" s="2"/>
      <c r="N84" s="7">
        <f t="shared" si="27"/>
        <v>-0.62885634253701483</v>
      </c>
      <c r="O84" s="11"/>
      <c r="P84" s="6">
        <v>61674.25</v>
      </c>
      <c r="Q84" s="2"/>
      <c r="R84" s="7">
        <f t="shared" si="28"/>
        <v>1.2456648618865548E-2</v>
      </c>
      <c r="S84" s="2"/>
      <c r="T84" s="6">
        <v>18809.4375</v>
      </c>
      <c r="U84" s="2"/>
      <c r="V84" s="7">
        <f t="shared" si="29"/>
        <v>3.4314705175691618E-3</v>
      </c>
      <c r="W84" s="2"/>
      <c r="X84" s="6">
        <f t="shared" si="30"/>
        <v>42864.8125</v>
      </c>
      <c r="Y84" s="2"/>
      <c r="Z84" s="7">
        <f t="shared" si="31"/>
        <v>2.2788992227970666</v>
      </c>
    </row>
    <row r="85" spans="1:26" s="24" customFormat="1" hidden="1" outlineLevel="2" x14ac:dyDescent="0.25">
      <c r="A85" s="27"/>
      <c r="B85" s="11" t="str">
        <f>CONCATENATE("          ", "6008", " - ", "STUDENT HOURLY-FICA EXEMPT")</f>
        <v xml:space="preserve">          6008 - STUDENT HOURLY-FICA EXEMPT</v>
      </c>
      <c r="C85" s="11"/>
      <c r="D85" s="6"/>
      <c r="E85" s="2"/>
      <c r="F85" s="7">
        <f t="shared" si="24"/>
        <v>0</v>
      </c>
      <c r="G85" s="2"/>
      <c r="H85" s="6">
        <v>0</v>
      </c>
      <c r="I85" s="2"/>
      <c r="J85" s="7">
        <f t="shared" si="25"/>
        <v>0</v>
      </c>
      <c r="K85" s="2"/>
      <c r="L85" s="6">
        <f t="shared" si="26"/>
        <v>0</v>
      </c>
      <c r="M85" s="2"/>
      <c r="N85" s="7">
        <f t="shared" si="27"/>
        <v>0</v>
      </c>
      <c r="O85" s="11"/>
      <c r="P85" s="6"/>
      <c r="Q85" s="2"/>
      <c r="R85" s="7">
        <f t="shared" si="28"/>
        <v>0</v>
      </c>
      <c r="S85" s="2"/>
      <c r="T85" s="6">
        <v>49782.556499999999</v>
      </c>
      <c r="U85" s="2"/>
      <c r="V85" s="7">
        <f t="shared" si="29"/>
        <v>9.0820033783025698E-3</v>
      </c>
      <c r="W85" s="2"/>
      <c r="X85" s="6">
        <f t="shared" si="30"/>
        <v>-49782.556499999999</v>
      </c>
      <c r="Y85" s="2"/>
      <c r="Z85" s="7">
        <f t="shared" si="31"/>
        <v>-1</v>
      </c>
    </row>
    <row r="86" spans="1:26" s="24" customFormat="1" hidden="1" outlineLevel="2" x14ac:dyDescent="0.25">
      <c r="A86" s="27"/>
      <c r="B86" s="11" t="str">
        <f>CONCATENATE("          ", "6009", " - ", "TEMPORARY-SEASONAL")</f>
        <v xml:space="preserve">          6009 - TEMPORARY-SEASONAL</v>
      </c>
      <c r="C86" s="11"/>
      <c r="D86" s="6"/>
      <c r="E86" s="2"/>
      <c r="F86" s="7">
        <f t="shared" si="24"/>
        <v>0</v>
      </c>
      <c r="G86" s="2"/>
      <c r="H86" s="6">
        <v>0</v>
      </c>
      <c r="I86" s="2"/>
      <c r="J86" s="7">
        <f t="shared" si="25"/>
        <v>0</v>
      </c>
      <c r="K86" s="2"/>
      <c r="L86" s="6">
        <f t="shared" si="26"/>
        <v>0</v>
      </c>
      <c r="M86" s="2"/>
      <c r="N86" s="7">
        <f t="shared" si="27"/>
        <v>0</v>
      </c>
      <c r="O86" s="11"/>
      <c r="P86" s="6"/>
      <c r="Q86" s="2"/>
      <c r="R86" s="7">
        <f t="shared" si="28"/>
        <v>0</v>
      </c>
      <c r="S86" s="2"/>
      <c r="T86" s="6">
        <v>0</v>
      </c>
      <c r="U86" s="2"/>
      <c r="V86" s="7">
        <f t="shared" si="29"/>
        <v>0</v>
      </c>
      <c r="W86" s="2"/>
      <c r="X86" s="6">
        <f t="shared" si="30"/>
        <v>0</v>
      </c>
      <c r="Y86" s="2"/>
      <c r="Z86" s="7">
        <f t="shared" si="31"/>
        <v>0</v>
      </c>
    </row>
    <row r="87" spans="1:26" s="24" customFormat="1" hidden="1" outlineLevel="2" x14ac:dyDescent="0.25">
      <c r="A87" s="27"/>
      <c r="B87" s="11" t="str">
        <f>CONCATENATE("          ", "6010", " - ", "GRATUITY")</f>
        <v xml:space="preserve">          6010 - GRATUITY</v>
      </c>
      <c r="C87" s="11"/>
      <c r="D87" s="6"/>
      <c r="E87" s="2"/>
      <c r="F87" s="7">
        <f t="shared" si="24"/>
        <v>0</v>
      </c>
      <c r="G87" s="2"/>
      <c r="H87" s="6">
        <v>0</v>
      </c>
      <c r="I87" s="2"/>
      <c r="J87" s="7">
        <f t="shared" si="25"/>
        <v>0</v>
      </c>
      <c r="K87" s="2"/>
      <c r="L87" s="6">
        <f t="shared" si="26"/>
        <v>0</v>
      </c>
      <c r="M87" s="2"/>
      <c r="N87" s="7">
        <f t="shared" si="27"/>
        <v>0</v>
      </c>
      <c r="O87" s="11"/>
      <c r="P87" s="6"/>
      <c r="Q87" s="2"/>
      <c r="R87" s="7">
        <f t="shared" si="28"/>
        <v>0</v>
      </c>
      <c r="S87" s="2"/>
      <c r="T87" s="6">
        <v>0</v>
      </c>
      <c r="U87" s="2"/>
      <c r="V87" s="7">
        <f t="shared" si="29"/>
        <v>0</v>
      </c>
      <c r="W87" s="2"/>
      <c r="X87" s="6">
        <f t="shared" si="30"/>
        <v>0</v>
      </c>
      <c r="Y87" s="2"/>
      <c r="Z87" s="7">
        <f t="shared" si="31"/>
        <v>0</v>
      </c>
    </row>
    <row r="88" spans="1:26" s="26" customFormat="1" outlineLevel="1" collapsed="1" x14ac:dyDescent="0.25">
      <c r="A88" s="25"/>
      <c r="B88" s="12" t="str">
        <f>CONCATENATE("     ","Advertising/Promo                                 ")</f>
        <v xml:space="preserve">     Advertising/Promo                                 </v>
      </c>
      <c r="C88" s="12"/>
      <c r="D88" s="1">
        <f>SUM(OSRRefD22_2x_0)</f>
        <v>0</v>
      </c>
      <c r="E88" s="1"/>
      <c r="F88" s="5">
        <f t="shared" ref="F88:F92" si="32">IF(D$12=0,0,D88/D$12)</f>
        <v>0</v>
      </c>
      <c r="G88" s="1"/>
      <c r="H88" s="1">
        <f>SUM(OSRRefH22_2x_0)</f>
        <v>400</v>
      </c>
      <c r="I88" s="1"/>
      <c r="J88" s="5">
        <f t="shared" ref="J88:J92" si="33">IF(H$12=0,0,H88/H$12)</f>
        <v>7.9805275128686012E-3</v>
      </c>
      <c r="K88" s="1"/>
      <c r="L88" s="1">
        <f t="shared" ref="L88:L92" si="34">+D88-H88</f>
        <v>-400</v>
      </c>
      <c r="M88" s="1"/>
      <c r="N88" s="5">
        <f t="shared" ref="N88:N92" si="35">IF(H88=0,0,L88/H88)</f>
        <v>-1</v>
      </c>
      <c r="O88" s="12"/>
      <c r="P88" s="1">
        <f>SUM(OSRRefP22_2x_0)</f>
        <v>3981.59</v>
      </c>
      <c r="Q88" s="1"/>
      <c r="R88" s="5">
        <f t="shared" ref="R88:R92" si="36">IF(P$12=0,0,P88/P$12)</f>
        <v>8.0418112217641694E-4</v>
      </c>
      <c r="S88" s="1"/>
      <c r="T88" s="1">
        <f>SUM(OSRRefT22_2x_0)</f>
        <v>6300</v>
      </c>
      <c r="U88" s="1"/>
      <c r="V88" s="5">
        <f t="shared" ref="V88:V92" si="37">IF(T$12=0,0,T88/T$12)</f>
        <v>1.1493307155349924E-3</v>
      </c>
      <c r="W88" s="1"/>
      <c r="X88" s="1">
        <f t="shared" ref="X88:X92" si="38">+P88-T88</f>
        <v>-2318.41</v>
      </c>
      <c r="Y88" s="1"/>
      <c r="Z88" s="5">
        <f t="shared" ref="Z88:Z92" si="39">IF(T88=0,0,X88/T88)</f>
        <v>-0.36800158730158727</v>
      </c>
    </row>
    <row r="89" spans="1:26" s="24" customFormat="1" hidden="1" outlineLevel="2" x14ac:dyDescent="0.25">
      <c r="A89" s="27"/>
      <c r="B89" s="11" t="str">
        <f>CONCATENATE("          ", "6362", " - ", "ADVERTISING EXPENSE")</f>
        <v xml:space="preserve">          6362 - ADVERTISING EXPENSE</v>
      </c>
      <c r="C89" s="11"/>
      <c r="D89" s="6"/>
      <c r="E89" s="2"/>
      <c r="F89" s="7">
        <f t="shared" si="32"/>
        <v>0</v>
      </c>
      <c r="G89" s="2"/>
      <c r="H89" s="6">
        <v>400</v>
      </c>
      <c r="I89" s="2"/>
      <c r="J89" s="7">
        <f t="shared" si="33"/>
        <v>7.9805275128686012E-3</v>
      </c>
      <c r="K89" s="2"/>
      <c r="L89" s="6">
        <f t="shared" si="34"/>
        <v>-400</v>
      </c>
      <c r="M89" s="2"/>
      <c r="N89" s="7">
        <f t="shared" si="35"/>
        <v>-1</v>
      </c>
      <c r="O89" s="11"/>
      <c r="P89" s="6">
        <v>3981.59</v>
      </c>
      <c r="Q89" s="2"/>
      <c r="R89" s="7">
        <f t="shared" si="36"/>
        <v>8.0418112217641694E-4</v>
      </c>
      <c r="S89" s="2"/>
      <c r="T89" s="6">
        <v>6300</v>
      </c>
      <c r="U89" s="2"/>
      <c r="V89" s="7">
        <f t="shared" si="37"/>
        <v>1.1493307155349924E-3</v>
      </c>
      <c r="W89" s="2"/>
      <c r="X89" s="6">
        <f t="shared" si="38"/>
        <v>-2318.41</v>
      </c>
      <c r="Y89" s="2"/>
      <c r="Z89" s="7">
        <f t="shared" si="39"/>
        <v>-0.36800158730158727</v>
      </c>
    </row>
    <row r="90" spans="1:26" s="26" customFormat="1" outlineLevel="1" collapsed="1" x14ac:dyDescent="0.25">
      <c r="A90" s="25"/>
      <c r="B90" s="12" t="str">
        <f>CONCATENATE("     ","Discounts and Markdowns                           ")</f>
        <v xml:space="preserve">     Discounts and Markdowns                           </v>
      </c>
      <c r="C90" s="12"/>
      <c r="D90" s="1">
        <f>SUM(OSRRefD22_3x_0)</f>
        <v>321.91000000000003</v>
      </c>
      <c r="E90" s="1"/>
      <c r="F90" s="5">
        <f t="shared" si="32"/>
        <v>1.4723235553474006E-2</v>
      </c>
      <c r="G90" s="1"/>
      <c r="H90" s="1">
        <f>SUM(OSRRefH22_3x_0)</f>
        <v>1625</v>
      </c>
      <c r="I90" s="1"/>
      <c r="J90" s="5">
        <f t="shared" si="33"/>
        <v>3.2420893021028692E-2</v>
      </c>
      <c r="K90" s="1"/>
      <c r="L90" s="1">
        <f t="shared" si="34"/>
        <v>-1303.0899999999999</v>
      </c>
      <c r="M90" s="1"/>
      <c r="N90" s="5">
        <f t="shared" si="35"/>
        <v>-0.80190153846153844</v>
      </c>
      <c r="O90" s="12"/>
      <c r="P90" s="1">
        <f>SUM(OSRRefP22_3x_0)</f>
        <v>629.67000000000007</v>
      </c>
      <c r="Q90" s="1"/>
      <c r="R90" s="5">
        <f t="shared" si="36"/>
        <v>1.2717751631906462E-4</v>
      </c>
      <c r="S90" s="1"/>
      <c r="T90" s="1">
        <f>SUM(OSRRefT22_3x_0)</f>
        <v>28000</v>
      </c>
      <c r="U90" s="1"/>
      <c r="V90" s="5">
        <f t="shared" si="37"/>
        <v>5.1081365134888557E-3</v>
      </c>
      <c r="W90" s="1"/>
      <c r="X90" s="1">
        <f t="shared" si="38"/>
        <v>-27370.33</v>
      </c>
      <c r="Y90" s="1"/>
      <c r="Z90" s="5">
        <f t="shared" si="39"/>
        <v>-0.97751178571428576</v>
      </c>
    </row>
    <row r="91" spans="1:26" s="24" customFormat="1" hidden="1" outlineLevel="2" x14ac:dyDescent="0.25">
      <c r="A91" s="27"/>
      <c r="B91" s="11" t="str">
        <f>CONCATENATE("          ", "6382", " - ", "DISCOUNTS/MARK DOWNS")</f>
        <v xml:space="preserve">          6382 - DISCOUNTS/MARK DOWNS</v>
      </c>
      <c r="C91" s="11"/>
      <c r="D91" s="6">
        <v>321.91000000000003</v>
      </c>
      <c r="E91" s="2"/>
      <c r="F91" s="7">
        <f t="shared" si="32"/>
        <v>1.4723235553474006E-2</v>
      </c>
      <c r="G91" s="2"/>
      <c r="H91" s="6">
        <v>1625</v>
      </c>
      <c r="I91" s="2"/>
      <c r="J91" s="7">
        <f t="shared" si="33"/>
        <v>3.2420893021028692E-2</v>
      </c>
      <c r="K91" s="2"/>
      <c r="L91" s="6">
        <f t="shared" si="34"/>
        <v>-1303.0899999999999</v>
      </c>
      <c r="M91" s="2"/>
      <c r="N91" s="7">
        <f t="shared" si="35"/>
        <v>-0.80190153846153844</v>
      </c>
      <c r="O91" s="11"/>
      <c r="P91" s="6">
        <v>1081.94</v>
      </c>
      <c r="Q91" s="2"/>
      <c r="R91" s="7">
        <f t="shared" si="36"/>
        <v>2.1852469072093121E-4</v>
      </c>
      <c r="S91" s="2"/>
      <c r="T91" s="6">
        <v>28000</v>
      </c>
      <c r="U91" s="2"/>
      <c r="V91" s="7">
        <f t="shared" si="37"/>
        <v>5.1081365134888557E-3</v>
      </c>
      <c r="W91" s="2"/>
      <c r="X91" s="6">
        <f t="shared" si="38"/>
        <v>-26918.06</v>
      </c>
      <c r="Y91" s="2"/>
      <c r="Z91" s="7">
        <f t="shared" si="39"/>
        <v>-0.96135928571428575</v>
      </c>
    </row>
    <row r="92" spans="1:26" s="24" customFormat="1" hidden="1" outlineLevel="2" x14ac:dyDescent="0.25">
      <c r="A92" s="27"/>
      <c r="B92" s="11" t="str">
        <f>CONCATENATE("          ", "9175", " - ", "EARNED DISCOUNTS")</f>
        <v xml:space="preserve">          9175 - EARNED DISCOUNTS</v>
      </c>
      <c r="C92" s="11"/>
      <c r="D92" s="6"/>
      <c r="E92" s="2"/>
      <c r="F92" s="7">
        <f t="shared" si="32"/>
        <v>0</v>
      </c>
      <c r="G92" s="2"/>
      <c r="H92" s="6"/>
      <c r="I92" s="2"/>
      <c r="J92" s="7">
        <f t="shared" si="33"/>
        <v>0</v>
      </c>
      <c r="K92" s="2"/>
      <c r="L92" s="6">
        <f t="shared" si="34"/>
        <v>0</v>
      </c>
      <c r="M92" s="2"/>
      <c r="N92" s="7">
        <f t="shared" si="35"/>
        <v>0</v>
      </c>
      <c r="O92" s="11"/>
      <c r="P92" s="6">
        <v>-452.27</v>
      </c>
      <c r="Q92" s="2"/>
      <c r="R92" s="7">
        <f t="shared" si="36"/>
        <v>-9.1347174401866597E-5</v>
      </c>
      <c r="S92" s="2"/>
      <c r="T92" s="6"/>
      <c r="U92" s="2"/>
      <c r="V92" s="7">
        <f t="shared" si="37"/>
        <v>0</v>
      </c>
      <c r="W92" s="2"/>
      <c r="X92" s="6">
        <f t="shared" si="38"/>
        <v>-452.27</v>
      </c>
      <c r="Y92" s="2"/>
      <c r="Z92" s="7">
        <f t="shared" si="39"/>
        <v>0</v>
      </c>
    </row>
    <row r="93" spans="1:26" s="26" customFormat="1" outlineLevel="1" collapsed="1" x14ac:dyDescent="0.25">
      <c r="A93" s="25"/>
      <c r="B93" s="12" t="str">
        <f>CONCATENATE("     ","Employees' Appreciation                           ")</f>
        <v xml:space="preserve">     Employees' Appreciation                           </v>
      </c>
      <c r="C93" s="12"/>
      <c r="D93" s="1">
        <f>SUM(OSRRefD22_4x_0)</f>
        <v>0</v>
      </c>
      <c r="E93" s="1"/>
      <c r="F93" s="5">
        <f t="shared" ref="F93:F99" si="40">IF(D$12=0,0,D93/D$12)</f>
        <v>0</v>
      </c>
      <c r="G93" s="1"/>
      <c r="H93" s="1">
        <f>SUM(OSRRefH22_4x_0)</f>
        <v>100</v>
      </c>
      <c r="I93" s="1"/>
      <c r="J93" s="5">
        <f t="shared" ref="J93:J99" si="41">IF(H$12=0,0,H93/H$12)</f>
        <v>1.9951318782171503E-3</v>
      </c>
      <c r="K93" s="1"/>
      <c r="L93" s="1">
        <f t="shared" ref="L93:L99" si="42">+D93-H93</f>
        <v>-100</v>
      </c>
      <c r="M93" s="1"/>
      <c r="N93" s="5">
        <f t="shared" ref="N93:N99" si="43">IF(H93=0,0,L93/H93)</f>
        <v>-1</v>
      </c>
      <c r="O93" s="12"/>
      <c r="P93" s="1">
        <f>SUM(OSRRefP22_4x_0)</f>
        <v>120.18</v>
      </c>
      <c r="Q93" s="1"/>
      <c r="R93" s="5">
        <f t="shared" ref="R93:R99" si="44">IF(P$12=0,0,P93/P$12)</f>
        <v>2.4273339862507636E-5</v>
      </c>
      <c r="S93" s="1"/>
      <c r="T93" s="1">
        <f>SUM(OSRRefT22_4x_0)</f>
        <v>1200</v>
      </c>
      <c r="U93" s="1"/>
      <c r="V93" s="5">
        <f t="shared" ref="V93:V99" si="45">IF(T$12=0,0,T93/T$12)</f>
        <v>2.1892013629237951E-4</v>
      </c>
      <c r="W93" s="1"/>
      <c r="X93" s="1">
        <f t="shared" ref="X93:X99" si="46">+P93-T93</f>
        <v>-1079.82</v>
      </c>
      <c r="Y93" s="1"/>
      <c r="Z93" s="5">
        <f t="shared" ref="Z93:Z99" si="47">IF(T93=0,0,X93/T93)</f>
        <v>-0.89984999999999993</v>
      </c>
    </row>
    <row r="94" spans="1:26" s="24" customFormat="1" hidden="1" outlineLevel="2" x14ac:dyDescent="0.25">
      <c r="A94" s="27"/>
      <c r="B94" s="11" t="str">
        <f>CONCATENATE("          ", "6277", " - ", "EMPLOYEE APPRECIATION")</f>
        <v xml:space="preserve">          6277 - EMPLOYEE APPRECIATION</v>
      </c>
      <c r="C94" s="11"/>
      <c r="D94" s="6"/>
      <c r="E94" s="2"/>
      <c r="F94" s="7">
        <f t="shared" si="40"/>
        <v>0</v>
      </c>
      <c r="G94" s="2"/>
      <c r="H94" s="6">
        <v>100</v>
      </c>
      <c r="I94" s="2"/>
      <c r="J94" s="7">
        <f t="shared" si="41"/>
        <v>1.9951318782171503E-3</v>
      </c>
      <c r="K94" s="2"/>
      <c r="L94" s="6">
        <f t="shared" si="42"/>
        <v>-100</v>
      </c>
      <c r="M94" s="2"/>
      <c r="N94" s="7">
        <f t="shared" si="43"/>
        <v>-1</v>
      </c>
      <c r="O94" s="11"/>
      <c r="P94" s="6">
        <v>120.18</v>
      </c>
      <c r="Q94" s="2"/>
      <c r="R94" s="7">
        <f t="shared" si="44"/>
        <v>2.4273339862507636E-5</v>
      </c>
      <c r="S94" s="2"/>
      <c r="T94" s="6">
        <v>1200</v>
      </c>
      <c r="U94" s="2"/>
      <c r="V94" s="7">
        <f t="shared" si="45"/>
        <v>2.1892013629237951E-4</v>
      </c>
      <c r="W94" s="2"/>
      <c r="X94" s="6">
        <f t="shared" si="46"/>
        <v>-1079.82</v>
      </c>
      <c r="Y94" s="2"/>
      <c r="Z94" s="7">
        <f t="shared" si="47"/>
        <v>-0.89984999999999993</v>
      </c>
    </row>
    <row r="95" spans="1:26" s="26" customFormat="1" outlineLevel="1" collapsed="1" x14ac:dyDescent="0.25">
      <c r="A95" s="25"/>
      <c r="B95" s="12" t="str">
        <f>CONCATENATE("     ","Equipment Rental                                  ")</f>
        <v xml:space="preserve">     Equipment Rental                                  </v>
      </c>
      <c r="C95" s="12"/>
      <c r="D95" s="1">
        <f>SUM(OSRRefD22_5x_0)</f>
        <v>91.26</v>
      </c>
      <c r="E95" s="1"/>
      <c r="F95" s="5">
        <f t="shared" si="40"/>
        <v>4.1739693597901209E-3</v>
      </c>
      <c r="G95" s="1"/>
      <c r="H95" s="1">
        <f>SUM(OSRRefH22_5x_0)</f>
        <v>100</v>
      </c>
      <c r="I95" s="1"/>
      <c r="J95" s="5">
        <f t="shared" si="41"/>
        <v>1.9951318782171503E-3</v>
      </c>
      <c r="K95" s="1"/>
      <c r="L95" s="1">
        <f t="shared" si="42"/>
        <v>-8.7399999999999949</v>
      </c>
      <c r="M95" s="1"/>
      <c r="N95" s="5">
        <f t="shared" si="43"/>
        <v>-8.739999999999995E-2</v>
      </c>
      <c r="O95" s="12"/>
      <c r="P95" s="1">
        <f>SUM(OSRRefP22_5x_0)</f>
        <v>1095.1199999999999</v>
      </c>
      <c r="Q95" s="1"/>
      <c r="R95" s="5">
        <f t="shared" si="44"/>
        <v>2.2118671950598569E-4</v>
      </c>
      <c r="S95" s="1"/>
      <c r="T95" s="1">
        <f>SUM(OSRRefT22_5x_0)</f>
        <v>1200</v>
      </c>
      <c r="U95" s="1"/>
      <c r="V95" s="5">
        <f t="shared" si="45"/>
        <v>2.1892013629237951E-4</v>
      </c>
      <c r="W95" s="1"/>
      <c r="X95" s="1">
        <f t="shared" si="46"/>
        <v>-104.88000000000011</v>
      </c>
      <c r="Y95" s="1"/>
      <c r="Z95" s="5">
        <f t="shared" si="47"/>
        <v>-8.7400000000000089E-2</v>
      </c>
    </row>
    <row r="96" spans="1:26" s="24" customFormat="1" hidden="1" outlineLevel="2" x14ac:dyDescent="0.25">
      <c r="A96" s="27"/>
      <c r="B96" s="11" t="str">
        <f>CONCATENATE("          ", "6351", " - ", "EQUIPMENT RENTAL")</f>
        <v xml:space="preserve">          6351 - EQUIPMENT RENTAL</v>
      </c>
      <c r="C96" s="11"/>
      <c r="D96" s="6">
        <v>91.26</v>
      </c>
      <c r="E96" s="2"/>
      <c r="F96" s="7">
        <f t="shared" si="40"/>
        <v>4.1739693597901209E-3</v>
      </c>
      <c r="G96" s="2"/>
      <c r="H96" s="6">
        <v>100</v>
      </c>
      <c r="I96" s="2"/>
      <c r="J96" s="7">
        <f t="shared" si="41"/>
        <v>1.9951318782171503E-3</v>
      </c>
      <c r="K96" s="2"/>
      <c r="L96" s="6">
        <f t="shared" si="42"/>
        <v>-8.7399999999999949</v>
      </c>
      <c r="M96" s="2"/>
      <c r="N96" s="7">
        <f t="shared" si="43"/>
        <v>-8.739999999999995E-2</v>
      </c>
      <c r="O96" s="11"/>
      <c r="P96" s="6">
        <v>1095.1199999999999</v>
      </c>
      <c r="Q96" s="2"/>
      <c r="R96" s="7">
        <f t="shared" si="44"/>
        <v>2.2118671950598569E-4</v>
      </c>
      <c r="S96" s="2"/>
      <c r="T96" s="6">
        <v>1200</v>
      </c>
      <c r="U96" s="2"/>
      <c r="V96" s="7">
        <f t="shared" si="45"/>
        <v>2.1892013629237951E-4</v>
      </c>
      <c r="W96" s="2"/>
      <c r="X96" s="6">
        <f t="shared" si="46"/>
        <v>-104.88000000000011</v>
      </c>
      <c r="Y96" s="2"/>
      <c r="Z96" s="7">
        <f t="shared" si="47"/>
        <v>-8.7400000000000089E-2</v>
      </c>
    </row>
    <row r="97" spans="1:26" s="26" customFormat="1" outlineLevel="1" collapsed="1" x14ac:dyDescent="0.25">
      <c r="A97" s="25"/>
      <c r="B97" s="12" t="str">
        <f>CONCATENATE("     ","Freight out/Postage                               ")</f>
        <v xml:space="preserve">     Freight out/Postage                               </v>
      </c>
      <c r="C97" s="12"/>
      <c r="D97" s="1">
        <f>SUM(OSRRefD22_6x_0)</f>
        <v>6701.46</v>
      </c>
      <c r="E97" s="1"/>
      <c r="F97" s="5">
        <f t="shared" si="40"/>
        <v>0.30650546467082074</v>
      </c>
      <c r="G97" s="1"/>
      <c r="H97" s="1">
        <f>SUM(OSRRefH22_6x_0)</f>
        <v>1000</v>
      </c>
      <c r="I97" s="1"/>
      <c r="J97" s="5">
        <f t="shared" si="41"/>
        <v>1.99513187821715E-2</v>
      </c>
      <c r="K97" s="1"/>
      <c r="L97" s="1">
        <f t="shared" si="42"/>
        <v>5701.46</v>
      </c>
      <c r="M97" s="1"/>
      <c r="N97" s="5">
        <f t="shared" si="43"/>
        <v>5.70146</v>
      </c>
      <c r="O97" s="12"/>
      <c r="P97" s="1">
        <f>SUM(OSRRefP22_6x_0)</f>
        <v>30550.660000000003</v>
      </c>
      <c r="Q97" s="1"/>
      <c r="R97" s="5">
        <f t="shared" si="44"/>
        <v>6.1704655783318156E-3</v>
      </c>
      <c r="S97" s="1"/>
      <c r="T97" s="1">
        <f>SUM(OSRRefT22_6x_0)</f>
        <v>28800</v>
      </c>
      <c r="U97" s="1"/>
      <c r="V97" s="5">
        <f t="shared" si="45"/>
        <v>5.2540832710171086E-3</v>
      </c>
      <c r="W97" s="1"/>
      <c r="X97" s="1">
        <f t="shared" si="46"/>
        <v>1750.6600000000035</v>
      </c>
      <c r="Y97" s="1"/>
      <c r="Z97" s="5">
        <f t="shared" si="47"/>
        <v>6.0786805555555677E-2</v>
      </c>
    </row>
    <row r="98" spans="1:26" s="24" customFormat="1" hidden="1" outlineLevel="2" x14ac:dyDescent="0.25">
      <c r="A98" s="27"/>
      <c r="B98" s="11" t="str">
        <f>CONCATENATE("          ", "6305", " - ", "FREIGHT OUT")</f>
        <v xml:space="preserve">          6305 - FREIGHT OUT</v>
      </c>
      <c r="C98" s="11"/>
      <c r="D98" s="6">
        <v>6699.46</v>
      </c>
      <c r="E98" s="2"/>
      <c r="F98" s="7">
        <f t="shared" si="40"/>
        <v>0.30641399043545386</v>
      </c>
      <c r="G98" s="2"/>
      <c r="H98" s="6">
        <v>1000</v>
      </c>
      <c r="I98" s="2"/>
      <c r="J98" s="7">
        <f t="shared" si="41"/>
        <v>1.99513187821715E-2</v>
      </c>
      <c r="K98" s="2"/>
      <c r="L98" s="6">
        <f t="shared" si="42"/>
        <v>5699.46</v>
      </c>
      <c r="M98" s="2"/>
      <c r="N98" s="7">
        <f t="shared" si="43"/>
        <v>5.6994600000000002</v>
      </c>
      <c r="O98" s="11"/>
      <c r="P98" s="6">
        <v>30546.710000000003</v>
      </c>
      <c r="Q98" s="2"/>
      <c r="R98" s="7">
        <f t="shared" si="44"/>
        <v>6.1696677775957788E-3</v>
      </c>
      <c r="S98" s="2"/>
      <c r="T98" s="6">
        <v>28800</v>
      </c>
      <c r="U98" s="2"/>
      <c r="V98" s="7">
        <f t="shared" si="45"/>
        <v>5.2540832710171086E-3</v>
      </c>
      <c r="W98" s="2"/>
      <c r="X98" s="6">
        <f t="shared" si="46"/>
        <v>1746.7100000000028</v>
      </c>
      <c r="Y98" s="2"/>
      <c r="Z98" s="7">
        <f t="shared" si="47"/>
        <v>6.0649652777777875E-2</v>
      </c>
    </row>
    <row r="99" spans="1:26" s="24" customFormat="1" hidden="1" outlineLevel="2" x14ac:dyDescent="0.25">
      <c r="A99" s="27"/>
      <c r="B99" s="11" t="str">
        <f>CONCATENATE("          ", "6307", " - ", "POSTAGE")</f>
        <v xml:space="preserve">          6307 - POSTAGE</v>
      </c>
      <c r="C99" s="11"/>
      <c r="D99" s="6">
        <v>2</v>
      </c>
      <c r="E99" s="2"/>
      <c r="F99" s="7">
        <f t="shared" si="40"/>
        <v>9.1474235366866553E-5</v>
      </c>
      <c r="G99" s="2"/>
      <c r="H99" s="6"/>
      <c r="I99" s="2"/>
      <c r="J99" s="7">
        <f t="shared" si="41"/>
        <v>0</v>
      </c>
      <c r="K99" s="2"/>
      <c r="L99" s="6">
        <f t="shared" si="42"/>
        <v>2</v>
      </c>
      <c r="M99" s="2"/>
      <c r="N99" s="7">
        <f t="shared" si="43"/>
        <v>0</v>
      </c>
      <c r="O99" s="11"/>
      <c r="P99" s="6">
        <v>3.95</v>
      </c>
      <c r="Q99" s="2"/>
      <c r="R99" s="7">
        <f t="shared" si="44"/>
        <v>7.9780073603682119E-7</v>
      </c>
      <c r="S99" s="2"/>
      <c r="T99" s="6"/>
      <c r="U99" s="2"/>
      <c r="V99" s="7">
        <f t="shared" si="45"/>
        <v>0</v>
      </c>
      <c r="W99" s="2"/>
      <c r="X99" s="6">
        <f t="shared" si="46"/>
        <v>3.95</v>
      </c>
      <c r="Y99" s="2"/>
      <c r="Z99" s="7">
        <f t="shared" si="47"/>
        <v>0</v>
      </c>
    </row>
    <row r="100" spans="1:26" s="26" customFormat="1" outlineLevel="1" collapsed="1" x14ac:dyDescent="0.25">
      <c r="A100" s="25"/>
      <c r="B100" s="12" t="str">
        <f>CONCATENATE("     ","General                                           ")</f>
        <v xml:space="preserve">     General                                           </v>
      </c>
      <c r="C100" s="12"/>
      <c r="D100" s="1">
        <f>SUM(OSRRefD22_7x_0)</f>
        <v>-1613.24</v>
      </c>
      <c r="E100" s="1"/>
      <c r="F100" s="5">
        <f t="shared" ref="F100:F111" si="48">IF(D$12=0,0,D100/D$12)</f>
        <v>-7.3784947731621892E-2</v>
      </c>
      <c r="G100" s="1"/>
      <c r="H100" s="1">
        <f>SUM(OSRRefH22_7x_0)</f>
        <v>0</v>
      </c>
      <c r="I100" s="1"/>
      <c r="J100" s="5">
        <f t="shared" ref="J100:J111" si="49">IF(H$12=0,0,H100/H$12)</f>
        <v>0</v>
      </c>
      <c r="K100" s="1"/>
      <c r="L100" s="1">
        <f t="shared" ref="L100:L111" si="50">+D100-H100</f>
        <v>-1613.24</v>
      </c>
      <c r="M100" s="1"/>
      <c r="N100" s="5">
        <f t="shared" ref="N100:N111" si="51">IF(H100=0,0,L100/H100)</f>
        <v>0</v>
      </c>
      <c r="O100" s="12"/>
      <c r="P100" s="1">
        <f>SUM(OSRRefP22_7x_0)</f>
        <v>5979.79</v>
      </c>
      <c r="Q100" s="1"/>
      <c r="R100" s="5">
        <f t="shared" ref="R100:R111" si="52">IF(P$12=0,0,P100/P$12)</f>
        <v>1.207767307176107E-3</v>
      </c>
      <c r="S100" s="1"/>
      <c r="T100" s="1">
        <f>SUM(OSRRefT22_7x_0)</f>
        <v>26000</v>
      </c>
      <c r="U100" s="1"/>
      <c r="V100" s="5">
        <f t="shared" ref="V100:V111" si="53">IF(T$12=0,0,T100/T$12)</f>
        <v>4.7432696196682226E-3</v>
      </c>
      <c r="W100" s="1"/>
      <c r="X100" s="1">
        <f t="shared" ref="X100:X111" si="54">+P100-T100</f>
        <v>-20020.21</v>
      </c>
      <c r="Y100" s="1"/>
      <c r="Z100" s="5">
        <f t="shared" ref="Z100:Z111" si="55">IF(T100=0,0,X100/T100)</f>
        <v>-0.77000807692307693</v>
      </c>
    </row>
    <row r="101" spans="1:26" s="24" customFormat="1" hidden="1" outlineLevel="2" x14ac:dyDescent="0.25">
      <c r="A101" s="27"/>
      <c r="B101" s="11" t="str">
        <f>CONCATENATE("          ", "6279", " - ", "GENERAL EXPENSE")</f>
        <v xml:space="preserve">          6279 - GENERAL EXPENSE</v>
      </c>
      <c r="C101" s="11"/>
      <c r="D101" s="6">
        <v>-1613.24</v>
      </c>
      <c r="E101" s="2"/>
      <c r="F101" s="7">
        <f t="shared" si="48"/>
        <v>-7.3784947731621892E-2</v>
      </c>
      <c r="G101" s="2"/>
      <c r="H101" s="6"/>
      <c r="I101" s="2"/>
      <c r="J101" s="7">
        <f t="shared" si="49"/>
        <v>0</v>
      </c>
      <c r="K101" s="2"/>
      <c r="L101" s="6">
        <f t="shared" si="50"/>
        <v>-1613.24</v>
      </c>
      <c r="M101" s="2"/>
      <c r="N101" s="7">
        <f t="shared" si="51"/>
        <v>0</v>
      </c>
      <c r="O101" s="11"/>
      <c r="P101" s="6">
        <v>5979.79</v>
      </c>
      <c r="Q101" s="2"/>
      <c r="R101" s="7">
        <f t="shared" si="52"/>
        <v>1.207767307176107E-3</v>
      </c>
      <c r="S101" s="2"/>
      <c r="T101" s="6">
        <v>26000</v>
      </c>
      <c r="U101" s="2"/>
      <c r="V101" s="7">
        <f t="shared" si="53"/>
        <v>4.7432696196682226E-3</v>
      </c>
      <c r="W101" s="2"/>
      <c r="X101" s="6">
        <f t="shared" si="54"/>
        <v>-20020.21</v>
      </c>
      <c r="Y101" s="2"/>
      <c r="Z101" s="7">
        <f t="shared" si="55"/>
        <v>-0.77000807692307693</v>
      </c>
    </row>
    <row r="102" spans="1:26" s="26" customFormat="1" outlineLevel="1" collapsed="1" x14ac:dyDescent="0.25">
      <c r="A102" s="25"/>
      <c r="B102" s="12" t="str">
        <f>CONCATENATE("     ","Inventory Adjustment                              ")</f>
        <v xml:space="preserve">     Inventory Adjustment                              </v>
      </c>
      <c r="C102" s="12"/>
      <c r="D102" s="1">
        <f>SUM(OSRRefD22_8x_0)</f>
        <v>-50217</v>
      </c>
      <c r="E102" s="1"/>
      <c r="F102" s="5">
        <f t="shared" si="48"/>
        <v>-2.2967808387089685</v>
      </c>
      <c r="G102" s="1"/>
      <c r="H102" s="1">
        <f>SUM(OSRRefH22_8x_0)</f>
        <v>53000</v>
      </c>
      <c r="I102" s="1"/>
      <c r="J102" s="5">
        <f t="shared" si="49"/>
        <v>1.0574198954550895</v>
      </c>
      <c r="K102" s="1"/>
      <c r="L102" s="1">
        <f t="shared" si="50"/>
        <v>-103217</v>
      </c>
      <c r="M102" s="1"/>
      <c r="N102" s="5">
        <f t="shared" si="51"/>
        <v>-1.947490566037736</v>
      </c>
      <c r="O102" s="12"/>
      <c r="P102" s="1">
        <f>SUM(OSRRefP22_8x_0)</f>
        <v>-33417</v>
      </c>
      <c r="Q102" s="1"/>
      <c r="R102" s="5">
        <f t="shared" si="52"/>
        <v>-6.7493942268715065E-3</v>
      </c>
      <c r="S102" s="1"/>
      <c r="T102" s="1">
        <f>SUM(OSRRefT22_8x_0)</f>
        <v>69800</v>
      </c>
      <c r="U102" s="1"/>
      <c r="V102" s="5">
        <f t="shared" si="53"/>
        <v>1.2733854594340075E-2</v>
      </c>
      <c r="W102" s="1"/>
      <c r="X102" s="1">
        <f t="shared" si="54"/>
        <v>-103217</v>
      </c>
      <c r="Y102" s="1"/>
      <c r="Z102" s="5">
        <f t="shared" si="55"/>
        <v>-1.4787535816618911</v>
      </c>
    </row>
    <row r="103" spans="1:26" s="24" customFormat="1" hidden="1" outlineLevel="2" x14ac:dyDescent="0.25">
      <c r="A103" s="27"/>
      <c r="B103" s="11" t="str">
        <f>CONCATENATE("          ", "6408", " - ", "INVENTORY ADJUSTMENT")</f>
        <v xml:space="preserve">          6408 - INVENTORY ADJUSTMENT</v>
      </c>
      <c r="C103" s="11"/>
      <c r="D103" s="6">
        <v>-16800</v>
      </c>
      <c r="E103" s="2"/>
      <c r="F103" s="7">
        <f t="shared" si="48"/>
        <v>-0.76838357708167904</v>
      </c>
      <c r="G103" s="2"/>
      <c r="H103" s="6">
        <v>53000</v>
      </c>
      <c r="I103" s="2"/>
      <c r="J103" s="7">
        <f t="shared" si="49"/>
        <v>1.0574198954550895</v>
      </c>
      <c r="K103" s="2"/>
      <c r="L103" s="6">
        <f t="shared" si="50"/>
        <v>-69800</v>
      </c>
      <c r="M103" s="2"/>
      <c r="N103" s="7">
        <f t="shared" si="51"/>
        <v>-1.3169811320754716</v>
      </c>
      <c r="O103" s="11"/>
      <c r="P103" s="6">
        <v>0</v>
      </c>
      <c r="Q103" s="2"/>
      <c r="R103" s="7">
        <f t="shared" si="52"/>
        <v>0</v>
      </c>
      <c r="S103" s="2"/>
      <c r="T103" s="6">
        <v>69800</v>
      </c>
      <c r="U103" s="2"/>
      <c r="V103" s="7">
        <f t="shared" si="53"/>
        <v>1.2733854594340075E-2</v>
      </c>
      <c r="W103" s="2"/>
      <c r="X103" s="6">
        <f t="shared" si="54"/>
        <v>-69800</v>
      </c>
      <c r="Y103" s="2"/>
      <c r="Z103" s="7">
        <f t="shared" si="55"/>
        <v>-1</v>
      </c>
    </row>
    <row r="104" spans="1:26" s="24" customFormat="1" hidden="1" outlineLevel="2" x14ac:dyDescent="0.25">
      <c r="A104" s="27"/>
      <c r="B104" s="11" t="str">
        <f>CONCATENATE("          ", "7701", " - ", "INV. SHRINKAGE-NEW TEXT")</f>
        <v xml:space="preserve">          7701 - INV. SHRINKAGE-NEW TEXT</v>
      </c>
      <c r="C104" s="11"/>
      <c r="D104" s="6">
        <v>-4346</v>
      </c>
      <c r="E104" s="2"/>
      <c r="F104" s="7">
        <f t="shared" si="48"/>
        <v>-0.19877351345220101</v>
      </c>
      <c r="G104" s="2"/>
      <c r="H104" s="6"/>
      <c r="I104" s="2"/>
      <c r="J104" s="7">
        <f t="shared" si="49"/>
        <v>0</v>
      </c>
      <c r="K104" s="2"/>
      <c r="L104" s="6">
        <f t="shared" si="50"/>
        <v>-4346</v>
      </c>
      <c r="M104" s="2"/>
      <c r="N104" s="7">
        <f t="shared" si="51"/>
        <v>0</v>
      </c>
      <c r="O104" s="11"/>
      <c r="P104" s="6">
        <v>-4346</v>
      </c>
      <c r="Q104" s="2"/>
      <c r="R104" s="7">
        <f t="shared" si="52"/>
        <v>-8.7778278451038593E-4</v>
      </c>
      <c r="S104" s="2"/>
      <c r="T104" s="6"/>
      <c r="U104" s="2"/>
      <c r="V104" s="7">
        <f t="shared" si="53"/>
        <v>0</v>
      </c>
      <c r="W104" s="2"/>
      <c r="X104" s="6">
        <f t="shared" si="54"/>
        <v>-4346</v>
      </c>
      <c r="Y104" s="2"/>
      <c r="Z104" s="7">
        <f t="shared" si="55"/>
        <v>0</v>
      </c>
    </row>
    <row r="105" spans="1:26" s="24" customFormat="1" hidden="1" outlineLevel="2" x14ac:dyDescent="0.25">
      <c r="A105" s="27"/>
      <c r="B105" s="11" t="str">
        <f>CONCATENATE("          ", "7702", " - ", "INV. SHRINKAGE-USED TEXT")</f>
        <v xml:space="preserve">          7702 - INV. SHRINKAGE-USED TEXT</v>
      </c>
      <c r="C105" s="11"/>
      <c r="D105" s="6">
        <v>-29494</v>
      </c>
      <c r="E105" s="2"/>
      <c r="F105" s="7">
        <f t="shared" si="48"/>
        <v>-1.3489705489551809</v>
      </c>
      <c r="G105" s="2"/>
      <c r="H105" s="6"/>
      <c r="I105" s="2"/>
      <c r="J105" s="7">
        <f t="shared" si="49"/>
        <v>0</v>
      </c>
      <c r="K105" s="2"/>
      <c r="L105" s="6">
        <f t="shared" si="50"/>
        <v>-29494</v>
      </c>
      <c r="M105" s="2"/>
      <c r="N105" s="7">
        <f t="shared" si="51"/>
        <v>0</v>
      </c>
      <c r="O105" s="11"/>
      <c r="P105" s="6">
        <v>-29494</v>
      </c>
      <c r="Q105" s="2"/>
      <c r="R105" s="7">
        <f t="shared" si="52"/>
        <v>-5.9570468123215196E-3</v>
      </c>
      <c r="S105" s="2"/>
      <c r="T105" s="6"/>
      <c r="U105" s="2"/>
      <c r="V105" s="7">
        <f t="shared" si="53"/>
        <v>0</v>
      </c>
      <c r="W105" s="2"/>
      <c r="X105" s="6">
        <f t="shared" si="54"/>
        <v>-29494</v>
      </c>
      <c r="Y105" s="2"/>
      <c r="Z105" s="7">
        <f t="shared" si="55"/>
        <v>0</v>
      </c>
    </row>
    <row r="106" spans="1:26" s="24" customFormat="1" hidden="1" outlineLevel="2" x14ac:dyDescent="0.25">
      <c r="A106" s="27"/>
      <c r="B106" s="11" t="str">
        <f>CONCATENATE("          ", "7703", " - ", "INV. SHRINKAGE-RENTAL TEXT")</f>
        <v xml:space="preserve">          7703 - INV. SHRINKAGE-RENTAL TEXT</v>
      </c>
      <c r="C106" s="11"/>
      <c r="D106" s="6">
        <v>526</v>
      </c>
      <c r="E106" s="2"/>
      <c r="F106" s="7">
        <f t="shared" si="48"/>
        <v>2.4057723901485903E-2</v>
      </c>
      <c r="G106" s="2"/>
      <c r="H106" s="6"/>
      <c r="I106" s="2"/>
      <c r="J106" s="7">
        <f t="shared" si="49"/>
        <v>0</v>
      </c>
      <c r="K106" s="2"/>
      <c r="L106" s="6">
        <f t="shared" si="50"/>
        <v>526</v>
      </c>
      <c r="M106" s="2"/>
      <c r="N106" s="7">
        <f t="shared" si="51"/>
        <v>0</v>
      </c>
      <c r="O106" s="11"/>
      <c r="P106" s="6">
        <v>526</v>
      </c>
      <c r="Q106" s="2"/>
      <c r="R106" s="7">
        <f t="shared" si="52"/>
        <v>1.0623878155832099E-4</v>
      </c>
      <c r="S106" s="2"/>
      <c r="T106" s="6"/>
      <c r="U106" s="2"/>
      <c r="V106" s="7">
        <f t="shared" si="53"/>
        <v>0</v>
      </c>
      <c r="W106" s="2"/>
      <c r="X106" s="6">
        <f t="shared" si="54"/>
        <v>526</v>
      </c>
      <c r="Y106" s="2"/>
      <c r="Z106" s="7">
        <f t="shared" si="55"/>
        <v>0</v>
      </c>
    </row>
    <row r="107" spans="1:26" s="24" customFormat="1" hidden="1" outlineLevel="2" x14ac:dyDescent="0.25">
      <c r="A107" s="27"/>
      <c r="B107" s="11" t="str">
        <f>CONCATENATE("          ", "7704", " - ", "INV. SHRINKAGE-DIGITAL TEXT")</f>
        <v xml:space="preserve">          7704 - INV. SHRINKAGE-DIGITAL TEXT</v>
      </c>
      <c r="C107" s="11"/>
      <c r="D107" s="6">
        <v>816</v>
      </c>
      <c r="E107" s="2"/>
      <c r="F107" s="7">
        <f t="shared" si="48"/>
        <v>3.7321488029681549E-2</v>
      </c>
      <c r="G107" s="2"/>
      <c r="H107" s="6"/>
      <c r="I107" s="2"/>
      <c r="J107" s="7">
        <f t="shared" si="49"/>
        <v>0</v>
      </c>
      <c r="K107" s="2"/>
      <c r="L107" s="6">
        <f t="shared" si="50"/>
        <v>816</v>
      </c>
      <c r="M107" s="2"/>
      <c r="N107" s="7">
        <f t="shared" si="51"/>
        <v>0</v>
      </c>
      <c r="O107" s="11"/>
      <c r="P107" s="6">
        <v>816</v>
      </c>
      <c r="Q107" s="2"/>
      <c r="R107" s="7">
        <f t="shared" si="52"/>
        <v>1.6481149382431546E-4</v>
      </c>
      <c r="S107" s="2"/>
      <c r="T107" s="6"/>
      <c r="U107" s="2"/>
      <c r="V107" s="7">
        <f t="shared" si="53"/>
        <v>0</v>
      </c>
      <c r="W107" s="2"/>
      <c r="X107" s="6">
        <f t="shared" si="54"/>
        <v>816</v>
      </c>
      <c r="Y107" s="2"/>
      <c r="Z107" s="7">
        <f t="shared" si="55"/>
        <v>0</v>
      </c>
    </row>
    <row r="108" spans="1:26" s="24" customFormat="1" hidden="1" outlineLevel="2" x14ac:dyDescent="0.25">
      <c r="A108" s="27"/>
      <c r="B108" s="11" t="str">
        <f>CONCATENATE("          ", "7711", " - ", "INV. SHRINKAGE-NO VALUE TEXT")</f>
        <v xml:space="preserve">          7711 - INV. SHRINKAGE-NO VALUE TEXT</v>
      </c>
      <c r="C108" s="11"/>
      <c r="D108" s="6">
        <v>-1126</v>
      </c>
      <c r="E108" s="2"/>
      <c r="F108" s="7">
        <f t="shared" si="48"/>
        <v>-5.1499994511545868E-2</v>
      </c>
      <c r="G108" s="2"/>
      <c r="H108" s="6"/>
      <c r="I108" s="2"/>
      <c r="J108" s="7">
        <f t="shared" si="49"/>
        <v>0</v>
      </c>
      <c r="K108" s="2"/>
      <c r="L108" s="6">
        <f t="shared" si="50"/>
        <v>-1126</v>
      </c>
      <c r="M108" s="2"/>
      <c r="N108" s="7">
        <f t="shared" si="51"/>
        <v>0</v>
      </c>
      <c r="O108" s="11"/>
      <c r="P108" s="6">
        <v>-1126</v>
      </c>
      <c r="Q108" s="2"/>
      <c r="R108" s="7">
        <f t="shared" si="52"/>
        <v>-2.2742370348796469E-4</v>
      </c>
      <c r="S108" s="2"/>
      <c r="T108" s="6"/>
      <c r="U108" s="2"/>
      <c r="V108" s="7">
        <f t="shared" si="53"/>
        <v>0</v>
      </c>
      <c r="W108" s="2"/>
      <c r="X108" s="6">
        <f t="shared" si="54"/>
        <v>-1126</v>
      </c>
      <c r="Y108" s="2"/>
      <c r="Z108" s="7">
        <f t="shared" si="55"/>
        <v>0</v>
      </c>
    </row>
    <row r="109" spans="1:26" s="24" customFormat="1" hidden="1" outlineLevel="2" x14ac:dyDescent="0.25">
      <c r="A109" s="27"/>
      <c r="B109" s="11" t="str">
        <f>CONCATENATE("          ", "7713", " - ", "INV. SHRINKAGE-TRADE BOOKS")</f>
        <v xml:space="preserve">          7713 - INV. SHRINKAGE-TRADE BOOKS</v>
      </c>
      <c r="C109" s="11"/>
      <c r="D109" s="6">
        <v>-422</v>
      </c>
      <c r="E109" s="2"/>
      <c r="F109" s="7">
        <f t="shared" si="48"/>
        <v>-1.930106366240884E-2</v>
      </c>
      <c r="G109" s="2"/>
      <c r="H109" s="6"/>
      <c r="I109" s="2"/>
      <c r="J109" s="7">
        <f t="shared" si="49"/>
        <v>0</v>
      </c>
      <c r="K109" s="2"/>
      <c r="L109" s="6">
        <f t="shared" si="50"/>
        <v>-422</v>
      </c>
      <c r="M109" s="2"/>
      <c r="N109" s="7">
        <f t="shared" si="51"/>
        <v>0</v>
      </c>
      <c r="O109" s="11"/>
      <c r="P109" s="6">
        <v>-422</v>
      </c>
      <c r="Q109" s="2"/>
      <c r="R109" s="7">
        <f t="shared" si="52"/>
        <v>-8.5233395090516078E-5</v>
      </c>
      <c r="S109" s="2"/>
      <c r="T109" s="6"/>
      <c r="U109" s="2"/>
      <c r="V109" s="7">
        <f t="shared" si="53"/>
        <v>0</v>
      </c>
      <c r="W109" s="2"/>
      <c r="X109" s="6">
        <f t="shared" si="54"/>
        <v>-422</v>
      </c>
      <c r="Y109" s="2"/>
      <c r="Z109" s="7">
        <f t="shared" si="55"/>
        <v>0</v>
      </c>
    </row>
    <row r="110" spans="1:26" s="24" customFormat="1" hidden="1" outlineLevel="2" x14ac:dyDescent="0.25">
      <c r="A110" s="27"/>
      <c r="B110" s="11" t="str">
        <f>CONCATENATE("          ", "7714", " - ", "INV. SHRINKAGE-REMAINDERS")</f>
        <v xml:space="preserve">          7714 - INV. SHRINKAGE-REMAINDERS</v>
      </c>
      <c r="C110" s="11"/>
      <c r="D110" s="6">
        <v>171</v>
      </c>
      <c r="E110" s="2"/>
      <c r="F110" s="7">
        <f t="shared" si="48"/>
        <v>7.8210471238670896E-3</v>
      </c>
      <c r="G110" s="2"/>
      <c r="H110" s="6"/>
      <c r="I110" s="2"/>
      <c r="J110" s="7">
        <f t="shared" si="49"/>
        <v>0</v>
      </c>
      <c r="K110" s="2"/>
      <c r="L110" s="6">
        <f t="shared" si="50"/>
        <v>171</v>
      </c>
      <c r="M110" s="2"/>
      <c r="N110" s="7">
        <f t="shared" si="51"/>
        <v>0</v>
      </c>
      <c r="O110" s="11"/>
      <c r="P110" s="6">
        <v>171</v>
      </c>
      <c r="Q110" s="2"/>
      <c r="R110" s="7">
        <f t="shared" si="52"/>
        <v>3.4537702749948462E-5</v>
      </c>
      <c r="S110" s="2"/>
      <c r="T110" s="6"/>
      <c r="U110" s="2"/>
      <c r="V110" s="7">
        <f t="shared" si="53"/>
        <v>0</v>
      </c>
      <c r="W110" s="2"/>
      <c r="X110" s="6">
        <f t="shared" si="54"/>
        <v>171</v>
      </c>
      <c r="Y110" s="2"/>
      <c r="Z110" s="7">
        <f t="shared" si="55"/>
        <v>0</v>
      </c>
    </row>
    <row r="111" spans="1:26" s="24" customFormat="1" hidden="1" outlineLevel="2" x14ac:dyDescent="0.25">
      <c r="A111" s="27"/>
      <c r="B111" s="11" t="str">
        <f>CONCATENATE("          ", "7718", " - ", "INV. SHRINKAGE-STUDY GUIDES")</f>
        <v xml:space="preserve">          7718 - INV. SHRINKAGE-STUDY GUIDES</v>
      </c>
      <c r="C111" s="11"/>
      <c r="D111" s="6">
        <v>458</v>
      </c>
      <c r="E111" s="2"/>
      <c r="F111" s="7">
        <f t="shared" si="48"/>
        <v>2.0947599899012438E-2</v>
      </c>
      <c r="G111" s="2"/>
      <c r="H111" s="6"/>
      <c r="I111" s="2"/>
      <c r="J111" s="7">
        <f t="shared" si="49"/>
        <v>0</v>
      </c>
      <c r="K111" s="2"/>
      <c r="L111" s="6">
        <f t="shared" si="50"/>
        <v>458</v>
      </c>
      <c r="M111" s="2"/>
      <c r="N111" s="7">
        <f t="shared" si="51"/>
        <v>0</v>
      </c>
      <c r="O111" s="11"/>
      <c r="P111" s="6">
        <v>458</v>
      </c>
      <c r="Q111" s="2"/>
      <c r="R111" s="7">
        <f t="shared" si="52"/>
        <v>9.2504490406294709E-5</v>
      </c>
      <c r="S111" s="2"/>
      <c r="T111" s="6"/>
      <c r="U111" s="2"/>
      <c r="V111" s="7">
        <f t="shared" si="53"/>
        <v>0</v>
      </c>
      <c r="W111" s="2"/>
      <c r="X111" s="6">
        <f t="shared" si="54"/>
        <v>458</v>
      </c>
      <c r="Y111" s="2"/>
      <c r="Z111" s="7">
        <f t="shared" si="55"/>
        <v>0</v>
      </c>
    </row>
    <row r="112" spans="1:26" s="26" customFormat="1" outlineLevel="1" collapsed="1" x14ac:dyDescent="0.25">
      <c r="A112" s="25"/>
      <c r="B112" s="12" t="str">
        <f>CONCATENATE("     ","Repair and Maintenance                            ")</f>
        <v xml:space="preserve">     Repair and Maintenance                            </v>
      </c>
      <c r="C112" s="12"/>
      <c r="D112" s="1">
        <f>SUM(OSRRefD22_9x_0)</f>
        <v>11567.81</v>
      </c>
      <c r="E112" s="1"/>
      <c r="F112" s="5">
        <f t="shared" ref="F112:F116" si="56">IF(D$12=0,0,D112/D$12)</f>
        <v>0.52907828730959627</v>
      </c>
      <c r="G112" s="1"/>
      <c r="H112" s="1">
        <f>SUM(OSRRefH22_9x_0)</f>
        <v>140</v>
      </c>
      <c r="I112" s="1"/>
      <c r="J112" s="5">
        <f t="shared" ref="J112:J116" si="57">IF(H$12=0,0,H112/H$12)</f>
        <v>2.7931846295040103E-3</v>
      </c>
      <c r="K112" s="1"/>
      <c r="L112" s="1">
        <f t="shared" ref="L112:L116" si="58">+D112-H112</f>
        <v>11427.81</v>
      </c>
      <c r="M112" s="1"/>
      <c r="N112" s="5">
        <f t="shared" ref="N112:N116" si="59">IF(H112=0,0,L112/H112)</f>
        <v>81.627214285714288</v>
      </c>
      <c r="O112" s="12"/>
      <c r="P112" s="1">
        <f>SUM(OSRRefP22_9x_0)</f>
        <v>11855.98</v>
      </c>
      <c r="Q112" s="1"/>
      <c r="R112" s="5">
        <f t="shared" ref="R112:R116" si="60">IF(P$12=0,0,P112/P$12)</f>
        <v>2.394610017832362E-3</v>
      </c>
      <c r="S112" s="1"/>
      <c r="T112" s="1">
        <f>SUM(OSRRefT22_9x_0)</f>
        <v>15680</v>
      </c>
      <c r="U112" s="1"/>
      <c r="V112" s="5">
        <f t="shared" ref="V112:V116" si="61">IF(T$12=0,0,T112/T$12)</f>
        <v>2.860556447553759E-3</v>
      </c>
      <c r="W112" s="1"/>
      <c r="X112" s="1">
        <f t="shared" ref="X112:X116" si="62">+P112-T112</f>
        <v>-3824.0200000000004</v>
      </c>
      <c r="Y112" s="1"/>
      <c r="Z112" s="5">
        <f t="shared" ref="Z112:Z116" si="63">IF(T112=0,0,X112/T112)</f>
        <v>-0.24387882653061227</v>
      </c>
    </row>
    <row r="113" spans="1:26" s="24" customFormat="1" hidden="1" outlineLevel="2" x14ac:dyDescent="0.25">
      <c r="A113" s="27"/>
      <c r="B113" s="11" t="str">
        <f>CONCATENATE("          ", "6371", " - ", "COMPUTER SOFTWARE MAINTENANCE")</f>
        <v xml:space="preserve">          6371 - COMPUTER SOFTWARE MAINTENANCE</v>
      </c>
      <c r="C113" s="11"/>
      <c r="D113" s="6">
        <v>11550</v>
      </c>
      <c r="E113" s="2"/>
      <c r="F113" s="7">
        <f t="shared" si="56"/>
        <v>0.52826370924365429</v>
      </c>
      <c r="G113" s="2"/>
      <c r="H113" s="6"/>
      <c r="I113" s="2"/>
      <c r="J113" s="7">
        <f t="shared" si="57"/>
        <v>0</v>
      </c>
      <c r="K113" s="2"/>
      <c r="L113" s="6">
        <f t="shared" si="58"/>
        <v>11550</v>
      </c>
      <c r="M113" s="2"/>
      <c r="N113" s="7">
        <f t="shared" si="59"/>
        <v>0</v>
      </c>
      <c r="O113" s="11"/>
      <c r="P113" s="6">
        <v>11550</v>
      </c>
      <c r="Q113" s="2"/>
      <c r="R113" s="7">
        <f t="shared" si="60"/>
        <v>2.3328097471456417E-3</v>
      </c>
      <c r="S113" s="2"/>
      <c r="T113" s="6">
        <v>12000</v>
      </c>
      <c r="U113" s="2"/>
      <c r="V113" s="7">
        <f t="shared" si="61"/>
        <v>2.1892013629237952E-3</v>
      </c>
      <c r="W113" s="2"/>
      <c r="X113" s="6">
        <f t="shared" si="62"/>
        <v>-450</v>
      </c>
      <c r="Y113" s="2"/>
      <c r="Z113" s="7">
        <f t="shared" si="63"/>
        <v>-3.7499999999999999E-2</v>
      </c>
    </row>
    <row r="114" spans="1:26" s="24" customFormat="1" hidden="1" outlineLevel="2" x14ac:dyDescent="0.25">
      <c r="A114" s="27"/>
      <c r="B114" s="11" t="str">
        <f>CONCATENATE("          ", "6372", " - ", "COMPUTER HARDWARE MAINTENANCE")</f>
        <v xml:space="preserve">          6372 - COMPUTER HARDWARE MAINTENANCE</v>
      </c>
      <c r="C114" s="11"/>
      <c r="D114" s="6"/>
      <c r="E114" s="2"/>
      <c r="F114" s="7">
        <f t="shared" si="56"/>
        <v>0</v>
      </c>
      <c r="G114" s="2"/>
      <c r="H114" s="6"/>
      <c r="I114" s="2"/>
      <c r="J114" s="7">
        <f t="shared" si="57"/>
        <v>0</v>
      </c>
      <c r="K114" s="2"/>
      <c r="L114" s="6">
        <f t="shared" si="58"/>
        <v>0</v>
      </c>
      <c r="M114" s="2"/>
      <c r="N114" s="7">
        <f t="shared" si="59"/>
        <v>0</v>
      </c>
      <c r="O114" s="11"/>
      <c r="P114" s="6"/>
      <c r="Q114" s="2"/>
      <c r="R114" s="7">
        <f t="shared" si="60"/>
        <v>0</v>
      </c>
      <c r="S114" s="2"/>
      <c r="T114" s="6">
        <v>2000</v>
      </c>
      <c r="U114" s="2"/>
      <c r="V114" s="7">
        <f t="shared" si="61"/>
        <v>3.6486689382063251E-4</v>
      </c>
      <c r="W114" s="2"/>
      <c r="X114" s="6">
        <f t="shared" si="62"/>
        <v>-2000</v>
      </c>
      <c r="Y114" s="2"/>
      <c r="Z114" s="7">
        <f t="shared" si="63"/>
        <v>-1</v>
      </c>
    </row>
    <row r="115" spans="1:26" s="24" customFormat="1" hidden="1" outlineLevel="2" x14ac:dyDescent="0.25">
      <c r="A115" s="27"/>
      <c r="B115" s="11" t="str">
        <f>CONCATENATE("          ", "6373", " - ", "MAINTENANCE CONTRACTS")</f>
        <v xml:space="preserve">          6373 - MAINTENANCE CONTRACTS</v>
      </c>
      <c r="C115" s="11"/>
      <c r="D115" s="6">
        <v>17.809999999999999</v>
      </c>
      <c r="E115" s="2"/>
      <c r="F115" s="7">
        <f t="shared" si="56"/>
        <v>8.145780659419465E-4</v>
      </c>
      <c r="G115" s="2"/>
      <c r="H115" s="6">
        <v>40</v>
      </c>
      <c r="I115" s="2"/>
      <c r="J115" s="7">
        <f t="shared" si="57"/>
        <v>7.9805275128686003E-4</v>
      </c>
      <c r="K115" s="2"/>
      <c r="L115" s="6">
        <f t="shared" si="58"/>
        <v>-22.19</v>
      </c>
      <c r="M115" s="2"/>
      <c r="N115" s="7">
        <f t="shared" si="59"/>
        <v>-0.55475000000000008</v>
      </c>
      <c r="O115" s="11"/>
      <c r="P115" s="6">
        <v>305.98</v>
      </c>
      <c r="Q115" s="2"/>
      <c r="R115" s="7">
        <f t="shared" si="60"/>
        <v>6.1800270686720649E-5</v>
      </c>
      <c r="S115" s="2"/>
      <c r="T115" s="6">
        <v>480</v>
      </c>
      <c r="U115" s="2"/>
      <c r="V115" s="7">
        <f t="shared" si="61"/>
        <v>8.7568054516951811E-5</v>
      </c>
      <c r="W115" s="2"/>
      <c r="X115" s="6">
        <f t="shared" si="62"/>
        <v>-174.01999999999998</v>
      </c>
      <c r="Y115" s="2"/>
      <c r="Z115" s="7">
        <f t="shared" si="63"/>
        <v>-0.36254166666666665</v>
      </c>
    </row>
    <row r="116" spans="1:26" s="24" customFormat="1" hidden="1" outlineLevel="2" x14ac:dyDescent="0.25">
      <c r="A116" s="27"/>
      <c r="B116" s="11" t="str">
        <f>CONCATENATE("          ", "6375", " - ", "OUTSIDE REPAIRS &amp; MAINTENANCE")</f>
        <v xml:space="preserve">          6375 - OUTSIDE REPAIRS &amp; MAINTENANCE</v>
      </c>
      <c r="C116" s="11"/>
      <c r="D116" s="6"/>
      <c r="E116" s="2"/>
      <c r="F116" s="7">
        <f t="shared" si="56"/>
        <v>0</v>
      </c>
      <c r="G116" s="2"/>
      <c r="H116" s="6">
        <v>100</v>
      </c>
      <c r="I116" s="2"/>
      <c r="J116" s="7">
        <f t="shared" si="57"/>
        <v>1.9951318782171503E-3</v>
      </c>
      <c r="K116" s="2"/>
      <c r="L116" s="6">
        <f t="shared" si="58"/>
        <v>-100</v>
      </c>
      <c r="M116" s="2"/>
      <c r="N116" s="7">
        <f t="shared" si="59"/>
        <v>-1</v>
      </c>
      <c r="O116" s="11"/>
      <c r="P116" s="6"/>
      <c r="Q116" s="2"/>
      <c r="R116" s="7">
        <f t="shared" si="60"/>
        <v>0</v>
      </c>
      <c r="S116" s="2"/>
      <c r="T116" s="6">
        <v>1200</v>
      </c>
      <c r="U116" s="2"/>
      <c r="V116" s="7">
        <f t="shared" si="61"/>
        <v>2.1892013629237951E-4</v>
      </c>
      <c r="W116" s="2"/>
      <c r="X116" s="6">
        <f t="shared" si="62"/>
        <v>-1200</v>
      </c>
      <c r="Y116" s="2"/>
      <c r="Z116" s="7">
        <f t="shared" si="63"/>
        <v>-1</v>
      </c>
    </row>
    <row r="117" spans="1:26" s="26" customFormat="1" outlineLevel="1" collapsed="1" x14ac:dyDescent="0.25">
      <c r="A117" s="25"/>
      <c r="B117" s="12" t="str">
        <f>CONCATENATE("     ","Subscriptions &amp; Dues                              ")</f>
        <v xml:space="preserve">     Subscriptions &amp; Dues                              </v>
      </c>
      <c r="C117" s="12"/>
      <c r="D117" s="1">
        <f>SUM(OSRRefD22_10x_0)</f>
        <v>981.28</v>
      </c>
      <c r="E117" s="1"/>
      <c r="F117" s="5">
        <f t="shared" ref="F117:F119" si="64">IF(D$12=0,0,D117/D$12)</f>
        <v>4.4880918840399402E-2</v>
      </c>
      <c r="G117" s="1"/>
      <c r="H117" s="1">
        <f>SUM(OSRRefH22_10x_0)</f>
        <v>400</v>
      </c>
      <c r="I117" s="1"/>
      <c r="J117" s="5">
        <f t="shared" ref="J117:J119" si="65">IF(H$12=0,0,H117/H$12)</f>
        <v>7.9805275128686012E-3</v>
      </c>
      <c r="K117" s="1"/>
      <c r="L117" s="1">
        <f t="shared" ref="L117:L119" si="66">+D117-H117</f>
        <v>581.28</v>
      </c>
      <c r="M117" s="1"/>
      <c r="N117" s="5">
        <f t="shared" ref="N117:N119" si="67">IF(H117=0,0,L117/H117)</f>
        <v>1.4531999999999998</v>
      </c>
      <c r="O117" s="12"/>
      <c r="P117" s="1">
        <f>SUM(OSRRefP22_10x_0)</f>
        <v>6291.84</v>
      </c>
      <c r="Q117" s="1"/>
      <c r="R117" s="5">
        <f t="shared" ref="R117:R119" si="68">IF(P$12=0,0,P117/P$12)</f>
        <v>1.2707935653230159E-3</v>
      </c>
      <c r="S117" s="1"/>
      <c r="T117" s="1">
        <f>SUM(OSRRefT22_10x_0)</f>
        <v>8000</v>
      </c>
      <c r="U117" s="1"/>
      <c r="V117" s="5">
        <f t="shared" ref="V117:V119" si="69">IF(T$12=0,0,T117/T$12)</f>
        <v>1.45946757528253E-3</v>
      </c>
      <c r="W117" s="1"/>
      <c r="X117" s="1">
        <f t="shared" ref="X117:X119" si="70">+P117-T117</f>
        <v>-1708.1599999999999</v>
      </c>
      <c r="Y117" s="1"/>
      <c r="Z117" s="5">
        <f t="shared" ref="Z117:Z119" si="71">IF(T117=0,0,X117/T117)</f>
        <v>-0.21351999999999999</v>
      </c>
    </row>
    <row r="118" spans="1:26" s="24" customFormat="1" hidden="1" outlineLevel="2" x14ac:dyDescent="0.25">
      <c r="A118" s="27"/>
      <c r="B118" s="11" t="str">
        <f>CONCATENATE("          ", "6258", " - ", "MEMBERSHIP DUES")</f>
        <v xml:space="preserve">          6258 - MEMBERSHIP DUES</v>
      </c>
      <c r="C118" s="11"/>
      <c r="D118" s="6">
        <v>981.28</v>
      </c>
      <c r="E118" s="2"/>
      <c r="F118" s="7">
        <f t="shared" si="64"/>
        <v>4.4880918840399402E-2</v>
      </c>
      <c r="G118" s="2"/>
      <c r="H118" s="6">
        <v>400</v>
      </c>
      <c r="I118" s="2"/>
      <c r="J118" s="7">
        <f t="shared" si="65"/>
        <v>7.9805275128686012E-3</v>
      </c>
      <c r="K118" s="2"/>
      <c r="L118" s="6">
        <f t="shared" si="66"/>
        <v>581.28</v>
      </c>
      <c r="M118" s="2"/>
      <c r="N118" s="7">
        <f t="shared" si="67"/>
        <v>1.4531999999999998</v>
      </c>
      <c r="O118" s="11"/>
      <c r="P118" s="6">
        <v>4439.76</v>
      </c>
      <c r="Q118" s="2"/>
      <c r="R118" s="7">
        <f t="shared" si="68"/>
        <v>8.9671994831059165E-4</v>
      </c>
      <c r="S118" s="2"/>
      <c r="T118" s="6">
        <v>8000</v>
      </c>
      <c r="U118" s="2"/>
      <c r="V118" s="7">
        <f t="shared" si="69"/>
        <v>1.45946757528253E-3</v>
      </c>
      <c r="W118" s="2"/>
      <c r="X118" s="6">
        <f t="shared" si="70"/>
        <v>-3560.24</v>
      </c>
      <c r="Y118" s="2"/>
      <c r="Z118" s="7">
        <f t="shared" si="71"/>
        <v>-0.44502999999999998</v>
      </c>
    </row>
    <row r="119" spans="1:26" s="24" customFormat="1" hidden="1" outlineLevel="2" x14ac:dyDescent="0.25">
      <c r="A119" s="27"/>
      <c r="B119" s="11" t="str">
        <f>CONCATENATE("          ", "6275", " - ", "SUBSCRIPTIONS")</f>
        <v xml:space="preserve">          6275 - SUBSCRIPTIONS</v>
      </c>
      <c r="C119" s="11"/>
      <c r="D119" s="6"/>
      <c r="E119" s="2"/>
      <c r="F119" s="7">
        <f t="shared" si="64"/>
        <v>0</v>
      </c>
      <c r="G119" s="2"/>
      <c r="H119" s="6"/>
      <c r="I119" s="2"/>
      <c r="J119" s="7">
        <f t="shared" si="65"/>
        <v>0</v>
      </c>
      <c r="K119" s="2"/>
      <c r="L119" s="6">
        <f t="shared" si="66"/>
        <v>0</v>
      </c>
      <c r="M119" s="2"/>
      <c r="N119" s="7">
        <f t="shared" si="67"/>
        <v>0</v>
      </c>
      <c r="O119" s="11"/>
      <c r="P119" s="6">
        <v>1852.08</v>
      </c>
      <c r="Q119" s="2"/>
      <c r="R119" s="7">
        <f t="shared" si="68"/>
        <v>3.7407361701242422E-4</v>
      </c>
      <c r="S119" s="2"/>
      <c r="T119" s="6"/>
      <c r="U119" s="2"/>
      <c r="V119" s="7">
        <f t="shared" si="69"/>
        <v>0</v>
      </c>
      <c r="W119" s="2"/>
      <c r="X119" s="6">
        <f t="shared" si="70"/>
        <v>1852.08</v>
      </c>
      <c r="Y119" s="2"/>
      <c r="Z119" s="7">
        <f t="shared" si="71"/>
        <v>0</v>
      </c>
    </row>
    <row r="120" spans="1:26" s="26" customFormat="1" outlineLevel="1" collapsed="1" x14ac:dyDescent="0.25">
      <c r="A120" s="25"/>
      <c r="B120" s="12" t="str">
        <f>CONCATENATE("     ","Supplies                                          ")</f>
        <v xml:space="preserve">     Supplies                                          </v>
      </c>
      <c r="C120" s="12"/>
      <c r="D120" s="1">
        <f>SUM(OSRRefD22_11x_0)</f>
        <v>516.1</v>
      </c>
      <c r="E120" s="1"/>
      <c r="F120" s="5">
        <f t="shared" ref="F120:F123" si="72">IF(D$12=0,0,D120/D$12)</f>
        <v>2.3604926436419912E-2</v>
      </c>
      <c r="G120" s="1"/>
      <c r="H120" s="1">
        <f>SUM(OSRRefH22_11x_0)</f>
        <v>1200</v>
      </c>
      <c r="I120" s="1"/>
      <c r="J120" s="5">
        <f t="shared" ref="J120:J123" si="73">IF(H$12=0,0,H120/H$12)</f>
        <v>2.3941582538605802E-2</v>
      </c>
      <c r="K120" s="1"/>
      <c r="L120" s="1">
        <f t="shared" ref="L120:L123" si="74">+D120-H120</f>
        <v>-683.9</v>
      </c>
      <c r="M120" s="1"/>
      <c r="N120" s="5">
        <f t="shared" ref="N120:N123" si="75">IF(H120=0,0,L120/H120)</f>
        <v>-0.56991666666666663</v>
      </c>
      <c r="O120" s="12"/>
      <c r="P120" s="1">
        <f>SUM(OSRRefP22_11x_0)</f>
        <v>14036.529999999999</v>
      </c>
      <c r="Q120" s="1"/>
      <c r="R120" s="5">
        <f t="shared" ref="R120:R123" si="76">IF(P$12=0,0,P120/P$12)</f>
        <v>2.8350263203551695E-3</v>
      </c>
      <c r="S120" s="1"/>
      <c r="T120" s="1">
        <f>SUM(OSRRefT22_11x_0)</f>
        <v>21450</v>
      </c>
      <c r="U120" s="1"/>
      <c r="V120" s="5">
        <f t="shared" ref="V120:V123" si="77">IF(T$12=0,0,T120/T$12)</f>
        <v>3.9131974362262836E-3</v>
      </c>
      <c r="W120" s="1"/>
      <c r="X120" s="1">
        <f t="shared" ref="X120:X123" si="78">+P120-T120</f>
        <v>-7413.4700000000012</v>
      </c>
      <c r="Y120" s="1"/>
      <c r="Z120" s="5">
        <f t="shared" ref="Z120:Z123" si="79">IF(T120=0,0,X120/T120)</f>
        <v>-0.34561631701631707</v>
      </c>
    </row>
    <row r="121" spans="1:26" s="24" customFormat="1" hidden="1" outlineLevel="2" x14ac:dyDescent="0.25">
      <c r="A121" s="27"/>
      <c r="B121" s="11" t="str">
        <f>CONCATENATE("          ", "6241", " - ", "OFFICE EXPENSE")</f>
        <v xml:space="preserve">          6241 - OFFICE EXPENSE</v>
      </c>
      <c r="C121" s="11"/>
      <c r="D121" s="6">
        <v>62.67</v>
      </c>
      <c r="E121" s="2"/>
      <c r="F121" s="7">
        <f t="shared" si="72"/>
        <v>2.8663451652207635E-3</v>
      </c>
      <c r="G121" s="2"/>
      <c r="H121" s="6">
        <v>300</v>
      </c>
      <c r="I121" s="2"/>
      <c r="J121" s="7">
        <f t="shared" si="73"/>
        <v>5.9853956346514504E-3</v>
      </c>
      <c r="K121" s="2"/>
      <c r="L121" s="6">
        <f t="shared" si="74"/>
        <v>-237.32999999999998</v>
      </c>
      <c r="M121" s="2"/>
      <c r="N121" s="7">
        <f t="shared" si="75"/>
        <v>-0.79109999999999991</v>
      </c>
      <c r="O121" s="11"/>
      <c r="P121" s="6">
        <v>4341.16</v>
      </c>
      <c r="Q121" s="2"/>
      <c r="R121" s="7">
        <f t="shared" si="76"/>
        <v>8.7680522614015351E-4</v>
      </c>
      <c r="S121" s="2"/>
      <c r="T121" s="6">
        <v>8150</v>
      </c>
      <c r="U121" s="2"/>
      <c r="V121" s="7">
        <f t="shared" si="77"/>
        <v>1.4868325923190775E-3</v>
      </c>
      <c r="W121" s="2"/>
      <c r="X121" s="6">
        <f t="shared" si="78"/>
        <v>-3808.84</v>
      </c>
      <c r="Y121" s="2"/>
      <c r="Z121" s="7">
        <f t="shared" si="79"/>
        <v>-0.46734233128834357</v>
      </c>
    </row>
    <row r="122" spans="1:26" s="24" customFormat="1" hidden="1" outlineLevel="2" x14ac:dyDescent="0.25">
      <c r="A122" s="27"/>
      <c r="B122" s="11" t="str">
        <f>CONCATENATE("          ", "6245", " - ", "PRINTING")</f>
        <v xml:space="preserve">          6245 - PRINTING</v>
      </c>
      <c r="C122" s="11"/>
      <c r="D122" s="6"/>
      <c r="E122" s="2"/>
      <c r="F122" s="7">
        <f t="shared" si="72"/>
        <v>0</v>
      </c>
      <c r="G122" s="2"/>
      <c r="H122" s="6">
        <v>100</v>
      </c>
      <c r="I122" s="2"/>
      <c r="J122" s="7">
        <f t="shared" si="73"/>
        <v>1.9951318782171503E-3</v>
      </c>
      <c r="K122" s="2"/>
      <c r="L122" s="6">
        <f t="shared" si="74"/>
        <v>-100</v>
      </c>
      <c r="M122" s="2"/>
      <c r="N122" s="7">
        <f t="shared" si="75"/>
        <v>-1</v>
      </c>
      <c r="O122" s="11"/>
      <c r="P122" s="6">
        <v>5198.58</v>
      </c>
      <c r="Q122" s="2"/>
      <c r="R122" s="7">
        <f t="shared" si="76"/>
        <v>1.049982519075012E-3</v>
      </c>
      <c r="S122" s="2"/>
      <c r="T122" s="6">
        <v>2800</v>
      </c>
      <c r="U122" s="2"/>
      <c r="V122" s="7">
        <f t="shared" si="77"/>
        <v>5.1081365134888557E-4</v>
      </c>
      <c r="W122" s="2"/>
      <c r="X122" s="6">
        <f t="shared" si="78"/>
        <v>2398.58</v>
      </c>
      <c r="Y122" s="2"/>
      <c r="Z122" s="7">
        <f t="shared" si="79"/>
        <v>0.85663571428571428</v>
      </c>
    </row>
    <row r="123" spans="1:26" s="24" customFormat="1" hidden="1" outlineLevel="2" x14ac:dyDescent="0.25">
      <c r="A123" s="27"/>
      <c r="B123" s="11" t="str">
        <f>CONCATENATE("          ", "6247", " - ", "STORE SUPPLIES")</f>
        <v xml:space="preserve">          6247 - STORE SUPPLIES</v>
      </c>
      <c r="C123" s="11"/>
      <c r="D123" s="6">
        <v>453.43</v>
      </c>
      <c r="E123" s="2"/>
      <c r="F123" s="7">
        <f t="shared" si="72"/>
        <v>2.0738581271199149E-2</v>
      </c>
      <c r="G123" s="2"/>
      <c r="H123" s="6">
        <v>800</v>
      </c>
      <c r="I123" s="2"/>
      <c r="J123" s="7">
        <f t="shared" si="73"/>
        <v>1.5961055025737202E-2</v>
      </c>
      <c r="K123" s="2"/>
      <c r="L123" s="6">
        <f t="shared" si="74"/>
        <v>-346.57</v>
      </c>
      <c r="M123" s="2"/>
      <c r="N123" s="7">
        <f t="shared" si="75"/>
        <v>-0.4332125</v>
      </c>
      <c r="O123" s="11"/>
      <c r="P123" s="6">
        <v>4496.79</v>
      </c>
      <c r="Q123" s="2"/>
      <c r="R123" s="7">
        <f t="shared" si="76"/>
        <v>9.0823857514000421E-4</v>
      </c>
      <c r="S123" s="2"/>
      <c r="T123" s="6">
        <v>10500</v>
      </c>
      <c r="U123" s="2"/>
      <c r="V123" s="7">
        <f t="shared" si="77"/>
        <v>1.9155511925583208E-3</v>
      </c>
      <c r="W123" s="2"/>
      <c r="X123" s="6">
        <f t="shared" si="78"/>
        <v>-6003.21</v>
      </c>
      <c r="Y123" s="2"/>
      <c r="Z123" s="7">
        <f t="shared" si="79"/>
        <v>-0.57173428571428575</v>
      </c>
    </row>
    <row r="124" spans="1:26" s="26" customFormat="1" outlineLevel="1" collapsed="1" x14ac:dyDescent="0.25">
      <c r="A124" s="25"/>
      <c r="B124" s="12" t="str">
        <f>CONCATENATE("     ","Telephone/Data Lines                              ")</f>
        <v xml:space="preserve">     Telephone/Data Lines                              </v>
      </c>
      <c r="C124" s="12"/>
      <c r="D124" s="1">
        <f>SUM(OSRRefD22_12x_0)</f>
        <v>302.60000000000002</v>
      </c>
      <c r="E124" s="1"/>
      <c r="F124" s="5">
        <f t="shared" ref="F124:F126" si="80">IF(D$12=0,0,D124/D$12)</f>
        <v>1.384005181100691E-2</v>
      </c>
      <c r="G124" s="1"/>
      <c r="H124" s="1">
        <f>SUM(OSRRefH22_12x_0)</f>
        <v>600</v>
      </c>
      <c r="I124" s="1"/>
      <c r="J124" s="5">
        <f t="shared" ref="J124:J126" si="81">IF(H$12=0,0,H124/H$12)</f>
        <v>1.1970791269302901E-2</v>
      </c>
      <c r="K124" s="1"/>
      <c r="L124" s="1">
        <f t="shared" ref="L124:L126" si="82">+D124-H124</f>
        <v>-297.39999999999998</v>
      </c>
      <c r="M124" s="1"/>
      <c r="N124" s="5">
        <f t="shared" ref="N124:N126" si="83">IF(H124=0,0,L124/H124)</f>
        <v>-0.49566666666666664</v>
      </c>
      <c r="O124" s="12"/>
      <c r="P124" s="1">
        <f>SUM(OSRRefP22_12x_0)</f>
        <v>8561.64</v>
      </c>
      <c r="Q124" s="1"/>
      <c r="R124" s="5">
        <f t="shared" ref="R124:R126" si="84">IF(P$12=0,0,P124/P$12)</f>
        <v>1.7292361249828579E-3</v>
      </c>
      <c r="S124" s="1"/>
      <c r="T124" s="1">
        <f>SUM(OSRRefT22_12x_0)</f>
        <v>9500</v>
      </c>
      <c r="U124" s="1"/>
      <c r="V124" s="5">
        <f t="shared" ref="V124:V126" si="85">IF(T$12=0,0,T124/T$12)</f>
        <v>1.7331177456480044E-3</v>
      </c>
      <c r="W124" s="1"/>
      <c r="X124" s="1">
        <f t="shared" ref="X124:X126" si="86">+P124-T124</f>
        <v>-938.36000000000058</v>
      </c>
      <c r="Y124" s="1"/>
      <c r="Z124" s="5">
        <f t="shared" ref="Z124:Z126" si="87">IF(T124=0,0,X124/T124)</f>
        <v>-9.8774736842105318E-2</v>
      </c>
    </row>
    <row r="125" spans="1:26" s="24" customFormat="1" hidden="1" outlineLevel="2" x14ac:dyDescent="0.25">
      <c r="A125" s="27"/>
      <c r="B125" s="11" t="str">
        <f>CONCATENATE("          ", "6303", " - ", "DATA PHONE LINES")</f>
        <v xml:space="preserve">          6303 - DATA PHONE LINES</v>
      </c>
      <c r="C125" s="11"/>
      <c r="D125" s="6"/>
      <c r="E125" s="2"/>
      <c r="F125" s="7">
        <f t="shared" si="80"/>
        <v>0</v>
      </c>
      <c r="G125" s="2"/>
      <c r="H125" s="6">
        <v>300</v>
      </c>
      <c r="I125" s="2"/>
      <c r="J125" s="7">
        <f t="shared" si="81"/>
        <v>5.9853956346514504E-3</v>
      </c>
      <c r="K125" s="2"/>
      <c r="L125" s="6">
        <f t="shared" si="82"/>
        <v>-300</v>
      </c>
      <c r="M125" s="2"/>
      <c r="N125" s="7">
        <f t="shared" si="83"/>
        <v>-1</v>
      </c>
      <c r="O125" s="11"/>
      <c r="P125" s="6">
        <v>2950</v>
      </c>
      <c r="Q125" s="2"/>
      <c r="R125" s="7">
        <f t="shared" si="84"/>
        <v>5.9582586615408164E-4</v>
      </c>
      <c r="S125" s="2"/>
      <c r="T125" s="6">
        <v>3600</v>
      </c>
      <c r="U125" s="2"/>
      <c r="V125" s="7">
        <f t="shared" si="85"/>
        <v>6.5676040887713857E-4</v>
      </c>
      <c r="W125" s="2"/>
      <c r="X125" s="6">
        <f t="shared" si="86"/>
        <v>-650</v>
      </c>
      <c r="Y125" s="2"/>
      <c r="Z125" s="7">
        <f t="shared" si="87"/>
        <v>-0.18055555555555555</v>
      </c>
    </row>
    <row r="126" spans="1:26" s="24" customFormat="1" hidden="1" outlineLevel="2" x14ac:dyDescent="0.25">
      <c r="A126" s="27"/>
      <c r="B126" s="11" t="str">
        <f>CONCATENATE("          ", "6309", " - ", "TELEPHONE")</f>
        <v xml:space="preserve">          6309 - TELEPHONE</v>
      </c>
      <c r="C126" s="11"/>
      <c r="D126" s="6">
        <v>302.60000000000002</v>
      </c>
      <c r="E126" s="2"/>
      <c r="F126" s="7">
        <f t="shared" si="80"/>
        <v>1.384005181100691E-2</v>
      </c>
      <c r="G126" s="2"/>
      <c r="H126" s="6">
        <v>300</v>
      </c>
      <c r="I126" s="2"/>
      <c r="J126" s="7">
        <f t="shared" si="81"/>
        <v>5.9853956346514504E-3</v>
      </c>
      <c r="K126" s="2"/>
      <c r="L126" s="6">
        <f t="shared" si="82"/>
        <v>2.6000000000000227</v>
      </c>
      <c r="M126" s="2"/>
      <c r="N126" s="7">
        <f t="shared" si="83"/>
        <v>8.6666666666667426E-3</v>
      </c>
      <c r="O126" s="11"/>
      <c r="P126" s="6">
        <v>5611.64</v>
      </c>
      <c r="Q126" s="2"/>
      <c r="R126" s="7">
        <f t="shared" si="84"/>
        <v>1.1334102588287764E-3</v>
      </c>
      <c r="S126" s="2"/>
      <c r="T126" s="6">
        <v>5900</v>
      </c>
      <c r="U126" s="2"/>
      <c r="V126" s="7">
        <f t="shared" si="85"/>
        <v>1.076357336770866E-3</v>
      </c>
      <c r="W126" s="2"/>
      <c r="X126" s="6">
        <f t="shared" si="86"/>
        <v>-288.35999999999967</v>
      </c>
      <c r="Y126" s="2"/>
      <c r="Z126" s="7">
        <f t="shared" si="87"/>
        <v>-4.8874576271186382E-2</v>
      </c>
    </row>
    <row r="127" spans="1:26" s="26" customFormat="1" outlineLevel="1" collapsed="1" x14ac:dyDescent="0.25">
      <c r="A127" s="25"/>
      <c r="B127" s="12" t="str">
        <f>CONCATENATE("     ","Training                                          ")</f>
        <v xml:space="preserve">     Training                                          </v>
      </c>
      <c r="C127" s="12"/>
      <c r="D127" s="1">
        <f>SUM(OSRRefD22_13x_0)</f>
        <v>0</v>
      </c>
      <c r="E127" s="1"/>
      <c r="F127" s="5">
        <f t="shared" ref="F127:F131" si="88">IF(D$12=0,0,D127/D$12)</f>
        <v>0</v>
      </c>
      <c r="G127" s="1"/>
      <c r="H127" s="1">
        <f>SUM(OSRRefH22_13x_0)</f>
        <v>300</v>
      </c>
      <c r="I127" s="1"/>
      <c r="J127" s="5">
        <f t="shared" ref="J127:J131" si="89">IF(H$12=0,0,H127/H$12)</f>
        <v>5.9853956346514504E-3</v>
      </c>
      <c r="K127" s="1"/>
      <c r="L127" s="1">
        <f t="shared" ref="L127:L131" si="90">+D127-H127</f>
        <v>-300</v>
      </c>
      <c r="M127" s="1"/>
      <c r="N127" s="5">
        <f t="shared" ref="N127:N131" si="91">IF(H127=0,0,L127/H127)</f>
        <v>-1</v>
      </c>
      <c r="O127" s="12"/>
      <c r="P127" s="1">
        <f>SUM(OSRRefP22_13x_0)</f>
        <v>4157.1499999999996</v>
      </c>
      <c r="Q127" s="1"/>
      <c r="R127" s="5">
        <f t="shared" ref="R127:R131" si="92">IF(P$12=0,0,P127/P$12)</f>
        <v>8.3963983033303051E-4</v>
      </c>
      <c r="S127" s="1"/>
      <c r="T127" s="1">
        <f>SUM(OSRRefT22_13x_0)</f>
        <v>5500</v>
      </c>
      <c r="U127" s="1"/>
      <c r="V127" s="5">
        <f t="shared" ref="V127:V131" si="93">IF(T$12=0,0,T127/T$12)</f>
        <v>1.0033839580067395E-3</v>
      </c>
      <c r="W127" s="1"/>
      <c r="X127" s="1">
        <f t="shared" ref="X127:X131" si="94">+P127-T127</f>
        <v>-1342.8500000000004</v>
      </c>
      <c r="Y127" s="1"/>
      <c r="Z127" s="5">
        <f t="shared" ref="Z127:Z131" si="95">IF(T127=0,0,X127/T127)</f>
        <v>-0.24415454545454551</v>
      </c>
    </row>
    <row r="128" spans="1:26" s="24" customFormat="1" hidden="1" outlineLevel="2" x14ac:dyDescent="0.25">
      <c r="A128" s="27"/>
      <c r="B128" s="11" t="str">
        <f>CONCATENATE("          ", "6376", " - ", "TRAINING")</f>
        <v xml:space="preserve">          6376 - TRAINING</v>
      </c>
      <c r="C128" s="11"/>
      <c r="D128" s="6"/>
      <c r="E128" s="2"/>
      <c r="F128" s="7">
        <f t="shared" si="88"/>
        <v>0</v>
      </c>
      <c r="G128" s="2"/>
      <c r="H128" s="6">
        <v>300</v>
      </c>
      <c r="I128" s="2"/>
      <c r="J128" s="7">
        <f t="shared" si="89"/>
        <v>5.9853956346514504E-3</v>
      </c>
      <c r="K128" s="2"/>
      <c r="L128" s="6">
        <f t="shared" si="90"/>
        <v>-300</v>
      </c>
      <c r="M128" s="2"/>
      <c r="N128" s="7">
        <f t="shared" si="91"/>
        <v>-1</v>
      </c>
      <c r="O128" s="11"/>
      <c r="P128" s="6">
        <v>4157.1499999999996</v>
      </c>
      <c r="Q128" s="2"/>
      <c r="R128" s="7">
        <f t="shared" si="92"/>
        <v>8.3963983033303051E-4</v>
      </c>
      <c r="S128" s="2"/>
      <c r="T128" s="6">
        <v>5500</v>
      </c>
      <c r="U128" s="2"/>
      <c r="V128" s="7">
        <f t="shared" si="93"/>
        <v>1.0033839580067395E-3</v>
      </c>
      <c r="W128" s="2"/>
      <c r="X128" s="6">
        <f t="shared" si="94"/>
        <v>-1342.8500000000004</v>
      </c>
      <c r="Y128" s="2"/>
      <c r="Z128" s="7">
        <f t="shared" si="95"/>
        <v>-0.24415454545454551</v>
      </c>
    </row>
    <row r="129" spans="1:26" s="26" customFormat="1" outlineLevel="1" collapsed="1" x14ac:dyDescent="0.25">
      <c r="A129" s="25"/>
      <c r="B129" s="12" t="str">
        <f>CONCATENATE("     ","Travel                                            ")</f>
        <v xml:space="preserve">     Travel                                            </v>
      </c>
      <c r="C129" s="12"/>
      <c r="D129" s="1">
        <f>SUM(OSRRefD22_14x_0)</f>
        <v>0</v>
      </c>
      <c r="E129" s="1"/>
      <c r="F129" s="5">
        <f t="shared" si="88"/>
        <v>0</v>
      </c>
      <c r="G129" s="1"/>
      <c r="H129" s="1">
        <f>SUM(OSRRefH22_14x_0)</f>
        <v>0</v>
      </c>
      <c r="I129" s="1"/>
      <c r="J129" s="5">
        <f t="shared" si="89"/>
        <v>0</v>
      </c>
      <c r="K129" s="1"/>
      <c r="L129" s="1">
        <f t="shared" si="90"/>
        <v>0</v>
      </c>
      <c r="M129" s="1"/>
      <c r="N129" s="5">
        <f t="shared" si="91"/>
        <v>0</v>
      </c>
      <c r="O129" s="12"/>
      <c r="P129" s="1">
        <f>SUM(OSRRefP22_14x_0)</f>
        <v>83.93</v>
      </c>
      <c r="Q129" s="1"/>
      <c r="R129" s="5">
        <f t="shared" si="92"/>
        <v>1.6951750829258329E-5</v>
      </c>
      <c r="S129" s="1"/>
      <c r="T129" s="1">
        <f>SUM(OSRRefT22_14x_0)</f>
        <v>550</v>
      </c>
      <c r="U129" s="1"/>
      <c r="V129" s="5">
        <f t="shared" si="93"/>
        <v>1.0033839580067395E-4</v>
      </c>
      <c r="W129" s="1"/>
      <c r="X129" s="1">
        <f t="shared" si="94"/>
        <v>-466.07</v>
      </c>
      <c r="Y129" s="1"/>
      <c r="Z129" s="5">
        <f t="shared" si="95"/>
        <v>-0.84740000000000004</v>
      </c>
    </row>
    <row r="130" spans="1:26" s="24" customFormat="1" hidden="1" outlineLevel="2" x14ac:dyDescent="0.25">
      <c r="A130" s="27"/>
      <c r="B130" s="11" t="str">
        <f>CONCATENATE("          ", "6292", " - ", "TRAVEL/CONFERENCE")</f>
        <v xml:space="preserve">          6292 - TRAVEL/CONFERENCE</v>
      </c>
      <c r="C130" s="11"/>
      <c r="D130" s="6"/>
      <c r="E130" s="2"/>
      <c r="F130" s="7">
        <f t="shared" si="88"/>
        <v>0</v>
      </c>
      <c r="G130" s="2"/>
      <c r="H130" s="6"/>
      <c r="I130" s="2"/>
      <c r="J130" s="7">
        <f t="shared" si="89"/>
        <v>0</v>
      </c>
      <c r="K130" s="2"/>
      <c r="L130" s="6">
        <f t="shared" si="90"/>
        <v>0</v>
      </c>
      <c r="M130" s="2"/>
      <c r="N130" s="7">
        <f t="shared" si="91"/>
        <v>0</v>
      </c>
      <c r="O130" s="11"/>
      <c r="P130" s="6">
        <v>83.93</v>
      </c>
      <c r="Q130" s="2"/>
      <c r="R130" s="7">
        <f t="shared" si="92"/>
        <v>1.6951750829258329E-5</v>
      </c>
      <c r="S130" s="2"/>
      <c r="T130" s="6"/>
      <c r="U130" s="2"/>
      <c r="V130" s="7">
        <f t="shared" si="93"/>
        <v>0</v>
      </c>
      <c r="W130" s="2"/>
      <c r="X130" s="6">
        <f t="shared" si="94"/>
        <v>83.93</v>
      </c>
      <c r="Y130" s="2"/>
      <c r="Z130" s="7">
        <f t="shared" si="95"/>
        <v>0</v>
      </c>
    </row>
    <row r="131" spans="1:26" s="24" customFormat="1" hidden="1" outlineLevel="2" x14ac:dyDescent="0.25">
      <c r="A131" s="27"/>
      <c r="B131" s="11" t="str">
        <f>CONCATENATE("          ", "6298", " - ", "VEHICLE MILEAGE")</f>
        <v xml:space="preserve">          6298 - VEHICLE MILEAGE</v>
      </c>
      <c r="C131" s="11"/>
      <c r="D131" s="6"/>
      <c r="E131" s="2"/>
      <c r="F131" s="7">
        <f t="shared" si="88"/>
        <v>0</v>
      </c>
      <c r="G131" s="2"/>
      <c r="H131" s="6"/>
      <c r="I131" s="2"/>
      <c r="J131" s="7">
        <f t="shared" si="89"/>
        <v>0</v>
      </c>
      <c r="K131" s="2"/>
      <c r="L131" s="6">
        <f t="shared" si="90"/>
        <v>0</v>
      </c>
      <c r="M131" s="2"/>
      <c r="N131" s="7">
        <f t="shared" si="91"/>
        <v>0</v>
      </c>
      <c r="O131" s="11"/>
      <c r="P131" s="6"/>
      <c r="Q131" s="2"/>
      <c r="R131" s="7">
        <f t="shared" si="92"/>
        <v>0</v>
      </c>
      <c r="S131" s="2"/>
      <c r="T131" s="6">
        <v>550</v>
      </c>
      <c r="U131" s="2"/>
      <c r="V131" s="7">
        <f t="shared" si="93"/>
        <v>1.0033839580067395E-4</v>
      </c>
      <c r="W131" s="2"/>
      <c r="X131" s="6">
        <f t="shared" si="94"/>
        <v>-550</v>
      </c>
      <c r="Y131" s="2"/>
      <c r="Z131" s="7">
        <f t="shared" si="95"/>
        <v>-1</v>
      </c>
    </row>
    <row r="132" spans="1:26" s="60" customFormat="1" x14ac:dyDescent="0.25">
      <c r="A132" s="36"/>
      <c r="B132" s="36"/>
      <c r="C132" s="36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6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3" customFormat="1" collapsed="1" x14ac:dyDescent="0.25">
      <c r="A133" s="10"/>
      <c r="B133" s="28" t="s">
        <v>0</v>
      </c>
      <c r="C133" s="10"/>
      <c r="D133" s="4">
        <f>SUM(OSRRefD25x_0)</f>
        <v>-16039.510000000002</v>
      </c>
      <c r="E133" s="4"/>
      <c r="F133" s="13">
        <f t="shared" ref="F133:F137" si="96">IF(D$12=0,0,D133/D$12)</f>
        <v>-0.73360095645460488</v>
      </c>
      <c r="G133" s="4"/>
      <c r="H133" s="4">
        <f>SUM(OSRRefH25x_0)</f>
        <v>15000</v>
      </c>
      <c r="I133" s="4"/>
      <c r="J133" s="13">
        <f t="shared" ref="J133:J137" si="97">IF(H$12=0,0,H133/H$12)</f>
        <v>0.29926978173257252</v>
      </c>
      <c r="K133" s="4"/>
      <c r="L133" s="4">
        <f t="shared" ref="L133:L137" si="98">+D133-H133</f>
        <v>-31039.510000000002</v>
      </c>
      <c r="M133" s="4"/>
      <c r="N133" s="13">
        <f t="shared" ref="N133:N137" si="99">IF(H133=0,0,L133/H133)</f>
        <v>-2.0693006666666669</v>
      </c>
      <c r="O133" s="10"/>
      <c r="P133" s="4">
        <f>SUM(OSRRefP25x_0)</f>
        <v>177870.38</v>
      </c>
      <c r="Q133" s="4"/>
      <c r="R133" s="13">
        <f t="shared" ref="R133:R137" si="100">IF(P$12=0,0,P133/P$12)</f>
        <v>3.5925346856493436E-2</v>
      </c>
      <c r="S133" s="4"/>
      <c r="T133" s="4">
        <f>SUM(OSRRefT25x_0)</f>
        <v>193750</v>
      </c>
      <c r="U133" s="4"/>
      <c r="V133" s="13">
        <f t="shared" ref="V133:V137" si="101">IF(T$12=0,0,T133/T$12)</f>
        <v>3.5346480338873776E-2</v>
      </c>
      <c r="W133" s="4"/>
      <c r="X133" s="4">
        <f t="shared" ref="X133:X137" si="102">+P133-T133</f>
        <v>-15879.619999999995</v>
      </c>
      <c r="Y133" s="4"/>
      <c r="Z133" s="13">
        <f t="shared" ref="Z133:Z137" si="103">IF(T133=0,0,X133/T133)</f>
        <v>-8.1959329032258041E-2</v>
      </c>
    </row>
    <row r="134" spans="1:26" s="24" customFormat="1" hidden="1" outlineLevel="1" x14ac:dyDescent="0.25">
      <c r="A134" s="44"/>
      <c r="B134" s="11" t="str">
        <f>CONCATENATE("          ", "9150", " - ", "MISC. INCOME")</f>
        <v xml:space="preserve">          9150 - MISC. INCOME</v>
      </c>
      <c r="C134" s="11"/>
      <c r="D134" s="2">
        <f>--1895.85</f>
        <v>1895.85</v>
      </c>
      <c r="E134" s="2"/>
      <c r="F134" s="19">
        <f t="shared" si="96"/>
        <v>8.6710714560136973E-2</v>
      </c>
      <c r="G134" s="2"/>
      <c r="H134" s="2"/>
      <c r="I134" s="2"/>
      <c r="J134" s="19">
        <f t="shared" si="97"/>
        <v>0</v>
      </c>
      <c r="K134" s="2"/>
      <c r="L134" s="2">
        <f t="shared" si="98"/>
        <v>1895.85</v>
      </c>
      <c r="M134" s="2"/>
      <c r="N134" s="19">
        <f t="shared" si="99"/>
        <v>0</v>
      </c>
      <c r="O134" s="11"/>
      <c r="P134" s="2">
        <f>--23186.55</f>
        <v>23186.55</v>
      </c>
      <c r="Q134" s="2"/>
      <c r="R134" s="19">
        <f t="shared" si="100"/>
        <v>4.6831004192796344E-3</v>
      </c>
      <c r="S134" s="2"/>
      <c r="T134" s="2"/>
      <c r="U134" s="2"/>
      <c r="V134" s="19">
        <f t="shared" si="101"/>
        <v>0</v>
      </c>
      <c r="W134" s="2"/>
      <c r="X134" s="2">
        <f t="shared" si="102"/>
        <v>23186.55</v>
      </c>
      <c r="Y134" s="2"/>
      <c r="Z134" s="19">
        <f t="shared" si="103"/>
        <v>0</v>
      </c>
    </row>
    <row r="135" spans="1:26" s="24" customFormat="1" hidden="1" outlineLevel="1" x14ac:dyDescent="0.25">
      <c r="A135" s="44"/>
      <c r="B135" s="11" t="str">
        <f>CONCATENATE("          ", "9151", " - ", "MISC. INCOME")</f>
        <v xml:space="preserve">          9151 - MISC. INCOME</v>
      </c>
      <c r="C135" s="11"/>
      <c r="D135" s="2">
        <f>-18698.07</f>
        <v>-18698.07</v>
      </c>
      <c r="E135" s="2"/>
      <c r="F135" s="19">
        <f t="shared" si="96"/>
        <v>-0.85519582804307315</v>
      </c>
      <c r="G135" s="2"/>
      <c r="H135" s="2"/>
      <c r="I135" s="2"/>
      <c r="J135" s="19">
        <f t="shared" si="97"/>
        <v>0</v>
      </c>
      <c r="K135" s="2"/>
      <c r="L135" s="2">
        <f t="shared" si="98"/>
        <v>-18698.07</v>
      </c>
      <c r="M135" s="2"/>
      <c r="N135" s="19">
        <f t="shared" si="99"/>
        <v>0</v>
      </c>
      <c r="O135" s="11"/>
      <c r="P135" s="2">
        <f>--144046.23</f>
        <v>144046.23000000001</v>
      </c>
      <c r="Q135" s="2"/>
      <c r="R135" s="19">
        <f t="shared" si="100"/>
        <v>2.9093718561349173E-2</v>
      </c>
      <c r="S135" s="2"/>
      <c r="T135" s="2"/>
      <c r="U135" s="2"/>
      <c r="V135" s="19">
        <f t="shared" si="101"/>
        <v>0</v>
      </c>
      <c r="W135" s="2"/>
      <c r="X135" s="2">
        <f t="shared" si="102"/>
        <v>144046.23000000001</v>
      </c>
      <c r="Y135" s="2"/>
      <c r="Z135" s="19">
        <f t="shared" si="103"/>
        <v>0</v>
      </c>
    </row>
    <row r="136" spans="1:26" s="24" customFormat="1" hidden="1" outlineLevel="1" x14ac:dyDescent="0.25">
      <c r="A136" s="44"/>
      <c r="B136" s="11" t="str">
        <f>CONCATENATE("          ", "9152", " - ", "MISC. INCOME")</f>
        <v xml:space="preserve">          9152 - MISC. INCOME</v>
      </c>
      <c r="C136" s="11"/>
      <c r="D136" s="2">
        <f>--762.71</f>
        <v>762.71</v>
      </c>
      <c r="E136" s="2"/>
      <c r="F136" s="19">
        <f t="shared" si="96"/>
        <v>3.4884157028331392E-2</v>
      </c>
      <c r="G136" s="2"/>
      <c r="H136" s="2"/>
      <c r="I136" s="2"/>
      <c r="J136" s="19">
        <f t="shared" si="97"/>
        <v>0</v>
      </c>
      <c r="K136" s="2"/>
      <c r="L136" s="2">
        <f t="shared" si="98"/>
        <v>762.71</v>
      </c>
      <c r="M136" s="2"/>
      <c r="N136" s="19">
        <f t="shared" si="99"/>
        <v>0</v>
      </c>
      <c r="O136" s="11"/>
      <c r="P136" s="2">
        <f>--10637.6</f>
        <v>10637.6</v>
      </c>
      <c r="Q136" s="2"/>
      <c r="R136" s="19">
        <f t="shared" si="100"/>
        <v>2.1485278758646299E-3</v>
      </c>
      <c r="S136" s="2"/>
      <c r="T136" s="2"/>
      <c r="U136" s="2"/>
      <c r="V136" s="19">
        <f t="shared" si="101"/>
        <v>0</v>
      </c>
      <c r="W136" s="2"/>
      <c r="X136" s="2">
        <f t="shared" si="102"/>
        <v>10637.6</v>
      </c>
      <c r="Y136" s="2"/>
      <c r="Z136" s="19">
        <f t="shared" si="103"/>
        <v>0</v>
      </c>
    </row>
    <row r="137" spans="1:26" s="24" customFormat="1" hidden="1" outlineLevel="1" x14ac:dyDescent="0.25">
      <c r="A137" s="44"/>
      <c r="B137" s="11" t="str">
        <f>CONCATENATE("          ", "9160", " - ", "MISC. INCOME")</f>
        <v xml:space="preserve">          9160 - MISC. INCOME</v>
      </c>
      <c r="C137" s="11"/>
      <c r="D137" s="2">
        <f>0</f>
        <v>0</v>
      </c>
      <c r="E137" s="2"/>
      <c r="F137" s="19">
        <f t="shared" si="96"/>
        <v>0</v>
      </c>
      <c r="G137" s="2"/>
      <c r="H137" s="2">
        <v>15000</v>
      </c>
      <c r="I137" s="2"/>
      <c r="J137" s="19">
        <f t="shared" si="97"/>
        <v>0.29926978173257252</v>
      </c>
      <c r="K137" s="2"/>
      <c r="L137" s="2">
        <f t="shared" si="98"/>
        <v>-15000</v>
      </c>
      <c r="M137" s="2"/>
      <c r="N137" s="19">
        <f t="shared" si="99"/>
        <v>-1</v>
      </c>
      <c r="O137" s="11"/>
      <c r="P137" s="2">
        <f>0</f>
        <v>0</v>
      </c>
      <c r="Q137" s="2"/>
      <c r="R137" s="19">
        <f t="shared" si="100"/>
        <v>0</v>
      </c>
      <c r="S137" s="2"/>
      <c r="T137" s="2">
        <v>193750</v>
      </c>
      <c r="U137" s="2"/>
      <c r="V137" s="19">
        <f t="shared" si="101"/>
        <v>3.5346480338873776E-2</v>
      </c>
      <c r="W137" s="2"/>
      <c r="X137" s="2">
        <f t="shared" si="102"/>
        <v>-193750</v>
      </c>
      <c r="Y137" s="2"/>
      <c r="Z137" s="19">
        <f t="shared" si="103"/>
        <v>-1</v>
      </c>
    </row>
    <row r="138" spans="1:26" x14ac:dyDescent="0.25">
      <c r="A138" s="9"/>
      <c r="B138" s="10"/>
      <c r="C138" s="10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O138" s="10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10"/>
      <c r="B139" s="29" t="s">
        <v>3</v>
      </c>
      <c r="C139" s="29"/>
      <c r="D139" s="22">
        <f>+D63-D65+D133</f>
        <v>-89856.860000000015</v>
      </c>
      <c r="E139" s="14"/>
      <c r="F139" s="20">
        <f>IF(D$12=0,0,D139/D$12)</f>
        <v>-4.1097937804837885</v>
      </c>
      <c r="G139" s="14"/>
      <c r="H139" s="22">
        <f>+H63-H65+H133</f>
        <v>-69265.86189554786</v>
      </c>
      <c r="I139" s="14"/>
      <c r="J139" s="20">
        <f>IF(H$12=0,0,H139/H$12)</f>
        <v>-1.3819452913999413</v>
      </c>
      <c r="K139" s="15"/>
      <c r="L139" s="22">
        <f>+D139-H139</f>
        <v>-20590.998104452156</v>
      </c>
      <c r="M139" s="15"/>
      <c r="N139" s="20">
        <f>IF(H139=0,0,L139/H139)</f>
        <v>0.29727484132808668</v>
      </c>
      <c r="O139" s="28"/>
      <c r="P139" s="22">
        <f>+P63-P65+P133</f>
        <v>988693.60999999801</v>
      </c>
      <c r="Q139" s="14"/>
      <c r="R139" s="20">
        <f>IF(P$12=0,0,P139/P$12)</f>
        <v>0.19969126323364561</v>
      </c>
      <c r="S139" s="14"/>
      <c r="T139" s="22">
        <f>+T63-T65+T133</f>
        <v>994654.88138185255</v>
      </c>
      <c r="U139" s="14"/>
      <c r="V139" s="20">
        <f>IF(T$12=0,0,T139/T$12)</f>
        <v>0.18145831849666311</v>
      </c>
      <c r="W139" s="15"/>
      <c r="X139" s="22">
        <f>+P139-T139</f>
        <v>-5961.2713818545453</v>
      </c>
      <c r="Y139" s="15"/>
      <c r="Z139" s="20">
        <f>IF(T139=0,0,X139/T139)</f>
        <v>-5.993306315023237E-3</v>
      </c>
    </row>
    <row r="140" spans="1:26" x14ac:dyDescent="0.25">
      <c r="A140" s="9"/>
      <c r="B140" s="10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x14ac:dyDescent="0.25">
      <c r="A141" s="52"/>
      <c r="B141" s="10" t="s">
        <v>14</v>
      </c>
      <c r="C141" s="10"/>
      <c r="D141" s="4">
        <v>166065.79999999999</v>
      </c>
      <c r="E141" s="4"/>
      <c r="F141" s="13">
        <f>IF(D$12=0,0,D141/D$12)</f>
        <v>7.5953710377934929</v>
      </c>
      <c r="G141" s="4"/>
      <c r="H141" s="4">
        <v>80055</v>
      </c>
      <c r="I141" s="4"/>
      <c r="J141" s="13">
        <f>IF(H$12=0,0,H141/H$12)</f>
        <v>1.5972028251067396</v>
      </c>
      <c r="K141" s="4"/>
      <c r="L141" s="4">
        <f>+D141-H141</f>
        <v>86010.799999999988</v>
      </c>
      <c r="M141" s="4"/>
      <c r="N141" s="13">
        <f>IF(H141=0,0,L141/H141)</f>
        <v>1.0743963525076508</v>
      </c>
      <c r="O141" s="10"/>
      <c r="P141" s="4">
        <v>749790.05</v>
      </c>
      <c r="Q141" s="4"/>
      <c r="R141" s="13">
        <f>IF(P$12=0,0,P141/P$12)</f>
        <v>0.15143874778812277</v>
      </c>
      <c r="S141" s="4"/>
      <c r="T141" s="4">
        <v>709140</v>
      </c>
      <c r="U141" s="4"/>
      <c r="V141" s="13">
        <f>IF(T$12=0,0,T141/T$12)</f>
        <v>0.12937085454198169</v>
      </c>
      <c r="W141" s="4"/>
      <c r="X141" s="4">
        <f>+P141-T141</f>
        <v>40650.050000000047</v>
      </c>
      <c r="Y141" s="4"/>
      <c r="Z141" s="13">
        <f>IF(T141=0,0,X141/T141)</f>
        <v>5.732302507262324E-2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9" t="s">
        <v>4</v>
      </c>
      <c r="C143" s="29"/>
      <c r="D143" s="31">
        <f>+D139-D141</f>
        <v>-255922.66</v>
      </c>
      <c r="E143" s="14"/>
      <c r="F143" s="33">
        <f>IF(D$12=0,0,D143/D$12)</f>
        <v>-11.705164818277281</v>
      </c>
      <c r="G143" s="14"/>
      <c r="H143" s="31">
        <f>+H139-H141</f>
        <v>-149320.86189554786</v>
      </c>
      <c r="I143" s="14"/>
      <c r="J143" s="33">
        <f>IF(H$12=0,0,H143/H$12)</f>
        <v>-2.9791481165066811</v>
      </c>
      <c r="K143" s="15"/>
      <c r="L143" s="31">
        <f>D143-H143</f>
        <v>-106601.79810445214</v>
      </c>
      <c r="M143" s="15"/>
      <c r="N143" s="33">
        <f>IF(H143=0,0,L143/H143)</f>
        <v>0.7139109482171464</v>
      </c>
      <c r="O143" s="28"/>
      <c r="P143" s="31">
        <f>+P139-P141</f>
        <v>238903.55999999796</v>
      </c>
      <c r="Q143" s="14"/>
      <c r="R143" s="33">
        <f>IF(P$12=0,0,P143/P$12)</f>
        <v>4.8252515445522844E-2</v>
      </c>
      <c r="S143" s="14"/>
      <c r="T143" s="31">
        <f>+T139-T141</f>
        <v>285514.88138185255</v>
      </c>
      <c r="U143" s="14"/>
      <c r="V143" s="33">
        <f>IF(T$12=0,0,T143/T$12)</f>
        <v>5.2087463954681446E-2</v>
      </c>
      <c r="W143" s="15"/>
      <c r="X143" s="31">
        <f>P143-T143</f>
        <v>-46611.321381854592</v>
      </c>
      <c r="Y143" s="15"/>
      <c r="Z143" s="33">
        <f>IF(T143=0,0,X143/T143)</f>
        <v>-0.16325356197288995</v>
      </c>
    </row>
    <row r="144" spans="1:26" ht="15.75" thickTop="1" x14ac:dyDescent="0.25">
      <c r="A144" s="9"/>
      <c r="B144" s="9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x14ac:dyDescent="0.25">
      <c r="A145" s="9"/>
      <c r="B145" s="9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9" t="s">
        <v>5</v>
      </c>
      <c r="C146" s="29"/>
      <c r="D146" s="34">
        <f>SUM(D143:D145)</f>
        <v>-255922.66</v>
      </c>
      <c r="E146" s="14"/>
      <c r="F146" s="35">
        <f>IF(D$12=0,0,D146/D$12)</f>
        <v>-11.705164818277281</v>
      </c>
      <c r="G146" s="14"/>
      <c r="H146" s="34">
        <f>SUM(H143:H145)</f>
        <v>-149320.86189554786</v>
      </c>
      <c r="I146" s="14"/>
      <c r="J146" s="35">
        <f>IF(H$12=0,0,H146/H$12)</f>
        <v>-2.9791481165066811</v>
      </c>
      <c r="K146" s="15"/>
      <c r="L146" s="34">
        <f>+D146-H146</f>
        <v>-106601.79810445214</v>
      </c>
      <c r="M146" s="15"/>
      <c r="N146" s="35">
        <f>IF(H146=0,0,L146/H146)</f>
        <v>0.7139109482171464</v>
      </c>
      <c r="O146" s="28"/>
      <c r="P146" s="34">
        <f>SUM(P143:P145)</f>
        <v>238903.55999999796</v>
      </c>
      <c r="Q146" s="14"/>
      <c r="R146" s="35">
        <f>IF(P$12=0,0,P146/P$12)</f>
        <v>4.8252515445522844E-2</v>
      </c>
      <c r="S146" s="14"/>
      <c r="T146" s="34">
        <f>SUM(T143:T145)</f>
        <v>285514.88138185255</v>
      </c>
      <c r="U146" s="14"/>
      <c r="V146" s="35">
        <f>IF(T$12=0,0,T146/T$12)</f>
        <v>5.2087463954681446E-2</v>
      </c>
      <c r="W146" s="15"/>
      <c r="X146" s="34">
        <f>+P146-T146</f>
        <v>-46611.321381854592</v>
      </c>
      <c r="Y146" s="15"/>
      <c r="Z146" s="35">
        <f>IF(T146=0,0,X146/T146)</f>
        <v>-0.16325356197288995</v>
      </c>
    </row>
    <row r="147" spans="1:26" ht="15.75" thickTop="1" x14ac:dyDescent="0.25">
      <c r="A147" s="9"/>
      <c r="C147" s="9"/>
      <c r="D147" s="17"/>
      <c r="E147" s="17"/>
      <c r="G147" s="17"/>
      <c r="H147" s="17"/>
      <c r="I147" s="17"/>
      <c r="J147" s="43"/>
      <c r="K147" s="17"/>
      <c r="L147" s="17"/>
      <c r="M147" s="17"/>
      <c r="P147" s="17"/>
      <c r="Q147" s="17"/>
      <c r="R147" s="43"/>
      <c r="S147" s="17"/>
      <c r="T147" s="17"/>
      <c r="U147" s="17"/>
      <c r="V147" s="43"/>
      <c r="W147" s="17"/>
      <c r="X147" s="17"/>
    </row>
    <row r="148" spans="1:26" x14ac:dyDescent="0.25">
      <c r="A148" s="9"/>
      <c r="B148" s="55">
        <v>44043.472950428244</v>
      </c>
      <c r="D148" s="17"/>
      <c r="E148" s="17"/>
      <c r="G148" s="17"/>
      <c r="H148" s="17"/>
      <c r="I148" s="17"/>
      <c r="J148" s="43"/>
      <c r="K148" s="17"/>
      <c r="L148" s="17"/>
      <c r="M148" s="17"/>
      <c r="P148" s="17"/>
      <c r="Q148" s="17"/>
      <c r="R148" s="43"/>
      <c r="S148" s="17"/>
      <c r="T148" s="17"/>
      <c r="U148" s="17"/>
      <c r="V148" s="43"/>
      <c r="W148" s="17"/>
      <c r="X148" s="17"/>
    </row>
    <row r="149" spans="1:26" x14ac:dyDescent="0.25">
      <c r="A149" s="9"/>
      <c r="B149" s="62" t="s">
        <v>314</v>
      </c>
      <c r="D149" s="17"/>
      <c r="E149" s="17"/>
      <c r="G149" s="17"/>
      <c r="H149" s="17"/>
      <c r="I149" s="17"/>
      <c r="J149" s="43"/>
      <c r="K149" s="17"/>
      <c r="L149" s="17"/>
      <c r="M149" s="17"/>
      <c r="P149" s="17"/>
      <c r="Q149" s="17"/>
      <c r="R149" s="43"/>
      <c r="S149" s="17"/>
      <c r="T149" s="17"/>
      <c r="U149" s="17"/>
      <c r="V149" s="43"/>
      <c r="W149" s="17"/>
      <c r="X149" s="17"/>
    </row>
    <row r="150" spans="1:26" x14ac:dyDescent="0.25">
      <c r="A150" s="9"/>
      <c r="B150" s="63"/>
      <c r="D150" s="17"/>
      <c r="E150" s="17"/>
      <c r="G150" s="17"/>
      <c r="H150" s="17"/>
      <c r="I150" s="17"/>
      <c r="J150" s="43"/>
      <c r="K150" s="17"/>
      <c r="L150" s="17"/>
      <c r="M150" s="17"/>
      <c r="P150" s="17"/>
      <c r="Q150" s="17"/>
      <c r="R150" s="43"/>
      <c r="S150" s="17"/>
      <c r="T150" s="17"/>
      <c r="U150" s="17"/>
      <c r="V150" s="43"/>
      <c r="W150" s="17"/>
      <c r="X150" s="17"/>
    </row>
    <row r="151" spans="1:26" x14ac:dyDescent="0.25"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51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","311", " - ", "Textbooks")</f>
        <v>Department 311 - Textbooks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16646.41</v>
      </c>
      <c r="E12" s="4"/>
      <c r="F12" s="13"/>
      <c r="G12" s="4"/>
      <c r="H12" s="4">
        <f>SUM(OSRRefH13x_0)</f>
        <v>57325</v>
      </c>
      <c r="I12" s="4"/>
      <c r="J12" s="13"/>
      <c r="K12" s="4"/>
      <c r="L12" s="4">
        <f t="shared" ref="L12:L42" si="0">+D12-H12</f>
        <v>-40678.589999999997</v>
      </c>
      <c r="M12" s="4"/>
      <c r="N12" s="13">
        <f t="shared" ref="N12:N42" si="1">IF(H12=0,0,L12/H12)</f>
        <v>-0.70961343218491058</v>
      </c>
      <c r="O12" s="10"/>
      <c r="P12" s="4">
        <f>SUM(OSRRefP13x_0)</f>
        <v>3348053.5699999994</v>
      </c>
      <c r="Q12" s="4"/>
      <c r="R12" s="13"/>
      <c r="S12" s="4"/>
      <c r="T12" s="4">
        <f>SUM(OSRRefT13x_0)</f>
        <v>3445283</v>
      </c>
      <c r="U12" s="4"/>
      <c r="V12" s="13"/>
      <c r="W12" s="4"/>
      <c r="X12" s="4">
        <f t="shared" ref="X12:X42" si="2">+P12-T12</f>
        <v>-97229.430000000633</v>
      </c>
      <c r="Y12" s="4"/>
      <c r="Z12" s="13">
        <f t="shared" ref="Z12:Z42" si="3">IF(T12=0,0,X12/T12)</f>
        <v>-2.8221028577333308E-2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--6687.78</f>
        <v>6687.78</v>
      </c>
      <c r="E13" s="2"/>
      <c r="F13" s="19"/>
      <c r="G13" s="2"/>
      <c r="H13" s="2"/>
      <c r="I13" s="2"/>
      <c r="J13" s="19"/>
      <c r="K13" s="2"/>
      <c r="L13" s="2">
        <f t="shared" si="0"/>
        <v>6687.78</v>
      </c>
      <c r="M13" s="2"/>
      <c r="N13" s="19">
        <f t="shared" si="1"/>
        <v>0</v>
      </c>
      <c r="O13" s="11"/>
      <c r="P13" s="2">
        <f>--2020717.57</f>
        <v>2020717.57</v>
      </c>
      <c r="Q13" s="2"/>
      <c r="R13" s="19"/>
      <c r="S13" s="2"/>
      <c r="T13" s="2"/>
      <c r="U13" s="2"/>
      <c r="V13" s="19"/>
      <c r="W13" s="2"/>
      <c r="X13" s="2">
        <f t="shared" si="2"/>
        <v>2020717.57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--3174.55</f>
        <v>3174.55</v>
      </c>
      <c r="E14" s="2"/>
      <c r="F14" s="19"/>
      <c r="G14" s="2"/>
      <c r="H14" s="2"/>
      <c r="I14" s="2"/>
      <c r="J14" s="19"/>
      <c r="K14" s="2"/>
      <c r="L14" s="2">
        <f t="shared" si="0"/>
        <v>3174.55</v>
      </c>
      <c r="M14" s="2"/>
      <c r="N14" s="19">
        <f t="shared" si="1"/>
        <v>0</v>
      </c>
      <c r="O14" s="11"/>
      <c r="P14" s="2">
        <f>--690438.4</f>
        <v>690438.4</v>
      </c>
      <c r="Q14" s="2"/>
      <c r="R14" s="19"/>
      <c r="S14" s="2"/>
      <c r="T14" s="2"/>
      <c r="U14" s="2"/>
      <c r="V14" s="19"/>
      <c r="W14" s="2"/>
      <c r="X14" s="2">
        <f t="shared" si="2"/>
        <v>690438.4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--895</f>
        <v>895</v>
      </c>
      <c r="E15" s="2"/>
      <c r="F15" s="19"/>
      <c r="G15" s="2"/>
      <c r="H15" s="2"/>
      <c r="I15" s="2"/>
      <c r="J15" s="19"/>
      <c r="K15" s="2"/>
      <c r="L15" s="2">
        <f t="shared" si="0"/>
        <v>895</v>
      </c>
      <c r="M15" s="2"/>
      <c r="N15" s="19">
        <f t="shared" si="1"/>
        <v>0</v>
      </c>
      <c r="O15" s="11"/>
      <c r="P15" s="2">
        <f>--34659.88</f>
        <v>34659.879999999997</v>
      </c>
      <c r="Q15" s="2"/>
      <c r="R15" s="19"/>
      <c r="S15" s="2"/>
      <c r="T15" s="2"/>
      <c r="U15" s="2"/>
      <c r="V15" s="19"/>
      <c r="W15" s="2"/>
      <c r="X15" s="2">
        <f t="shared" si="2"/>
        <v>34659.879999999997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 t="shared" ref="D16:D17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/>
      <c r="U16" s="2"/>
      <c r="V16" s="19"/>
      <c r="W16" s="2"/>
      <c r="X16" s="2">
        <f t="shared" si="2"/>
        <v>42195.3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/>
      <c r="U17" s="2"/>
      <c r="V17" s="19"/>
      <c r="W17" s="2"/>
      <c r="X17" s="2">
        <f t="shared" si="2"/>
        <v>1052.48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--64.99</f>
        <v>64.989999999999995</v>
      </c>
      <c r="E18" s="2"/>
      <c r="F18" s="19"/>
      <c r="G18" s="2"/>
      <c r="H18" s="2"/>
      <c r="I18" s="2"/>
      <c r="J18" s="19"/>
      <c r="K18" s="2"/>
      <c r="L18" s="2">
        <f t="shared" si="0"/>
        <v>64.989999999999995</v>
      </c>
      <c r="M18" s="2"/>
      <c r="N18" s="19">
        <f t="shared" si="1"/>
        <v>0</v>
      </c>
      <c r="O18" s="11"/>
      <c r="P18" s="2">
        <f>--2778.35</f>
        <v>2778.35</v>
      </c>
      <c r="Q18" s="2"/>
      <c r="R18" s="19"/>
      <c r="S18" s="2"/>
      <c r="T18" s="2"/>
      <c r="U18" s="2"/>
      <c r="V18" s="19"/>
      <c r="W18" s="2"/>
      <c r="X18" s="2">
        <f t="shared" si="2"/>
        <v>2778.35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--13.9</f>
        <v>13.9</v>
      </c>
      <c r="E19" s="2"/>
      <c r="F19" s="19"/>
      <c r="G19" s="2"/>
      <c r="H19" s="2"/>
      <c r="I19" s="2"/>
      <c r="J19" s="19"/>
      <c r="K19" s="2"/>
      <c r="L19" s="2">
        <f t="shared" si="0"/>
        <v>13.9</v>
      </c>
      <c r="M19" s="2"/>
      <c r="N19" s="19">
        <f t="shared" si="1"/>
        <v>0</v>
      </c>
      <c r="O19" s="11"/>
      <c r="P19" s="2">
        <f>--1233.88</f>
        <v>1233.8800000000001</v>
      </c>
      <c r="Q19" s="2"/>
      <c r="R19" s="19"/>
      <c r="S19" s="2"/>
      <c r="T19" s="2"/>
      <c r="U19" s="2"/>
      <c r="V19" s="19"/>
      <c r="W19" s="2"/>
      <c r="X19" s="2">
        <f t="shared" si="2"/>
        <v>1233.8800000000001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ref="D20:D21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--4179.3</f>
        <v>4179.3</v>
      </c>
      <c r="Q20" s="2"/>
      <c r="R20" s="19"/>
      <c r="S20" s="2"/>
      <c r="T20" s="2"/>
      <c r="U20" s="2"/>
      <c r="V20" s="19"/>
      <c r="W20" s="2"/>
      <c r="X20" s="2">
        <f t="shared" si="2"/>
        <v>4179.3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57325</v>
      </c>
      <c r="I21" s="2"/>
      <c r="J21" s="19"/>
      <c r="K21" s="2"/>
      <c r="L21" s="2">
        <f t="shared" si="0"/>
        <v>-57325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3445283</v>
      </c>
      <c r="U21" s="2"/>
      <c r="V21" s="19"/>
      <c r="W21" s="2"/>
      <c r="X21" s="2">
        <f t="shared" si="2"/>
        <v>-3445283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--2671.34</f>
        <v>2671.34</v>
      </c>
      <c r="E22" s="2"/>
      <c r="F22" s="19"/>
      <c r="G22" s="2"/>
      <c r="H22" s="2"/>
      <c r="I22" s="2"/>
      <c r="J22" s="19"/>
      <c r="K22" s="2"/>
      <c r="L22" s="2">
        <f t="shared" si="0"/>
        <v>2671.34</v>
      </c>
      <c r="M22" s="2"/>
      <c r="N22" s="19">
        <f t="shared" si="1"/>
        <v>0</v>
      </c>
      <c r="O22" s="11"/>
      <c r="P22" s="2">
        <f>--153953.68</f>
        <v>153953.68</v>
      </c>
      <c r="Q22" s="2"/>
      <c r="R22" s="19"/>
      <c r="S22" s="2"/>
      <c r="T22" s="2"/>
      <c r="U22" s="2"/>
      <c r="V22" s="19"/>
      <c r="W22" s="2"/>
      <c r="X22" s="2">
        <f t="shared" si="2"/>
        <v>153953.68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--1718.15</f>
        <v>1718.15</v>
      </c>
      <c r="E23" s="2"/>
      <c r="F23" s="19"/>
      <c r="G23" s="2"/>
      <c r="H23" s="2"/>
      <c r="I23" s="2"/>
      <c r="J23" s="19"/>
      <c r="K23" s="2"/>
      <c r="L23" s="2">
        <f t="shared" si="0"/>
        <v>1718.15</v>
      </c>
      <c r="M23" s="2"/>
      <c r="N23" s="19">
        <f t="shared" si="1"/>
        <v>0</v>
      </c>
      <c r="O23" s="11"/>
      <c r="P23" s="2">
        <f>--71943.61</f>
        <v>71943.61</v>
      </c>
      <c r="Q23" s="2"/>
      <c r="R23" s="19"/>
      <c r="S23" s="2"/>
      <c r="T23" s="2"/>
      <c r="U23" s="2"/>
      <c r="V23" s="19"/>
      <c r="W23" s="2"/>
      <c r="X23" s="2">
        <f t="shared" si="2"/>
        <v>71943.61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--1836.93</f>
        <v>1836.93</v>
      </c>
      <c r="E25" s="2"/>
      <c r="F25" s="19"/>
      <c r="G25" s="2"/>
      <c r="H25" s="2"/>
      <c r="I25" s="2"/>
      <c r="J25" s="19"/>
      <c r="K25" s="2"/>
      <c r="L25" s="2">
        <f t="shared" si="0"/>
        <v>1836.93</v>
      </c>
      <c r="M25" s="2"/>
      <c r="N25" s="19">
        <f t="shared" si="1"/>
        <v>0</v>
      </c>
      <c r="O25" s="11"/>
      <c r="P25" s="2">
        <f>--533640.31</f>
        <v>533640.31000000006</v>
      </c>
      <c r="Q25" s="2"/>
      <c r="R25" s="19"/>
      <c r="S25" s="2"/>
      <c r="T25" s="2"/>
      <c r="U25" s="2"/>
      <c r="V25" s="19"/>
      <c r="W25" s="2"/>
      <c r="X25" s="2">
        <f t="shared" si="2"/>
        <v>533640.31000000006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--679.21</f>
        <v>679.21</v>
      </c>
      <c r="E26" s="2"/>
      <c r="F26" s="19"/>
      <c r="G26" s="2"/>
      <c r="H26" s="2"/>
      <c r="I26" s="2"/>
      <c r="J26" s="19"/>
      <c r="K26" s="2"/>
      <c r="L26" s="2">
        <f t="shared" si="0"/>
        <v>679.21</v>
      </c>
      <c r="M26" s="2"/>
      <c r="N26" s="19">
        <f t="shared" si="1"/>
        <v>0</v>
      </c>
      <c r="O26" s="11"/>
      <c r="P26" s="2">
        <f>--16342.67</f>
        <v>16342.67</v>
      </c>
      <c r="Q26" s="2"/>
      <c r="R26" s="19"/>
      <c r="S26" s="2"/>
      <c r="T26" s="2"/>
      <c r="U26" s="2"/>
      <c r="V26" s="19"/>
      <c r="W26" s="2"/>
      <c r="X26" s="2">
        <f t="shared" si="2"/>
        <v>16342.67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 t="shared" ref="D27:D28" si="6"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--8266.16</f>
        <v>8266.16</v>
      </c>
      <c r="Q27" s="2"/>
      <c r="R27" s="19"/>
      <c r="S27" s="2"/>
      <c r="T27" s="2"/>
      <c r="U27" s="2"/>
      <c r="V27" s="19"/>
      <c r="W27" s="2"/>
      <c r="X27" s="2">
        <f t="shared" si="2"/>
        <v>8266.16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"4114", " - ", "NON-TAXABLE SALES-REMAINDERS")</f>
        <v xml:space="preserve">          4114 - NON-TAXABLE SALES-REMAINDERS</v>
      </c>
      <c r="C28" s="11"/>
      <c r="D28" s="2">
        <f t="shared" si="6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--3.19</f>
        <v>3.19</v>
      </c>
      <c r="Q28" s="2"/>
      <c r="R28" s="19"/>
      <c r="S28" s="2"/>
      <c r="T28" s="2"/>
      <c r="U28" s="2"/>
      <c r="V28" s="19"/>
      <c r="W28" s="2"/>
      <c r="X28" s="2">
        <f t="shared" si="2"/>
        <v>3.19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"4118", " - ", "NON-TAXABLE SALES-STUDY GUIDES")</f>
        <v xml:space="preserve">          4118 - NON-TAXABLE SALES-STUDY GUIDES</v>
      </c>
      <c r="C29" s="11"/>
      <c r="D29" s="2">
        <f>--10.09</f>
        <v>10.09</v>
      </c>
      <c r="E29" s="2"/>
      <c r="F29" s="19"/>
      <c r="G29" s="2"/>
      <c r="H29" s="2"/>
      <c r="I29" s="2"/>
      <c r="J29" s="19"/>
      <c r="K29" s="2"/>
      <c r="L29" s="2">
        <f t="shared" si="0"/>
        <v>10.09</v>
      </c>
      <c r="M29" s="2"/>
      <c r="N29" s="19">
        <f t="shared" si="1"/>
        <v>0</v>
      </c>
      <c r="O29" s="11"/>
      <c r="P29" s="2">
        <f>--126.03</f>
        <v>126.03</v>
      </c>
      <c r="Q29" s="2"/>
      <c r="R29" s="19"/>
      <c r="S29" s="2"/>
      <c r="T29" s="2"/>
      <c r="U29" s="2"/>
      <c r="V29" s="19"/>
      <c r="W29" s="2"/>
      <c r="X29" s="2">
        <f t="shared" si="2"/>
        <v>126.03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"4201", " - ", "SALES RETURN TAXABLE-NEW TEXT")</f>
        <v xml:space="preserve">          4201 - SALES RETURN TAXABLE-NEW TEXT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-121451.61</f>
        <v>-121451.61</v>
      </c>
      <c r="Q30" s="2"/>
      <c r="R30" s="19"/>
      <c r="S30" s="2"/>
      <c r="T30" s="2"/>
      <c r="U30" s="2"/>
      <c r="V30" s="19"/>
      <c r="W30" s="2"/>
      <c r="X30" s="2">
        <f t="shared" si="2"/>
        <v>-121451.61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"4202", " - ", "SALES RETURN TAXABLE-USED TEXT")</f>
        <v xml:space="preserve">          4202 - SALES RETURN TAXABLE-USED TEXT</v>
      </c>
      <c r="C31" s="11"/>
      <c r="D31" s="2">
        <f>-186.35</f>
        <v>-186.35</v>
      </c>
      <c r="E31" s="2"/>
      <c r="F31" s="19"/>
      <c r="G31" s="2"/>
      <c r="H31" s="2"/>
      <c r="I31" s="2"/>
      <c r="J31" s="19"/>
      <c r="K31" s="2"/>
      <c r="L31" s="2">
        <f t="shared" si="0"/>
        <v>-186.35</v>
      </c>
      <c r="M31" s="2"/>
      <c r="N31" s="19">
        <f t="shared" si="1"/>
        <v>0</v>
      </c>
      <c r="O31" s="11"/>
      <c r="P31" s="2">
        <f>-45799.46</f>
        <v>-45799.46</v>
      </c>
      <c r="Q31" s="2"/>
      <c r="R31" s="19"/>
      <c r="S31" s="2"/>
      <c r="T31" s="2"/>
      <c r="U31" s="2"/>
      <c r="V31" s="19"/>
      <c r="W31" s="2"/>
      <c r="X31" s="2">
        <f t="shared" si="2"/>
        <v>-45799.46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"4203", " - ", "SALES RETURN TAXABLE-RENTAL TE")</f>
        <v xml:space="preserve">          4203 - SALES RETURN TAXABLE-RENTAL TE</v>
      </c>
      <c r="C32" s="11"/>
      <c r="D32" s="2">
        <f t="shared" ref="D32:D33" si="7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-144.99</f>
        <v>-144.99</v>
      </c>
      <c r="Q32" s="2"/>
      <c r="R32" s="19"/>
      <c r="S32" s="2"/>
      <c r="T32" s="2"/>
      <c r="U32" s="2"/>
      <c r="V32" s="19"/>
      <c r="W32" s="2"/>
      <c r="X32" s="2">
        <f t="shared" si="2"/>
        <v>-144.99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"4204", " - ", "SALES RETURN TAXABLE-DIGITAL T")</f>
        <v xml:space="preserve">          4204 - SALES RETURN TAXABLE-DIGITAL T</v>
      </c>
      <c r="C33" s="11"/>
      <c r="D33" s="2">
        <f t="shared" si="7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-17255.33</f>
        <v>-17255.330000000002</v>
      </c>
      <c r="Q33" s="2"/>
      <c r="R33" s="19"/>
      <c r="S33" s="2"/>
      <c r="T33" s="2"/>
      <c r="U33" s="2"/>
      <c r="V33" s="19"/>
      <c r="W33" s="2"/>
      <c r="X33" s="2">
        <f t="shared" si="2"/>
        <v>-17255.330000000002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"4213", " - ", "NON-TAXABLE SALES-TRADE BOOKS")</f>
        <v xml:space="preserve">          4213 - NON-TAXABLE SALES-TRADE BOOKS</v>
      </c>
      <c r="C34" s="11"/>
      <c r="D34" s="2">
        <f>-100.7</f>
        <v>-100.7</v>
      </c>
      <c r="E34" s="2"/>
      <c r="F34" s="19"/>
      <c r="G34" s="2"/>
      <c r="H34" s="2"/>
      <c r="I34" s="2"/>
      <c r="J34" s="19"/>
      <c r="K34" s="2"/>
      <c r="L34" s="2">
        <f t="shared" si="0"/>
        <v>-100.7</v>
      </c>
      <c r="M34" s="2"/>
      <c r="N34" s="19">
        <f t="shared" si="1"/>
        <v>0</v>
      </c>
      <c r="O34" s="11"/>
      <c r="P34" s="2">
        <f>-2869.37</f>
        <v>-2869.37</v>
      </c>
      <c r="Q34" s="2"/>
      <c r="R34" s="19"/>
      <c r="S34" s="2"/>
      <c r="T34" s="2"/>
      <c r="U34" s="2"/>
      <c r="V34" s="19"/>
      <c r="W34" s="2"/>
      <c r="X34" s="2">
        <f t="shared" si="2"/>
        <v>-2869.37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"4214", " - ", "SALES RETURN TAXABLE-REMAINDER")</f>
        <v xml:space="preserve">          4214 - SALES RETURN TAXABLE-REMAINDER</v>
      </c>
      <c r="C35" s="11"/>
      <c r="D35" s="2">
        <f t="shared" ref="D35:D36" si="8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-11.94</f>
        <v>-11.94</v>
      </c>
      <c r="Q35" s="2"/>
      <c r="R35" s="19"/>
      <c r="S35" s="2"/>
      <c r="T35" s="2"/>
      <c r="U35" s="2"/>
      <c r="V35" s="19"/>
      <c r="W35" s="2"/>
      <c r="X35" s="2">
        <f t="shared" si="2"/>
        <v>-11.94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"4218", " - ", "SALES RETURN TAXABLE-STUDY GUI")</f>
        <v xml:space="preserve">          4218 - SALES RETURN TAXABLE-STUDY GUI</v>
      </c>
      <c r="C36" s="11"/>
      <c r="D36" s="2">
        <f t="shared" si="8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-39.25</f>
        <v>-39.25</v>
      </c>
      <c r="Q36" s="2"/>
      <c r="R36" s="19"/>
      <c r="S36" s="2"/>
      <c r="T36" s="2"/>
      <c r="U36" s="2"/>
      <c r="V36" s="19"/>
      <c r="W36" s="2"/>
      <c r="X36" s="2">
        <f t="shared" si="2"/>
        <v>-39.25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"4301", " - ", "SALES RETURN NON TAXABLE-NEW T")</f>
        <v xml:space="preserve">          4301 - SALES RETURN NON TAXABLE-NEW T</v>
      </c>
      <c r="C37" s="11"/>
      <c r="D37" s="2">
        <f>-253.49</f>
        <v>-253.49</v>
      </c>
      <c r="E37" s="2"/>
      <c r="F37" s="19"/>
      <c r="G37" s="2"/>
      <c r="H37" s="2"/>
      <c r="I37" s="2"/>
      <c r="J37" s="19"/>
      <c r="K37" s="2"/>
      <c r="L37" s="2">
        <f t="shared" si="0"/>
        <v>-253.49</v>
      </c>
      <c r="M37" s="2"/>
      <c r="N37" s="19">
        <f t="shared" si="1"/>
        <v>0</v>
      </c>
      <c r="O37" s="11"/>
      <c r="P37" s="2">
        <f>-21543.36</f>
        <v>-21543.360000000001</v>
      </c>
      <c r="Q37" s="2"/>
      <c r="R37" s="19"/>
      <c r="S37" s="2"/>
      <c r="T37" s="2"/>
      <c r="U37" s="2"/>
      <c r="V37" s="19"/>
      <c r="W37" s="2"/>
      <c r="X37" s="2">
        <f t="shared" si="2"/>
        <v>-21543.360000000001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"4302", " - ", "SALES RETURN NON TAXABLE-TEXT")</f>
        <v xml:space="preserve">          4302 - SALES RETURN NON TAXABLE-TEXT</v>
      </c>
      <c r="C38" s="11"/>
      <c r="D38" s="2">
        <f>-95.75</f>
        <v>-95.75</v>
      </c>
      <c r="E38" s="2"/>
      <c r="F38" s="19"/>
      <c r="G38" s="2"/>
      <c r="H38" s="2"/>
      <c r="I38" s="2"/>
      <c r="J38" s="19"/>
      <c r="K38" s="2"/>
      <c r="L38" s="2">
        <f t="shared" si="0"/>
        <v>-95.75</v>
      </c>
      <c r="M38" s="2"/>
      <c r="N38" s="19">
        <f t="shared" si="1"/>
        <v>0</v>
      </c>
      <c r="O38" s="11"/>
      <c r="P38" s="2">
        <f>-1475.62</f>
        <v>-1475.62</v>
      </c>
      <c r="Q38" s="2"/>
      <c r="R38" s="19"/>
      <c r="S38" s="2"/>
      <c r="T38" s="2"/>
      <c r="U38" s="2"/>
      <c r="V38" s="19"/>
      <c r="W38" s="2"/>
      <c r="X38" s="2">
        <f t="shared" si="2"/>
        <v>-1475.62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"4303", " - ", "SALES RETURN NON-TAXABLE-RENTA")</f>
        <v xml:space="preserve">          4303 - SALES RETURN NON-TAXABLE-RENTA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-184.99</f>
        <v>-184.99</v>
      </c>
      <c r="Q39" s="2"/>
      <c r="R39" s="19"/>
      <c r="S39" s="2"/>
      <c r="T39" s="2"/>
      <c r="U39" s="2"/>
      <c r="V39" s="19"/>
      <c r="W39" s="2"/>
      <c r="X39" s="2">
        <f t="shared" si="2"/>
        <v>-184.99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"4304", " - ", "SALES RETURN NON TAXABLE-DIGIT")</f>
        <v xml:space="preserve">          4304 - SALES RETURN NON TAXABLE-DIGIT</v>
      </c>
      <c r="C40" s="11"/>
      <c r="D40" s="2">
        <f>-398.87</f>
        <v>-398.87</v>
      </c>
      <c r="E40" s="2"/>
      <c r="F40" s="19"/>
      <c r="G40" s="2"/>
      <c r="H40" s="2"/>
      <c r="I40" s="2"/>
      <c r="J40" s="19"/>
      <c r="K40" s="2"/>
      <c r="L40" s="2">
        <f t="shared" si="0"/>
        <v>-398.87</v>
      </c>
      <c r="M40" s="2"/>
      <c r="N40" s="19">
        <f t="shared" si="1"/>
        <v>0</v>
      </c>
      <c r="O40" s="11"/>
      <c r="P40" s="2">
        <f>-19873.2</f>
        <v>-19873.2</v>
      </c>
      <c r="Q40" s="2"/>
      <c r="R40" s="19"/>
      <c r="S40" s="2"/>
      <c r="T40" s="2"/>
      <c r="U40" s="2"/>
      <c r="V40" s="19"/>
      <c r="W40" s="2"/>
      <c r="X40" s="2">
        <f t="shared" si="2"/>
        <v>-19873.2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"4311", " - ", "SALES RETURN NON TAXABLE-NO VA")</f>
        <v xml:space="preserve">          4311 - SALES RETURN NON TAXABLE-NO VA</v>
      </c>
      <c r="C41" s="11"/>
      <c r="D41" s="2">
        <f>-70.37</f>
        <v>-70.37</v>
      </c>
      <c r="E41" s="2"/>
      <c r="F41" s="19"/>
      <c r="G41" s="2"/>
      <c r="H41" s="2"/>
      <c r="I41" s="2"/>
      <c r="J41" s="19"/>
      <c r="K41" s="2"/>
      <c r="L41" s="2">
        <f t="shared" si="0"/>
        <v>-70.37</v>
      </c>
      <c r="M41" s="2"/>
      <c r="N41" s="19">
        <f t="shared" si="1"/>
        <v>0</v>
      </c>
      <c r="O41" s="11"/>
      <c r="P41" s="2">
        <f>-1011.65</f>
        <v>-1011.65</v>
      </c>
      <c r="Q41" s="2"/>
      <c r="R41" s="19"/>
      <c r="S41" s="2"/>
      <c r="T41" s="2"/>
      <c r="U41" s="2"/>
      <c r="V41" s="19"/>
      <c r="W41" s="2"/>
      <c r="X41" s="2">
        <f t="shared" si="2"/>
        <v>-1011.65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"4313", " - ", "SALES RETURN NON TAXABLE-TRADE")</f>
        <v xml:space="preserve">          4313 - SALES RETURN NON TAXABLE-TRADE</v>
      </c>
      <c r="C42" s="11"/>
      <c r="D42" s="2">
        <f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-2481.44</f>
        <v>-2481.44</v>
      </c>
      <c r="Q42" s="2"/>
      <c r="R42" s="19"/>
      <c r="S42" s="2"/>
      <c r="T42" s="2"/>
      <c r="U42" s="2"/>
      <c r="V42" s="19"/>
      <c r="W42" s="2"/>
      <c r="X42" s="2">
        <f t="shared" si="2"/>
        <v>-2481.44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8" t="s">
        <v>8</v>
      </c>
      <c r="C44" s="10"/>
      <c r="D44" s="4">
        <f>SUM(OSRRefD16x_0)</f>
        <v>91239.349999999991</v>
      </c>
      <c r="E44" s="4"/>
      <c r="F44" s="13">
        <f t="shared" ref="F44:F61" si="9">IF(D$12=0,0,D44/D$12)</f>
        <v>5.4810226349104694</v>
      </c>
      <c r="G44" s="4"/>
      <c r="H44" s="4">
        <f>SUM(OSRRefH16x_0)</f>
        <v>41349</v>
      </c>
      <c r="I44" s="4"/>
      <c r="J44" s="13">
        <f t="shared" ref="J44:J61" si="10">IF(H$12=0,0,H44/H$12)</f>
        <v>0.72130832969908421</v>
      </c>
      <c r="K44" s="4"/>
      <c r="L44" s="4">
        <f t="shared" ref="L44:L61" si="11">+D44-H44</f>
        <v>49890.349999999991</v>
      </c>
      <c r="M44" s="4"/>
      <c r="N44" s="13">
        <f t="shared" ref="N44:N61" si="12">IF(H44=0,0,L44/H44)</f>
        <v>1.2065672688577715</v>
      </c>
      <c r="O44" s="10"/>
      <c r="P44" s="4">
        <f>SUM(OSRRefP16x_0)</f>
        <v>2452116.4700000002</v>
      </c>
      <c r="Q44" s="4"/>
      <c r="R44" s="13">
        <f t="shared" ref="R44:R61" si="13">IF(P$12=0,0,P44/P$12)</f>
        <v>0.73240060791500439</v>
      </c>
      <c r="S44" s="4"/>
      <c r="T44" s="4">
        <f>SUM(OSRRefT16x_0)</f>
        <v>2477311</v>
      </c>
      <c r="U44" s="4"/>
      <c r="V44" s="13">
        <f t="shared" ref="V44:V61" si="14">IF(T$12=0,0,T44/T$12)</f>
        <v>0.71904427009334215</v>
      </c>
      <c r="W44" s="4"/>
      <c r="X44" s="4">
        <f t="shared" ref="X44:X61" si="15">+P44-T44</f>
        <v>-25194.529999999795</v>
      </c>
      <c r="Y44" s="4"/>
      <c r="Z44" s="13">
        <f t="shared" ref="Z44:Z61" si="16">IF(T44=0,0,X44/T44)</f>
        <v>-1.0170111867262445E-2</v>
      </c>
    </row>
    <row r="45" spans="1:26" s="24" customFormat="1" hidden="1" outlineLevel="1" x14ac:dyDescent="0.25">
      <c r="A45" s="44"/>
      <c r="B45" s="11" t="str">
        <f>CONCATENATE("          ", "5000", " - ", "PURCHASES @ COST")</f>
        <v xml:space="preserve">          5000 - PURCHASES @ COST</v>
      </c>
      <c r="C45" s="11"/>
      <c r="D45" s="2"/>
      <c r="E45" s="2"/>
      <c r="F45" s="19">
        <f t="shared" si="9"/>
        <v>0</v>
      </c>
      <c r="G45" s="2"/>
      <c r="H45" s="2">
        <v>41349</v>
      </c>
      <c r="I45" s="2"/>
      <c r="J45" s="19">
        <f t="shared" si="10"/>
        <v>0.72130832969908421</v>
      </c>
      <c r="K45" s="2"/>
      <c r="L45" s="2">
        <f t="shared" si="11"/>
        <v>-41349</v>
      </c>
      <c r="M45" s="2"/>
      <c r="N45" s="19">
        <f t="shared" si="12"/>
        <v>-1</v>
      </c>
      <c r="O45" s="11"/>
      <c r="P45" s="2"/>
      <c r="Q45" s="2"/>
      <c r="R45" s="19">
        <f t="shared" si="13"/>
        <v>0</v>
      </c>
      <c r="S45" s="2"/>
      <c r="T45" s="2">
        <v>2477311</v>
      </c>
      <c r="U45" s="2"/>
      <c r="V45" s="19">
        <f t="shared" si="14"/>
        <v>0.71904427009334215</v>
      </c>
      <c r="W45" s="2"/>
      <c r="X45" s="2">
        <f t="shared" si="15"/>
        <v>-2477311</v>
      </c>
      <c r="Y45" s="2"/>
      <c r="Z45" s="19">
        <f t="shared" si="16"/>
        <v>-1</v>
      </c>
    </row>
    <row r="46" spans="1:26" s="24" customFormat="1" hidden="1" outlineLevel="1" x14ac:dyDescent="0.25">
      <c r="A46" s="44"/>
      <c r="B46" s="11" t="str">
        <f>CONCATENATE("          ", "5001", " - ", "PURCHASES @ COST-NEW TEXT")</f>
        <v xml:space="preserve">          5001 - PURCHASES @ COST-NEW TEXT</v>
      </c>
      <c r="C46" s="11"/>
      <c r="D46" s="2">
        <v>20029.05</v>
      </c>
      <c r="E46" s="2"/>
      <c r="F46" s="19">
        <f t="shared" si="9"/>
        <v>1.203205375813764</v>
      </c>
      <c r="G46" s="2"/>
      <c r="H46" s="2"/>
      <c r="I46" s="2"/>
      <c r="J46" s="19">
        <f t="shared" si="10"/>
        <v>0</v>
      </c>
      <c r="K46" s="2"/>
      <c r="L46" s="2">
        <f t="shared" si="11"/>
        <v>20029.05</v>
      </c>
      <c r="M46" s="2"/>
      <c r="N46" s="19">
        <f t="shared" si="12"/>
        <v>0</v>
      </c>
      <c r="O46" s="11"/>
      <c r="P46" s="2">
        <v>1173925.31</v>
      </c>
      <c r="Q46" s="2"/>
      <c r="R46" s="19">
        <f t="shared" si="13"/>
        <v>0.35062918960403622</v>
      </c>
      <c r="S46" s="2"/>
      <c r="T46" s="2"/>
      <c r="U46" s="2"/>
      <c r="V46" s="19">
        <f t="shared" si="14"/>
        <v>0</v>
      </c>
      <c r="W46" s="2"/>
      <c r="X46" s="2">
        <f t="shared" si="15"/>
        <v>1173925.31</v>
      </c>
      <c r="Y46" s="2"/>
      <c r="Z46" s="19">
        <f t="shared" si="16"/>
        <v>0</v>
      </c>
    </row>
    <row r="47" spans="1:26" s="24" customFormat="1" hidden="1" outlineLevel="1" x14ac:dyDescent="0.25">
      <c r="A47" s="44"/>
      <c r="B47" s="11" t="str">
        <f>CONCATENATE("          ", "5002", " - ", "PURCHASES @ COST-USED TEXT")</f>
        <v xml:space="preserve">          5002 - PURCHASES @ COST-USED TEXT</v>
      </c>
      <c r="C47" s="11"/>
      <c r="D47" s="2">
        <v>121021.81</v>
      </c>
      <c r="E47" s="2"/>
      <c r="F47" s="19">
        <f t="shared" si="9"/>
        <v>7.2701447339095937</v>
      </c>
      <c r="G47" s="2"/>
      <c r="H47" s="2"/>
      <c r="I47" s="2"/>
      <c r="J47" s="19">
        <f t="shared" si="10"/>
        <v>0</v>
      </c>
      <c r="K47" s="2"/>
      <c r="L47" s="2">
        <f t="shared" si="11"/>
        <v>121021.81</v>
      </c>
      <c r="M47" s="2"/>
      <c r="N47" s="19">
        <f t="shared" si="12"/>
        <v>0</v>
      </c>
      <c r="O47" s="11"/>
      <c r="P47" s="2">
        <v>44226.77</v>
      </c>
      <c r="Q47" s="2"/>
      <c r="R47" s="19">
        <f t="shared" si="13"/>
        <v>1.3209696044379602E-2</v>
      </c>
      <c r="S47" s="2"/>
      <c r="T47" s="2"/>
      <c r="U47" s="2"/>
      <c r="V47" s="19">
        <f t="shared" si="14"/>
        <v>0</v>
      </c>
      <c r="W47" s="2"/>
      <c r="X47" s="2">
        <f t="shared" si="15"/>
        <v>44226.77</v>
      </c>
      <c r="Y47" s="2"/>
      <c r="Z47" s="19">
        <f t="shared" si="16"/>
        <v>0</v>
      </c>
    </row>
    <row r="48" spans="1:26" s="24" customFormat="1" hidden="1" outlineLevel="1" x14ac:dyDescent="0.25">
      <c r="A48" s="44"/>
      <c r="B48" s="11" t="str">
        <f>CONCATENATE("          ", "5003", " - ", "PURCHASES @ COST-RENTAL TEXT")</f>
        <v xml:space="preserve">          5003 - PURCHASES @ COST-RENTAL TEXT</v>
      </c>
      <c r="C48" s="11"/>
      <c r="D48" s="2">
        <v>24656.6</v>
      </c>
      <c r="E48" s="2"/>
      <c r="F48" s="19">
        <f t="shared" si="9"/>
        <v>1.4811962459172878</v>
      </c>
      <c r="G48" s="2"/>
      <c r="H48" s="2"/>
      <c r="I48" s="2"/>
      <c r="J48" s="19">
        <f t="shared" si="10"/>
        <v>0</v>
      </c>
      <c r="K48" s="2"/>
      <c r="L48" s="2">
        <f t="shared" si="11"/>
        <v>24656.6</v>
      </c>
      <c r="M48" s="2"/>
      <c r="N48" s="19">
        <f t="shared" si="12"/>
        <v>0</v>
      </c>
      <c r="O48" s="11"/>
      <c r="P48" s="2">
        <v>24578.2</v>
      </c>
      <c r="Q48" s="2"/>
      <c r="R48" s="19">
        <f t="shared" si="13"/>
        <v>7.3410414397879556E-3</v>
      </c>
      <c r="S48" s="2"/>
      <c r="T48" s="2"/>
      <c r="U48" s="2"/>
      <c r="V48" s="19">
        <f t="shared" si="14"/>
        <v>0</v>
      </c>
      <c r="W48" s="2"/>
      <c r="X48" s="2">
        <f t="shared" si="15"/>
        <v>24578.2</v>
      </c>
      <c r="Y48" s="2"/>
      <c r="Z48" s="19">
        <f t="shared" si="16"/>
        <v>0</v>
      </c>
    </row>
    <row r="49" spans="1:26" s="24" customFormat="1" hidden="1" outlineLevel="1" x14ac:dyDescent="0.25">
      <c r="A49" s="44"/>
      <c r="B49" s="11" t="str">
        <f>CONCATENATE("          ", "5004", " - ", "PURCHASES @ COST-DIGITAL TEXT")</f>
        <v xml:space="preserve">          5004 - PURCHASES @ COST-DIGITAL TEXT</v>
      </c>
      <c r="C49" s="11"/>
      <c r="D49" s="2">
        <v>5038.95</v>
      </c>
      <c r="E49" s="2"/>
      <c r="F49" s="19">
        <f t="shared" si="9"/>
        <v>0.30270490754462975</v>
      </c>
      <c r="G49" s="2"/>
      <c r="H49" s="2"/>
      <c r="I49" s="2"/>
      <c r="J49" s="19">
        <f t="shared" si="10"/>
        <v>0</v>
      </c>
      <c r="K49" s="2"/>
      <c r="L49" s="2">
        <f t="shared" si="11"/>
        <v>5038.95</v>
      </c>
      <c r="M49" s="2"/>
      <c r="N49" s="19">
        <f t="shared" si="12"/>
        <v>0</v>
      </c>
      <c r="O49" s="11"/>
      <c r="P49" s="2">
        <v>451308.6</v>
      </c>
      <c r="Q49" s="2"/>
      <c r="R49" s="19">
        <f t="shared" si="13"/>
        <v>0.1347973055281789</v>
      </c>
      <c r="S49" s="2"/>
      <c r="T49" s="2"/>
      <c r="U49" s="2"/>
      <c r="V49" s="19">
        <f t="shared" si="14"/>
        <v>0</v>
      </c>
      <c r="W49" s="2"/>
      <c r="X49" s="2">
        <f t="shared" si="15"/>
        <v>451308.6</v>
      </c>
      <c r="Y49" s="2"/>
      <c r="Z49" s="19">
        <f t="shared" si="16"/>
        <v>0</v>
      </c>
    </row>
    <row r="50" spans="1:26" s="24" customFormat="1" hidden="1" outlineLevel="1" x14ac:dyDescent="0.25">
      <c r="A50" s="44"/>
      <c r="B50" s="11" t="str">
        <f>CONCATENATE("          ", "5011", " - ", "PURCHASES @ COST-NO VALUE TEXT")</f>
        <v xml:space="preserve">          5011 - PURCHASES @ COST-NO VALUE TEXT</v>
      </c>
      <c r="C50" s="11"/>
      <c r="D50" s="2">
        <v>99</v>
      </c>
      <c r="E50" s="2"/>
      <c r="F50" s="19">
        <f t="shared" si="9"/>
        <v>5.9472282612286972E-3</v>
      </c>
      <c r="G50" s="2"/>
      <c r="H50" s="2"/>
      <c r="I50" s="2"/>
      <c r="J50" s="19">
        <f t="shared" si="10"/>
        <v>0</v>
      </c>
      <c r="K50" s="2"/>
      <c r="L50" s="2">
        <f t="shared" si="11"/>
        <v>99</v>
      </c>
      <c r="M50" s="2"/>
      <c r="N50" s="19">
        <f t="shared" si="12"/>
        <v>0</v>
      </c>
      <c r="O50" s="11"/>
      <c r="P50" s="2">
        <v>6462</v>
      </c>
      <c r="Q50" s="2"/>
      <c r="R50" s="19">
        <f t="shared" si="13"/>
        <v>1.9300766445024358E-3</v>
      </c>
      <c r="S50" s="2"/>
      <c r="T50" s="2"/>
      <c r="U50" s="2"/>
      <c r="V50" s="19">
        <f t="shared" si="14"/>
        <v>0</v>
      </c>
      <c r="W50" s="2"/>
      <c r="X50" s="2">
        <f t="shared" si="15"/>
        <v>6462</v>
      </c>
      <c r="Y50" s="2"/>
      <c r="Z50" s="19">
        <f t="shared" si="16"/>
        <v>0</v>
      </c>
    </row>
    <row r="51" spans="1:26" s="24" customFormat="1" hidden="1" outlineLevel="1" x14ac:dyDescent="0.25">
      <c r="A51" s="44"/>
      <c r="B51" s="11" t="str">
        <f>CONCATENATE("          ", "5013", " - ", "PURCHASES @ COST-TRADE BOOKS")</f>
        <v xml:space="preserve">          5013 - PURCHASES @ COST-TRADE BOOKS</v>
      </c>
      <c r="C51" s="11"/>
      <c r="D51" s="2">
        <v>-420.76</v>
      </c>
      <c r="E51" s="2"/>
      <c r="F51" s="19">
        <f t="shared" si="9"/>
        <v>-2.5276320840349361E-2</v>
      </c>
      <c r="G51" s="2"/>
      <c r="H51" s="2"/>
      <c r="I51" s="2"/>
      <c r="J51" s="19">
        <f t="shared" si="10"/>
        <v>0</v>
      </c>
      <c r="K51" s="2"/>
      <c r="L51" s="2">
        <f t="shared" si="11"/>
        <v>-420.76</v>
      </c>
      <c r="M51" s="2"/>
      <c r="N51" s="19">
        <f t="shared" si="12"/>
        <v>0</v>
      </c>
      <c r="O51" s="11"/>
      <c r="P51" s="2">
        <v>2777.09</v>
      </c>
      <c r="Q51" s="2"/>
      <c r="R51" s="19">
        <f t="shared" si="13"/>
        <v>8.2946402796058027E-4</v>
      </c>
      <c r="S51" s="2"/>
      <c r="T51" s="2"/>
      <c r="U51" s="2"/>
      <c r="V51" s="19">
        <f t="shared" si="14"/>
        <v>0</v>
      </c>
      <c r="W51" s="2"/>
      <c r="X51" s="2">
        <f t="shared" si="15"/>
        <v>2777.09</v>
      </c>
      <c r="Y51" s="2"/>
      <c r="Z51" s="19">
        <f t="shared" si="16"/>
        <v>0</v>
      </c>
    </row>
    <row r="52" spans="1:26" s="24" customFormat="1" hidden="1" outlineLevel="1" x14ac:dyDescent="0.25">
      <c r="A52" s="44"/>
      <c r="B52" s="11" t="str">
        <f>CONCATENATE("          ", "5014", " - ", "PURCHASES @ COST-REMAINDERS")</f>
        <v xml:space="preserve">          5014 - PURCHASES @ COST-REMAINDERS</v>
      </c>
      <c r="C52" s="11"/>
      <c r="D52" s="2">
        <v>132</v>
      </c>
      <c r="E52" s="2"/>
      <c r="F52" s="19">
        <f t="shared" si="9"/>
        <v>7.929637681638263E-3</v>
      </c>
      <c r="G52" s="2"/>
      <c r="H52" s="2"/>
      <c r="I52" s="2"/>
      <c r="J52" s="19">
        <f t="shared" si="10"/>
        <v>0</v>
      </c>
      <c r="K52" s="2"/>
      <c r="L52" s="2">
        <f t="shared" si="11"/>
        <v>132</v>
      </c>
      <c r="M52" s="2"/>
      <c r="N52" s="19">
        <f t="shared" si="12"/>
        <v>0</v>
      </c>
      <c r="O52" s="11"/>
      <c r="P52" s="2">
        <v>732.61</v>
      </c>
      <c r="Q52" s="2"/>
      <c r="R52" s="19">
        <f t="shared" si="13"/>
        <v>2.1881668996114663E-4</v>
      </c>
      <c r="S52" s="2"/>
      <c r="T52" s="2"/>
      <c r="U52" s="2"/>
      <c r="V52" s="19">
        <f t="shared" si="14"/>
        <v>0</v>
      </c>
      <c r="W52" s="2"/>
      <c r="X52" s="2">
        <f t="shared" si="15"/>
        <v>732.61</v>
      </c>
      <c r="Y52" s="2"/>
      <c r="Z52" s="19">
        <f t="shared" si="16"/>
        <v>0</v>
      </c>
    </row>
    <row r="53" spans="1:26" s="24" customFormat="1" hidden="1" outlineLevel="1" x14ac:dyDescent="0.25">
      <c r="A53" s="44"/>
      <c r="B53" s="11" t="str">
        <f>CONCATENATE("          ", "5018", " - ", "PURCHASES @ COST-STUDY GUIDES")</f>
        <v xml:space="preserve">          5018 - PURCHASES @ COST-STUDY GUIDES</v>
      </c>
      <c r="C53" s="11"/>
      <c r="D53" s="2">
        <v>-249.38</v>
      </c>
      <c r="E53" s="2"/>
      <c r="F53" s="19">
        <f t="shared" si="9"/>
        <v>-1.4981007917022348E-2</v>
      </c>
      <c r="G53" s="2"/>
      <c r="H53" s="2"/>
      <c r="I53" s="2"/>
      <c r="J53" s="19">
        <f t="shared" si="10"/>
        <v>0</v>
      </c>
      <c r="K53" s="2"/>
      <c r="L53" s="2">
        <f t="shared" si="11"/>
        <v>-249.38</v>
      </c>
      <c r="M53" s="2"/>
      <c r="N53" s="19">
        <f t="shared" si="12"/>
        <v>0</v>
      </c>
      <c r="O53" s="11"/>
      <c r="P53" s="2">
        <v>-454.52</v>
      </c>
      <c r="Q53" s="2"/>
      <c r="R53" s="19">
        <f t="shared" si="13"/>
        <v>-1.3575648970276185E-4</v>
      </c>
      <c r="S53" s="2"/>
      <c r="T53" s="2"/>
      <c r="U53" s="2"/>
      <c r="V53" s="19">
        <f t="shared" si="14"/>
        <v>0</v>
      </c>
      <c r="W53" s="2"/>
      <c r="X53" s="2">
        <f t="shared" si="15"/>
        <v>-454.52</v>
      </c>
      <c r="Y53" s="2"/>
      <c r="Z53" s="19">
        <f t="shared" si="16"/>
        <v>0</v>
      </c>
    </row>
    <row r="54" spans="1:26" s="24" customFormat="1" hidden="1" outlineLevel="1" x14ac:dyDescent="0.25">
      <c r="A54" s="44"/>
      <c r="B54" s="11" t="str">
        <f>CONCATENATE("          ", "5200", " - ", "PURCHASES OFFSET")</f>
        <v xml:space="preserve">          5200 - PURCHASES OFFSET</v>
      </c>
      <c r="C54" s="11"/>
      <c r="D54" s="2">
        <v>-173310</v>
      </c>
      <c r="E54" s="2"/>
      <c r="F54" s="19">
        <f t="shared" si="9"/>
        <v>-10.411253837914602</v>
      </c>
      <c r="G54" s="2"/>
      <c r="H54" s="2"/>
      <c r="I54" s="2"/>
      <c r="J54" s="19">
        <f t="shared" si="10"/>
        <v>0</v>
      </c>
      <c r="K54" s="2"/>
      <c r="L54" s="2">
        <f t="shared" si="11"/>
        <v>-173310</v>
      </c>
      <c r="M54" s="2"/>
      <c r="N54" s="19">
        <f t="shared" si="12"/>
        <v>0</v>
      </c>
      <c r="O54" s="11"/>
      <c r="P54" s="2">
        <v>-1792162</v>
      </c>
      <c r="Q54" s="2"/>
      <c r="R54" s="19">
        <f t="shared" si="13"/>
        <v>-0.53528474456279396</v>
      </c>
      <c r="S54" s="2"/>
      <c r="T54" s="2"/>
      <c r="U54" s="2"/>
      <c r="V54" s="19">
        <f t="shared" si="14"/>
        <v>0</v>
      </c>
      <c r="W54" s="2"/>
      <c r="X54" s="2">
        <f t="shared" si="15"/>
        <v>-1792162</v>
      </c>
      <c r="Y54" s="2"/>
      <c r="Z54" s="19">
        <f t="shared" si="16"/>
        <v>0</v>
      </c>
    </row>
    <row r="55" spans="1:26" s="24" customFormat="1" hidden="1" outlineLevel="1" x14ac:dyDescent="0.25">
      <c r="A55" s="44"/>
      <c r="B55" s="11" t="str">
        <f>CONCATENATE("          ", "5300", " - ", "COG$ OFFSET")</f>
        <v xml:space="preserve">          5300 - COG$ OFFSET</v>
      </c>
      <c r="C55" s="11"/>
      <c r="D55" s="2">
        <v>91172.53</v>
      </c>
      <c r="E55" s="2"/>
      <c r="F55" s="19">
        <f t="shared" si="9"/>
        <v>5.4770085561992046</v>
      </c>
      <c r="G55" s="2"/>
      <c r="H55" s="2"/>
      <c r="I55" s="2"/>
      <c r="J55" s="19">
        <f t="shared" si="10"/>
        <v>0</v>
      </c>
      <c r="K55" s="2"/>
      <c r="L55" s="2">
        <f t="shared" si="11"/>
        <v>91172.53</v>
      </c>
      <c r="M55" s="2"/>
      <c r="N55" s="19">
        <f t="shared" si="12"/>
        <v>0</v>
      </c>
      <c r="O55" s="11"/>
      <c r="P55" s="2">
        <v>2452013</v>
      </c>
      <c r="Q55" s="2"/>
      <c r="R55" s="19">
        <f t="shared" si="13"/>
        <v>0.73236970339157403</v>
      </c>
      <c r="S55" s="2"/>
      <c r="T55" s="2"/>
      <c r="U55" s="2"/>
      <c r="V55" s="19">
        <f t="shared" si="14"/>
        <v>0</v>
      </c>
      <c r="W55" s="2"/>
      <c r="X55" s="2">
        <f t="shared" si="15"/>
        <v>2452013</v>
      </c>
      <c r="Y55" s="2"/>
      <c r="Z55" s="19">
        <f t="shared" si="16"/>
        <v>0</v>
      </c>
    </row>
    <row r="56" spans="1:26" s="24" customFormat="1" hidden="1" outlineLevel="1" x14ac:dyDescent="0.25">
      <c r="A56" s="44"/>
      <c r="B56" s="11" t="str">
        <f>CONCATENATE("          ", "5500", " - ", "FREIGHT-IN")</f>
        <v xml:space="preserve">          5500 - FREIGHT-IN</v>
      </c>
      <c r="C56" s="11"/>
      <c r="D56" s="2">
        <v>67.13</v>
      </c>
      <c r="E56" s="2"/>
      <c r="F56" s="19">
        <f t="shared" si="9"/>
        <v>4.0327013452149743E-3</v>
      </c>
      <c r="G56" s="2"/>
      <c r="H56" s="2"/>
      <c r="I56" s="2"/>
      <c r="J56" s="19">
        <f t="shared" si="10"/>
        <v>0</v>
      </c>
      <c r="K56" s="2"/>
      <c r="L56" s="2">
        <f t="shared" si="11"/>
        <v>67.13</v>
      </c>
      <c r="M56" s="2"/>
      <c r="N56" s="19">
        <f t="shared" si="12"/>
        <v>0</v>
      </c>
      <c r="O56" s="11"/>
      <c r="P56" s="2">
        <v>108.38</v>
      </c>
      <c r="Q56" s="2"/>
      <c r="R56" s="19">
        <f t="shared" si="13"/>
        <v>3.2371047157408538E-5</v>
      </c>
      <c r="S56" s="2"/>
      <c r="T56" s="2"/>
      <c r="U56" s="2"/>
      <c r="V56" s="19">
        <f t="shared" si="14"/>
        <v>0</v>
      </c>
      <c r="W56" s="2"/>
      <c r="X56" s="2">
        <f t="shared" si="15"/>
        <v>108.38</v>
      </c>
      <c r="Y56" s="2"/>
      <c r="Z56" s="19">
        <f t="shared" si="16"/>
        <v>0</v>
      </c>
    </row>
    <row r="57" spans="1:26" s="24" customFormat="1" hidden="1" outlineLevel="1" x14ac:dyDescent="0.25">
      <c r="A57" s="44"/>
      <c r="B57" s="11" t="str">
        <f>CONCATENATE("          ", "5501", " - ", "FREIGHT-IN-NEW TEXT")</f>
        <v xml:space="preserve">          5501 - FREIGHT-IN-NEW TEXT</v>
      </c>
      <c r="C57" s="11"/>
      <c r="D57" s="2">
        <v>2483.06</v>
      </c>
      <c r="E57" s="2"/>
      <c r="F57" s="19">
        <f t="shared" si="9"/>
        <v>0.14916489501339927</v>
      </c>
      <c r="G57" s="2"/>
      <c r="H57" s="2"/>
      <c r="I57" s="2"/>
      <c r="J57" s="19">
        <f t="shared" si="10"/>
        <v>0</v>
      </c>
      <c r="K57" s="2"/>
      <c r="L57" s="2">
        <f t="shared" si="11"/>
        <v>2483.06</v>
      </c>
      <c r="M57" s="2"/>
      <c r="N57" s="19">
        <f t="shared" si="12"/>
        <v>0</v>
      </c>
      <c r="O57" s="11"/>
      <c r="P57" s="2">
        <v>72230.790000000008</v>
      </c>
      <c r="Q57" s="2"/>
      <c r="R57" s="19">
        <f t="shared" si="13"/>
        <v>2.1573964839517196E-2</v>
      </c>
      <c r="S57" s="2"/>
      <c r="T57" s="2"/>
      <c r="U57" s="2"/>
      <c r="V57" s="19">
        <f t="shared" si="14"/>
        <v>0</v>
      </c>
      <c r="W57" s="2"/>
      <c r="X57" s="2">
        <f t="shared" si="15"/>
        <v>72230.790000000008</v>
      </c>
      <c r="Y57" s="2"/>
      <c r="Z57" s="19">
        <f t="shared" si="16"/>
        <v>0</v>
      </c>
    </row>
    <row r="58" spans="1:26" s="24" customFormat="1" hidden="1" outlineLevel="1" x14ac:dyDescent="0.25">
      <c r="A58" s="44"/>
      <c r="B58" s="11" t="str">
        <f>CONCATENATE("          ", "5502", " - ", "FREIGHT-IN-USED TEXT")</f>
        <v xml:space="preserve">          5502 - FREIGHT-IN-USED TEXT</v>
      </c>
      <c r="C58" s="11"/>
      <c r="D58" s="2">
        <v>519.36</v>
      </c>
      <c r="E58" s="2"/>
      <c r="F58" s="19">
        <f t="shared" si="9"/>
        <v>3.1199519896482186E-2</v>
      </c>
      <c r="G58" s="2"/>
      <c r="H58" s="2"/>
      <c r="I58" s="2"/>
      <c r="J58" s="19">
        <f t="shared" si="10"/>
        <v>0</v>
      </c>
      <c r="K58" s="2"/>
      <c r="L58" s="2">
        <f t="shared" si="11"/>
        <v>519.36</v>
      </c>
      <c r="M58" s="2"/>
      <c r="N58" s="19">
        <f t="shared" si="12"/>
        <v>0</v>
      </c>
      <c r="O58" s="11"/>
      <c r="P58" s="2">
        <v>16200.12</v>
      </c>
      <c r="Q58" s="2"/>
      <c r="R58" s="19">
        <f t="shared" si="13"/>
        <v>4.8386680981332099E-3</v>
      </c>
      <c r="S58" s="2"/>
      <c r="T58" s="2"/>
      <c r="U58" s="2"/>
      <c r="V58" s="19">
        <f t="shared" si="14"/>
        <v>0</v>
      </c>
      <c r="W58" s="2"/>
      <c r="X58" s="2">
        <f t="shared" si="15"/>
        <v>16200.12</v>
      </c>
      <c r="Y58" s="2"/>
      <c r="Z58" s="19">
        <f t="shared" si="16"/>
        <v>0</v>
      </c>
    </row>
    <row r="59" spans="1:26" s="24" customFormat="1" hidden="1" outlineLevel="1" x14ac:dyDescent="0.25">
      <c r="A59" s="44"/>
      <c r="B59" s="11" t="str">
        <f>CONCATENATE("          ", "5504", " - ", "FREIGHT-IN-DIGITAL TEXT")</f>
        <v xml:space="preserve">          5504 - FREIGHT-IN-DIGITAL TEXT</v>
      </c>
      <c r="C59" s="11"/>
      <c r="D59" s="2"/>
      <c r="E59" s="2"/>
      <c r="F59" s="19">
        <f t="shared" si="9"/>
        <v>0</v>
      </c>
      <c r="G59" s="2"/>
      <c r="H59" s="2"/>
      <c r="I59" s="2"/>
      <c r="J59" s="19">
        <f t="shared" si="10"/>
        <v>0</v>
      </c>
      <c r="K59" s="2"/>
      <c r="L59" s="2">
        <f t="shared" si="11"/>
        <v>0</v>
      </c>
      <c r="M59" s="2"/>
      <c r="N59" s="19">
        <f t="shared" si="12"/>
        <v>0</v>
      </c>
      <c r="O59" s="11"/>
      <c r="P59" s="2">
        <v>118.75</v>
      </c>
      <c r="Q59" s="2"/>
      <c r="R59" s="19">
        <f t="shared" si="13"/>
        <v>3.5468369163519693E-5</v>
      </c>
      <c r="S59" s="2"/>
      <c r="T59" s="2"/>
      <c r="U59" s="2"/>
      <c r="V59" s="19">
        <f t="shared" si="14"/>
        <v>0</v>
      </c>
      <c r="W59" s="2"/>
      <c r="X59" s="2">
        <f t="shared" si="15"/>
        <v>118.75</v>
      </c>
      <c r="Y59" s="2"/>
      <c r="Z59" s="19">
        <f t="shared" si="16"/>
        <v>0</v>
      </c>
    </row>
    <row r="60" spans="1:26" s="24" customFormat="1" hidden="1" outlineLevel="1" x14ac:dyDescent="0.25">
      <c r="A60" s="44"/>
      <c r="B60" s="11" t="str">
        <f>CONCATENATE("          ", "5513", " - ", "FREIGHT-IN-TRADE BOOKS")</f>
        <v xml:space="preserve">          5513 - FREIGHT-IN-TRADE BOOKS</v>
      </c>
      <c r="C60" s="11"/>
      <c r="D60" s="2"/>
      <c r="E60" s="2"/>
      <c r="F60" s="19">
        <f t="shared" si="9"/>
        <v>0</v>
      </c>
      <c r="G60" s="2"/>
      <c r="H60" s="2"/>
      <c r="I60" s="2"/>
      <c r="J60" s="19">
        <f t="shared" si="10"/>
        <v>0</v>
      </c>
      <c r="K60" s="2"/>
      <c r="L60" s="2">
        <f t="shared" si="11"/>
        <v>0</v>
      </c>
      <c r="M60" s="2"/>
      <c r="N60" s="19">
        <f t="shared" si="12"/>
        <v>0</v>
      </c>
      <c r="O60" s="11"/>
      <c r="P60" s="2">
        <v>30.24</v>
      </c>
      <c r="Q60" s="2"/>
      <c r="R60" s="19">
        <f t="shared" si="13"/>
        <v>9.0321135453038771E-6</v>
      </c>
      <c r="S60" s="2"/>
      <c r="T60" s="2"/>
      <c r="U60" s="2"/>
      <c r="V60" s="19">
        <f t="shared" si="14"/>
        <v>0</v>
      </c>
      <c r="W60" s="2"/>
      <c r="X60" s="2">
        <f t="shared" si="15"/>
        <v>30.24</v>
      </c>
      <c r="Y60" s="2"/>
      <c r="Z60" s="19">
        <f t="shared" si="16"/>
        <v>0</v>
      </c>
    </row>
    <row r="61" spans="1:26" s="24" customFormat="1" hidden="1" outlineLevel="1" x14ac:dyDescent="0.25">
      <c r="A61" s="44"/>
      <c r="B61" s="11" t="str">
        <f>CONCATENATE("          ", "5518", " - ", "FREIGHT-IN-STUDY GUIDES")</f>
        <v xml:space="preserve">          5518 - FREIGHT-IN-STUDY GUIDES</v>
      </c>
      <c r="C61" s="11"/>
      <c r="D61" s="2"/>
      <c r="E61" s="2"/>
      <c r="F61" s="19">
        <f t="shared" si="9"/>
        <v>0</v>
      </c>
      <c r="G61" s="2"/>
      <c r="H61" s="2"/>
      <c r="I61" s="2"/>
      <c r="J61" s="19">
        <f t="shared" si="10"/>
        <v>0</v>
      </c>
      <c r="K61" s="2"/>
      <c r="L61" s="2">
        <f t="shared" si="11"/>
        <v>0</v>
      </c>
      <c r="M61" s="2"/>
      <c r="N61" s="19">
        <f t="shared" si="12"/>
        <v>0</v>
      </c>
      <c r="O61" s="11"/>
      <c r="P61" s="2">
        <v>21.13</v>
      </c>
      <c r="Q61" s="2"/>
      <c r="R61" s="19">
        <f t="shared" si="13"/>
        <v>6.3111296035803882E-6</v>
      </c>
      <c r="S61" s="2"/>
      <c r="T61" s="2"/>
      <c r="U61" s="2"/>
      <c r="V61" s="19">
        <f t="shared" si="14"/>
        <v>0</v>
      </c>
      <c r="W61" s="2"/>
      <c r="X61" s="2">
        <f t="shared" si="15"/>
        <v>21.13</v>
      </c>
      <c r="Y61" s="2"/>
      <c r="Z61" s="19">
        <f t="shared" si="16"/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6</v>
      </c>
      <c r="C63" s="29"/>
      <c r="D63" s="22">
        <f>D12-D44</f>
        <v>-74592.939999999988</v>
      </c>
      <c r="E63" s="14"/>
      <c r="F63" s="20">
        <f>IF(D$12=0,0,D63/D$12)</f>
        <v>-4.4810226349104694</v>
      </c>
      <c r="G63" s="14"/>
      <c r="H63" s="22">
        <f>H12-H44</f>
        <v>15976</v>
      </c>
      <c r="I63" s="14"/>
      <c r="J63" s="20">
        <f>IF(H$12=0,0,H63/H$12)</f>
        <v>0.27869167030091585</v>
      </c>
      <c r="K63" s="15"/>
      <c r="L63" s="22">
        <f>+D63-H63</f>
        <v>-90568.939999999988</v>
      </c>
      <c r="M63" s="15"/>
      <c r="N63" s="20">
        <f>IF(H63=0,0,L63/H63)</f>
        <v>-5.6690623435152725</v>
      </c>
      <c r="O63" s="28"/>
      <c r="P63" s="22">
        <f>P12-P44</f>
        <v>895937.09999999916</v>
      </c>
      <c r="Q63" s="14"/>
      <c r="R63" s="20">
        <f>IF(P$12=0,0,P63/P$12)</f>
        <v>0.26759939208499561</v>
      </c>
      <c r="S63" s="14"/>
      <c r="T63" s="22">
        <f>T12-T44</f>
        <v>967972</v>
      </c>
      <c r="U63" s="14"/>
      <c r="V63" s="20">
        <f>IF(T$12=0,0,T63/T$12)</f>
        <v>0.2809557299066579</v>
      </c>
      <c r="W63" s="15"/>
      <c r="X63" s="22">
        <f>+P63-T63</f>
        <v>-72034.900000000838</v>
      </c>
      <c r="Y63" s="15"/>
      <c r="Z63" s="20">
        <f>IF(T63=0,0,X63/T63)</f>
        <v>-7.4418371605791123E-2</v>
      </c>
    </row>
    <row r="64" spans="1:26" x14ac:dyDescent="0.25">
      <c r="A64" s="9"/>
      <c r="B64" s="10"/>
      <c r="C64" s="9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8" t="s">
        <v>9</v>
      </c>
      <c r="C65" s="10"/>
      <c r="D65" s="21">
        <f>SUM(OSRRefD22x_0)</f>
        <v>3082.3200000000061</v>
      </c>
      <c r="E65" s="21"/>
      <c r="F65" s="32">
        <f t="shared" ref="F65:F76" si="17">IF(D$12=0,0,D65/D$12)</f>
        <v>0.18516424862778258</v>
      </c>
      <c r="G65" s="21"/>
      <c r="H65" s="21">
        <f>SUM(OSRRefH22x_0)</f>
        <v>98263.491895547864</v>
      </c>
      <c r="I65" s="21"/>
      <c r="J65" s="32">
        <f t="shared" ref="J65:J76" si="18">IF(H$12=0,0,H65/H$12)</f>
        <v>1.7141472637688244</v>
      </c>
      <c r="K65" s="4"/>
      <c r="L65" s="21">
        <f t="shared" ref="L65:L76" si="19">+D65-H65</f>
        <v>-95181.171895547857</v>
      </c>
      <c r="M65" s="4"/>
      <c r="N65" s="32">
        <f t="shared" ref="N65:N76" si="20">IF(H65=0,0,L65/H65)</f>
        <v>-0.96863209376605042</v>
      </c>
      <c r="O65" s="10"/>
      <c r="P65" s="21">
        <f>SUM(OSRRefP22x_0)</f>
        <v>512310.92000000004</v>
      </c>
      <c r="Q65" s="21"/>
      <c r="R65" s="32">
        <f t="shared" ref="R65:R76" si="21">IF(P$12=0,0,P65/P$12)</f>
        <v>0.15301753968052553</v>
      </c>
      <c r="S65" s="21"/>
      <c r="T65" s="21">
        <f>SUM(OSRRefT22x_0)</f>
        <v>727052.11861814698</v>
      </c>
      <c r="U65" s="21"/>
      <c r="V65" s="32">
        <f t="shared" ref="V65:V76" si="22">IF(T$12=0,0,T65/T$12)</f>
        <v>0.21102827216752498</v>
      </c>
      <c r="W65" s="4"/>
      <c r="X65" s="21">
        <f t="shared" ref="X65:X76" si="23">+P65-T65</f>
        <v>-214741.19861814694</v>
      </c>
      <c r="Y65" s="4"/>
      <c r="Z65" s="32">
        <f t="shared" ref="Z65:Z76" si="24">IF(T65=0,0,X65/T65)</f>
        <v>-0.29535874130494155</v>
      </c>
    </row>
    <row r="66" spans="1:26" s="26" customFormat="1" outlineLevel="1" collapsed="1" x14ac:dyDescent="0.25">
      <c r="A66" s="25"/>
      <c r="B66" s="12" t="str">
        <f>CONCATENATE("     ","*Benefits                                         ")</f>
        <v xml:space="preserve">     *Benefits                                         </v>
      </c>
      <c r="C66" s="12"/>
      <c r="D66" s="1">
        <f>SUM(OSRRefD22_0x_0)</f>
        <v>9832.65</v>
      </c>
      <c r="E66" s="1"/>
      <c r="F66" s="5">
        <f t="shared" si="17"/>
        <v>0.59067690871485201</v>
      </c>
      <c r="G66" s="1"/>
      <c r="H66" s="1">
        <f>SUM(OSRRefH22_0x_0)</f>
        <v>12368.559679824772</v>
      </c>
      <c r="I66" s="1"/>
      <c r="J66" s="5">
        <f t="shared" si="18"/>
        <v>0.21576205285346309</v>
      </c>
      <c r="K66" s="1"/>
      <c r="L66" s="1">
        <f t="shared" si="19"/>
        <v>-2535.909679824772</v>
      </c>
      <c r="M66" s="1"/>
      <c r="N66" s="5">
        <f t="shared" si="20"/>
        <v>-0.20502869739645374</v>
      </c>
      <c r="O66" s="12"/>
      <c r="P66" s="1">
        <f>SUM(OSRRefP22_0x_0)</f>
        <v>126499.94000000002</v>
      </c>
      <c r="Q66" s="1"/>
      <c r="R66" s="5">
        <f t="shared" si="21"/>
        <v>3.7783129019647088E-2</v>
      </c>
      <c r="S66" s="1"/>
      <c r="T66" s="1">
        <f>SUM(OSRRefT22_0x_0)</f>
        <v>153402.93081374699</v>
      </c>
      <c r="U66" s="1"/>
      <c r="V66" s="5">
        <f t="shared" si="22"/>
        <v>4.4525494948817558E-2</v>
      </c>
      <c r="W66" s="1"/>
      <c r="X66" s="1">
        <f t="shared" si="23"/>
        <v>-26902.990813746976</v>
      </c>
      <c r="Y66" s="1"/>
      <c r="Z66" s="5">
        <f t="shared" si="24"/>
        <v>-0.17537468594006875</v>
      </c>
    </row>
    <row r="67" spans="1:26" s="24" customFormat="1" hidden="1" outlineLevel="2" x14ac:dyDescent="0.25">
      <c r="A67" s="27"/>
      <c r="B67" s="11" t="str">
        <f>CONCATENATE("          ", "6111", " - ", "F.I.C.A.")</f>
        <v xml:space="preserve">          6111 - F.I.C.A.</v>
      </c>
      <c r="C67" s="11"/>
      <c r="D67" s="6">
        <v>1850.99</v>
      </c>
      <c r="E67" s="2"/>
      <c r="F67" s="7">
        <f t="shared" si="17"/>
        <v>0.11119454585102734</v>
      </c>
      <c r="G67" s="2"/>
      <c r="H67" s="6">
        <v>1961.5487858986201</v>
      </c>
      <c r="I67" s="2"/>
      <c r="J67" s="7">
        <f t="shared" si="18"/>
        <v>3.4218033770582121E-2</v>
      </c>
      <c r="K67" s="2"/>
      <c r="L67" s="6">
        <f t="shared" si="19"/>
        <v>-110.55878589862004</v>
      </c>
      <c r="M67" s="2"/>
      <c r="N67" s="7">
        <f t="shared" si="20"/>
        <v>-5.6363005953976884E-2</v>
      </c>
      <c r="O67" s="11"/>
      <c r="P67" s="6">
        <v>21700.400000000001</v>
      </c>
      <c r="Q67" s="2"/>
      <c r="R67" s="7">
        <f t="shared" si="21"/>
        <v>6.481497247966676E-3</v>
      </c>
      <c r="S67" s="2"/>
      <c r="T67" s="6">
        <v>22277.939012307041</v>
      </c>
      <c r="U67" s="2"/>
      <c r="V67" s="7">
        <f t="shared" si="22"/>
        <v>6.4662145351505346E-3</v>
      </c>
      <c r="W67" s="2"/>
      <c r="X67" s="6">
        <f t="shared" si="23"/>
        <v>-577.53901230703923</v>
      </c>
      <c r="Y67" s="2"/>
      <c r="Z67" s="7">
        <f t="shared" si="24"/>
        <v>-2.5924256816933933E-2</v>
      </c>
    </row>
    <row r="68" spans="1:26" s="24" customFormat="1" hidden="1" outlineLevel="2" x14ac:dyDescent="0.25">
      <c r="A68" s="27"/>
      <c r="B68" s="11" t="str">
        <f>CONCATENATE("          ", "6112", " - ", "COMPENSATION INSURANCE")</f>
        <v xml:space="preserve">          6112 - COMPENSATION INSURANCE</v>
      </c>
      <c r="C68" s="11"/>
      <c r="D68" s="6">
        <v>154.72</v>
      </c>
      <c r="E68" s="2"/>
      <c r="F68" s="7">
        <f t="shared" si="17"/>
        <v>9.2944965310838793E-3</v>
      </c>
      <c r="G68" s="2"/>
      <c r="H68" s="6">
        <v>557.54491450769206</v>
      </c>
      <c r="I68" s="2"/>
      <c r="J68" s="7">
        <f t="shared" si="18"/>
        <v>9.7260342696501006E-3</v>
      </c>
      <c r="K68" s="2"/>
      <c r="L68" s="6">
        <f t="shared" si="19"/>
        <v>-402.82491450769203</v>
      </c>
      <c r="M68" s="2"/>
      <c r="N68" s="7">
        <f t="shared" si="20"/>
        <v>-0.72249769305739853</v>
      </c>
      <c r="O68" s="11"/>
      <c r="P68" s="6">
        <v>1246.55</v>
      </c>
      <c r="Q68" s="2"/>
      <c r="R68" s="7">
        <f t="shared" si="21"/>
        <v>3.7232080489082504E-4</v>
      </c>
      <c r="S68" s="2"/>
      <c r="T68" s="6">
        <v>7253.4051995999962</v>
      </c>
      <c r="U68" s="2"/>
      <c r="V68" s="7">
        <f t="shared" si="22"/>
        <v>2.105314773735567E-3</v>
      </c>
      <c r="W68" s="2"/>
      <c r="X68" s="6">
        <f t="shared" si="23"/>
        <v>-6006.855199599996</v>
      </c>
      <c r="Y68" s="2"/>
      <c r="Z68" s="7">
        <f t="shared" si="24"/>
        <v>-0.82814278732577307</v>
      </c>
    </row>
    <row r="69" spans="1:26" s="24" customFormat="1" hidden="1" outlineLevel="2" x14ac:dyDescent="0.25">
      <c r="A69" s="27"/>
      <c r="B69" s="11" t="str">
        <f>CONCATENATE("          ", "6113", " - ", "GROUP INSURANCE")</f>
        <v xml:space="preserve">          6113 - GROUP INSURANCE</v>
      </c>
      <c r="C69" s="11"/>
      <c r="D69" s="6">
        <v>4248.21</v>
      </c>
      <c r="E69" s="2"/>
      <c r="F69" s="7">
        <f t="shared" si="17"/>
        <v>0.25520277345085218</v>
      </c>
      <c r="G69" s="2"/>
      <c r="H69" s="6">
        <v>5311.7692307692296</v>
      </c>
      <c r="I69" s="2"/>
      <c r="J69" s="7">
        <f t="shared" si="18"/>
        <v>9.2660605857291398E-2</v>
      </c>
      <c r="K69" s="2"/>
      <c r="L69" s="6">
        <f t="shared" si="19"/>
        <v>-1063.5592307692295</v>
      </c>
      <c r="M69" s="2"/>
      <c r="N69" s="7">
        <f t="shared" si="20"/>
        <v>-0.20022692714291901</v>
      </c>
      <c r="O69" s="11"/>
      <c r="P69" s="6">
        <v>50500.68</v>
      </c>
      <c r="Q69" s="2"/>
      <c r="R69" s="7">
        <f t="shared" si="21"/>
        <v>1.5083593778937058E-2</v>
      </c>
      <c r="S69" s="2"/>
      <c r="T69" s="6">
        <v>65628</v>
      </c>
      <c r="U69" s="2"/>
      <c r="V69" s="7">
        <f t="shared" si="22"/>
        <v>1.904865289730916E-2</v>
      </c>
      <c r="W69" s="2"/>
      <c r="X69" s="6">
        <f t="shared" si="23"/>
        <v>-15127.32</v>
      </c>
      <c r="Y69" s="2"/>
      <c r="Z69" s="7">
        <f t="shared" si="24"/>
        <v>-0.2305010056683123</v>
      </c>
    </row>
    <row r="70" spans="1:26" s="24" customFormat="1" hidden="1" outlineLevel="2" x14ac:dyDescent="0.25">
      <c r="A70" s="27"/>
      <c r="B70" s="11" t="str">
        <f>CONCATENATE("          ", "6114", " - ", "STATE UNEMPLOYMENT INSURANCE")</f>
        <v xml:space="preserve">          6114 - STATE UNEMPLOYMENT INSURANCE</v>
      </c>
      <c r="C70" s="11"/>
      <c r="D70" s="6">
        <v>-745.41</v>
      </c>
      <c r="E70" s="2"/>
      <c r="F70" s="7">
        <f t="shared" si="17"/>
        <v>-4.4779024426287707E-2</v>
      </c>
      <c r="G70" s="2"/>
      <c r="H70" s="6">
        <v>76.295619880000004</v>
      </c>
      <c r="I70" s="2"/>
      <c r="J70" s="7">
        <f t="shared" si="18"/>
        <v>1.3309310053205409E-3</v>
      </c>
      <c r="K70" s="2"/>
      <c r="L70" s="6">
        <f t="shared" si="19"/>
        <v>-821.70561987999997</v>
      </c>
      <c r="M70" s="2"/>
      <c r="N70" s="7">
        <f t="shared" si="20"/>
        <v>-10.770023510817564</v>
      </c>
      <c r="O70" s="11"/>
      <c r="P70" s="6">
        <v>0</v>
      </c>
      <c r="Q70" s="2"/>
      <c r="R70" s="7">
        <f t="shared" si="21"/>
        <v>0</v>
      </c>
      <c r="S70" s="2"/>
      <c r="T70" s="6">
        <v>992.57123783999998</v>
      </c>
      <c r="U70" s="2"/>
      <c r="V70" s="7">
        <f t="shared" si="22"/>
        <v>2.880957058796041E-4</v>
      </c>
      <c r="W70" s="2"/>
      <c r="X70" s="6">
        <f t="shared" si="23"/>
        <v>-992.57123783999998</v>
      </c>
      <c r="Y70" s="2"/>
      <c r="Z70" s="7">
        <f t="shared" si="24"/>
        <v>-1</v>
      </c>
    </row>
    <row r="71" spans="1:26" s="24" customFormat="1" hidden="1" outlineLevel="2" x14ac:dyDescent="0.25">
      <c r="A71" s="27"/>
      <c r="B71" s="11" t="str">
        <f>CONCATENATE("          ", "6115", " - ", "P.E.R.S.")</f>
        <v xml:space="preserve">          6115 - P.E.R.S.</v>
      </c>
      <c r="C71" s="11"/>
      <c r="D71" s="6">
        <v>1363.4</v>
      </c>
      <c r="E71" s="2"/>
      <c r="F71" s="7">
        <f t="shared" si="17"/>
        <v>8.1903545569284919E-2</v>
      </c>
      <c r="G71" s="2"/>
      <c r="H71" s="6">
        <v>1235.9586478769202</v>
      </c>
      <c r="I71" s="2"/>
      <c r="J71" s="7">
        <f t="shared" si="18"/>
        <v>2.1560552078097168E-2</v>
      </c>
      <c r="K71" s="2"/>
      <c r="L71" s="6">
        <f t="shared" si="19"/>
        <v>127.44135212307992</v>
      </c>
      <c r="M71" s="2"/>
      <c r="N71" s="7">
        <f t="shared" si="20"/>
        <v>0.10311133980250353</v>
      </c>
      <c r="O71" s="11"/>
      <c r="P71" s="6">
        <v>17203.09</v>
      </c>
      <c r="Q71" s="2"/>
      <c r="R71" s="7">
        <f t="shared" si="21"/>
        <v>5.1382361841958235E-3</v>
      </c>
      <c r="S71" s="2"/>
      <c r="T71" s="6">
        <v>16067.46242239996</v>
      </c>
      <c r="U71" s="2"/>
      <c r="V71" s="7">
        <f t="shared" si="22"/>
        <v>4.6636117910778185E-3</v>
      </c>
      <c r="W71" s="2"/>
      <c r="X71" s="6">
        <f t="shared" si="23"/>
        <v>1135.6275776000402</v>
      </c>
      <c r="Y71" s="2"/>
      <c r="Z71" s="7">
        <f t="shared" si="24"/>
        <v>7.0678713772302948E-2</v>
      </c>
    </row>
    <row r="72" spans="1:26" s="24" customFormat="1" hidden="1" outlineLevel="2" x14ac:dyDescent="0.25">
      <c r="A72" s="27"/>
      <c r="B72" s="11" t="str">
        <f>CONCATENATE("          ", "6116", " - ", "EDUCATIONAL BENEFITS")</f>
        <v xml:space="preserve">          6116 - EDUCATIONAL BENEFITS</v>
      </c>
      <c r="C72" s="11"/>
      <c r="D72" s="6"/>
      <c r="E72" s="2"/>
      <c r="F72" s="7">
        <f t="shared" si="17"/>
        <v>0</v>
      </c>
      <c r="G72" s="2"/>
      <c r="H72" s="6">
        <v>0</v>
      </c>
      <c r="I72" s="2"/>
      <c r="J72" s="7">
        <f t="shared" si="18"/>
        <v>0</v>
      </c>
      <c r="K72" s="2"/>
      <c r="L72" s="6">
        <f t="shared" si="19"/>
        <v>0</v>
      </c>
      <c r="M72" s="2"/>
      <c r="N72" s="7">
        <f t="shared" si="20"/>
        <v>0</v>
      </c>
      <c r="O72" s="11"/>
      <c r="P72" s="6"/>
      <c r="Q72" s="2"/>
      <c r="R72" s="7">
        <f t="shared" si="21"/>
        <v>0</v>
      </c>
      <c r="S72" s="2"/>
      <c r="T72" s="6">
        <v>0</v>
      </c>
      <c r="U72" s="2"/>
      <c r="V72" s="7">
        <f t="shared" si="22"/>
        <v>0</v>
      </c>
      <c r="W72" s="2"/>
      <c r="X72" s="6">
        <f t="shared" si="23"/>
        <v>0</v>
      </c>
      <c r="Y72" s="2"/>
      <c r="Z72" s="7">
        <f t="shared" si="24"/>
        <v>0</v>
      </c>
    </row>
    <row r="73" spans="1:26" s="24" customFormat="1" hidden="1" outlineLevel="2" x14ac:dyDescent="0.25">
      <c r="A73" s="27"/>
      <c r="B73" s="11" t="str">
        <f>CONCATENATE("          ", "6117", " - ", "RETIREMENT STAFF HOURLY")</f>
        <v xml:space="preserve">          6117 - RETIREMENT STAFF HOURLY</v>
      </c>
      <c r="C73" s="11"/>
      <c r="D73" s="6">
        <v>220.92</v>
      </c>
      <c r="E73" s="2"/>
      <c r="F73" s="7">
        <f t="shared" si="17"/>
        <v>1.3271329974450947E-2</v>
      </c>
      <c r="G73" s="2"/>
      <c r="H73" s="6"/>
      <c r="I73" s="2"/>
      <c r="J73" s="7">
        <f t="shared" si="18"/>
        <v>0</v>
      </c>
      <c r="K73" s="2"/>
      <c r="L73" s="6">
        <f t="shared" si="19"/>
        <v>220.92</v>
      </c>
      <c r="M73" s="2"/>
      <c r="N73" s="7">
        <f t="shared" si="20"/>
        <v>0</v>
      </c>
      <c r="O73" s="11"/>
      <c r="P73" s="6">
        <v>2010.19</v>
      </c>
      <c r="Q73" s="2"/>
      <c r="R73" s="7">
        <f t="shared" si="21"/>
        <v>6.004055663900266E-4</v>
      </c>
      <c r="S73" s="2"/>
      <c r="T73" s="6"/>
      <c r="U73" s="2"/>
      <c r="V73" s="7">
        <f t="shared" si="22"/>
        <v>0</v>
      </c>
      <c r="W73" s="2"/>
      <c r="X73" s="6">
        <f t="shared" si="23"/>
        <v>2010.19</v>
      </c>
      <c r="Y73" s="2"/>
      <c r="Z73" s="7">
        <f t="shared" si="24"/>
        <v>0</v>
      </c>
    </row>
    <row r="74" spans="1:26" s="24" customFormat="1" hidden="1" outlineLevel="2" x14ac:dyDescent="0.25">
      <c r="A74" s="27"/>
      <c r="B74" s="11" t="str">
        <f>CONCATENATE("          ", "6118", " - ", "VACATION")</f>
        <v xml:space="preserve">          6118 - VACATION</v>
      </c>
      <c r="C74" s="11"/>
      <c r="D74" s="6">
        <v>1355.16</v>
      </c>
      <c r="E74" s="2"/>
      <c r="F74" s="7">
        <f t="shared" si="17"/>
        <v>8.1408543944309922E-2</v>
      </c>
      <c r="G74" s="2"/>
      <c r="H74" s="6">
        <v>1427.9603583999999</v>
      </c>
      <c r="I74" s="2"/>
      <c r="J74" s="7">
        <f t="shared" si="18"/>
        <v>2.490990594679459E-2</v>
      </c>
      <c r="K74" s="2"/>
      <c r="L74" s="6">
        <f t="shared" si="19"/>
        <v>-72.800358399999823</v>
      </c>
      <c r="M74" s="2"/>
      <c r="N74" s="7">
        <f t="shared" si="20"/>
        <v>-5.0982058410620812E-2</v>
      </c>
      <c r="O74" s="11"/>
      <c r="P74" s="6">
        <v>13353.38</v>
      </c>
      <c r="Q74" s="2"/>
      <c r="R74" s="7">
        <f t="shared" si="21"/>
        <v>3.9884009382800886E-3</v>
      </c>
      <c r="S74" s="2"/>
      <c r="T74" s="6">
        <v>18563.484659199999</v>
      </c>
      <c r="U74" s="2"/>
      <c r="V74" s="7">
        <f t="shared" si="22"/>
        <v>5.388087033547026E-3</v>
      </c>
      <c r="W74" s="2"/>
      <c r="X74" s="6">
        <f t="shared" si="23"/>
        <v>-5210.1046592000002</v>
      </c>
      <c r="Y74" s="2"/>
      <c r="Z74" s="7">
        <f t="shared" si="24"/>
        <v>-0.28066415087739954</v>
      </c>
    </row>
    <row r="75" spans="1:26" s="24" customFormat="1" hidden="1" outlineLevel="2" x14ac:dyDescent="0.25">
      <c r="A75" s="27"/>
      <c r="B75" s="11" t="str">
        <f>CONCATENATE("          ", "6119", " - ", "SICK LEAVE")</f>
        <v xml:space="preserve">          6119 - SICK LEAVE</v>
      </c>
      <c r="C75" s="11"/>
      <c r="D75" s="6">
        <v>944.6</v>
      </c>
      <c r="E75" s="2"/>
      <c r="F75" s="7">
        <f t="shared" si="17"/>
        <v>5.6744967833905327E-2</v>
      </c>
      <c r="G75" s="2"/>
      <c r="H75" s="6">
        <v>1047.4821224923098</v>
      </c>
      <c r="I75" s="2"/>
      <c r="J75" s="7">
        <f t="shared" si="18"/>
        <v>1.8272692934885475E-2</v>
      </c>
      <c r="K75" s="2"/>
      <c r="L75" s="6">
        <f t="shared" si="19"/>
        <v>-102.8821224923098</v>
      </c>
      <c r="M75" s="2"/>
      <c r="N75" s="7">
        <f t="shared" si="20"/>
        <v>-9.8218499660422717E-2</v>
      </c>
      <c r="O75" s="11"/>
      <c r="P75" s="6">
        <v>13903.49</v>
      </c>
      <c r="Q75" s="2"/>
      <c r="R75" s="7">
        <f t="shared" si="21"/>
        <v>4.1527083451057215E-3</v>
      </c>
      <c r="S75" s="2"/>
      <c r="T75" s="6">
        <v>13620.0682824</v>
      </c>
      <c r="U75" s="2"/>
      <c r="V75" s="7">
        <f t="shared" si="22"/>
        <v>3.9532509469904211E-3</v>
      </c>
      <c r="W75" s="2"/>
      <c r="X75" s="6">
        <f t="shared" si="23"/>
        <v>283.42171760000019</v>
      </c>
      <c r="Y75" s="2"/>
      <c r="Z75" s="7">
        <f t="shared" si="24"/>
        <v>2.0809126042799712E-2</v>
      </c>
    </row>
    <row r="76" spans="1:26" s="24" customFormat="1" hidden="1" outlineLevel="2" x14ac:dyDescent="0.25">
      <c r="A76" s="27"/>
      <c r="B76" s="11" t="str">
        <f>CONCATENATE("          ", "6156", " - ", "EMPLOYEE MEALS")</f>
        <v xml:space="preserve">          6156 - EMPLOYEE MEALS</v>
      </c>
      <c r="C76" s="11"/>
      <c r="D76" s="6">
        <v>440.06</v>
      </c>
      <c r="E76" s="2"/>
      <c r="F76" s="7">
        <f t="shared" si="17"/>
        <v>2.6435729986225259E-2</v>
      </c>
      <c r="G76" s="2"/>
      <c r="H76" s="6">
        <v>750</v>
      </c>
      <c r="I76" s="2"/>
      <c r="J76" s="7">
        <f t="shared" si="18"/>
        <v>1.3083296990841693E-2</v>
      </c>
      <c r="K76" s="2"/>
      <c r="L76" s="6">
        <f t="shared" si="19"/>
        <v>-309.94</v>
      </c>
      <c r="M76" s="2"/>
      <c r="N76" s="7">
        <f t="shared" si="20"/>
        <v>-0.41325333333333331</v>
      </c>
      <c r="O76" s="11"/>
      <c r="P76" s="6">
        <v>6582.16</v>
      </c>
      <c r="Q76" s="2"/>
      <c r="R76" s="7">
        <f t="shared" si="21"/>
        <v>1.9659661538808655E-3</v>
      </c>
      <c r="S76" s="2"/>
      <c r="T76" s="6">
        <v>9000</v>
      </c>
      <c r="U76" s="2"/>
      <c r="V76" s="7">
        <f t="shared" si="22"/>
        <v>2.6122672651274219E-3</v>
      </c>
      <c r="W76" s="2"/>
      <c r="X76" s="6">
        <f t="shared" si="23"/>
        <v>-2417.84</v>
      </c>
      <c r="Y76" s="2"/>
      <c r="Z76" s="7">
        <f t="shared" si="24"/>
        <v>-0.26864888888888888</v>
      </c>
    </row>
    <row r="77" spans="1:26" s="26" customFormat="1" outlineLevel="1" collapsed="1" x14ac:dyDescent="0.25">
      <c r="A77" s="25"/>
      <c r="B77" s="12" t="str">
        <f>CONCATENATE("     ","*Payroll                                          ")</f>
        <v xml:space="preserve">     *Payroll                                          </v>
      </c>
      <c r="C77" s="12"/>
      <c r="D77" s="1">
        <f>SUM(OSRRefD22_1x_0)</f>
        <v>24597.489999999998</v>
      </c>
      <c r="E77" s="1"/>
      <c r="F77" s="5">
        <f t="shared" ref="F77:F87" si="25">IF(D$12=0,0,D77/D$12)</f>
        <v>1.4776453301342451</v>
      </c>
      <c r="G77" s="1"/>
      <c r="H77" s="1">
        <f>SUM(OSRRefH22_1x_0)</f>
        <v>27029.9322157231</v>
      </c>
      <c r="I77" s="1"/>
      <c r="J77" s="5">
        <f t="shared" ref="J77:J87" si="26">IF(H$12=0,0,H77/H$12)</f>
        <v>0.47152084109416659</v>
      </c>
      <c r="K77" s="1"/>
      <c r="L77" s="1">
        <f t="shared" ref="L77:L87" si="27">+D77-H77</f>
        <v>-2432.442215723102</v>
      </c>
      <c r="M77" s="1"/>
      <c r="N77" s="5">
        <f t="shared" ref="N77:N87" si="28">IF(H77=0,0,L77/H77)</f>
        <v>-8.9990688704286476E-2</v>
      </c>
      <c r="O77" s="12"/>
      <c r="P77" s="1">
        <f>SUM(OSRRefP22_1x_0)</f>
        <v>331883.90000000002</v>
      </c>
      <c r="Q77" s="1"/>
      <c r="R77" s="5">
        <f t="shared" ref="R77:R87" si="29">IF(P$12=0,0,P77/P$12)</f>
        <v>9.9127416291609718E-2</v>
      </c>
      <c r="S77" s="1"/>
      <c r="T77" s="1">
        <f>SUM(OSRRefT22_1x_0)</f>
        <v>351669.18780439999</v>
      </c>
      <c r="U77" s="1"/>
      <c r="V77" s="5">
        <f t="shared" ref="V77:V87" si="30">IF(T$12=0,0,T77/T$12)</f>
        <v>0.1020726563839313</v>
      </c>
      <c r="W77" s="1"/>
      <c r="X77" s="1">
        <f t="shared" ref="X77:X87" si="31">+P77-T77</f>
        <v>-19785.287804399966</v>
      </c>
      <c r="Y77" s="1"/>
      <c r="Z77" s="5">
        <f t="shared" ref="Z77:Z87" si="32">IF(T77=0,0,X77/T77)</f>
        <v>-5.6261078566270738E-2</v>
      </c>
    </row>
    <row r="78" spans="1:26" s="24" customFormat="1" hidden="1" outlineLevel="2" x14ac:dyDescent="0.25">
      <c r="A78" s="27"/>
      <c r="B78" s="11" t="str">
        <f>CONCATENATE("          ", "6001", " - ", "ADMINISTRATIVE SALARIES")</f>
        <v xml:space="preserve">          6001 - ADMINISTRATIVE SALARIES</v>
      </c>
      <c r="C78" s="11"/>
      <c r="D78" s="6"/>
      <c r="E78" s="2"/>
      <c r="F78" s="7">
        <f t="shared" si="25"/>
        <v>0</v>
      </c>
      <c r="G78" s="2"/>
      <c r="H78" s="6">
        <v>0</v>
      </c>
      <c r="I78" s="2"/>
      <c r="J78" s="7">
        <f t="shared" si="26"/>
        <v>0</v>
      </c>
      <c r="K78" s="2"/>
      <c r="L78" s="6">
        <f t="shared" si="27"/>
        <v>0</v>
      </c>
      <c r="M78" s="2"/>
      <c r="N78" s="7">
        <f t="shared" si="28"/>
        <v>0</v>
      </c>
      <c r="O78" s="11"/>
      <c r="P78" s="6"/>
      <c r="Q78" s="2"/>
      <c r="R78" s="7">
        <f t="shared" si="29"/>
        <v>0</v>
      </c>
      <c r="S78" s="2"/>
      <c r="T78" s="6">
        <v>0</v>
      </c>
      <c r="U78" s="2"/>
      <c r="V78" s="7">
        <f t="shared" si="30"/>
        <v>0</v>
      </c>
      <c r="W78" s="2"/>
      <c r="X78" s="6">
        <f t="shared" si="31"/>
        <v>0</v>
      </c>
      <c r="Y78" s="2"/>
      <c r="Z78" s="7">
        <f t="shared" si="32"/>
        <v>0</v>
      </c>
    </row>
    <row r="79" spans="1:26" s="24" customFormat="1" hidden="1" outlineLevel="2" x14ac:dyDescent="0.25">
      <c r="A79" s="27"/>
      <c r="B79" s="11" t="str">
        <f>CONCATENATE("          ", "6002", " - ", "STAFF SALARIES")</f>
        <v xml:space="preserve">          6002 - STAFF SALARIES</v>
      </c>
      <c r="C79" s="11"/>
      <c r="D79" s="6">
        <v>14558.33</v>
      </c>
      <c r="E79" s="2"/>
      <c r="F79" s="7">
        <f t="shared" si="25"/>
        <v>0.87456274355852104</v>
      </c>
      <c r="G79" s="2"/>
      <c r="H79" s="6">
        <v>12765.0123437231</v>
      </c>
      <c r="I79" s="2"/>
      <c r="J79" s="7">
        <f t="shared" si="26"/>
        <v>0.22267793011291931</v>
      </c>
      <c r="K79" s="2"/>
      <c r="L79" s="6">
        <f t="shared" si="27"/>
        <v>1793.3176562769004</v>
      </c>
      <c r="M79" s="2"/>
      <c r="N79" s="7">
        <f t="shared" si="28"/>
        <v>0.14048695042263104</v>
      </c>
      <c r="O79" s="11"/>
      <c r="P79" s="6">
        <v>186567.11000000002</v>
      </c>
      <c r="Q79" s="2"/>
      <c r="R79" s="7">
        <f t="shared" si="29"/>
        <v>5.5724051631587258E-2</v>
      </c>
      <c r="S79" s="2"/>
      <c r="T79" s="6">
        <v>165945.16046839999</v>
      </c>
      <c r="U79" s="2"/>
      <c r="V79" s="7">
        <f t="shared" si="30"/>
        <v>4.8165901166435383E-2</v>
      </c>
      <c r="W79" s="2"/>
      <c r="X79" s="6">
        <f t="shared" si="31"/>
        <v>20621.949531600025</v>
      </c>
      <c r="Y79" s="2"/>
      <c r="Z79" s="7">
        <f t="shared" si="32"/>
        <v>0.12426966519175441</v>
      </c>
    </row>
    <row r="80" spans="1:26" s="24" customFormat="1" hidden="1" outlineLevel="2" x14ac:dyDescent="0.25">
      <c r="A80" s="27"/>
      <c r="B80" s="11" t="str">
        <f>CONCATENATE("          ", "6003", " - ", "STAFF HOURLY-9 MONTH")</f>
        <v xml:space="preserve">          6003 - STAFF HOURLY-9 MONTH</v>
      </c>
      <c r="C80" s="11"/>
      <c r="D80" s="6"/>
      <c r="E80" s="2"/>
      <c r="F80" s="7">
        <f t="shared" si="25"/>
        <v>0</v>
      </c>
      <c r="G80" s="2"/>
      <c r="H80" s="6">
        <v>0</v>
      </c>
      <c r="I80" s="2"/>
      <c r="J80" s="7">
        <f t="shared" si="26"/>
        <v>0</v>
      </c>
      <c r="K80" s="2"/>
      <c r="L80" s="6">
        <f t="shared" si="27"/>
        <v>0</v>
      </c>
      <c r="M80" s="2"/>
      <c r="N80" s="7">
        <f t="shared" si="28"/>
        <v>0</v>
      </c>
      <c r="O80" s="11"/>
      <c r="P80" s="6"/>
      <c r="Q80" s="2"/>
      <c r="R80" s="7">
        <f t="shared" si="29"/>
        <v>0</v>
      </c>
      <c r="S80" s="2"/>
      <c r="T80" s="6">
        <v>0</v>
      </c>
      <c r="U80" s="2"/>
      <c r="V80" s="7">
        <f t="shared" si="30"/>
        <v>0</v>
      </c>
      <c r="W80" s="2"/>
      <c r="X80" s="6">
        <f t="shared" si="31"/>
        <v>0</v>
      </c>
      <c r="Y80" s="2"/>
      <c r="Z80" s="7">
        <f t="shared" si="32"/>
        <v>0</v>
      </c>
    </row>
    <row r="81" spans="1:26" s="24" customFormat="1" hidden="1" outlineLevel="2" x14ac:dyDescent="0.25">
      <c r="A81" s="27"/>
      <c r="B81" s="11" t="str">
        <f>CONCATENATE("          ", "6004", " - ", "STAFF HOURLY")</f>
        <v xml:space="preserve">          6004 - STAFF HOURLY</v>
      </c>
      <c r="C81" s="11"/>
      <c r="D81" s="6">
        <v>5669.27</v>
      </c>
      <c r="E81" s="2"/>
      <c r="F81" s="7">
        <f t="shared" si="25"/>
        <v>0.34057012893470728</v>
      </c>
      <c r="G81" s="2"/>
      <c r="H81" s="6">
        <v>5865.9348719999998</v>
      </c>
      <c r="I81" s="2"/>
      <c r="J81" s="7">
        <f t="shared" si="26"/>
        <v>0.10232769074574792</v>
      </c>
      <c r="K81" s="2"/>
      <c r="L81" s="6">
        <f t="shared" si="27"/>
        <v>-196.66487199999938</v>
      </c>
      <c r="M81" s="2"/>
      <c r="N81" s="7">
        <f t="shared" si="28"/>
        <v>-3.3526603395947041E-2</v>
      </c>
      <c r="O81" s="11"/>
      <c r="P81" s="6">
        <v>51297.07</v>
      </c>
      <c r="Q81" s="2"/>
      <c r="R81" s="7">
        <f t="shared" si="29"/>
        <v>1.5321460343300305E-2</v>
      </c>
      <c r="S81" s="2"/>
      <c r="T81" s="6">
        <v>76257.153336000003</v>
      </c>
      <c r="U81" s="2"/>
      <c r="V81" s="7">
        <f t="shared" si="30"/>
        <v>2.2133785043492799E-2</v>
      </c>
      <c r="W81" s="2"/>
      <c r="X81" s="6">
        <f t="shared" si="31"/>
        <v>-24960.083336000003</v>
      </c>
      <c r="Y81" s="2"/>
      <c r="Z81" s="7">
        <f t="shared" si="32"/>
        <v>-0.32731464845038577</v>
      </c>
    </row>
    <row r="82" spans="1:26" s="24" customFormat="1" hidden="1" outlineLevel="2" x14ac:dyDescent="0.25">
      <c r="A82" s="27"/>
      <c r="B82" s="11" t="str">
        <f>CONCATENATE("          ", "6005", " - ", "TEMPORARY WAGES-HOURLY")</f>
        <v xml:space="preserve">          6005 - TEMPORARY WAGES-HOURLY</v>
      </c>
      <c r="C82" s="11"/>
      <c r="D82" s="6">
        <v>1731.67</v>
      </c>
      <c r="E82" s="2"/>
      <c r="F82" s="7">
        <f t="shared" si="25"/>
        <v>0.10402663397092828</v>
      </c>
      <c r="G82" s="2"/>
      <c r="H82" s="6">
        <v>3713.36</v>
      </c>
      <c r="I82" s="2"/>
      <c r="J82" s="7">
        <f t="shared" si="26"/>
        <v>6.4777322285215877E-2</v>
      </c>
      <c r="K82" s="2"/>
      <c r="L82" s="6">
        <f t="shared" si="27"/>
        <v>-1981.69</v>
      </c>
      <c r="M82" s="2"/>
      <c r="N82" s="7">
        <f t="shared" si="28"/>
        <v>-0.53366492879763883</v>
      </c>
      <c r="O82" s="11"/>
      <c r="P82" s="6">
        <v>26163.919999999998</v>
      </c>
      <c r="Q82" s="2"/>
      <c r="R82" s="7">
        <f t="shared" si="29"/>
        <v>7.8146658806298626E-3</v>
      </c>
      <c r="S82" s="2"/>
      <c r="T82" s="6">
        <v>40874.879999999997</v>
      </c>
      <c r="U82" s="2"/>
      <c r="V82" s="7">
        <f t="shared" si="30"/>
        <v>1.1864012332223506E-2</v>
      </c>
      <c r="W82" s="2"/>
      <c r="X82" s="6">
        <f t="shared" si="31"/>
        <v>-14710.96</v>
      </c>
      <c r="Y82" s="2"/>
      <c r="Z82" s="7">
        <f t="shared" si="32"/>
        <v>-0.35990221867318023</v>
      </c>
    </row>
    <row r="83" spans="1:26" s="24" customFormat="1" hidden="1" outlineLevel="2" x14ac:dyDescent="0.25">
      <c r="A83" s="27"/>
      <c r="B83" s="11" t="str">
        <f>CONCATENATE("          ", "6006", " - ", "TEMPORARY PART TIME")</f>
        <v xml:space="preserve">          6006 - TEMPORARY PART TIME</v>
      </c>
      <c r="C83" s="11"/>
      <c r="D83" s="6">
        <v>899.18</v>
      </c>
      <c r="E83" s="2"/>
      <c r="F83" s="7">
        <f t="shared" si="25"/>
        <v>5.401645159526889E-2</v>
      </c>
      <c r="G83" s="2"/>
      <c r="H83" s="6">
        <v>0</v>
      </c>
      <c r="I83" s="2"/>
      <c r="J83" s="7">
        <f t="shared" si="26"/>
        <v>0</v>
      </c>
      <c r="K83" s="2"/>
      <c r="L83" s="6">
        <f t="shared" si="27"/>
        <v>899.18</v>
      </c>
      <c r="M83" s="2"/>
      <c r="N83" s="7">
        <f t="shared" si="28"/>
        <v>0</v>
      </c>
      <c r="O83" s="11"/>
      <c r="P83" s="6">
        <v>6181.55</v>
      </c>
      <c r="Q83" s="2"/>
      <c r="R83" s="7">
        <f t="shared" si="29"/>
        <v>1.8463115570758329E-3</v>
      </c>
      <c r="S83" s="2"/>
      <c r="T83" s="6">
        <v>0</v>
      </c>
      <c r="U83" s="2"/>
      <c r="V83" s="7">
        <f t="shared" si="30"/>
        <v>0</v>
      </c>
      <c r="W83" s="2"/>
      <c r="X83" s="6">
        <f t="shared" si="31"/>
        <v>6181.55</v>
      </c>
      <c r="Y83" s="2"/>
      <c r="Z83" s="7">
        <f t="shared" si="32"/>
        <v>0</v>
      </c>
    </row>
    <row r="84" spans="1:26" s="24" customFormat="1" hidden="1" outlineLevel="2" x14ac:dyDescent="0.25">
      <c r="A84" s="27"/>
      <c r="B84" s="11" t="str">
        <f>CONCATENATE("          ", "6007", " - ", "STUDENT HOURLY")</f>
        <v xml:space="preserve">          6007 - STUDENT HOURLY</v>
      </c>
      <c r="C84" s="11"/>
      <c r="D84" s="6">
        <v>1739.04</v>
      </c>
      <c r="E84" s="2"/>
      <c r="F84" s="7">
        <f t="shared" si="25"/>
        <v>0.10446937207481974</v>
      </c>
      <c r="G84" s="2"/>
      <c r="H84" s="6">
        <v>4685.625</v>
      </c>
      <c r="I84" s="2"/>
      <c r="J84" s="7">
        <f t="shared" si="26"/>
        <v>8.1737897950283467E-2</v>
      </c>
      <c r="K84" s="2"/>
      <c r="L84" s="6">
        <f t="shared" si="27"/>
        <v>-2946.585</v>
      </c>
      <c r="M84" s="2"/>
      <c r="N84" s="7">
        <f t="shared" si="28"/>
        <v>-0.62885634253701483</v>
      </c>
      <c r="O84" s="11"/>
      <c r="P84" s="6">
        <v>61674.25</v>
      </c>
      <c r="Q84" s="2"/>
      <c r="R84" s="7">
        <f t="shared" si="29"/>
        <v>1.8420926879016458E-2</v>
      </c>
      <c r="S84" s="2"/>
      <c r="T84" s="6">
        <v>18809.4375</v>
      </c>
      <c r="U84" s="2"/>
      <c r="V84" s="7">
        <f t="shared" si="30"/>
        <v>5.4594753174122415E-3</v>
      </c>
      <c r="W84" s="2"/>
      <c r="X84" s="6">
        <f t="shared" si="31"/>
        <v>42864.8125</v>
      </c>
      <c r="Y84" s="2"/>
      <c r="Z84" s="7">
        <f t="shared" si="32"/>
        <v>2.2788992227970666</v>
      </c>
    </row>
    <row r="85" spans="1:26" s="24" customFormat="1" hidden="1" outlineLevel="2" x14ac:dyDescent="0.25">
      <c r="A85" s="27"/>
      <c r="B85" s="11" t="str">
        <f>CONCATENATE("          ", "6008", " - ", "STUDENT HOURLY-FICA EXEMPT")</f>
        <v xml:space="preserve">          6008 - STUDENT HOURLY-FICA EXEMPT</v>
      </c>
      <c r="C85" s="11"/>
      <c r="D85" s="6"/>
      <c r="E85" s="2"/>
      <c r="F85" s="7">
        <f t="shared" si="25"/>
        <v>0</v>
      </c>
      <c r="G85" s="2"/>
      <c r="H85" s="6">
        <v>0</v>
      </c>
      <c r="I85" s="2"/>
      <c r="J85" s="7">
        <f t="shared" si="26"/>
        <v>0</v>
      </c>
      <c r="K85" s="2"/>
      <c r="L85" s="6">
        <f t="shared" si="27"/>
        <v>0</v>
      </c>
      <c r="M85" s="2"/>
      <c r="N85" s="7">
        <f t="shared" si="28"/>
        <v>0</v>
      </c>
      <c r="O85" s="11"/>
      <c r="P85" s="6"/>
      <c r="Q85" s="2"/>
      <c r="R85" s="7">
        <f t="shared" si="29"/>
        <v>0</v>
      </c>
      <c r="S85" s="2"/>
      <c r="T85" s="6">
        <v>49782.556499999999</v>
      </c>
      <c r="U85" s="2"/>
      <c r="V85" s="7">
        <f t="shared" si="30"/>
        <v>1.4449482524367374E-2</v>
      </c>
      <c r="W85" s="2"/>
      <c r="X85" s="6">
        <f t="shared" si="31"/>
        <v>-49782.556499999999</v>
      </c>
      <c r="Y85" s="2"/>
      <c r="Z85" s="7">
        <f t="shared" si="32"/>
        <v>-1</v>
      </c>
    </row>
    <row r="86" spans="1:26" s="24" customFormat="1" hidden="1" outlineLevel="2" x14ac:dyDescent="0.25">
      <c r="A86" s="27"/>
      <c r="B86" s="11" t="str">
        <f>CONCATENATE("          ", "6009", " - ", "TEMPORARY-SEASONAL")</f>
        <v xml:space="preserve">          6009 - TEMPORARY-SEASONAL</v>
      </c>
      <c r="C86" s="11"/>
      <c r="D86" s="6"/>
      <c r="E86" s="2"/>
      <c r="F86" s="7">
        <f t="shared" si="25"/>
        <v>0</v>
      </c>
      <c r="G86" s="2"/>
      <c r="H86" s="6">
        <v>0</v>
      </c>
      <c r="I86" s="2"/>
      <c r="J86" s="7">
        <f t="shared" si="26"/>
        <v>0</v>
      </c>
      <c r="K86" s="2"/>
      <c r="L86" s="6">
        <f t="shared" si="27"/>
        <v>0</v>
      </c>
      <c r="M86" s="2"/>
      <c r="N86" s="7">
        <f t="shared" si="28"/>
        <v>0</v>
      </c>
      <c r="O86" s="11"/>
      <c r="P86" s="6"/>
      <c r="Q86" s="2"/>
      <c r="R86" s="7">
        <f t="shared" si="29"/>
        <v>0</v>
      </c>
      <c r="S86" s="2"/>
      <c r="T86" s="6">
        <v>0</v>
      </c>
      <c r="U86" s="2"/>
      <c r="V86" s="7">
        <f t="shared" si="30"/>
        <v>0</v>
      </c>
      <c r="W86" s="2"/>
      <c r="X86" s="6">
        <f t="shared" si="31"/>
        <v>0</v>
      </c>
      <c r="Y86" s="2"/>
      <c r="Z86" s="7">
        <f t="shared" si="32"/>
        <v>0</v>
      </c>
    </row>
    <row r="87" spans="1:26" s="24" customFormat="1" hidden="1" outlineLevel="2" x14ac:dyDescent="0.25">
      <c r="A87" s="27"/>
      <c r="B87" s="11" t="str">
        <f>CONCATENATE("          ", "6010", " - ", "GRATUITY")</f>
        <v xml:space="preserve">          6010 - GRATUITY</v>
      </c>
      <c r="C87" s="11"/>
      <c r="D87" s="6"/>
      <c r="E87" s="2"/>
      <c r="F87" s="7">
        <f t="shared" si="25"/>
        <v>0</v>
      </c>
      <c r="G87" s="2"/>
      <c r="H87" s="6">
        <v>0</v>
      </c>
      <c r="I87" s="2"/>
      <c r="J87" s="7">
        <f t="shared" si="26"/>
        <v>0</v>
      </c>
      <c r="K87" s="2"/>
      <c r="L87" s="6">
        <f t="shared" si="27"/>
        <v>0</v>
      </c>
      <c r="M87" s="2"/>
      <c r="N87" s="7">
        <f t="shared" si="28"/>
        <v>0</v>
      </c>
      <c r="O87" s="11"/>
      <c r="P87" s="6"/>
      <c r="Q87" s="2"/>
      <c r="R87" s="7">
        <f t="shared" si="29"/>
        <v>0</v>
      </c>
      <c r="S87" s="2"/>
      <c r="T87" s="6">
        <v>0</v>
      </c>
      <c r="U87" s="2"/>
      <c r="V87" s="7">
        <f t="shared" si="30"/>
        <v>0</v>
      </c>
      <c r="W87" s="2"/>
      <c r="X87" s="6">
        <f t="shared" si="31"/>
        <v>0</v>
      </c>
      <c r="Y87" s="2"/>
      <c r="Z87" s="7">
        <f t="shared" si="32"/>
        <v>0</v>
      </c>
    </row>
    <row r="88" spans="1:26" s="26" customFormat="1" outlineLevel="1" collapsed="1" x14ac:dyDescent="0.25">
      <c r="A88" s="25"/>
      <c r="B88" s="12" t="str">
        <f>CONCATENATE("     ","Advertising/Promo                                 ")</f>
        <v xml:space="preserve">     Advertising/Promo                                 </v>
      </c>
      <c r="C88" s="12"/>
      <c r="D88" s="1">
        <f>SUM(OSRRefD22_2x_0)</f>
        <v>0</v>
      </c>
      <c r="E88" s="1"/>
      <c r="F88" s="5">
        <f t="shared" ref="F88:F92" si="33">IF(D$12=0,0,D88/D$12)</f>
        <v>0</v>
      </c>
      <c r="G88" s="1"/>
      <c r="H88" s="1">
        <f>SUM(OSRRefH22_2x_0)</f>
        <v>400</v>
      </c>
      <c r="I88" s="1"/>
      <c r="J88" s="5">
        <f t="shared" ref="J88:J92" si="34">IF(H$12=0,0,H88/H$12)</f>
        <v>6.9777583951155693E-3</v>
      </c>
      <c r="K88" s="1"/>
      <c r="L88" s="1">
        <f t="shared" ref="L88:L92" si="35">+D88-H88</f>
        <v>-400</v>
      </c>
      <c r="M88" s="1"/>
      <c r="N88" s="5">
        <f t="shared" ref="N88:N92" si="36">IF(H88=0,0,L88/H88)</f>
        <v>-1</v>
      </c>
      <c r="O88" s="12"/>
      <c r="P88" s="1">
        <f>SUM(OSRRefP22_2x_0)</f>
        <v>3981.59</v>
      </c>
      <c r="Q88" s="1"/>
      <c r="R88" s="5">
        <f t="shared" ref="R88:R92" si="37">IF(P$12=0,0,P88/P$12)</f>
        <v>1.1892252966549759E-3</v>
      </c>
      <c r="S88" s="1"/>
      <c r="T88" s="1">
        <f>SUM(OSRRefT22_2x_0)</f>
        <v>6300</v>
      </c>
      <c r="U88" s="1"/>
      <c r="V88" s="5">
        <f t="shared" ref="V88:V92" si="38">IF(T$12=0,0,T88/T$12)</f>
        <v>1.8285870855891955E-3</v>
      </c>
      <c r="W88" s="1"/>
      <c r="X88" s="1">
        <f t="shared" ref="X88:X92" si="39">+P88-T88</f>
        <v>-2318.41</v>
      </c>
      <c r="Y88" s="1"/>
      <c r="Z88" s="5">
        <f t="shared" ref="Z88:Z92" si="40">IF(T88=0,0,X88/T88)</f>
        <v>-0.36800158730158727</v>
      </c>
    </row>
    <row r="89" spans="1:26" s="24" customFormat="1" hidden="1" outlineLevel="2" x14ac:dyDescent="0.25">
      <c r="A89" s="27"/>
      <c r="B89" s="11" t="str">
        <f>CONCATENATE("          ", "6362", " - ", "ADVERTISING EXPENSE")</f>
        <v xml:space="preserve">          6362 - ADVERTISING EXPENSE</v>
      </c>
      <c r="C89" s="11"/>
      <c r="D89" s="6"/>
      <c r="E89" s="2"/>
      <c r="F89" s="7">
        <f t="shared" si="33"/>
        <v>0</v>
      </c>
      <c r="G89" s="2"/>
      <c r="H89" s="6">
        <v>400</v>
      </c>
      <c r="I89" s="2"/>
      <c r="J89" s="7">
        <f t="shared" si="34"/>
        <v>6.9777583951155693E-3</v>
      </c>
      <c r="K89" s="2"/>
      <c r="L89" s="6">
        <f t="shared" si="35"/>
        <v>-400</v>
      </c>
      <c r="M89" s="2"/>
      <c r="N89" s="7">
        <f t="shared" si="36"/>
        <v>-1</v>
      </c>
      <c r="O89" s="11"/>
      <c r="P89" s="6">
        <v>3981.59</v>
      </c>
      <c r="Q89" s="2"/>
      <c r="R89" s="7">
        <f t="shared" si="37"/>
        <v>1.1892252966549759E-3</v>
      </c>
      <c r="S89" s="2"/>
      <c r="T89" s="6">
        <v>6300</v>
      </c>
      <c r="U89" s="2"/>
      <c r="V89" s="7">
        <f t="shared" si="38"/>
        <v>1.8285870855891955E-3</v>
      </c>
      <c r="W89" s="2"/>
      <c r="X89" s="6">
        <f t="shared" si="39"/>
        <v>-2318.41</v>
      </c>
      <c r="Y89" s="2"/>
      <c r="Z89" s="7">
        <f t="shared" si="40"/>
        <v>-0.36800158730158727</v>
      </c>
    </row>
    <row r="90" spans="1:26" s="26" customFormat="1" outlineLevel="1" collapsed="1" x14ac:dyDescent="0.25">
      <c r="A90" s="25"/>
      <c r="B90" s="12" t="str">
        <f>CONCATENATE("     ","Discounts and Markdowns                           ")</f>
        <v xml:space="preserve">     Discounts and Markdowns                           </v>
      </c>
      <c r="C90" s="12"/>
      <c r="D90" s="1">
        <f>SUM(OSRRefD22_3x_0)</f>
        <v>321.91000000000003</v>
      </c>
      <c r="E90" s="1"/>
      <c r="F90" s="5">
        <f t="shared" si="33"/>
        <v>1.9338103531031617E-2</v>
      </c>
      <c r="G90" s="1"/>
      <c r="H90" s="1">
        <f>SUM(OSRRefH22_3x_0)</f>
        <v>1625</v>
      </c>
      <c r="I90" s="1"/>
      <c r="J90" s="5">
        <f t="shared" si="34"/>
        <v>2.8347143480156999E-2</v>
      </c>
      <c r="K90" s="1"/>
      <c r="L90" s="1">
        <f t="shared" si="35"/>
        <v>-1303.0899999999999</v>
      </c>
      <c r="M90" s="1"/>
      <c r="N90" s="5">
        <f t="shared" si="36"/>
        <v>-0.80190153846153844</v>
      </c>
      <c r="O90" s="12"/>
      <c r="P90" s="1">
        <f>SUM(OSRRefP22_3x_0)</f>
        <v>629.67000000000007</v>
      </c>
      <c r="Q90" s="1"/>
      <c r="R90" s="5">
        <f t="shared" si="37"/>
        <v>1.8807046746268166E-4</v>
      </c>
      <c r="S90" s="1"/>
      <c r="T90" s="1">
        <f>SUM(OSRRefT22_3x_0)</f>
        <v>28000</v>
      </c>
      <c r="U90" s="1"/>
      <c r="V90" s="5">
        <f t="shared" si="38"/>
        <v>8.127053713729758E-3</v>
      </c>
      <c r="W90" s="1"/>
      <c r="X90" s="1">
        <f t="shared" si="39"/>
        <v>-27370.33</v>
      </c>
      <c r="Y90" s="1"/>
      <c r="Z90" s="5">
        <f t="shared" si="40"/>
        <v>-0.97751178571428576</v>
      </c>
    </row>
    <row r="91" spans="1:26" s="24" customFormat="1" hidden="1" outlineLevel="2" x14ac:dyDescent="0.25">
      <c r="A91" s="27"/>
      <c r="B91" s="11" t="str">
        <f>CONCATENATE("          ", "6382", " - ", "DISCOUNTS/MARK DOWNS")</f>
        <v xml:space="preserve">          6382 - DISCOUNTS/MARK DOWNS</v>
      </c>
      <c r="C91" s="11"/>
      <c r="D91" s="6">
        <v>321.91000000000003</v>
      </c>
      <c r="E91" s="2"/>
      <c r="F91" s="7">
        <f t="shared" si="33"/>
        <v>1.9338103531031617E-2</v>
      </c>
      <c r="G91" s="2"/>
      <c r="H91" s="6">
        <v>1625</v>
      </c>
      <c r="I91" s="2"/>
      <c r="J91" s="7">
        <f t="shared" si="34"/>
        <v>2.8347143480156999E-2</v>
      </c>
      <c r="K91" s="2"/>
      <c r="L91" s="6">
        <f t="shared" si="35"/>
        <v>-1303.0899999999999</v>
      </c>
      <c r="M91" s="2"/>
      <c r="N91" s="7">
        <f t="shared" si="36"/>
        <v>-0.80190153846153844</v>
      </c>
      <c r="O91" s="11"/>
      <c r="P91" s="6">
        <v>1081.94</v>
      </c>
      <c r="Q91" s="2"/>
      <c r="R91" s="7">
        <f t="shared" si="37"/>
        <v>3.2315492490760843E-4</v>
      </c>
      <c r="S91" s="2"/>
      <c r="T91" s="6">
        <v>28000</v>
      </c>
      <c r="U91" s="2"/>
      <c r="V91" s="7">
        <f t="shared" si="38"/>
        <v>8.127053713729758E-3</v>
      </c>
      <c r="W91" s="2"/>
      <c r="X91" s="6">
        <f t="shared" si="39"/>
        <v>-26918.06</v>
      </c>
      <c r="Y91" s="2"/>
      <c r="Z91" s="7">
        <f t="shared" si="40"/>
        <v>-0.96135928571428575</v>
      </c>
    </row>
    <row r="92" spans="1:26" s="24" customFormat="1" hidden="1" outlineLevel="2" x14ac:dyDescent="0.25">
      <c r="A92" s="27"/>
      <c r="B92" s="11" t="str">
        <f>CONCATENATE("          ", "9175", " - ", "EARNED DISCOUNTS")</f>
        <v xml:space="preserve">          9175 - EARNED DISCOUNTS</v>
      </c>
      <c r="C92" s="11"/>
      <c r="D92" s="6"/>
      <c r="E92" s="2"/>
      <c r="F92" s="7">
        <f t="shared" si="33"/>
        <v>0</v>
      </c>
      <c r="G92" s="2"/>
      <c r="H92" s="6"/>
      <c r="I92" s="2"/>
      <c r="J92" s="7">
        <f t="shared" si="34"/>
        <v>0</v>
      </c>
      <c r="K92" s="2"/>
      <c r="L92" s="6">
        <f t="shared" si="35"/>
        <v>0</v>
      </c>
      <c r="M92" s="2"/>
      <c r="N92" s="7">
        <f t="shared" si="36"/>
        <v>0</v>
      </c>
      <c r="O92" s="11"/>
      <c r="P92" s="6">
        <v>-452.27</v>
      </c>
      <c r="Q92" s="2"/>
      <c r="R92" s="7">
        <f t="shared" si="37"/>
        <v>-1.3508445744492674E-4</v>
      </c>
      <c r="S92" s="2"/>
      <c r="T92" s="6"/>
      <c r="U92" s="2"/>
      <c r="V92" s="7">
        <f t="shared" si="38"/>
        <v>0</v>
      </c>
      <c r="W92" s="2"/>
      <c r="X92" s="6">
        <f t="shared" si="39"/>
        <v>-452.27</v>
      </c>
      <c r="Y92" s="2"/>
      <c r="Z92" s="7">
        <f t="shared" si="40"/>
        <v>0</v>
      </c>
    </row>
    <row r="93" spans="1:26" s="26" customFormat="1" outlineLevel="1" collapsed="1" x14ac:dyDescent="0.25">
      <c r="A93" s="25"/>
      <c r="B93" s="12" t="str">
        <f>CONCATENATE("     ","Employees' Appreciation                           ")</f>
        <v xml:space="preserve">     Employees' Appreciation                           </v>
      </c>
      <c r="C93" s="12"/>
      <c r="D93" s="1">
        <f>SUM(OSRRefD22_4x_0)</f>
        <v>0</v>
      </c>
      <c r="E93" s="1"/>
      <c r="F93" s="5">
        <f t="shared" ref="F93:F99" si="41">IF(D$12=0,0,D93/D$12)</f>
        <v>0</v>
      </c>
      <c r="G93" s="1"/>
      <c r="H93" s="1">
        <f>SUM(OSRRefH22_4x_0)</f>
        <v>100</v>
      </c>
      <c r="I93" s="1"/>
      <c r="J93" s="5">
        <f t="shared" ref="J93:J99" si="42">IF(H$12=0,0,H93/H$12)</f>
        <v>1.7444395987788923E-3</v>
      </c>
      <c r="K93" s="1"/>
      <c r="L93" s="1">
        <f t="shared" ref="L93:L99" si="43">+D93-H93</f>
        <v>-100</v>
      </c>
      <c r="M93" s="1"/>
      <c r="N93" s="5">
        <f t="shared" ref="N93:N99" si="44">IF(H93=0,0,L93/H93)</f>
        <v>-1</v>
      </c>
      <c r="O93" s="12"/>
      <c r="P93" s="1">
        <f>SUM(OSRRefP22_4x_0)</f>
        <v>120.18</v>
      </c>
      <c r="Q93" s="1"/>
      <c r="R93" s="5">
        <f t="shared" ref="R93:R99" si="45">IF(P$12=0,0,P93/P$12)</f>
        <v>3.5895482998499345E-5</v>
      </c>
      <c r="S93" s="1"/>
      <c r="T93" s="1">
        <f>SUM(OSRRefT22_4x_0)</f>
        <v>1200</v>
      </c>
      <c r="U93" s="1"/>
      <c r="V93" s="5">
        <f t="shared" ref="V93:V99" si="46">IF(T$12=0,0,T93/T$12)</f>
        <v>3.4830230201698958E-4</v>
      </c>
      <c r="W93" s="1"/>
      <c r="X93" s="1">
        <f t="shared" ref="X93:X99" si="47">+P93-T93</f>
        <v>-1079.82</v>
      </c>
      <c r="Y93" s="1"/>
      <c r="Z93" s="5">
        <f t="shared" ref="Z93:Z99" si="48">IF(T93=0,0,X93/T93)</f>
        <v>-0.89984999999999993</v>
      </c>
    </row>
    <row r="94" spans="1:26" s="24" customFormat="1" hidden="1" outlineLevel="2" x14ac:dyDescent="0.25">
      <c r="A94" s="27"/>
      <c r="B94" s="11" t="str">
        <f>CONCATENATE("          ", "6277", " - ", "EMPLOYEE APPRECIATION")</f>
        <v xml:space="preserve">          6277 - EMPLOYEE APPRECIATION</v>
      </c>
      <c r="C94" s="11"/>
      <c r="D94" s="6"/>
      <c r="E94" s="2"/>
      <c r="F94" s="7">
        <f t="shared" si="41"/>
        <v>0</v>
      </c>
      <c r="G94" s="2"/>
      <c r="H94" s="6">
        <v>100</v>
      </c>
      <c r="I94" s="2"/>
      <c r="J94" s="7">
        <f t="shared" si="42"/>
        <v>1.7444395987788923E-3</v>
      </c>
      <c r="K94" s="2"/>
      <c r="L94" s="6">
        <f t="shared" si="43"/>
        <v>-100</v>
      </c>
      <c r="M94" s="2"/>
      <c r="N94" s="7">
        <f t="shared" si="44"/>
        <v>-1</v>
      </c>
      <c r="O94" s="11"/>
      <c r="P94" s="6">
        <v>120.18</v>
      </c>
      <c r="Q94" s="2"/>
      <c r="R94" s="7">
        <f t="shared" si="45"/>
        <v>3.5895482998499345E-5</v>
      </c>
      <c r="S94" s="2"/>
      <c r="T94" s="6">
        <v>1200</v>
      </c>
      <c r="U94" s="2"/>
      <c r="V94" s="7">
        <f t="shared" si="46"/>
        <v>3.4830230201698958E-4</v>
      </c>
      <c r="W94" s="2"/>
      <c r="X94" s="6">
        <f t="shared" si="47"/>
        <v>-1079.82</v>
      </c>
      <c r="Y94" s="2"/>
      <c r="Z94" s="7">
        <f t="shared" si="48"/>
        <v>-0.89984999999999993</v>
      </c>
    </row>
    <row r="95" spans="1:26" s="26" customFormat="1" outlineLevel="1" collapsed="1" x14ac:dyDescent="0.25">
      <c r="A95" s="25"/>
      <c r="B95" s="12" t="str">
        <f>CONCATENATE("     ","Equipment Rental                                  ")</f>
        <v xml:space="preserve">     Equipment Rental                                  </v>
      </c>
      <c r="C95" s="12"/>
      <c r="D95" s="1">
        <f>SUM(OSRRefD22_5x_0)</f>
        <v>91.26</v>
      </c>
      <c r="E95" s="1"/>
      <c r="F95" s="5">
        <f t="shared" si="41"/>
        <v>5.4822631426235452E-3</v>
      </c>
      <c r="G95" s="1"/>
      <c r="H95" s="1">
        <f>SUM(OSRRefH22_5x_0)</f>
        <v>100</v>
      </c>
      <c r="I95" s="1"/>
      <c r="J95" s="5">
        <f t="shared" si="42"/>
        <v>1.7444395987788923E-3</v>
      </c>
      <c r="K95" s="1"/>
      <c r="L95" s="1">
        <f t="shared" si="43"/>
        <v>-8.7399999999999949</v>
      </c>
      <c r="M95" s="1"/>
      <c r="N95" s="5">
        <f t="shared" si="44"/>
        <v>-8.739999999999995E-2</v>
      </c>
      <c r="O95" s="12"/>
      <c r="P95" s="1">
        <f>SUM(OSRRefP22_5x_0)</f>
        <v>1095.1199999999999</v>
      </c>
      <c r="Q95" s="1"/>
      <c r="R95" s="5">
        <f t="shared" si="45"/>
        <v>3.2709154053350468E-4</v>
      </c>
      <c r="S95" s="1"/>
      <c r="T95" s="1">
        <f>SUM(OSRRefT22_5x_0)</f>
        <v>1200</v>
      </c>
      <c r="U95" s="1"/>
      <c r="V95" s="5">
        <f t="shared" si="46"/>
        <v>3.4830230201698958E-4</v>
      </c>
      <c r="W95" s="1"/>
      <c r="X95" s="1">
        <f t="shared" si="47"/>
        <v>-104.88000000000011</v>
      </c>
      <c r="Y95" s="1"/>
      <c r="Z95" s="5">
        <f t="shared" si="48"/>
        <v>-8.7400000000000089E-2</v>
      </c>
    </row>
    <row r="96" spans="1:26" s="24" customFormat="1" hidden="1" outlineLevel="2" x14ac:dyDescent="0.25">
      <c r="A96" s="27"/>
      <c r="B96" s="11" t="str">
        <f>CONCATENATE("          ", "6351", " - ", "EQUIPMENT RENTAL")</f>
        <v xml:space="preserve">          6351 - EQUIPMENT RENTAL</v>
      </c>
      <c r="C96" s="11"/>
      <c r="D96" s="6">
        <v>91.26</v>
      </c>
      <c r="E96" s="2"/>
      <c r="F96" s="7">
        <f t="shared" si="41"/>
        <v>5.4822631426235452E-3</v>
      </c>
      <c r="G96" s="2"/>
      <c r="H96" s="6">
        <v>100</v>
      </c>
      <c r="I96" s="2"/>
      <c r="J96" s="7">
        <f t="shared" si="42"/>
        <v>1.7444395987788923E-3</v>
      </c>
      <c r="K96" s="2"/>
      <c r="L96" s="6">
        <f t="shared" si="43"/>
        <v>-8.7399999999999949</v>
      </c>
      <c r="M96" s="2"/>
      <c r="N96" s="7">
        <f t="shared" si="44"/>
        <v>-8.739999999999995E-2</v>
      </c>
      <c r="O96" s="11"/>
      <c r="P96" s="6">
        <v>1095.1199999999999</v>
      </c>
      <c r="Q96" s="2"/>
      <c r="R96" s="7">
        <f t="shared" si="45"/>
        <v>3.2709154053350468E-4</v>
      </c>
      <c r="S96" s="2"/>
      <c r="T96" s="6">
        <v>1200</v>
      </c>
      <c r="U96" s="2"/>
      <c r="V96" s="7">
        <f t="shared" si="46"/>
        <v>3.4830230201698958E-4</v>
      </c>
      <c r="W96" s="2"/>
      <c r="X96" s="6">
        <f t="shared" si="47"/>
        <v>-104.88000000000011</v>
      </c>
      <c r="Y96" s="2"/>
      <c r="Z96" s="7">
        <f t="shared" si="48"/>
        <v>-8.7400000000000089E-2</v>
      </c>
    </row>
    <row r="97" spans="1:26" s="26" customFormat="1" outlineLevel="1" collapsed="1" x14ac:dyDescent="0.25">
      <c r="A97" s="25"/>
      <c r="B97" s="12" t="str">
        <f>CONCATENATE("     ","Freight out/Postage                               ")</f>
        <v xml:space="preserve">     Freight out/Postage                               </v>
      </c>
      <c r="C97" s="12"/>
      <c r="D97" s="1">
        <f>SUM(OSRRefD22_6x_0)</f>
        <v>6701.46</v>
      </c>
      <c r="E97" s="1"/>
      <c r="F97" s="5">
        <f t="shared" si="41"/>
        <v>0.40257689195448149</v>
      </c>
      <c r="G97" s="1"/>
      <c r="H97" s="1">
        <f>SUM(OSRRefH22_6x_0)</f>
        <v>1000</v>
      </c>
      <c r="I97" s="1"/>
      <c r="J97" s="5">
        <f t="shared" si="42"/>
        <v>1.7444395987788922E-2</v>
      </c>
      <c r="K97" s="1"/>
      <c r="L97" s="1">
        <f t="shared" si="43"/>
        <v>5701.46</v>
      </c>
      <c r="M97" s="1"/>
      <c r="N97" s="5">
        <f t="shared" si="44"/>
        <v>5.70146</v>
      </c>
      <c r="O97" s="12"/>
      <c r="P97" s="1">
        <f>SUM(OSRRefP22_6x_0)</f>
        <v>30550.660000000003</v>
      </c>
      <c r="Q97" s="1"/>
      <c r="R97" s="5">
        <f t="shared" si="45"/>
        <v>9.1249017858456814E-3</v>
      </c>
      <c r="S97" s="1"/>
      <c r="T97" s="1">
        <f>SUM(OSRRefT22_6x_0)</f>
        <v>28800</v>
      </c>
      <c r="U97" s="1"/>
      <c r="V97" s="5">
        <f t="shared" si="46"/>
        <v>8.3592552484077504E-3</v>
      </c>
      <c r="W97" s="1"/>
      <c r="X97" s="1">
        <f t="shared" si="47"/>
        <v>1750.6600000000035</v>
      </c>
      <c r="Y97" s="1"/>
      <c r="Z97" s="5">
        <f t="shared" si="48"/>
        <v>6.0786805555555677E-2</v>
      </c>
    </row>
    <row r="98" spans="1:26" s="24" customFormat="1" hidden="1" outlineLevel="2" x14ac:dyDescent="0.25">
      <c r="A98" s="27"/>
      <c r="B98" s="11" t="str">
        <f>CONCATENATE("          ", "6305", " - ", "FREIGHT OUT")</f>
        <v xml:space="preserve">          6305 - FREIGHT OUT</v>
      </c>
      <c r="C98" s="11"/>
      <c r="D98" s="6">
        <v>6699.46</v>
      </c>
      <c r="E98" s="2"/>
      <c r="F98" s="7">
        <f t="shared" si="41"/>
        <v>0.4024567459290021</v>
      </c>
      <c r="G98" s="2"/>
      <c r="H98" s="6">
        <v>1000</v>
      </c>
      <c r="I98" s="2"/>
      <c r="J98" s="7">
        <f t="shared" si="42"/>
        <v>1.7444395987788922E-2</v>
      </c>
      <c r="K98" s="2"/>
      <c r="L98" s="6">
        <f t="shared" si="43"/>
        <v>5699.46</v>
      </c>
      <c r="M98" s="2"/>
      <c r="N98" s="7">
        <f t="shared" si="44"/>
        <v>5.6994600000000002</v>
      </c>
      <c r="O98" s="11"/>
      <c r="P98" s="6">
        <v>30546.710000000003</v>
      </c>
      <c r="Q98" s="2"/>
      <c r="R98" s="7">
        <f t="shared" si="45"/>
        <v>9.1237219958819268E-3</v>
      </c>
      <c r="S98" s="2"/>
      <c r="T98" s="6">
        <v>28800</v>
      </c>
      <c r="U98" s="2"/>
      <c r="V98" s="7">
        <f t="shared" si="46"/>
        <v>8.3592552484077504E-3</v>
      </c>
      <c r="W98" s="2"/>
      <c r="X98" s="6">
        <f t="shared" si="47"/>
        <v>1746.7100000000028</v>
      </c>
      <c r="Y98" s="2"/>
      <c r="Z98" s="7">
        <f t="shared" si="48"/>
        <v>6.0649652777777875E-2</v>
      </c>
    </row>
    <row r="99" spans="1:26" s="24" customFormat="1" hidden="1" outlineLevel="2" x14ac:dyDescent="0.25">
      <c r="A99" s="27"/>
      <c r="B99" s="11" t="str">
        <f>CONCATENATE("          ", "6307", " - ", "POSTAGE")</f>
        <v xml:space="preserve">          6307 - POSTAGE</v>
      </c>
      <c r="C99" s="11"/>
      <c r="D99" s="6">
        <v>2</v>
      </c>
      <c r="E99" s="2"/>
      <c r="F99" s="7">
        <f t="shared" si="41"/>
        <v>1.2014602547936762E-4</v>
      </c>
      <c r="G99" s="2"/>
      <c r="H99" s="6"/>
      <c r="I99" s="2"/>
      <c r="J99" s="7">
        <f t="shared" si="42"/>
        <v>0</v>
      </c>
      <c r="K99" s="2"/>
      <c r="L99" s="6">
        <f t="shared" si="43"/>
        <v>2</v>
      </c>
      <c r="M99" s="2"/>
      <c r="N99" s="7">
        <f t="shared" si="44"/>
        <v>0</v>
      </c>
      <c r="O99" s="11"/>
      <c r="P99" s="6">
        <v>3.95</v>
      </c>
      <c r="Q99" s="2"/>
      <c r="R99" s="7">
        <f t="shared" si="45"/>
        <v>1.1797899637549709E-6</v>
      </c>
      <c r="S99" s="2"/>
      <c r="T99" s="6"/>
      <c r="U99" s="2"/>
      <c r="V99" s="7">
        <f t="shared" si="46"/>
        <v>0</v>
      </c>
      <c r="W99" s="2"/>
      <c r="X99" s="6">
        <f t="shared" si="47"/>
        <v>3.95</v>
      </c>
      <c r="Y99" s="2"/>
      <c r="Z99" s="7">
        <f t="shared" si="48"/>
        <v>0</v>
      </c>
    </row>
    <row r="100" spans="1:26" s="26" customFormat="1" outlineLevel="1" collapsed="1" x14ac:dyDescent="0.25">
      <c r="A100" s="25"/>
      <c r="B100" s="12" t="str">
        <f>CONCATENATE("     ","General                                           ")</f>
        <v xml:space="preserve">     General                                           </v>
      </c>
      <c r="C100" s="12"/>
      <c r="D100" s="1">
        <f>SUM(OSRRefD22_7x_0)</f>
        <v>-1613.24</v>
      </c>
      <c r="E100" s="1"/>
      <c r="F100" s="5">
        <f t="shared" ref="F100:F111" si="49">IF(D$12=0,0,D100/D$12)</f>
        <v>-9.6912187072167519E-2</v>
      </c>
      <c r="G100" s="1"/>
      <c r="H100" s="1">
        <f>SUM(OSRRefH22_7x_0)</f>
        <v>0</v>
      </c>
      <c r="I100" s="1"/>
      <c r="J100" s="5">
        <f t="shared" ref="J100:J111" si="50">IF(H$12=0,0,H100/H$12)</f>
        <v>0</v>
      </c>
      <c r="K100" s="1"/>
      <c r="L100" s="1">
        <f t="shared" ref="L100:L111" si="51">+D100-H100</f>
        <v>-1613.24</v>
      </c>
      <c r="M100" s="1"/>
      <c r="N100" s="5">
        <f t="shared" ref="N100:N111" si="52">IF(H100=0,0,L100/H100)</f>
        <v>0</v>
      </c>
      <c r="O100" s="12"/>
      <c r="P100" s="1">
        <f>SUM(OSRRefP22_7x_0)</f>
        <v>5979.79</v>
      </c>
      <c r="Q100" s="1"/>
      <c r="R100" s="5">
        <f t="shared" ref="R100:R111" si="53">IF(P$12=0,0,P100/P$12)</f>
        <v>1.7860496778132498E-3</v>
      </c>
      <c r="S100" s="1"/>
      <c r="T100" s="1">
        <f>SUM(OSRRefT22_7x_0)</f>
        <v>26000</v>
      </c>
      <c r="U100" s="1"/>
      <c r="V100" s="5">
        <f t="shared" ref="V100:V111" si="54">IF(T$12=0,0,T100/T$12)</f>
        <v>7.5465498770347752E-3</v>
      </c>
      <c r="W100" s="1"/>
      <c r="X100" s="1">
        <f t="shared" ref="X100:X111" si="55">+P100-T100</f>
        <v>-20020.21</v>
      </c>
      <c r="Y100" s="1"/>
      <c r="Z100" s="5">
        <f t="shared" ref="Z100:Z111" si="56">IF(T100=0,0,X100/T100)</f>
        <v>-0.77000807692307693</v>
      </c>
    </row>
    <row r="101" spans="1:26" s="24" customFormat="1" hidden="1" outlineLevel="2" x14ac:dyDescent="0.25">
      <c r="A101" s="27"/>
      <c r="B101" s="11" t="str">
        <f>CONCATENATE("          ", "6279", " - ", "GENERAL EXPENSE")</f>
        <v xml:space="preserve">          6279 - GENERAL EXPENSE</v>
      </c>
      <c r="C101" s="11"/>
      <c r="D101" s="6">
        <v>-1613.24</v>
      </c>
      <c r="E101" s="2"/>
      <c r="F101" s="7">
        <f t="shared" si="49"/>
        <v>-9.6912187072167519E-2</v>
      </c>
      <c r="G101" s="2"/>
      <c r="H101" s="6"/>
      <c r="I101" s="2"/>
      <c r="J101" s="7">
        <f t="shared" si="50"/>
        <v>0</v>
      </c>
      <c r="K101" s="2"/>
      <c r="L101" s="6">
        <f t="shared" si="51"/>
        <v>-1613.24</v>
      </c>
      <c r="M101" s="2"/>
      <c r="N101" s="7">
        <f t="shared" si="52"/>
        <v>0</v>
      </c>
      <c r="O101" s="11"/>
      <c r="P101" s="6">
        <v>5979.79</v>
      </c>
      <c r="Q101" s="2"/>
      <c r="R101" s="7">
        <f t="shared" si="53"/>
        <v>1.7860496778132498E-3</v>
      </c>
      <c r="S101" s="2"/>
      <c r="T101" s="6">
        <v>26000</v>
      </c>
      <c r="U101" s="2"/>
      <c r="V101" s="7">
        <f t="shared" si="54"/>
        <v>7.5465498770347752E-3</v>
      </c>
      <c r="W101" s="2"/>
      <c r="X101" s="6">
        <f t="shared" si="55"/>
        <v>-20020.21</v>
      </c>
      <c r="Y101" s="2"/>
      <c r="Z101" s="7">
        <f t="shared" si="56"/>
        <v>-0.77000807692307693</v>
      </c>
    </row>
    <row r="102" spans="1:26" s="26" customFormat="1" outlineLevel="1" collapsed="1" x14ac:dyDescent="0.25">
      <c r="A102" s="25"/>
      <c r="B102" s="12" t="str">
        <f>CONCATENATE("     ","Inventory Adjustment                              ")</f>
        <v xml:space="preserve">     Inventory Adjustment                              </v>
      </c>
      <c r="C102" s="12"/>
      <c r="D102" s="1">
        <f>SUM(OSRRefD22_8x_0)</f>
        <v>-50217</v>
      </c>
      <c r="E102" s="1"/>
      <c r="F102" s="5">
        <f t="shared" si="49"/>
        <v>-3.0166864807487022</v>
      </c>
      <c r="G102" s="1"/>
      <c r="H102" s="1">
        <f>SUM(OSRRefH22_8x_0)</f>
        <v>53000</v>
      </c>
      <c r="I102" s="1"/>
      <c r="J102" s="5">
        <f t="shared" si="50"/>
        <v>0.92455298735281288</v>
      </c>
      <c r="K102" s="1"/>
      <c r="L102" s="1">
        <f t="shared" si="51"/>
        <v>-103217</v>
      </c>
      <c r="M102" s="1"/>
      <c r="N102" s="5">
        <f t="shared" si="52"/>
        <v>-1.947490566037736</v>
      </c>
      <c r="O102" s="12"/>
      <c r="P102" s="1">
        <f>SUM(OSRRefP22_8x_0)</f>
        <v>-33417</v>
      </c>
      <c r="Q102" s="1"/>
      <c r="R102" s="5">
        <f t="shared" si="53"/>
        <v>-9.981023093367054E-3</v>
      </c>
      <c r="S102" s="1"/>
      <c r="T102" s="1">
        <f>SUM(OSRRefT22_8x_0)</f>
        <v>69800</v>
      </c>
      <c r="U102" s="1"/>
      <c r="V102" s="5">
        <f t="shared" si="54"/>
        <v>2.0259583900654896E-2</v>
      </c>
      <c r="W102" s="1"/>
      <c r="X102" s="1">
        <f t="shared" si="55"/>
        <v>-103217</v>
      </c>
      <c r="Y102" s="1"/>
      <c r="Z102" s="5">
        <f t="shared" si="56"/>
        <v>-1.4787535816618911</v>
      </c>
    </row>
    <row r="103" spans="1:26" s="24" customFormat="1" hidden="1" outlineLevel="2" x14ac:dyDescent="0.25">
      <c r="A103" s="27"/>
      <c r="B103" s="11" t="str">
        <f>CONCATENATE("          ", "6408", " - ", "INVENTORY ADJUSTMENT")</f>
        <v xml:space="preserve">          6408 - INVENTORY ADJUSTMENT</v>
      </c>
      <c r="C103" s="11"/>
      <c r="D103" s="6">
        <v>-16800</v>
      </c>
      <c r="E103" s="2"/>
      <c r="F103" s="7">
        <f t="shared" si="49"/>
        <v>-1.0092266140266881</v>
      </c>
      <c r="G103" s="2"/>
      <c r="H103" s="6">
        <v>53000</v>
      </c>
      <c r="I103" s="2"/>
      <c r="J103" s="7">
        <f t="shared" si="50"/>
        <v>0.92455298735281288</v>
      </c>
      <c r="K103" s="2"/>
      <c r="L103" s="6">
        <f t="shared" si="51"/>
        <v>-69800</v>
      </c>
      <c r="M103" s="2"/>
      <c r="N103" s="7">
        <f t="shared" si="52"/>
        <v>-1.3169811320754716</v>
      </c>
      <c r="O103" s="11"/>
      <c r="P103" s="6">
        <v>0</v>
      </c>
      <c r="Q103" s="2"/>
      <c r="R103" s="7">
        <f t="shared" si="53"/>
        <v>0</v>
      </c>
      <c r="S103" s="2"/>
      <c r="T103" s="6">
        <v>69800</v>
      </c>
      <c r="U103" s="2"/>
      <c r="V103" s="7">
        <f t="shared" si="54"/>
        <v>2.0259583900654896E-2</v>
      </c>
      <c r="W103" s="2"/>
      <c r="X103" s="6">
        <f t="shared" si="55"/>
        <v>-69800</v>
      </c>
      <c r="Y103" s="2"/>
      <c r="Z103" s="7">
        <f t="shared" si="56"/>
        <v>-1</v>
      </c>
    </row>
    <row r="104" spans="1:26" s="24" customFormat="1" hidden="1" outlineLevel="2" x14ac:dyDescent="0.25">
      <c r="A104" s="27"/>
      <c r="B104" s="11" t="str">
        <f>CONCATENATE("          ", "7701", " - ", "INV. SHRINKAGE-NEW TEXT")</f>
        <v xml:space="preserve">          7701 - INV. SHRINKAGE-NEW TEXT</v>
      </c>
      <c r="C104" s="11"/>
      <c r="D104" s="6">
        <v>-4346</v>
      </c>
      <c r="E104" s="2"/>
      <c r="F104" s="7">
        <f t="shared" si="49"/>
        <v>-0.26107731336666584</v>
      </c>
      <c r="G104" s="2"/>
      <c r="H104" s="6"/>
      <c r="I104" s="2"/>
      <c r="J104" s="7">
        <f t="shared" si="50"/>
        <v>0</v>
      </c>
      <c r="K104" s="2"/>
      <c r="L104" s="6">
        <f t="shared" si="51"/>
        <v>-4346</v>
      </c>
      <c r="M104" s="2"/>
      <c r="N104" s="7">
        <f t="shared" si="52"/>
        <v>0</v>
      </c>
      <c r="O104" s="11"/>
      <c r="P104" s="6">
        <v>-4346</v>
      </c>
      <c r="Q104" s="2"/>
      <c r="R104" s="7">
        <f t="shared" si="53"/>
        <v>-1.2980676411339502E-3</v>
      </c>
      <c r="S104" s="2"/>
      <c r="T104" s="6"/>
      <c r="U104" s="2"/>
      <c r="V104" s="7">
        <f t="shared" si="54"/>
        <v>0</v>
      </c>
      <c r="W104" s="2"/>
      <c r="X104" s="6">
        <f t="shared" si="55"/>
        <v>-4346</v>
      </c>
      <c r="Y104" s="2"/>
      <c r="Z104" s="7">
        <f t="shared" si="56"/>
        <v>0</v>
      </c>
    </row>
    <row r="105" spans="1:26" s="24" customFormat="1" hidden="1" outlineLevel="2" x14ac:dyDescent="0.25">
      <c r="A105" s="27"/>
      <c r="B105" s="11" t="str">
        <f>CONCATENATE("          ", "7702", " - ", "INV. SHRINKAGE-USED TEXT")</f>
        <v xml:space="preserve">          7702 - INV. SHRINKAGE-USED TEXT</v>
      </c>
      <c r="C105" s="11"/>
      <c r="D105" s="6">
        <v>-29494</v>
      </c>
      <c r="E105" s="2"/>
      <c r="F105" s="7">
        <f t="shared" si="49"/>
        <v>-1.7717934377442344</v>
      </c>
      <c r="G105" s="2"/>
      <c r="H105" s="6"/>
      <c r="I105" s="2"/>
      <c r="J105" s="7">
        <f t="shared" si="50"/>
        <v>0</v>
      </c>
      <c r="K105" s="2"/>
      <c r="L105" s="6">
        <f t="shared" si="51"/>
        <v>-29494</v>
      </c>
      <c r="M105" s="2"/>
      <c r="N105" s="7">
        <f t="shared" si="52"/>
        <v>0</v>
      </c>
      <c r="O105" s="11"/>
      <c r="P105" s="6">
        <v>-29494</v>
      </c>
      <c r="Q105" s="2"/>
      <c r="R105" s="7">
        <f t="shared" si="53"/>
        <v>-8.8092975167061039E-3</v>
      </c>
      <c r="S105" s="2"/>
      <c r="T105" s="6"/>
      <c r="U105" s="2"/>
      <c r="V105" s="7">
        <f t="shared" si="54"/>
        <v>0</v>
      </c>
      <c r="W105" s="2"/>
      <c r="X105" s="6">
        <f t="shared" si="55"/>
        <v>-29494</v>
      </c>
      <c r="Y105" s="2"/>
      <c r="Z105" s="7">
        <f t="shared" si="56"/>
        <v>0</v>
      </c>
    </row>
    <row r="106" spans="1:26" s="24" customFormat="1" hidden="1" outlineLevel="2" x14ac:dyDescent="0.25">
      <c r="A106" s="27"/>
      <c r="B106" s="11" t="str">
        <f>CONCATENATE("          ", "7703", " - ", "INV. SHRINKAGE-RENTAL TEXT")</f>
        <v xml:space="preserve">          7703 - INV. SHRINKAGE-RENTAL TEXT</v>
      </c>
      <c r="C106" s="11"/>
      <c r="D106" s="6">
        <v>526</v>
      </c>
      <c r="E106" s="2"/>
      <c r="F106" s="7">
        <f t="shared" si="49"/>
        <v>3.1598404701073682E-2</v>
      </c>
      <c r="G106" s="2"/>
      <c r="H106" s="6"/>
      <c r="I106" s="2"/>
      <c r="J106" s="7">
        <f t="shared" si="50"/>
        <v>0</v>
      </c>
      <c r="K106" s="2"/>
      <c r="L106" s="6">
        <f t="shared" si="51"/>
        <v>526</v>
      </c>
      <c r="M106" s="2"/>
      <c r="N106" s="7">
        <f t="shared" si="52"/>
        <v>0</v>
      </c>
      <c r="O106" s="11"/>
      <c r="P106" s="6">
        <v>526</v>
      </c>
      <c r="Q106" s="2"/>
      <c r="R106" s="7">
        <f t="shared" si="53"/>
        <v>1.571062078316746E-4</v>
      </c>
      <c r="S106" s="2"/>
      <c r="T106" s="6"/>
      <c r="U106" s="2"/>
      <c r="V106" s="7">
        <f t="shared" si="54"/>
        <v>0</v>
      </c>
      <c r="W106" s="2"/>
      <c r="X106" s="6">
        <f t="shared" si="55"/>
        <v>526</v>
      </c>
      <c r="Y106" s="2"/>
      <c r="Z106" s="7">
        <f t="shared" si="56"/>
        <v>0</v>
      </c>
    </row>
    <row r="107" spans="1:26" s="24" customFormat="1" hidden="1" outlineLevel="2" x14ac:dyDescent="0.25">
      <c r="A107" s="27"/>
      <c r="B107" s="11" t="str">
        <f>CONCATENATE("          ", "7704", " - ", "INV. SHRINKAGE-DIGITAL TEXT")</f>
        <v xml:space="preserve">          7704 - INV. SHRINKAGE-DIGITAL TEXT</v>
      </c>
      <c r="C107" s="11"/>
      <c r="D107" s="6">
        <v>816</v>
      </c>
      <c r="E107" s="2"/>
      <c r="F107" s="7">
        <f t="shared" si="49"/>
        <v>4.9019578395581992E-2</v>
      </c>
      <c r="G107" s="2"/>
      <c r="H107" s="6"/>
      <c r="I107" s="2"/>
      <c r="J107" s="7">
        <f t="shared" si="50"/>
        <v>0</v>
      </c>
      <c r="K107" s="2"/>
      <c r="L107" s="6">
        <f t="shared" si="51"/>
        <v>816</v>
      </c>
      <c r="M107" s="2"/>
      <c r="N107" s="7">
        <f t="shared" si="52"/>
        <v>0</v>
      </c>
      <c r="O107" s="11"/>
      <c r="P107" s="6">
        <v>816</v>
      </c>
      <c r="Q107" s="2"/>
      <c r="R107" s="7">
        <f t="shared" si="53"/>
        <v>2.4372369884153322E-4</v>
      </c>
      <c r="S107" s="2"/>
      <c r="T107" s="6"/>
      <c r="U107" s="2"/>
      <c r="V107" s="7">
        <f t="shared" si="54"/>
        <v>0</v>
      </c>
      <c r="W107" s="2"/>
      <c r="X107" s="6">
        <f t="shared" si="55"/>
        <v>816</v>
      </c>
      <c r="Y107" s="2"/>
      <c r="Z107" s="7">
        <f t="shared" si="56"/>
        <v>0</v>
      </c>
    </row>
    <row r="108" spans="1:26" s="24" customFormat="1" hidden="1" outlineLevel="2" x14ac:dyDescent="0.25">
      <c r="A108" s="27"/>
      <c r="B108" s="11" t="str">
        <f>CONCATENATE("          ", "7711", " - ", "INV. SHRINKAGE-NO VALUE TEXT")</f>
        <v xml:space="preserve">          7711 - INV. SHRINKAGE-NO VALUE TEXT</v>
      </c>
      <c r="C108" s="11"/>
      <c r="D108" s="6">
        <v>-1126</v>
      </c>
      <c r="E108" s="2"/>
      <c r="F108" s="7">
        <f t="shared" si="49"/>
        <v>-6.7642212344883976E-2</v>
      </c>
      <c r="G108" s="2"/>
      <c r="H108" s="6"/>
      <c r="I108" s="2"/>
      <c r="J108" s="7">
        <f t="shared" si="50"/>
        <v>0</v>
      </c>
      <c r="K108" s="2"/>
      <c r="L108" s="6">
        <f t="shared" si="51"/>
        <v>-1126</v>
      </c>
      <c r="M108" s="2"/>
      <c r="N108" s="7">
        <f t="shared" si="52"/>
        <v>0</v>
      </c>
      <c r="O108" s="11"/>
      <c r="P108" s="6">
        <v>-1126</v>
      </c>
      <c r="Q108" s="2"/>
      <c r="R108" s="7">
        <f t="shared" si="53"/>
        <v>-3.3631480992103724E-4</v>
      </c>
      <c r="S108" s="2"/>
      <c r="T108" s="6"/>
      <c r="U108" s="2"/>
      <c r="V108" s="7">
        <f t="shared" si="54"/>
        <v>0</v>
      </c>
      <c r="W108" s="2"/>
      <c r="X108" s="6">
        <f t="shared" si="55"/>
        <v>-1126</v>
      </c>
      <c r="Y108" s="2"/>
      <c r="Z108" s="7">
        <f t="shared" si="56"/>
        <v>0</v>
      </c>
    </row>
    <row r="109" spans="1:26" s="24" customFormat="1" hidden="1" outlineLevel="2" x14ac:dyDescent="0.25">
      <c r="A109" s="27"/>
      <c r="B109" s="11" t="str">
        <f>CONCATENATE("          ", "7713", " - ", "INV. SHRINKAGE-TRADE BOOKS")</f>
        <v xml:space="preserve">          7713 - INV. SHRINKAGE-TRADE BOOKS</v>
      </c>
      <c r="C109" s="11"/>
      <c r="D109" s="6">
        <v>-422</v>
      </c>
      <c r="E109" s="2"/>
      <c r="F109" s="7">
        <f t="shared" si="49"/>
        <v>-2.535081137614657E-2</v>
      </c>
      <c r="G109" s="2"/>
      <c r="H109" s="6"/>
      <c r="I109" s="2"/>
      <c r="J109" s="7">
        <f t="shared" si="50"/>
        <v>0</v>
      </c>
      <c r="K109" s="2"/>
      <c r="L109" s="6">
        <f t="shared" si="51"/>
        <v>-422</v>
      </c>
      <c r="M109" s="2"/>
      <c r="N109" s="7">
        <f t="shared" si="52"/>
        <v>0</v>
      </c>
      <c r="O109" s="11"/>
      <c r="P109" s="6">
        <v>-422</v>
      </c>
      <c r="Q109" s="2"/>
      <c r="R109" s="7">
        <f t="shared" si="53"/>
        <v>-1.260433834695184E-4</v>
      </c>
      <c r="S109" s="2"/>
      <c r="T109" s="6"/>
      <c r="U109" s="2"/>
      <c r="V109" s="7">
        <f t="shared" si="54"/>
        <v>0</v>
      </c>
      <c r="W109" s="2"/>
      <c r="X109" s="6">
        <f t="shared" si="55"/>
        <v>-422</v>
      </c>
      <c r="Y109" s="2"/>
      <c r="Z109" s="7">
        <f t="shared" si="56"/>
        <v>0</v>
      </c>
    </row>
    <row r="110" spans="1:26" s="24" customFormat="1" hidden="1" outlineLevel="2" x14ac:dyDescent="0.25">
      <c r="A110" s="27"/>
      <c r="B110" s="11" t="str">
        <f>CONCATENATE("          ", "7714", " - ", "INV. SHRINKAGE-REMAINDERS")</f>
        <v xml:space="preserve">          7714 - INV. SHRINKAGE-REMAINDERS</v>
      </c>
      <c r="C110" s="11"/>
      <c r="D110" s="6">
        <v>171</v>
      </c>
      <c r="E110" s="2"/>
      <c r="F110" s="7">
        <f t="shared" si="49"/>
        <v>1.0272485178485932E-2</v>
      </c>
      <c r="G110" s="2"/>
      <c r="H110" s="6"/>
      <c r="I110" s="2"/>
      <c r="J110" s="7">
        <f t="shared" si="50"/>
        <v>0</v>
      </c>
      <c r="K110" s="2"/>
      <c r="L110" s="6">
        <f t="shared" si="51"/>
        <v>171</v>
      </c>
      <c r="M110" s="2"/>
      <c r="N110" s="7">
        <f t="shared" si="52"/>
        <v>0</v>
      </c>
      <c r="O110" s="11"/>
      <c r="P110" s="6">
        <v>171</v>
      </c>
      <c r="Q110" s="2"/>
      <c r="R110" s="7">
        <f t="shared" si="53"/>
        <v>5.1074451595468356E-5</v>
      </c>
      <c r="S110" s="2"/>
      <c r="T110" s="6"/>
      <c r="U110" s="2"/>
      <c r="V110" s="7">
        <f t="shared" si="54"/>
        <v>0</v>
      </c>
      <c r="W110" s="2"/>
      <c r="X110" s="6">
        <f t="shared" si="55"/>
        <v>171</v>
      </c>
      <c r="Y110" s="2"/>
      <c r="Z110" s="7">
        <f t="shared" si="56"/>
        <v>0</v>
      </c>
    </row>
    <row r="111" spans="1:26" s="24" customFormat="1" hidden="1" outlineLevel="2" x14ac:dyDescent="0.25">
      <c r="A111" s="27"/>
      <c r="B111" s="11" t="str">
        <f>CONCATENATE("          ", "7718", " - ", "INV. SHRINKAGE-STUDY GUIDES")</f>
        <v xml:space="preserve">          7718 - INV. SHRINKAGE-STUDY GUIDES</v>
      </c>
      <c r="C111" s="11"/>
      <c r="D111" s="6">
        <v>458</v>
      </c>
      <c r="E111" s="2"/>
      <c r="F111" s="7">
        <f t="shared" si="49"/>
        <v>2.7513439834775187E-2</v>
      </c>
      <c r="G111" s="2"/>
      <c r="H111" s="6"/>
      <c r="I111" s="2"/>
      <c r="J111" s="7">
        <f t="shared" si="50"/>
        <v>0</v>
      </c>
      <c r="K111" s="2"/>
      <c r="L111" s="6">
        <f t="shared" si="51"/>
        <v>458</v>
      </c>
      <c r="M111" s="2"/>
      <c r="N111" s="7">
        <f t="shared" si="52"/>
        <v>0</v>
      </c>
      <c r="O111" s="11"/>
      <c r="P111" s="6">
        <v>458</v>
      </c>
      <c r="Q111" s="2"/>
      <c r="R111" s="7">
        <f t="shared" si="53"/>
        <v>1.3679589959488016E-4</v>
      </c>
      <c r="S111" s="2"/>
      <c r="T111" s="6"/>
      <c r="U111" s="2"/>
      <c r="V111" s="7">
        <f t="shared" si="54"/>
        <v>0</v>
      </c>
      <c r="W111" s="2"/>
      <c r="X111" s="6">
        <f t="shared" si="55"/>
        <v>458</v>
      </c>
      <c r="Y111" s="2"/>
      <c r="Z111" s="7">
        <f t="shared" si="56"/>
        <v>0</v>
      </c>
    </row>
    <row r="112" spans="1:26" s="26" customFormat="1" outlineLevel="1" collapsed="1" x14ac:dyDescent="0.25">
      <c r="A112" s="25"/>
      <c r="B112" s="12" t="str">
        <f>CONCATENATE("     ","Repair and Maintenance                            ")</f>
        <v xml:space="preserve">     Repair and Maintenance                            </v>
      </c>
      <c r="C112" s="12"/>
      <c r="D112" s="1">
        <f>SUM(OSRRefD22_9x_0)</f>
        <v>11567.81</v>
      </c>
      <c r="E112" s="1"/>
      <c r="F112" s="5">
        <f t="shared" ref="F112:F116" si="57">IF(D$12=0,0,D112/D$12)</f>
        <v>0.69491319750024172</v>
      </c>
      <c r="G112" s="1"/>
      <c r="H112" s="1">
        <f>SUM(OSRRefH22_9x_0)</f>
        <v>140</v>
      </c>
      <c r="I112" s="1"/>
      <c r="J112" s="5">
        <f t="shared" ref="J112:J116" si="58">IF(H$12=0,0,H112/H$12)</f>
        <v>2.4422154382904493E-3</v>
      </c>
      <c r="K112" s="1"/>
      <c r="L112" s="1">
        <f t="shared" ref="L112:L116" si="59">+D112-H112</f>
        <v>11427.81</v>
      </c>
      <c r="M112" s="1"/>
      <c r="N112" s="5">
        <f t="shared" ref="N112:N116" si="60">IF(H112=0,0,L112/H112)</f>
        <v>81.627214285714288</v>
      </c>
      <c r="O112" s="12"/>
      <c r="P112" s="1">
        <f>SUM(OSRRefP22_9x_0)</f>
        <v>11855.98</v>
      </c>
      <c r="Q112" s="1"/>
      <c r="R112" s="5">
        <f t="shared" ref="R112:R116" si="61">IF(P$12=0,0,P112/P$12)</f>
        <v>3.5411560036657363E-3</v>
      </c>
      <c r="S112" s="1"/>
      <c r="T112" s="1">
        <f>SUM(OSRRefT22_9x_0)</f>
        <v>15680</v>
      </c>
      <c r="U112" s="1"/>
      <c r="V112" s="5">
        <f t="shared" ref="V112:V116" si="62">IF(T$12=0,0,T112/T$12)</f>
        <v>4.551150079688664E-3</v>
      </c>
      <c r="W112" s="1"/>
      <c r="X112" s="1">
        <f t="shared" ref="X112:X116" si="63">+P112-T112</f>
        <v>-3824.0200000000004</v>
      </c>
      <c r="Y112" s="1"/>
      <c r="Z112" s="5">
        <f t="shared" ref="Z112:Z116" si="64">IF(T112=0,0,X112/T112)</f>
        <v>-0.24387882653061227</v>
      </c>
    </row>
    <row r="113" spans="1:26" s="24" customFormat="1" hidden="1" outlineLevel="2" x14ac:dyDescent="0.25">
      <c r="A113" s="27"/>
      <c r="B113" s="11" t="str">
        <f>CONCATENATE("          ", "6371", " - ", "COMPUTER SOFTWARE MAINTENANCE")</f>
        <v xml:space="preserve">          6371 - COMPUTER SOFTWARE MAINTENANCE</v>
      </c>
      <c r="C113" s="11"/>
      <c r="D113" s="6">
        <v>11550</v>
      </c>
      <c r="E113" s="2"/>
      <c r="F113" s="7">
        <f t="shared" si="57"/>
        <v>0.69384329714334803</v>
      </c>
      <c r="G113" s="2"/>
      <c r="H113" s="6"/>
      <c r="I113" s="2"/>
      <c r="J113" s="7">
        <f t="shared" si="58"/>
        <v>0</v>
      </c>
      <c r="K113" s="2"/>
      <c r="L113" s="6">
        <f t="shared" si="59"/>
        <v>11550</v>
      </c>
      <c r="M113" s="2"/>
      <c r="N113" s="7">
        <f t="shared" si="60"/>
        <v>0</v>
      </c>
      <c r="O113" s="11"/>
      <c r="P113" s="6">
        <v>11550</v>
      </c>
      <c r="Q113" s="2"/>
      <c r="R113" s="7">
        <f t="shared" si="61"/>
        <v>3.4497655902202312E-3</v>
      </c>
      <c r="S113" s="2"/>
      <c r="T113" s="6">
        <v>12000</v>
      </c>
      <c r="U113" s="2"/>
      <c r="V113" s="7">
        <f t="shared" si="62"/>
        <v>3.4830230201698962E-3</v>
      </c>
      <c r="W113" s="2"/>
      <c r="X113" s="6">
        <f t="shared" si="63"/>
        <v>-450</v>
      </c>
      <c r="Y113" s="2"/>
      <c r="Z113" s="7">
        <f t="shared" si="64"/>
        <v>-3.7499999999999999E-2</v>
      </c>
    </row>
    <row r="114" spans="1:26" s="24" customFormat="1" hidden="1" outlineLevel="2" x14ac:dyDescent="0.25">
      <c r="A114" s="27"/>
      <c r="B114" s="11" t="str">
        <f>CONCATENATE("          ", "6372", " - ", "COMPUTER HARDWARE MAINTENANCE")</f>
        <v xml:space="preserve">          6372 - COMPUTER HARDWARE MAINTENANCE</v>
      </c>
      <c r="C114" s="11"/>
      <c r="D114" s="6"/>
      <c r="E114" s="2"/>
      <c r="F114" s="7">
        <f t="shared" si="57"/>
        <v>0</v>
      </c>
      <c r="G114" s="2"/>
      <c r="H114" s="6"/>
      <c r="I114" s="2"/>
      <c r="J114" s="7">
        <f t="shared" si="58"/>
        <v>0</v>
      </c>
      <c r="K114" s="2"/>
      <c r="L114" s="6">
        <f t="shared" si="59"/>
        <v>0</v>
      </c>
      <c r="M114" s="2"/>
      <c r="N114" s="7">
        <f t="shared" si="60"/>
        <v>0</v>
      </c>
      <c r="O114" s="11"/>
      <c r="P114" s="6"/>
      <c r="Q114" s="2"/>
      <c r="R114" s="7">
        <f t="shared" si="61"/>
        <v>0</v>
      </c>
      <c r="S114" s="2"/>
      <c r="T114" s="6">
        <v>2000</v>
      </c>
      <c r="U114" s="2"/>
      <c r="V114" s="7">
        <f t="shared" si="62"/>
        <v>5.8050383669498273E-4</v>
      </c>
      <c r="W114" s="2"/>
      <c r="X114" s="6">
        <f t="shared" si="63"/>
        <v>-2000</v>
      </c>
      <c r="Y114" s="2"/>
      <c r="Z114" s="7">
        <f t="shared" si="64"/>
        <v>-1</v>
      </c>
    </row>
    <row r="115" spans="1:26" s="24" customFormat="1" hidden="1" outlineLevel="2" x14ac:dyDescent="0.25">
      <c r="A115" s="27"/>
      <c r="B115" s="11" t="str">
        <f>CONCATENATE("          ", "6373", " - ", "MAINTENANCE CONTRACTS")</f>
        <v xml:space="preserve">          6373 - MAINTENANCE CONTRACTS</v>
      </c>
      <c r="C115" s="11"/>
      <c r="D115" s="6">
        <v>17.809999999999999</v>
      </c>
      <c r="E115" s="2"/>
      <c r="F115" s="7">
        <f t="shared" si="57"/>
        <v>1.0699003568937686E-3</v>
      </c>
      <c r="G115" s="2"/>
      <c r="H115" s="6">
        <v>40</v>
      </c>
      <c r="I115" s="2"/>
      <c r="J115" s="7">
        <f t="shared" si="58"/>
        <v>6.9777583951155693E-4</v>
      </c>
      <c r="K115" s="2"/>
      <c r="L115" s="6">
        <f t="shared" si="59"/>
        <v>-22.19</v>
      </c>
      <c r="M115" s="2"/>
      <c r="N115" s="7">
        <f t="shared" si="60"/>
        <v>-0.55475000000000008</v>
      </c>
      <c r="O115" s="11"/>
      <c r="P115" s="6">
        <v>305.98</v>
      </c>
      <c r="Q115" s="2"/>
      <c r="R115" s="7">
        <f t="shared" si="61"/>
        <v>9.1390413445505321E-5</v>
      </c>
      <c r="S115" s="2"/>
      <c r="T115" s="6">
        <v>480</v>
      </c>
      <c r="U115" s="2"/>
      <c r="V115" s="7">
        <f t="shared" si="62"/>
        <v>1.3932092080679584E-4</v>
      </c>
      <c r="W115" s="2"/>
      <c r="X115" s="6">
        <f t="shared" si="63"/>
        <v>-174.01999999999998</v>
      </c>
      <c r="Y115" s="2"/>
      <c r="Z115" s="7">
        <f t="shared" si="64"/>
        <v>-0.36254166666666665</v>
      </c>
    </row>
    <row r="116" spans="1:26" s="24" customFormat="1" hidden="1" outlineLevel="2" x14ac:dyDescent="0.25">
      <c r="A116" s="27"/>
      <c r="B116" s="11" t="str">
        <f>CONCATENATE("          ", "6375", " - ", "OUTSIDE REPAIRS &amp; MAINTENANCE")</f>
        <v xml:space="preserve">          6375 - OUTSIDE REPAIRS &amp; MAINTENANCE</v>
      </c>
      <c r="C116" s="11"/>
      <c r="D116" s="6"/>
      <c r="E116" s="2"/>
      <c r="F116" s="7">
        <f t="shared" si="57"/>
        <v>0</v>
      </c>
      <c r="G116" s="2"/>
      <c r="H116" s="6">
        <v>100</v>
      </c>
      <c r="I116" s="2"/>
      <c r="J116" s="7">
        <f t="shared" si="58"/>
        <v>1.7444395987788923E-3</v>
      </c>
      <c r="K116" s="2"/>
      <c r="L116" s="6">
        <f t="shared" si="59"/>
        <v>-100</v>
      </c>
      <c r="M116" s="2"/>
      <c r="N116" s="7">
        <f t="shared" si="60"/>
        <v>-1</v>
      </c>
      <c r="O116" s="11"/>
      <c r="P116" s="6"/>
      <c r="Q116" s="2"/>
      <c r="R116" s="7">
        <f t="shared" si="61"/>
        <v>0</v>
      </c>
      <c r="S116" s="2"/>
      <c r="T116" s="6">
        <v>1200</v>
      </c>
      <c r="U116" s="2"/>
      <c r="V116" s="7">
        <f t="shared" si="62"/>
        <v>3.4830230201698958E-4</v>
      </c>
      <c r="W116" s="2"/>
      <c r="X116" s="6">
        <f t="shared" si="63"/>
        <v>-1200</v>
      </c>
      <c r="Y116" s="2"/>
      <c r="Z116" s="7">
        <f t="shared" si="64"/>
        <v>-1</v>
      </c>
    </row>
    <row r="117" spans="1:26" s="26" customFormat="1" outlineLevel="1" collapsed="1" x14ac:dyDescent="0.25">
      <c r="A117" s="25"/>
      <c r="B117" s="12" t="str">
        <f>CONCATENATE("     ","Subscriptions &amp; Dues                              ")</f>
        <v xml:space="preserve">     Subscriptions &amp; Dues                              </v>
      </c>
      <c r="C117" s="12"/>
      <c r="D117" s="1">
        <f>SUM(OSRRefD22_10x_0)</f>
        <v>981.28</v>
      </c>
      <c r="E117" s="1"/>
      <c r="F117" s="5">
        <f t="shared" ref="F117:F119" si="65">IF(D$12=0,0,D117/D$12)</f>
        <v>5.8948445941196928E-2</v>
      </c>
      <c r="G117" s="1"/>
      <c r="H117" s="1">
        <f>SUM(OSRRefH22_10x_0)</f>
        <v>400</v>
      </c>
      <c r="I117" s="1"/>
      <c r="J117" s="5">
        <f t="shared" ref="J117:J119" si="66">IF(H$12=0,0,H117/H$12)</f>
        <v>6.9777583951155693E-3</v>
      </c>
      <c r="K117" s="1"/>
      <c r="L117" s="1">
        <f t="shared" ref="L117:L119" si="67">+D117-H117</f>
        <v>581.28</v>
      </c>
      <c r="M117" s="1"/>
      <c r="N117" s="5">
        <f t="shared" ref="N117:N119" si="68">IF(H117=0,0,L117/H117)</f>
        <v>1.4531999999999998</v>
      </c>
      <c r="O117" s="12"/>
      <c r="P117" s="1">
        <f>SUM(OSRRefP22_10x_0)</f>
        <v>6291.84</v>
      </c>
      <c r="Q117" s="1"/>
      <c r="R117" s="5">
        <f t="shared" ref="R117:R119" si="69">IF(P$12=0,0,P117/P$12)</f>
        <v>1.8792530849498926E-3</v>
      </c>
      <c r="S117" s="1"/>
      <c r="T117" s="1">
        <f>SUM(OSRRefT22_10x_0)</f>
        <v>8000</v>
      </c>
      <c r="U117" s="1"/>
      <c r="V117" s="5">
        <f t="shared" ref="V117:V119" si="70">IF(T$12=0,0,T117/T$12)</f>
        <v>2.3220153467799309E-3</v>
      </c>
      <c r="W117" s="1"/>
      <c r="X117" s="1">
        <f t="shared" ref="X117:X119" si="71">+P117-T117</f>
        <v>-1708.1599999999999</v>
      </c>
      <c r="Y117" s="1"/>
      <c r="Z117" s="5">
        <f t="shared" ref="Z117:Z119" si="72">IF(T117=0,0,X117/T117)</f>
        <v>-0.21351999999999999</v>
      </c>
    </row>
    <row r="118" spans="1:26" s="24" customFormat="1" hidden="1" outlineLevel="2" x14ac:dyDescent="0.25">
      <c r="A118" s="27"/>
      <c r="B118" s="11" t="str">
        <f>CONCATENATE("          ", "6258", " - ", "MEMBERSHIP DUES")</f>
        <v xml:space="preserve">          6258 - MEMBERSHIP DUES</v>
      </c>
      <c r="C118" s="11"/>
      <c r="D118" s="6">
        <v>981.28</v>
      </c>
      <c r="E118" s="2"/>
      <c r="F118" s="7">
        <f t="shared" si="65"/>
        <v>5.8948445941196928E-2</v>
      </c>
      <c r="G118" s="2"/>
      <c r="H118" s="6">
        <v>400</v>
      </c>
      <c r="I118" s="2"/>
      <c r="J118" s="7">
        <f t="shared" si="66"/>
        <v>6.9777583951155693E-3</v>
      </c>
      <c r="K118" s="2"/>
      <c r="L118" s="6">
        <f t="shared" si="67"/>
        <v>581.28</v>
      </c>
      <c r="M118" s="2"/>
      <c r="N118" s="7">
        <f t="shared" si="68"/>
        <v>1.4531999999999998</v>
      </c>
      <c r="O118" s="11"/>
      <c r="P118" s="6">
        <v>4439.76</v>
      </c>
      <c r="Q118" s="2"/>
      <c r="R118" s="7">
        <f t="shared" si="69"/>
        <v>1.3260719720204479E-3</v>
      </c>
      <c r="S118" s="2"/>
      <c r="T118" s="6">
        <v>8000</v>
      </c>
      <c r="U118" s="2"/>
      <c r="V118" s="7">
        <f t="shared" si="70"/>
        <v>2.3220153467799309E-3</v>
      </c>
      <c r="W118" s="2"/>
      <c r="X118" s="6">
        <f t="shared" si="71"/>
        <v>-3560.24</v>
      </c>
      <c r="Y118" s="2"/>
      <c r="Z118" s="7">
        <f t="shared" si="72"/>
        <v>-0.44502999999999998</v>
      </c>
    </row>
    <row r="119" spans="1:26" s="24" customFormat="1" hidden="1" outlineLevel="2" x14ac:dyDescent="0.25">
      <c r="A119" s="27"/>
      <c r="B119" s="11" t="str">
        <f>CONCATENATE("          ", "6275", " - ", "SUBSCRIPTIONS")</f>
        <v xml:space="preserve">          6275 - SUBSCRIPTIONS</v>
      </c>
      <c r="C119" s="11"/>
      <c r="D119" s="6"/>
      <c r="E119" s="2"/>
      <c r="F119" s="7">
        <f t="shared" si="65"/>
        <v>0</v>
      </c>
      <c r="G119" s="2"/>
      <c r="H119" s="6"/>
      <c r="I119" s="2"/>
      <c r="J119" s="7">
        <f t="shared" si="66"/>
        <v>0</v>
      </c>
      <c r="K119" s="2"/>
      <c r="L119" s="6">
        <f t="shared" si="67"/>
        <v>0</v>
      </c>
      <c r="M119" s="2"/>
      <c r="N119" s="7">
        <f t="shared" si="68"/>
        <v>0</v>
      </c>
      <c r="O119" s="11"/>
      <c r="P119" s="6">
        <v>1852.08</v>
      </c>
      <c r="Q119" s="2"/>
      <c r="R119" s="7">
        <f t="shared" si="69"/>
        <v>5.5318111292944469E-4</v>
      </c>
      <c r="S119" s="2"/>
      <c r="T119" s="6"/>
      <c r="U119" s="2"/>
      <c r="V119" s="7">
        <f t="shared" si="70"/>
        <v>0</v>
      </c>
      <c r="W119" s="2"/>
      <c r="X119" s="6">
        <f t="shared" si="71"/>
        <v>1852.08</v>
      </c>
      <c r="Y119" s="2"/>
      <c r="Z119" s="7">
        <f t="shared" si="72"/>
        <v>0</v>
      </c>
    </row>
    <row r="120" spans="1:26" s="26" customFormat="1" outlineLevel="1" collapsed="1" x14ac:dyDescent="0.25">
      <c r="A120" s="25"/>
      <c r="B120" s="12" t="str">
        <f>CONCATENATE("     ","Supplies                                          ")</f>
        <v xml:space="preserve">     Supplies                                          </v>
      </c>
      <c r="C120" s="12"/>
      <c r="D120" s="1">
        <f>SUM(OSRRefD22_11x_0)</f>
        <v>516.1</v>
      </c>
      <c r="E120" s="1"/>
      <c r="F120" s="5">
        <f t="shared" ref="F120:F123" si="73">IF(D$12=0,0,D120/D$12)</f>
        <v>3.1003681874950818E-2</v>
      </c>
      <c r="G120" s="1"/>
      <c r="H120" s="1">
        <f>SUM(OSRRefH22_11x_0)</f>
        <v>1200</v>
      </c>
      <c r="I120" s="1"/>
      <c r="J120" s="5">
        <f t="shared" ref="J120:J123" si="74">IF(H$12=0,0,H120/H$12)</f>
        <v>2.0933275185346708E-2</v>
      </c>
      <c r="K120" s="1"/>
      <c r="L120" s="1">
        <f t="shared" ref="L120:L123" si="75">+D120-H120</f>
        <v>-683.9</v>
      </c>
      <c r="M120" s="1"/>
      <c r="N120" s="5">
        <f t="shared" ref="N120:N123" si="76">IF(H120=0,0,L120/H120)</f>
        <v>-0.56991666666666663</v>
      </c>
      <c r="O120" s="12"/>
      <c r="P120" s="1">
        <f>SUM(OSRRefP22_11x_0)</f>
        <v>14036.529999999999</v>
      </c>
      <c r="Q120" s="1"/>
      <c r="R120" s="5">
        <f t="shared" ref="R120:R123" si="77">IF(P$12=0,0,P120/P$12)</f>
        <v>4.1924448658090026E-3</v>
      </c>
      <c r="S120" s="1"/>
      <c r="T120" s="1">
        <f>SUM(OSRRefT22_11x_0)</f>
        <v>21450</v>
      </c>
      <c r="U120" s="1"/>
      <c r="V120" s="5">
        <f t="shared" ref="V120:V123" si="78">IF(T$12=0,0,T120/T$12)</f>
        <v>6.2259036485536896E-3</v>
      </c>
      <c r="W120" s="1"/>
      <c r="X120" s="1">
        <f t="shared" ref="X120:X123" si="79">+P120-T120</f>
        <v>-7413.4700000000012</v>
      </c>
      <c r="Y120" s="1"/>
      <c r="Z120" s="5">
        <f t="shared" ref="Z120:Z123" si="80">IF(T120=0,0,X120/T120)</f>
        <v>-0.34561631701631707</v>
      </c>
    </row>
    <row r="121" spans="1:26" s="24" customFormat="1" hidden="1" outlineLevel="2" x14ac:dyDescent="0.25">
      <c r="A121" s="27"/>
      <c r="B121" s="11" t="str">
        <f>CONCATENATE("          ", "6241", " - ", "OFFICE EXPENSE")</f>
        <v xml:space="preserve">          6241 - OFFICE EXPENSE</v>
      </c>
      <c r="C121" s="11"/>
      <c r="D121" s="6">
        <v>62.67</v>
      </c>
      <c r="E121" s="2"/>
      <c r="F121" s="7">
        <f t="shared" si="73"/>
        <v>3.7647757083959848E-3</v>
      </c>
      <c r="G121" s="2"/>
      <c r="H121" s="6">
        <v>300</v>
      </c>
      <c r="I121" s="2"/>
      <c r="J121" s="7">
        <f t="shared" si="74"/>
        <v>5.233318796336677E-3</v>
      </c>
      <c r="K121" s="2"/>
      <c r="L121" s="6">
        <f t="shared" si="75"/>
        <v>-237.32999999999998</v>
      </c>
      <c r="M121" s="2"/>
      <c r="N121" s="7">
        <f t="shared" si="76"/>
        <v>-0.79109999999999991</v>
      </c>
      <c r="O121" s="11"/>
      <c r="P121" s="6">
        <v>4341.16</v>
      </c>
      <c r="Q121" s="2"/>
      <c r="R121" s="7">
        <f t="shared" si="77"/>
        <v>1.2966220250770959E-3</v>
      </c>
      <c r="S121" s="2"/>
      <c r="T121" s="6">
        <v>8150</v>
      </c>
      <c r="U121" s="2"/>
      <c r="V121" s="7">
        <f t="shared" si="78"/>
        <v>2.3655531345320546E-3</v>
      </c>
      <c r="W121" s="2"/>
      <c r="X121" s="6">
        <f t="shared" si="79"/>
        <v>-3808.84</v>
      </c>
      <c r="Y121" s="2"/>
      <c r="Z121" s="7">
        <f t="shared" si="80"/>
        <v>-0.46734233128834357</v>
      </c>
    </row>
    <row r="122" spans="1:26" s="24" customFormat="1" hidden="1" outlineLevel="2" x14ac:dyDescent="0.25">
      <c r="A122" s="27"/>
      <c r="B122" s="11" t="str">
        <f>CONCATENATE("          ", "6245", " - ", "PRINTING")</f>
        <v xml:space="preserve">          6245 - PRINTING</v>
      </c>
      <c r="C122" s="11"/>
      <c r="D122" s="6"/>
      <c r="E122" s="2"/>
      <c r="F122" s="7">
        <f t="shared" si="73"/>
        <v>0</v>
      </c>
      <c r="G122" s="2"/>
      <c r="H122" s="6">
        <v>100</v>
      </c>
      <c r="I122" s="2"/>
      <c r="J122" s="7">
        <f t="shared" si="74"/>
        <v>1.7444395987788923E-3</v>
      </c>
      <c r="K122" s="2"/>
      <c r="L122" s="6">
        <f t="shared" si="75"/>
        <v>-100</v>
      </c>
      <c r="M122" s="2"/>
      <c r="N122" s="7">
        <f t="shared" si="76"/>
        <v>-1</v>
      </c>
      <c r="O122" s="11"/>
      <c r="P122" s="6">
        <v>5198.58</v>
      </c>
      <c r="Q122" s="2"/>
      <c r="R122" s="7">
        <f t="shared" si="77"/>
        <v>1.5527170910828649E-3</v>
      </c>
      <c r="S122" s="2"/>
      <c r="T122" s="6">
        <v>2800</v>
      </c>
      <c r="U122" s="2"/>
      <c r="V122" s="7">
        <f t="shared" si="78"/>
        <v>8.1270537137297571E-4</v>
      </c>
      <c r="W122" s="2"/>
      <c r="X122" s="6">
        <f t="shared" si="79"/>
        <v>2398.58</v>
      </c>
      <c r="Y122" s="2"/>
      <c r="Z122" s="7">
        <f t="shared" si="80"/>
        <v>0.85663571428571428</v>
      </c>
    </row>
    <row r="123" spans="1:26" s="24" customFormat="1" hidden="1" outlineLevel="2" x14ac:dyDescent="0.25">
      <c r="A123" s="27"/>
      <c r="B123" s="11" t="str">
        <f>CONCATENATE("          ", "6247", " - ", "STORE SUPPLIES")</f>
        <v xml:space="preserve">          6247 - STORE SUPPLIES</v>
      </c>
      <c r="C123" s="11"/>
      <c r="D123" s="6">
        <v>453.43</v>
      </c>
      <c r="E123" s="2"/>
      <c r="F123" s="7">
        <f t="shared" si="73"/>
        <v>2.7238906166554833E-2</v>
      </c>
      <c r="G123" s="2"/>
      <c r="H123" s="6">
        <v>800</v>
      </c>
      <c r="I123" s="2"/>
      <c r="J123" s="7">
        <f t="shared" si="74"/>
        <v>1.3955516790231139E-2</v>
      </c>
      <c r="K123" s="2"/>
      <c r="L123" s="6">
        <f t="shared" si="75"/>
        <v>-346.57</v>
      </c>
      <c r="M123" s="2"/>
      <c r="N123" s="7">
        <f t="shared" si="76"/>
        <v>-0.4332125</v>
      </c>
      <c r="O123" s="11"/>
      <c r="P123" s="6">
        <v>4496.79</v>
      </c>
      <c r="Q123" s="2"/>
      <c r="R123" s="7">
        <f t="shared" si="77"/>
        <v>1.3431057496490419E-3</v>
      </c>
      <c r="S123" s="2"/>
      <c r="T123" s="6">
        <v>10500</v>
      </c>
      <c r="U123" s="2"/>
      <c r="V123" s="7">
        <f t="shared" si="78"/>
        <v>3.0476451426486592E-3</v>
      </c>
      <c r="W123" s="2"/>
      <c r="X123" s="6">
        <f t="shared" si="79"/>
        <v>-6003.21</v>
      </c>
      <c r="Y123" s="2"/>
      <c r="Z123" s="7">
        <f t="shared" si="80"/>
        <v>-0.57173428571428575</v>
      </c>
    </row>
    <row r="124" spans="1:26" s="26" customFormat="1" outlineLevel="1" collapsed="1" x14ac:dyDescent="0.25">
      <c r="A124" s="25"/>
      <c r="B124" s="12" t="str">
        <f>CONCATENATE("     ","Telephone/Data Lines                              ")</f>
        <v xml:space="preserve">     Telephone/Data Lines                              </v>
      </c>
      <c r="C124" s="12"/>
      <c r="D124" s="1">
        <f>SUM(OSRRefD22_12x_0)</f>
        <v>302.60000000000002</v>
      </c>
      <c r="E124" s="1"/>
      <c r="F124" s="5">
        <f t="shared" ref="F124:F126" si="81">IF(D$12=0,0,D124/D$12)</f>
        <v>1.8178093655028323E-2</v>
      </c>
      <c r="G124" s="1"/>
      <c r="H124" s="1">
        <f>SUM(OSRRefH22_12x_0)</f>
        <v>600</v>
      </c>
      <c r="I124" s="1"/>
      <c r="J124" s="5">
        <f t="shared" ref="J124:J126" si="82">IF(H$12=0,0,H124/H$12)</f>
        <v>1.0466637592673354E-2</v>
      </c>
      <c r="K124" s="1"/>
      <c r="L124" s="1">
        <f t="shared" ref="L124:L126" si="83">+D124-H124</f>
        <v>-297.39999999999998</v>
      </c>
      <c r="M124" s="1"/>
      <c r="N124" s="5">
        <f t="shared" ref="N124:N126" si="84">IF(H124=0,0,L124/H124)</f>
        <v>-0.49566666666666664</v>
      </c>
      <c r="O124" s="12"/>
      <c r="P124" s="1">
        <f>SUM(OSRRefP22_12x_0)</f>
        <v>8561.64</v>
      </c>
      <c r="Q124" s="1"/>
      <c r="R124" s="5">
        <f t="shared" ref="R124:R126" si="85">IF(P$12=0,0,P124/P$12)</f>
        <v>2.5571992266539513E-3</v>
      </c>
      <c r="S124" s="1"/>
      <c r="T124" s="1">
        <f>SUM(OSRRefT22_12x_0)</f>
        <v>9500</v>
      </c>
      <c r="U124" s="1"/>
      <c r="V124" s="5">
        <f t="shared" ref="V124:V126" si="86">IF(T$12=0,0,T124/T$12)</f>
        <v>2.7573932243011678E-3</v>
      </c>
      <c r="W124" s="1"/>
      <c r="X124" s="1">
        <f t="shared" ref="X124:X126" si="87">+P124-T124</f>
        <v>-938.36000000000058</v>
      </c>
      <c r="Y124" s="1"/>
      <c r="Z124" s="5">
        <f t="shared" ref="Z124:Z126" si="88">IF(T124=0,0,X124/T124)</f>
        <v>-9.8774736842105318E-2</v>
      </c>
    </row>
    <row r="125" spans="1:26" s="24" customFormat="1" hidden="1" outlineLevel="2" x14ac:dyDescent="0.25">
      <c r="A125" s="27"/>
      <c r="B125" s="11" t="str">
        <f>CONCATENATE("          ", "6303", " - ", "DATA PHONE LINES")</f>
        <v xml:space="preserve">          6303 - DATA PHONE LINES</v>
      </c>
      <c r="C125" s="11"/>
      <c r="D125" s="6"/>
      <c r="E125" s="2"/>
      <c r="F125" s="7">
        <f t="shared" si="81"/>
        <v>0</v>
      </c>
      <c r="G125" s="2"/>
      <c r="H125" s="6">
        <v>300</v>
      </c>
      <c r="I125" s="2"/>
      <c r="J125" s="7">
        <f t="shared" si="82"/>
        <v>5.233318796336677E-3</v>
      </c>
      <c r="K125" s="2"/>
      <c r="L125" s="6">
        <f t="shared" si="83"/>
        <v>-300</v>
      </c>
      <c r="M125" s="2"/>
      <c r="N125" s="7">
        <f t="shared" si="84"/>
        <v>-1</v>
      </c>
      <c r="O125" s="11"/>
      <c r="P125" s="6">
        <v>2950</v>
      </c>
      <c r="Q125" s="2"/>
      <c r="R125" s="7">
        <f t="shared" si="85"/>
        <v>8.811089602726997E-4</v>
      </c>
      <c r="S125" s="2"/>
      <c r="T125" s="6">
        <v>3600</v>
      </c>
      <c r="U125" s="2"/>
      <c r="V125" s="7">
        <f t="shared" si="86"/>
        <v>1.0449069060509688E-3</v>
      </c>
      <c r="W125" s="2"/>
      <c r="X125" s="6">
        <f t="shared" si="87"/>
        <v>-650</v>
      </c>
      <c r="Y125" s="2"/>
      <c r="Z125" s="7">
        <f t="shared" si="88"/>
        <v>-0.18055555555555555</v>
      </c>
    </row>
    <row r="126" spans="1:26" s="24" customFormat="1" hidden="1" outlineLevel="2" x14ac:dyDescent="0.25">
      <c r="A126" s="27"/>
      <c r="B126" s="11" t="str">
        <f>CONCATENATE("          ", "6309", " - ", "TELEPHONE")</f>
        <v xml:space="preserve">          6309 - TELEPHONE</v>
      </c>
      <c r="C126" s="11"/>
      <c r="D126" s="6">
        <v>302.60000000000002</v>
      </c>
      <c r="E126" s="2"/>
      <c r="F126" s="7">
        <f t="shared" si="81"/>
        <v>1.8178093655028323E-2</v>
      </c>
      <c r="G126" s="2"/>
      <c r="H126" s="6">
        <v>300</v>
      </c>
      <c r="I126" s="2"/>
      <c r="J126" s="7">
        <f t="shared" si="82"/>
        <v>5.233318796336677E-3</v>
      </c>
      <c r="K126" s="2"/>
      <c r="L126" s="6">
        <f t="shared" si="83"/>
        <v>2.6000000000000227</v>
      </c>
      <c r="M126" s="2"/>
      <c r="N126" s="7">
        <f t="shared" si="84"/>
        <v>8.6666666666667426E-3</v>
      </c>
      <c r="O126" s="11"/>
      <c r="P126" s="6">
        <v>5611.64</v>
      </c>
      <c r="Q126" s="2"/>
      <c r="R126" s="7">
        <f t="shared" si="85"/>
        <v>1.676090266381252E-3</v>
      </c>
      <c r="S126" s="2"/>
      <c r="T126" s="6">
        <v>5900</v>
      </c>
      <c r="U126" s="2"/>
      <c r="V126" s="7">
        <f t="shared" si="86"/>
        <v>1.7124863182501988E-3</v>
      </c>
      <c r="W126" s="2"/>
      <c r="X126" s="6">
        <f t="shared" si="87"/>
        <v>-288.35999999999967</v>
      </c>
      <c r="Y126" s="2"/>
      <c r="Z126" s="7">
        <f t="shared" si="88"/>
        <v>-4.8874576271186382E-2</v>
      </c>
    </row>
    <row r="127" spans="1:26" s="26" customFormat="1" outlineLevel="1" collapsed="1" x14ac:dyDescent="0.25">
      <c r="A127" s="25"/>
      <c r="B127" s="12" t="str">
        <f>CONCATENATE("     ","Training                                          ")</f>
        <v xml:space="preserve">     Training                                          </v>
      </c>
      <c r="C127" s="12"/>
      <c r="D127" s="1">
        <f>SUM(OSRRefD22_13x_0)</f>
        <v>0</v>
      </c>
      <c r="E127" s="1"/>
      <c r="F127" s="5">
        <f t="shared" ref="F127:F131" si="89">IF(D$12=0,0,D127/D$12)</f>
        <v>0</v>
      </c>
      <c r="G127" s="1"/>
      <c r="H127" s="1">
        <f>SUM(OSRRefH22_13x_0)</f>
        <v>300</v>
      </c>
      <c r="I127" s="1"/>
      <c r="J127" s="5">
        <f t="shared" ref="J127:J131" si="90">IF(H$12=0,0,H127/H$12)</f>
        <v>5.233318796336677E-3</v>
      </c>
      <c r="K127" s="1"/>
      <c r="L127" s="1">
        <f t="shared" ref="L127:L131" si="91">+D127-H127</f>
        <v>-300</v>
      </c>
      <c r="M127" s="1"/>
      <c r="N127" s="5">
        <f t="shared" ref="N127:N131" si="92">IF(H127=0,0,L127/H127)</f>
        <v>-1</v>
      </c>
      <c r="O127" s="12"/>
      <c r="P127" s="1">
        <f>SUM(OSRRefP22_13x_0)</f>
        <v>4157.1499999999996</v>
      </c>
      <c r="Q127" s="1"/>
      <c r="R127" s="5">
        <f t="shared" ref="R127:R131" si="93">IF(P$12=0,0,P127/P$12)</f>
        <v>1.2416617336263231E-3</v>
      </c>
      <c r="S127" s="1"/>
      <c r="T127" s="1">
        <f>SUM(OSRRefT22_13x_0)</f>
        <v>5500</v>
      </c>
      <c r="U127" s="1"/>
      <c r="V127" s="5">
        <f t="shared" ref="V127:V131" si="94">IF(T$12=0,0,T127/T$12)</f>
        <v>1.5963855509112024E-3</v>
      </c>
      <c r="W127" s="1"/>
      <c r="X127" s="1">
        <f t="shared" ref="X127:X131" si="95">+P127-T127</f>
        <v>-1342.8500000000004</v>
      </c>
      <c r="Y127" s="1"/>
      <c r="Z127" s="5">
        <f t="shared" ref="Z127:Z131" si="96">IF(T127=0,0,X127/T127)</f>
        <v>-0.24415454545454551</v>
      </c>
    </row>
    <row r="128" spans="1:26" s="24" customFormat="1" hidden="1" outlineLevel="2" x14ac:dyDescent="0.25">
      <c r="A128" s="27"/>
      <c r="B128" s="11" t="str">
        <f>CONCATENATE("          ", "6376", " - ", "TRAINING")</f>
        <v xml:space="preserve">          6376 - TRAINING</v>
      </c>
      <c r="C128" s="11"/>
      <c r="D128" s="6"/>
      <c r="E128" s="2"/>
      <c r="F128" s="7">
        <f t="shared" si="89"/>
        <v>0</v>
      </c>
      <c r="G128" s="2"/>
      <c r="H128" s="6">
        <v>300</v>
      </c>
      <c r="I128" s="2"/>
      <c r="J128" s="7">
        <f t="shared" si="90"/>
        <v>5.233318796336677E-3</v>
      </c>
      <c r="K128" s="2"/>
      <c r="L128" s="6">
        <f t="shared" si="91"/>
        <v>-300</v>
      </c>
      <c r="M128" s="2"/>
      <c r="N128" s="7">
        <f t="shared" si="92"/>
        <v>-1</v>
      </c>
      <c r="O128" s="11"/>
      <c r="P128" s="6">
        <v>4157.1499999999996</v>
      </c>
      <c r="Q128" s="2"/>
      <c r="R128" s="7">
        <f t="shared" si="93"/>
        <v>1.2416617336263231E-3</v>
      </c>
      <c r="S128" s="2"/>
      <c r="T128" s="6">
        <v>5500</v>
      </c>
      <c r="U128" s="2"/>
      <c r="V128" s="7">
        <f t="shared" si="94"/>
        <v>1.5963855509112024E-3</v>
      </c>
      <c r="W128" s="2"/>
      <c r="X128" s="6">
        <f t="shared" si="95"/>
        <v>-1342.8500000000004</v>
      </c>
      <c r="Y128" s="2"/>
      <c r="Z128" s="7">
        <f t="shared" si="96"/>
        <v>-0.24415454545454551</v>
      </c>
    </row>
    <row r="129" spans="1:26" s="26" customFormat="1" outlineLevel="1" collapsed="1" x14ac:dyDescent="0.25">
      <c r="A129" s="25"/>
      <c r="B129" s="12" t="str">
        <f>CONCATENATE("     ","Travel                                            ")</f>
        <v xml:space="preserve">     Travel                                            </v>
      </c>
      <c r="C129" s="12"/>
      <c r="D129" s="1">
        <f>SUM(OSRRefD22_14x_0)</f>
        <v>0</v>
      </c>
      <c r="E129" s="1"/>
      <c r="F129" s="5">
        <f t="shared" si="89"/>
        <v>0</v>
      </c>
      <c r="G129" s="1"/>
      <c r="H129" s="1">
        <f>SUM(OSRRefH22_14x_0)</f>
        <v>0</v>
      </c>
      <c r="I129" s="1"/>
      <c r="J129" s="5">
        <f t="shared" si="90"/>
        <v>0</v>
      </c>
      <c r="K129" s="1"/>
      <c r="L129" s="1">
        <f t="shared" si="91"/>
        <v>0</v>
      </c>
      <c r="M129" s="1"/>
      <c r="N129" s="5">
        <f t="shared" si="92"/>
        <v>0</v>
      </c>
      <c r="O129" s="12"/>
      <c r="P129" s="1">
        <f>SUM(OSRRefP22_14x_0)</f>
        <v>83.93</v>
      </c>
      <c r="Q129" s="1"/>
      <c r="R129" s="5">
        <f t="shared" si="93"/>
        <v>2.5068296622267016E-5</v>
      </c>
      <c r="S129" s="1"/>
      <c r="T129" s="1">
        <f>SUM(OSRRefT22_14x_0)</f>
        <v>550</v>
      </c>
      <c r="U129" s="1"/>
      <c r="V129" s="5">
        <f t="shared" si="94"/>
        <v>1.5963855509112024E-4</v>
      </c>
      <c r="W129" s="1"/>
      <c r="X129" s="1">
        <f t="shared" si="95"/>
        <v>-466.07</v>
      </c>
      <c r="Y129" s="1"/>
      <c r="Z129" s="5">
        <f t="shared" si="96"/>
        <v>-0.84740000000000004</v>
      </c>
    </row>
    <row r="130" spans="1:26" s="24" customFormat="1" hidden="1" outlineLevel="2" x14ac:dyDescent="0.25">
      <c r="A130" s="27"/>
      <c r="B130" s="11" t="str">
        <f>CONCATENATE("          ", "6292", " - ", "TRAVEL/CONFERENCE")</f>
        <v xml:space="preserve">          6292 - TRAVEL/CONFERENCE</v>
      </c>
      <c r="C130" s="11"/>
      <c r="D130" s="6"/>
      <c r="E130" s="2"/>
      <c r="F130" s="7">
        <f t="shared" si="89"/>
        <v>0</v>
      </c>
      <c r="G130" s="2"/>
      <c r="H130" s="6"/>
      <c r="I130" s="2"/>
      <c r="J130" s="7">
        <f t="shared" si="90"/>
        <v>0</v>
      </c>
      <c r="K130" s="2"/>
      <c r="L130" s="6">
        <f t="shared" si="91"/>
        <v>0</v>
      </c>
      <c r="M130" s="2"/>
      <c r="N130" s="7">
        <f t="shared" si="92"/>
        <v>0</v>
      </c>
      <c r="O130" s="11"/>
      <c r="P130" s="6">
        <v>83.93</v>
      </c>
      <c r="Q130" s="2"/>
      <c r="R130" s="7">
        <f t="shared" si="93"/>
        <v>2.5068296622267016E-5</v>
      </c>
      <c r="S130" s="2"/>
      <c r="T130" s="6"/>
      <c r="U130" s="2"/>
      <c r="V130" s="7">
        <f t="shared" si="94"/>
        <v>0</v>
      </c>
      <c r="W130" s="2"/>
      <c r="X130" s="6">
        <f t="shared" si="95"/>
        <v>83.93</v>
      </c>
      <c r="Y130" s="2"/>
      <c r="Z130" s="7">
        <f t="shared" si="96"/>
        <v>0</v>
      </c>
    </row>
    <row r="131" spans="1:26" s="24" customFormat="1" hidden="1" outlineLevel="2" x14ac:dyDescent="0.25">
      <c r="A131" s="27"/>
      <c r="B131" s="11" t="str">
        <f>CONCATENATE("          ", "6298", " - ", "VEHICLE MILEAGE")</f>
        <v xml:space="preserve">          6298 - VEHICLE MILEAGE</v>
      </c>
      <c r="C131" s="11"/>
      <c r="D131" s="6"/>
      <c r="E131" s="2"/>
      <c r="F131" s="7">
        <f t="shared" si="89"/>
        <v>0</v>
      </c>
      <c r="G131" s="2"/>
      <c r="H131" s="6"/>
      <c r="I131" s="2"/>
      <c r="J131" s="7">
        <f t="shared" si="90"/>
        <v>0</v>
      </c>
      <c r="K131" s="2"/>
      <c r="L131" s="6">
        <f t="shared" si="91"/>
        <v>0</v>
      </c>
      <c r="M131" s="2"/>
      <c r="N131" s="7">
        <f t="shared" si="92"/>
        <v>0</v>
      </c>
      <c r="O131" s="11"/>
      <c r="P131" s="6"/>
      <c r="Q131" s="2"/>
      <c r="R131" s="7">
        <f t="shared" si="93"/>
        <v>0</v>
      </c>
      <c r="S131" s="2"/>
      <c r="T131" s="6">
        <v>550</v>
      </c>
      <c r="U131" s="2"/>
      <c r="V131" s="7">
        <f t="shared" si="94"/>
        <v>1.5963855509112024E-4</v>
      </c>
      <c r="W131" s="2"/>
      <c r="X131" s="6">
        <f t="shared" si="95"/>
        <v>-550</v>
      </c>
      <c r="Y131" s="2"/>
      <c r="Z131" s="7">
        <f t="shared" si="96"/>
        <v>-1</v>
      </c>
    </row>
    <row r="132" spans="1:26" s="60" customFormat="1" x14ac:dyDescent="0.25">
      <c r="A132" s="36"/>
      <c r="B132" s="36"/>
      <c r="C132" s="36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6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3" customFormat="1" collapsed="1" x14ac:dyDescent="0.25">
      <c r="A133" s="10"/>
      <c r="B133" s="28" t="s">
        <v>0</v>
      </c>
      <c r="C133" s="10"/>
      <c r="D133" s="4">
        <f>SUM(OSRRefD25x_0)</f>
        <v>-16039.510000000002</v>
      </c>
      <c r="E133" s="4"/>
      <c r="F133" s="13">
        <f t="shared" ref="F133:F137" si="97">IF(D$12=0,0,D133/D$12)</f>
        <v>-0.96354168856828604</v>
      </c>
      <c r="G133" s="4"/>
      <c r="H133" s="4">
        <f>SUM(OSRRefH25x_0)</f>
        <v>15000</v>
      </c>
      <c r="I133" s="4"/>
      <c r="J133" s="13">
        <f t="shared" ref="J133:J137" si="98">IF(H$12=0,0,H133/H$12)</f>
        <v>0.26166593981683384</v>
      </c>
      <c r="K133" s="4"/>
      <c r="L133" s="4">
        <f t="shared" ref="L133:L137" si="99">+D133-H133</f>
        <v>-31039.510000000002</v>
      </c>
      <c r="M133" s="4"/>
      <c r="N133" s="13">
        <f t="shared" ref="N133:N137" si="100">IF(H133=0,0,L133/H133)</f>
        <v>-2.0693006666666669</v>
      </c>
      <c r="O133" s="10"/>
      <c r="P133" s="4">
        <f>SUM(OSRRefP25x_0)</f>
        <v>177870.38</v>
      </c>
      <c r="Q133" s="4"/>
      <c r="R133" s="13">
        <f t="shared" ref="R133:R137" si="101">IF(P$12=0,0,P133/P$12)</f>
        <v>5.3126503588172884E-2</v>
      </c>
      <c r="S133" s="4"/>
      <c r="T133" s="4">
        <f>SUM(OSRRefT25x_0)</f>
        <v>193750</v>
      </c>
      <c r="U133" s="4"/>
      <c r="V133" s="13">
        <f t="shared" ref="V133:V137" si="102">IF(T$12=0,0,T133/T$12)</f>
        <v>5.6236309179826444E-2</v>
      </c>
      <c r="W133" s="4"/>
      <c r="X133" s="4">
        <f t="shared" ref="X133:X137" si="103">+P133-T133</f>
        <v>-15879.619999999995</v>
      </c>
      <c r="Y133" s="4"/>
      <c r="Z133" s="13">
        <f t="shared" ref="Z133:Z137" si="104">IF(T133=0,0,X133/T133)</f>
        <v>-8.1959329032258041E-2</v>
      </c>
    </row>
    <row r="134" spans="1:26" s="24" customFormat="1" hidden="1" outlineLevel="1" x14ac:dyDescent="0.25">
      <c r="A134" s="44"/>
      <c r="B134" s="11" t="str">
        <f>CONCATENATE("          ", "9150", " - ", "MISC. INCOME")</f>
        <v xml:space="preserve">          9150 - MISC. INCOME</v>
      </c>
      <c r="C134" s="11"/>
      <c r="D134" s="2">
        <f>--1895.85</f>
        <v>1895.85</v>
      </c>
      <c r="E134" s="2"/>
      <c r="F134" s="19">
        <f t="shared" si="97"/>
        <v>0.11388942120252955</v>
      </c>
      <c r="G134" s="2"/>
      <c r="H134" s="2"/>
      <c r="I134" s="2"/>
      <c r="J134" s="19">
        <f t="shared" si="98"/>
        <v>0</v>
      </c>
      <c r="K134" s="2"/>
      <c r="L134" s="2">
        <f t="shared" si="99"/>
        <v>1895.85</v>
      </c>
      <c r="M134" s="2"/>
      <c r="N134" s="19">
        <f t="shared" si="100"/>
        <v>0</v>
      </c>
      <c r="O134" s="11"/>
      <c r="P134" s="2">
        <f>--23186.55</f>
        <v>23186.55</v>
      </c>
      <c r="Q134" s="2"/>
      <c r="R134" s="19">
        <f t="shared" si="101"/>
        <v>6.9253820212918527E-3</v>
      </c>
      <c r="S134" s="2"/>
      <c r="T134" s="2"/>
      <c r="U134" s="2"/>
      <c r="V134" s="19">
        <f t="shared" si="102"/>
        <v>0</v>
      </c>
      <c r="W134" s="2"/>
      <c r="X134" s="2">
        <f t="shared" si="103"/>
        <v>23186.55</v>
      </c>
      <c r="Y134" s="2"/>
      <c r="Z134" s="19">
        <f t="shared" si="104"/>
        <v>0</v>
      </c>
    </row>
    <row r="135" spans="1:26" s="24" customFormat="1" hidden="1" outlineLevel="1" x14ac:dyDescent="0.25">
      <c r="A135" s="44"/>
      <c r="B135" s="11" t="str">
        <f>CONCATENATE("          ", "9151", " - ", "MISC. INCOME")</f>
        <v xml:space="preserve">          9151 - MISC. INCOME</v>
      </c>
      <c r="C135" s="11"/>
      <c r="D135" s="2">
        <f>-18698.07</f>
        <v>-18698.07</v>
      </c>
      <c r="E135" s="2"/>
      <c r="F135" s="19">
        <f t="shared" si="97"/>
        <v>-1.1232493973174997</v>
      </c>
      <c r="G135" s="2"/>
      <c r="H135" s="2"/>
      <c r="I135" s="2"/>
      <c r="J135" s="19">
        <f t="shared" si="98"/>
        <v>0</v>
      </c>
      <c r="K135" s="2"/>
      <c r="L135" s="2">
        <f t="shared" si="99"/>
        <v>-18698.07</v>
      </c>
      <c r="M135" s="2"/>
      <c r="N135" s="19">
        <f t="shared" si="100"/>
        <v>0</v>
      </c>
      <c r="O135" s="11"/>
      <c r="P135" s="2">
        <f>--144046.23</f>
        <v>144046.23000000001</v>
      </c>
      <c r="Q135" s="2"/>
      <c r="R135" s="19">
        <f t="shared" si="101"/>
        <v>4.3023872524238026E-2</v>
      </c>
      <c r="S135" s="2"/>
      <c r="T135" s="2"/>
      <c r="U135" s="2"/>
      <c r="V135" s="19">
        <f t="shared" si="102"/>
        <v>0</v>
      </c>
      <c r="W135" s="2"/>
      <c r="X135" s="2">
        <f t="shared" si="103"/>
        <v>144046.23000000001</v>
      </c>
      <c r="Y135" s="2"/>
      <c r="Z135" s="19">
        <f t="shared" si="104"/>
        <v>0</v>
      </c>
    </row>
    <row r="136" spans="1:26" s="24" customFormat="1" hidden="1" outlineLevel="1" x14ac:dyDescent="0.25">
      <c r="A136" s="44"/>
      <c r="B136" s="11" t="str">
        <f>CONCATENATE("          ", "9152", " - ", "MISC. INCOME")</f>
        <v xml:space="preserve">          9152 - MISC. INCOME</v>
      </c>
      <c r="C136" s="11"/>
      <c r="D136" s="2">
        <f>--762.71</f>
        <v>762.71</v>
      </c>
      <c r="E136" s="2"/>
      <c r="F136" s="19">
        <f t="shared" si="97"/>
        <v>4.5818287546684246E-2</v>
      </c>
      <c r="G136" s="2"/>
      <c r="H136" s="2"/>
      <c r="I136" s="2"/>
      <c r="J136" s="19">
        <f t="shared" si="98"/>
        <v>0</v>
      </c>
      <c r="K136" s="2"/>
      <c r="L136" s="2">
        <f t="shared" si="99"/>
        <v>762.71</v>
      </c>
      <c r="M136" s="2"/>
      <c r="N136" s="19">
        <f t="shared" si="100"/>
        <v>0</v>
      </c>
      <c r="O136" s="11"/>
      <c r="P136" s="2">
        <f>--10637.6</f>
        <v>10637.6</v>
      </c>
      <c r="Q136" s="2"/>
      <c r="R136" s="19">
        <f t="shared" si="101"/>
        <v>3.1772490426430072E-3</v>
      </c>
      <c r="S136" s="2"/>
      <c r="T136" s="2"/>
      <c r="U136" s="2"/>
      <c r="V136" s="19">
        <f t="shared" si="102"/>
        <v>0</v>
      </c>
      <c r="W136" s="2"/>
      <c r="X136" s="2">
        <f t="shared" si="103"/>
        <v>10637.6</v>
      </c>
      <c r="Y136" s="2"/>
      <c r="Z136" s="19">
        <f t="shared" si="104"/>
        <v>0</v>
      </c>
    </row>
    <row r="137" spans="1:26" s="24" customFormat="1" hidden="1" outlineLevel="1" x14ac:dyDescent="0.25">
      <c r="A137" s="44"/>
      <c r="B137" s="11" t="str">
        <f>CONCATENATE("          ", "9160", " - ", "MISC. INCOME")</f>
        <v xml:space="preserve">          9160 - MISC. INCOME</v>
      </c>
      <c r="C137" s="11"/>
      <c r="D137" s="2">
        <f>0</f>
        <v>0</v>
      </c>
      <c r="E137" s="2"/>
      <c r="F137" s="19">
        <f t="shared" si="97"/>
        <v>0</v>
      </c>
      <c r="G137" s="2"/>
      <c r="H137" s="2">
        <v>15000</v>
      </c>
      <c r="I137" s="2"/>
      <c r="J137" s="19">
        <f t="shared" si="98"/>
        <v>0.26166593981683384</v>
      </c>
      <c r="K137" s="2"/>
      <c r="L137" s="2">
        <f t="shared" si="99"/>
        <v>-15000</v>
      </c>
      <c r="M137" s="2"/>
      <c r="N137" s="19">
        <f t="shared" si="100"/>
        <v>-1</v>
      </c>
      <c r="O137" s="11"/>
      <c r="P137" s="2">
        <f>0</f>
        <v>0</v>
      </c>
      <c r="Q137" s="2"/>
      <c r="R137" s="19">
        <f t="shared" si="101"/>
        <v>0</v>
      </c>
      <c r="S137" s="2"/>
      <c r="T137" s="2">
        <v>193750</v>
      </c>
      <c r="U137" s="2"/>
      <c r="V137" s="19">
        <f t="shared" si="102"/>
        <v>5.6236309179826444E-2</v>
      </c>
      <c r="W137" s="2"/>
      <c r="X137" s="2">
        <f t="shared" si="103"/>
        <v>-193750</v>
      </c>
      <c r="Y137" s="2"/>
      <c r="Z137" s="19">
        <f t="shared" si="104"/>
        <v>-1</v>
      </c>
    </row>
    <row r="138" spans="1:26" x14ac:dyDescent="0.25">
      <c r="A138" s="9"/>
      <c r="B138" s="10"/>
      <c r="C138" s="10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O138" s="10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10"/>
      <c r="B139" s="29" t="s">
        <v>3</v>
      </c>
      <c r="C139" s="29"/>
      <c r="D139" s="22">
        <f>+D63-D65+D133</f>
        <v>-93714.76999999999</v>
      </c>
      <c r="E139" s="14"/>
      <c r="F139" s="20">
        <f>IF(D$12=0,0,D139/D$12)</f>
        <v>-5.6297285721065373</v>
      </c>
      <c r="G139" s="14"/>
      <c r="H139" s="22">
        <f>+H63-H65+H133</f>
        <v>-67287.491895547864</v>
      </c>
      <c r="I139" s="14"/>
      <c r="J139" s="20">
        <f>IF(H$12=0,0,H139/H$12)</f>
        <v>-1.1737896536510748</v>
      </c>
      <c r="K139" s="15"/>
      <c r="L139" s="22">
        <f>+D139-H139</f>
        <v>-26427.278104452125</v>
      </c>
      <c r="M139" s="15"/>
      <c r="N139" s="20">
        <f>IF(H139=0,0,L139/H139)</f>
        <v>0.39275171892981064</v>
      </c>
      <c r="O139" s="28"/>
      <c r="P139" s="22">
        <f>+P63-P65+P133</f>
        <v>561496.55999999912</v>
      </c>
      <c r="Q139" s="14"/>
      <c r="R139" s="20">
        <f>IF(P$12=0,0,P139/P$12)</f>
        <v>0.16770835599264297</v>
      </c>
      <c r="S139" s="14"/>
      <c r="T139" s="22">
        <f>+T63-T65+T133</f>
        <v>434669.88138185302</v>
      </c>
      <c r="U139" s="14"/>
      <c r="V139" s="20">
        <f>IF(T$12=0,0,T139/T$12)</f>
        <v>0.12616376691895934</v>
      </c>
      <c r="W139" s="15"/>
      <c r="X139" s="22">
        <f>+P139-T139</f>
        <v>126826.67861814611</v>
      </c>
      <c r="Y139" s="15"/>
      <c r="Z139" s="20">
        <f>IF(T139=0,0,X139/T139)</f>
        <v>0.2917770106706109</v>
      </c>
    </row>
    <row r="140" spans="1:26" x14ac:dyDescent="0.25">
      <c r="A140" s="9"/>
      <c r="B140" s="10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x14ac:dyDescent="0.25">
      <c r="A141" s="52"/>
      <c r="B141" s="10" t="s">
        <v>14</v>
      </c>
      <c r="C141" s="10"/>
      <c r="D141" s="4">
        <v>112517.89</v>
      </c>
      <c r="E141" s="4"/>
      <c r="F141" s="13">
        <f>IF(D$12=0,0,D141/D$12)</f>
        <v>6.7592886394123415</v>
      </c>
      <c r="G141" s="4"/>
      <c r="H141" s="4">
        <v>53307</v>
      </c>
      <c r="I141" s="4"/>
      <c r="J141" s="13">
        <f>IF(H$12=0,0,H141/H$12)</f>
        <v>0.92990841692106407</v>
      </c>
      <c r="K141" s="4"/>
      <c r="L141" s="4">
        <f>+D141-H141</f>
        <v>59210.89</v>
      </c>
      <c r="M141" s="4"/>
      <c r="N141" s="13">
        <f>IF(H141=0,0,L141/H141)</f>
        <v>1.1107526216069183</v>
      </c>
      <c r="O141" s="10"/>
      <c r="P141" s="4">
        <v>507025.04000000004</v>
      </c>
      <c r="Q141" s="4"/>
      <c r="R141" s="13">
        <f>IF(P$12=0,0,P141/P$12)</f>
        <v>0.15143874773783866</v>
      </c>
      <c r="S141" s="4"/>
      <c r="T141" s="4">
        <v>445719</v>
      </c>
      <c r="U141" s="4"/>
      <c r="V141" s="13">
        <f>IF(T$12=0,0,T141/T$12)</f>
        <v>0.12937079479392549</v>
      </c>
      <c r="W141" s="4"/>
      <c r="X141" s="4">
        <f>+P141-T141</f>
        <v>61306.040000000037</v>
      </c>
      <c r="Y141" s="4"/>
      <c r="Z141" s="13">
        <f>IF(T141=0,0,X141/T141)</f>
        <v>0.13754414777023199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9" t="s">
        <v>4</v>
      </c>
      <c r="C143" s="29"/>
      <c r="D143" s="31">
        <f>+D139-D141</f>
        <v>-206232.65999999997</v>
      </c>
      <c r="E143" s="14"/>
      <c r="F143" s="33">
        <f>IF(D$12=0,0,D143/D$12)</f>
        <v>-12.389017211518878</v>
      </c>
      <c r="G143" s="14"/>
      <c r="H143" s="31">
        <f>+H139-H141</f>
        <v>-120594.49189554786</v>
      </c>
      <c r="I143" s="14"/>
      <c r="J143" s="33">
        <f>IF(H$12=0,0,H143/H$12)</f>
        <v>-2.1036980705721389</v>
      </c>
      <c r="K143" s="15"/>
      <c r="L143" s="31">
        <f>D143-H143</f>
        <v>-85638.16810445211</v>
      </c>
      <c r="M143" s="15"/>
      <c r="N143" s="33">
        <f>IF(H143=0,0,L143/H143)</f>
        <v>0.71013332995861078</v>
      </c>
      <c r="O143" s="28"/>
      <c r="P143" s="31">
        <f>+P139-P141</f>
        <v>54471.519999999087</v>
      </c>
      <c r="Q143" s="14"/>
      <c r="R143" s="33">
        <f>IF(P$12=0,0,P143/P$12)</f>
        <v>1.6269608254804328E-2</v>
      </c>
      <c r="S143" s="14"/>
      <c r="T143" s="31">
        <f>+T139-T141</f>
        <v>-11049.118618146982</v>
      </c>
      <c r="U143" s="14"/>
      <c r="V143" s="33">
        <f>IF(T$12=0,0,T143/T$12)</f>
        <v>-3.2070278749661441E-3</v>
      </c>
      <c r="W143" s="15"/>
      <c r="X143" s="31">
        <f>P143-T143</f>
        <v>65520.638618146069</v>
      </c>
      <c r="Y143" s="15"/>
      <c r="Z143" s="33">
        <f>IF(T143=0,0,X143/T143)</f>
        <v>-5.9299425485880395</v>
      </c>
    </row>
    <row r="144" spans="1:26" ht="15.75" thickTop="1" x14ac:dyDescent="0.25">
      <c r="A144" s="9"/>
      <c r="B144" s="9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x14ac:dyDescent="0.25">
      <c r="A145" s="9"/>
      <c r="B145" s="9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9" t="s">
        <v>5</v>
      </c>
      <c r="C146" s="29"/>
      <c r="D146" s="34">
        <f>SUM(D143:D145)</f>
        <v>-206232.65999999997</v>
      </c>
      <c r="E146" s="14"/>
      <c r="F146" s="35">
        <f>IF(D$12=0,0,D146/D$12)</f>
        <v>-12.389017211518878</v>
      </c>
      <c r="G146" s="14"/>
      <c r="H146" s="34">
        <f>SUM(H143:H145)</f>
        <v>-120594.49189554786</v>
      </c>
      <c r="I146" s="14"/>
      <c r="J146" s="35">
        <f>IF(H$12=0,0,H146/H$12)</f>
        <v>-2.1036980705721389</v>
      </c>
      <c r="K146" s="15"/>
      <c r="L146" s="34">
        <f>+D146-H146</f>
        <v>-85638.16810445211</v>
      </c>
      <c r="M146" s="15"/>
      <c r="N146" s="35">
        <f>IF(H146=0,0,L146/H146)</f>
        <v>0.71013332995861078</v>
      </c>
      <c r="O146" s="28"/>
      <c r="P146" s="34">
        <f>SUM(P143:P145)</f>
        <v>54471.519999999087</v>
      </c>
      <c r="Q146" s="14"/>
      <c r="R146" s="35">
        <f>IF(P$12=0,0,P146/P$12)</f>
        <v>1.6269608254804328E-2</v>
      </c>
      <c r="S146" s="14"/>
      <c r="T146" s="34">
        <f>SUM(T143:T145)</f>
        <v>-11049.118618146982</v>
      </c>
      <c r="U146" s="14"/>
      <c r="V146" s="35">
        <f>IF(T$12=0,0,T146/T$12)</f>
        <v>-3.2070278749661441E-3</v>
      </c>
      <c r="W146" s="15"/>
      <c r="X146" s="34">
        <f>+P146-T146</f>
        <v>65520.638618146069</v>
      </c>
      <c r="Y146" s="15"/>
      <c r="Z146" s="35">
        <f>IF(T146=0,0,X146/T146)</f>
        <v>-5.9299425485880395</v>
      </c>
    </row>
    <row r="147" spans="1:26" ht="15.75" thickTop="1" x14ac:dyDescent="0.25">
      <c r="A147" s="9"/>
      <c r="C147" s="9"/>
      <c r="D147" s="17"/>
      <c r="E147" s="17"/>
      <c r="G147" s="17"/>
      <c r="H147" s="17"/>
      <c r="I147" s="17"/>
      <c r="J147" s="43"/>
      <c r="K147" s="17"/>
      <c r="L147" s="17"/>
      <c r="M147" s="17"/>
      <c r="P147" s="17"/>
      <c r="Q147" s="17"/>
      <c r="R147" s="43"/>
      <c r="S147" s="17"/>
      <c r="T147" s="17"/>
      <c r="U147" s="17"/>
      <c r="V147" s="43"/>
      <c r="W147" s="17"/>
      <c r="X147" s="17"/>
    </row>
    <row r="148" spans="1:26" x14ac:dyDescent="0.25">
      <c r="A148" s="9"/>
      <c r="B148" s="55">
        <v>44043.473385185185</v>
      </c>
      <c r="D148" s="17"/>
      <c r="E148" s="17"/>
      <c r="G148" s="17"/>
      <c r="H148" s="17"/>
      <c r="I148" s="17"/>
      <c r="J148" s="43"/>
      <c r="K148" s="17"/>
      <c r="L148" s="17"/>
      <c r="M148" s="17"/>
      <c r="P148" s="17"/>
      <c r="Q148" s="17"/>
      <c r="R148" s="43"/>
      <c r="S148" s="17"/>
      <c r="T148" s="17"/>
      <c r="U148" s="17"/>
      <c r="V148" s="43"/>
      <c r="W148" s="17"/>
      <c r="X148" s="17"/>
    </row>
    <row r="149" spans="1:26" x14ac:dyDescent="0.25">
      <c r="A149" s="9"/>
      <c r="B149" s="62" t="s">
        <v>314</v>
      </c>
      <c r="D149" s="17"/>
      <c r="E149" s="17"/>
      <c r="G149" s="17"/>
      <c r="H149" s="17"/>
      <c r="I149" s="17"/>
      <c r="J149" s="43"/>
      <c r="K149" s="17"/>
      <c r="L149" s="17"/>
      <c r="M149" s="17"/>
      <c r="P149" s="17"/>
      <c r="Q149" s="17"/>
      <c r="R149" s="43"/>
      <c r="S149" s="17"/>
      <c r="T149" s="17"/>
      <c r="U149" s="17"/>
      <c r="V149" s="43"/>
      <c r="W149" s="17"/>
      <c r="X149" s="17"/>
    </row>
    <row r="150" spans="1:26" x14ac:dyDescent="0.25">
      <c r="A150" s="9"/>
      <c r="B150" s="63"/>
      <c r="D150" s="17"/>
      <c r="E150" s="17"/>
      <c r="G150" s="17"/>
      <c r="H150" s="17"/>
      <c r="I150" s="17"/>
      <c r="J150" s="43"/>
      <c r="K150" s="17"/>
      <c r="L150" s="17"/>
      <c r="M150" s="17"/>
      <c r="P150" s="17"/>
      <c r="Q150" s="17"/>
      <c r="R150" s="43"/>
      <c r="S150" s="17"/>
      <c r="T150" s="17"/>
      <c r="U150" s="17"/>
      <c r="V150" s="43"/>
      <c r="W150" s="17"/>
      <c r="X150" s="17"/>
    </row>
    <row r="151" spans="1:26" x14ac:dyDescent="0.25"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","324", " - ", "Textbook Rental")</f>
        <v>Department 324 - Textbook Rental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5217.6700000000019</v>
      </c>
      <c r="E12" s="4"/>
      <c r="F12" s="13"/>
      <c r="G12" s="4"/>
      <c r="H12" s="4">
        <f>SUM(OSRRefH13x_0)</f>
        <v>-7203</v>
      </c>
      <c r="I12" s="4"/>
      <c r="J12" s="13"/>
      <c r="K12" s="4"/>
      <c r="L12" s="4">
        <f t="shared" ref="L12:L15" si="0">+D12-H12</f>
        <v>12420.670000000002</v>
      </c>
      <c r="M12" s="4"/>
      <c r="N12" s="13">
        <f t="shared" ref="N12:N15" si="1">IF(H12=0,0,L12/H12)</f>
        <v>-1.7243745661529921</v>
      </c>
      <c r="O12" s="10"/>
      <c r="P12" s="4">
        <f>SUM(OSRRefP13x_0)</f>
        <v>1603057.4300000002</v>
      </c>
      <c r="Q12" s="4"/>
      <c r="R12" s="13"/>
      <c r="S12" s="4"/>
      <c r="T12" s="4">
        <f>SUM(OSRRefT13x_0)</f>
        <v>2036168</v>
      </c>
      <c r="U12" s="4"/>
      <c r="V12" s="13"/>
      <c r="W12" s="4"/>
      <c r="X12" s="4">
        <f t="shared" ref="X12:X15" si="2">+P12-T12</f>
        <v>-433110.56999999983</v>
      </c>
      <c r="Y12" s="4"/>
      <c r="Z12" s="13">
        <f t="shared" ref="Z12:Z15" si="3">IF(T12=0,0,X12/T12)</f>
        <v>-0.21270866156427162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--9216.29</f>
        <v>9216.2900000000009</v>
      </c>
      <c r="E13" s="2"/>
      <c r="F13" s="19"/>
      <c r="G13" s="2"/>
      <c r="H13" s="2"/>
      <c r="I13" s="2"/>
      <c r="J13" s="19"/>
      <c r="K13" s="2"/>
      <c r="L13" s="2">
        <f t="shared" si="0"/>
        <v>9216.2900000000009</v>
      </c>
      <c r="M13" s="2"/>
      <c r="N13" s="19">
        <f t="shared" si="1"/>
        <v>0</v>
      </c>
      <c r="O13" s="11"/>
      <c r="P13" s="2">
        <f>--430446.14</f>
        <v>430446.14</v>
      </c>
      <c r="Q13" s="2"/>
      <c r="R13" s="19"/>
      <c r="S13" s="2"/>
      <c r="T13" s="2"/>
      <c r="U13" s="2"/>
      <c r="V13" s="19"/>
      <c r="W13" s="2"/>
      <c r="X13" s="2">
        <f t="shared" si="2"/>
        <v>430446.14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--12201.9</f>
        <v>12201.9</v>
      </c>
      <c r="E14" s="2"/>
      <c r="F14" s="19"/>
      <c r="G14" s="2"/>
      <c r="H14" s="2"/>
      <c r="I14" s="2"/>
      <c r="J14" s="19"/>
      <c r="K14" s="2"/>
      <c r="L14" s="2">
        <f t="shared" si="0"/>
        <v>12201.9</v>
      </c>
      <c r="M14" s="2"/>
      <c r="N14" s="19">
        <f t="shared" si="1"/>
        <v>0</v>
      </c>
      <c r="O14" s="11"/>
      <c r="P14" s="2">
        <f>--581364.79</f>
        <v>581364.79</v>
      </c>
      <c r="Q14" s="2"/>
      <c r="R14" s="19"/>
      <c r="S14" s="2"/>
      <c r="T14" s="2"/>
      <c r="U14" s="2"/>
      <c r="V14" s="19"/>
      <c r="W14" s="2"/>
      <c r="X14" s="2">
        <f t="shared" si="2"/>
        <v>581364.79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-16200.52</f>
        <v>-16200.52</v>
      </c>
      <c r="E15" s="2"/>
      <c r="F15" s="19"/>
      <c r="G15" s="2"/>
      <c r="H15" s="2">
        <v>-7203</v>
      </c>
      <c r="I15" s="2"/>
      <c r="J15" s="19"/>
      <c r="K15" s="2"/>
      <c r="L15" s="2">
        <f t="shared" si="0"/>
        <v>-8997.52</v>
      </c>
      <c r="M15" s="2"/>
      <c r="N15" s="19">
        <f t="shared" si="1"/>
        <v>1.2491350826044705</v>
      </c>
      <c r="O15" s="11"/>
      <c r="P15" s="2">
        <f>--591246.5</f>
        <v>591246.5</v>
      </c>
      <c r="Q15" s="2"/>
      <c r="R15" s="19"/>
      <c r="S15" s="2"/>
      <c r="T15" s="2">
        <v>2036168</v>
      </c>
      <c r="U15" s="2"/>
      <c r="V15" s="19"/>
      <c r="W15" s="2"/>
      <c r="X15" s="2">
        <f t="shared" si="2"/>
        <v>-1444921.5</v>
      </c>
      <c r="Y15" s="2"/>
      <c r="Z15" s="19">
        <f t="shared" si="3"/>
        <v>-0.70962784013892766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1359.76</v>
      </c>
      <c r="E17" s="4"/>
      <c r="F17" s="13">
        <f t="shared" ref="F17:F20" si="4">IF(D$12=0,0,D17/D$12)</f>
        <v>0.26060674592298849</v>
      </c>
      <c r="G17" s="4"/>
      <c r="H17" s="4">
        <f>SUM(OSRRefH16x_0)</f>
        <v>-5224.63</v>
      </c>
      <c r="I17" s="4"/>
      <c r="J17" s="13">
        <f t="shared" ref="J17:J20" si="5">IF(H$12=0,0,H17/H$12)</f>
        <v>0.72534083020963491</v>
      </c>
      <c r="K17" s="4"/>
      <c r="L17" s="4">
        <f t="shared" ref="L17:L20" si="6">+D17-H17</f>
        <v>6584.39</v>
      </c>
      <c r="M17" s="4"/>
      <c r="N17" s="13">
        <f t="shared" ref="N17:N20" si="7">IF(H17=0,0,L17/H17)</f>
        <v>-1.2602595781902259</v>
      </c>
      <c r="O17" s="10"/>
      <c r="P17" s="4">
        <f>SUM(OSRRefP16x_0)</f>
        <v>1175860.3800000001</v>
      </c>
      <c r="Q17" s="4"/>
      <c r="R17" s="13">
        <f t="shared" ref="R17:R20" si="8">IF(P$12=0,0,P17/P$12)</f>
        <v>0.73351107576975583</v>
      </c>
      <c r="S17" s="4"/>
      <c r="T17" s="4">
        <f>SUM(OSRRefT16x_0)</f>
        <v>1476183</v>
      </c>
      <c r="U17" s="4"/>
      <c r="V17" s="13">
        <f t="shared" ref="V17:V20" si="9">IF(T$12=0,0,T17/T$12)</f>
        <v>0.72498094459789175</v>
      </c>
      <c r="W17" s="4"/>
      <c r="X17" s="4">
        <f t="shared" ref="X17:X20" si="10">+P17-T17</f>
        <v>-300322.61999999988</v>
      </c>
      <c r="Y17" s="4"/>
      <c r="Z17" s="13">
        <f t="shared" ref="Z17:Z20" si="11">IF(T17=0,0,X17/T17)</f>
        <v>-0.20344538583630883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-5224.63</v>
      </c>
      <c r="I18" s="2"/>
      <c r="J18" s="19">
        <f t="shared" si="5"/>
        <v>0.72534083020963491</v>
      </c>
      <c r="K18" s="2"/>
      <c r="L18" s="2">
        <f t="shared" si="6"/>
        <v>5224.63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1476183</v>
      </c>
      <c r="U18" s="2"/>
      <c r="V18" s="19">
        <f t="shared" si="9"/>
        <v>0.72498094459789175</v>
      </c>
      <c r="W18" s="2"/>
      <c r="X18" s="2">
        <f t="shared" si="10"/>
        <v>-1476183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1359.76</v>
      </c>
      <c r="E19" s="2"/>
      <c r="F19" s="19">
        <f t="shared" si="4"/>
        <v>0.26060674592298849</v>
      </c>
      <c r="G19" s="2"/>
      <c r="H19" s="2"/>
      <c r="I19" s="2"/>
      <c r="J19" s="19">
        <f t="shared" si="5"/>
        <v>0</v>
      </c>
      <c r="K19" s="2"/>
      <c r="L19" s="2">
        <f t="shared" si="6"/>
        <v>1359.76</v>
      </c>
      <c r="M19" s="2"/>
      <c r="N19" s="19">
        <f t="shared" si="7"/>
        <v>0</v>
      </c>
      <c r="O19" s="11"/>
      <c r="P19" s="2">
        <v>488743.96</v>
      </c>
      <c r="Q19" s="2"/>
      <c r="R19" s="19">
        <f t="shared" si="8"/>
        <v>0.30488237717097882</v>
      </c>
      <c r="S19" s="2"/>
      <c r="T19" s="2"/>
      <c r="U19" s="2"/>
      <c r="V19" s="19">
        <f t="shared" si="9"/>
        <v>0</v>
      </c>
      <c r="W19" s="2"/>
      <c r="X19" s="2">
        <f t="shared" si="10"/>
        <v>488743.96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687116.42</v>
      </c>
      <c r="Q20" s="2"/>
      <c r="R20" s="19">
        <f t="shared" si="8"/>
        <v>0.42862869859877695</v>
      </c>
      <c r="S20" s="2"/>
      <c r="T20" s="2"/>
      <c r="U20" s="2"/>
      <c r="V20" s="19">
        <f t="shared" si="9"/>
        <v>0</v>
      </c>
      <c r="W20" s="2"/>
      <c r="X20" s="2">
        <f t="shared" si="10"/>
        <v>687116.42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3857.9100000000017</v>
      </c>
      <c r="E22" s="14"/>
      <c r="F22" s="20">
        <f>IF(D$12=0,0,D22/D$12)</f>
        <v>0.7393932540770114</v>
      </c>
      <c r="G22" s="14"/>
      <c r="H22" s="22">
        <f>H12-H17</f>
        <v>-1978.37</v>
      </c>
      <c r="I22" s="14"/>
      <c r="J22" s="20">
        <f>IF(H$12=0,0,H22/H$12)</f>
        <v>0.27465916979036509</v>
      </c>
      <c r="K22" s="15"/>
      <c r="L22" s="22">
        <f>+D22-H22</f>
        <v>5836.2800000000016</v>
      </c>
      <c r="M22" s="15"/>
      <c r="N22" s="20">
        <f>IF(H22=0,0,L22/H22)</f>
        <v>-2.9500447337960045</v>
      </c>
      <c r="O22" s="28"/>
      <c r="P22" s="22">
        <f>P12-P17</f>
        <v>427197.05000000005</v>
      </c>
      <c r="Q22" s="14"/>
      <c r="R22" s="20">
        <f>IF(P$12=0,0,P22/P$12)</f>
        <v>0.26648892423024423</v>
      </c>
      <c r="S22" s="14"/>
      <c r="T22" s="22">
        <f>T12-T17</f>
        <v>559985</v>
      </c>
      <c r="U22" s="14"/>
      <c r="V22" s="20">
        <f>IF(T$12=0,0,T22/T$12)</f>
        <v>0.27501905540210825</v>
      </c>
      <c r="W22" s="15"/>
      <c r="X22" s="22">
        <f>+P22-T22</f>
        <v>-132787.94999999995</v>
      </c>
      <c r="Y22" s="15"/>
      <c r="Z22" s="20">
        <f>IF(T22=0,0,X22/T22)</f>
        <v>-0.23712769092029243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SUM(0)</f>
        <v>0</v>
      </c>
      <c r="E24" s="21"/>
      <c r="F24" s="32">
        <f>IF(D$12=0,0,D24/D$12)</f>
        <v>0</v>
      </c>
      <c r="G24" s="21"/>
      <c r="H24" s="21">
        <f>SUM(0)</f>
        <v>0</v>
      </c>
      <c r="I24" s="21"/>
      <c r="J24" s="32">
        <f>IF(H$12=0,0,H24/H$12)</f>
        <v>0</v>
      </c>
      <c r="K24" s="4"/>
      <c r="L24" s="21">
        <f>+D24-H24</f>
        <v>0</v>
      </c>
      <c r="M24" s="4"/>
      <c r="N24" s="32">
        <f>IF(H24=0,0,L24/H24)</f>
        <v>0</v>
      </c>
      <c r="O24" s="10"/>
      <c r="P24" s="21">
        <f>SUM(0)</f>
        <v>0</v>
      </c>
      <c r="Q24" s="21"/>
      <c r="R24" s="32">
        <f>IF(P$12=0,0,P24/P$12)</f>
        <v>0</v>
      </c>
      <c r="S24" s="21"/>
      <c r="T24" s="21">
        <f>SUM(0)</f>
        <v>0</v>
      </c>
      <c r="U24" s="21"/>
      <c r="V24" s="32">
        <f>IF(T$12=0,0,T24/T$12)</f>
        <v>0</v>
      </c>
      <c r="W24" s="4"/>
      <c r="X24" s="21">
        <f>+P24-T24</f>
        <v>0</v>
      </c>
      <c r="Y24" s="4"/>
      <c r="Z24" s="32">
        <f>IF(T24=0,0,X24/T24)</f>
        <v>0</v>
      </c>
    </row>
    <row r="25" spans="1:26" s="60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0</v>
      </c>
      <c r="C26" s="10"/>
      <c r="D26" s="4">
        <f>SUM(0)</f>
        <v>0</v>
      </c>
      <c r="E26" s="4"/>
      <c r="F26" s="13">
        <f>IF(D$12=0,0,D26/D$12)</f>
        <v>0</v>
      </c>
      <c r="G26" s="4"/>
      <c r="H26" s="4">
        <f>SUM(0)</f>
        <v>0</v>
      </c>
      <c r="I26" s="4"/>
      <c r="J26" s="13">
        <f>IF(H$12=0,0,H26/H$12)</f>
        <v>0</v>
      </c>
      <c r="K26" s="4"/>
      <c r="L26" s="4">
        <f>+D26-H26</f>
        <v>0</v>
      </c>
      <c r="M26" s="4"/>
      <c r="N26" s="13">
        <f>IF(H26=0,0,L26/H26)</f>
        <v>0</v>
      </c>
      <c r="O26" s="10"/>
      <c r="P26" s="4">
        <f>SUM(0)</f>
        <v>0</v>
      </c>
      <c r="Q26" s="4"/>
      <c r="R26" s="13">
        <f>IF(P$12=0,0,P26/P$12)</f>
        <v>0</v>
      </c>
      <c r="S26" s="4"/>
      <c r="T26" s="4">
        <f>SUM(0)</f>
        <v>0</v>
      </c>
      <c r="U26" s="4"/>
      <c r="V26" s="13">
        <f>IF(T$12=0,0,T26/T$12)</f>
        <v>0</v>
      </c>
      <c r="W26" s="4"/>
      <c r="X26" s="4">
        <f>+P26-T26</f>
        <v>0</v>
      </c>
      <c r="Y26" s="4"/>
      <c r="Z26" s="13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3</v>
      </c>
      <c r="C28" s="29"/>
      <c r="D28" s="22">
        <f>+D22-D24+D26</f>
        <v>3857.9100000000017</v>
      </c>
      <c r="E28" s="14"/>
      <c r="F28" s="20">
        <f>IF(D$12=0,0,D28/D$12)</f>
        <v>0.7393932540770114</v>
      </c>
      <c r="G28" s="14"/>
      <c r="H28" s="22">
        <f>+H22-H24+H26</f>
        <v>-1978.37</v>
      </c>
      <c r="I28" s="14"/>
      <c r="J28" s="20">
        <f>IF(H$12=0,0,H28/H$12)</f>
        <v>0.27465916979036509</v>
      </c>
      <c r="K28" s="15"/>
      <c r="L28" s="22">
        <f>+D28-H28</f>
        <v>5836.2800000000016</v>
      </c>
      <c r="M28" s="15"/>
      <c r="N28" s="20">
        <f>IF(H28=0,0,L28/H28)</f>
        <v>-2.9500447337960045</v>
      </c>
      <c r="O28" s="28"/>
      <c r="P28" s="22">
        <f>+P22-P24+P26</f>
        <v>427197.05000000005</v>
      </c>
      <c r="Q28" s="14"/>
      <c r="R28" s="20">
        <f>IF(P$12=0,0,P28/P$12)</f>
        <v>0.26648892423024423</v>
      </c>
      <c r="S28" s="14"/>
      <c r="T28" s="22">
        <f>+T22-T24+T26</f>
        <v>559985</v>
      </c>
      <c r="U28" s="14"/>
      <c r="V28" s="20">
        <f>IF(T$12=0,0,T28/T$12)</f>
        <v>0.27501905540210825</v>
      </c>
      <c r="W28" s="15"/>
      <c r="X28" s="22">
        <f>+P28-T28</f>
        <v>-132787.94999999995</v>
      </c>
      <c r="Y28" s="15"/>
      <c r="Z28" s="20">
        <f>IF(T28=0,0,X28/T28)</f>
        <v>-0.23712769092029243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53547.91</v>
      </c>
      <c r="E30" s="4"/>
      <c r="F30" s="13">
        <f>IF(D$12=0,0,D30/D$12)</f>
        <v>10.262801212035255</v>
      </c>
      <c r="G30" s="4"/>
      <c r="H30" s="4">
        <v>26748</v>
      </c>
      <c r="I30" s="4"/>
      <c r="J30" s="13">
        <f>IF(H$12=0,0,H30/H$12)</f>
        <v>-3.7134527280299876</v>
      </c>
      <c r="K30" s="4"/>
      <c r="L30" s="4">
        <f>+D30-H30</f>
        <v>26799.910000000003</v>
      </c>
      <c r="M30" s="4"/>
      <c r="N30" s="13">
        <f>IF(H30=0,0,L30/H30)</f>
        <v>1.0019407058471663</v>
      </c>
      <c r="O30" s="10"/>
      <c r="P30" s="4">
        <v>242765.01</v>
      </c>
      <c r="Q30" s="4"/>
      <c r="R30" s="13">
        <f>IF(P$12=0,0,P30/P$12)</f>
        <v>0.15143874789314316</v>
      </c>
      <c r="S30" s="4"/>
      <c r="T30" s="4">
        <v>263421</v>
      </c>
      <c r="U30" s="4"/>
      <c r="V30" s="13">
        <f>IF(T$12=0,0,T30/T$12)</f>
        <v>0.12937095563823811</v>
      </c>
      <c r="W30" s="4"/>
      <c r="X30" s="4">
        <f>+P30-T30</f>
        <v>-20655.989999999991</v>
      </c>
      <c r="Y30" s="4"/>
      <c r="Z30" s="13">
        <f>IF(T30=0,0,X30/T30)</f>
        <v>-7.8414363319553079E-2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9" t="s">
        <v>4</v>
      </c>
      <c r="C32" s="29"/>
      <c r="D32" s="31">
        <f>+D28-D30</f>
        <v>-49690</v>
      </c>
      <c r="E32" s="14"/>
      <c r="F32" s="33">
        <f>IF(D$12=0,0,D32/D$12)</f>
        <v>-9.5234079579582431</v>
      </c>
      <c r="G32" s="14"/>
      <c r="H32" s="31">
        <f>+H28-H30</f>
        <v>-28726.37</v>
      </c>
      <c r="I32" s="14"/>
      <c r="J32" s="33">
        <f>IF(H$12=0,0,H32/H$12)</f>
        <v>3.9881118978203527</v>
      </c>
      <c r="K32" s="15"/>
      <c r="L32" s="31">
        <f>D32-H32</f>
        <v>-20963.63</v>
      </c>
      <c r="M32" s="15"/>
      <c r="N32" s="33">
        <f>IF(H32=0,0,L32/H32)</f>
        <v>0.72976954623922208</v>
      </c>
      <c r="O32" s="28"/>
      <c r="P32" s="31">
        <f>+P28-P30</f>
        <v>184432.04000000004</v>
      </c>
      <c r="Q32" s="14"/>
      <c r="R32" s="33">
        <f>IF(P$12=0,0,P32/P$12)</f>
        <v>0.11505017633710105</v>
      </c>
      <c r="S32" s="14"/>
      <c r="T32" s="31">
        <f>+T28-T30</f>
        <v>296564</v>
      </c>
      <c r="U32" s="14"/>
      <c r="V32" s="33">
        <f>IF(T$12=0,0,T32/T$12)</f>
        <v>0.14564809976387016</v>
      </c>
      <c r="W32" s="15"/>
      <c r="X32" s="31">
        <f>P32-T32</f>
        <v>-112131.95999999996</v>
      </c>
      <c r="Y32" s="15"/>
      <c r="Z32" s="33">
        <f>IF(T32=0,0,X32/T32)</f>
        <v>-0.37810374826344384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5</v>
      </c>
      <c r="C35" s="29"/>
      <c r="D35" s="34">
        <f>SUM(D32:D34)</f>
        <v>-49690</v>
      </c>
      <c r="E35" s="14"/>
      <c r="F35" s="35">
        <f>IF(D$12=0,0,D35/D$12)</f>
        <v>-9.5234079579582431</v>
      </c>
      <c r="G35" s="14"/>
      <c r="H35" s="34">
        <f>SUM(H32:H34)</f>
        <v>-28726.37</v>
      </c>
      <c r="I35" s="14"/>
      <c r="J35" s="35">
        <f>IF(H$12=0,0,H35/H$12)</f>
        <v>3.9881118978203527</v>
      </c>
      <c r="K35" s="15"/>
      <c r="L35" s="34">
        <f>+D35-H35</f>
        <v>-20963.63</v>
      </c>
      <c r="M35" s="15"/>
      <c r="N35" s="35">
        <f>IF(H35=0,0,L35/H35)</f>
        <v>0.72976954623922208</v>
      </c>
      <c r="O35" s="28"/>
      <c r="P35" s="34">
        <f>SUM(P32:P34)</f>
        <v>184432.04000000004</v>
      </c>
      <c r="Q35" s="14"/>
      <c r="R35" s="35">
        <f>IF(P$12=0,0,P35/P$12)</f>
        <v>0.11505017633710105</v>
      </c>
      <c r="S35" s="14"/>
      <c r="T35" s="34">
        <f>SUM(T32:T34)</f>
        <v>296564</v>
      </c>
      <c r="U35" s="14"/>
      <c r="V35" s="35">
        <f>IF(T$12=0,0,T35/T$12)</f>
        <v>0.14564809976387016</v>
      </c>
      <c r="W35" s="15"/>
      <c r="X35" s="34">
        <f>+P35-T35</f>
        <v>-112131.95999999996</v>
      </c>
      <c r="Y35" s="15"/>
      <c r="Z35" s="35">
        <f>IF(T35=0,0,X35/T35)</f>
        <v>-0.37810374826344384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55">
        <v>44043.473584525462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2" t="s">
        <v>314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3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80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306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10535.519999999999</v>
      </c>
      <c r="E12" s="4"/>
      <c r="F12" s="13"/>
      <c r="G12" s="4"/>
      <c r="H12" s="4">
        <f>SUM(OSRRefH13x_0)</f>
        <v>13888</v>
      </c>
      <c r="I12" s="4"/>
      <c r="J12" s="13"/>
      <c r="K12" s="4"/>
      <c r="L12" s="4">
        <f t="shared" ref="L12:L55" si="0">+D12-H12</f>
        <v>-3352.4800000000014</v>
      </c>
      <c r="M12" s="4"/>
      <c r="N12" s="13">
        <f t="shared" ref="N12:N55" si="1">IF(H12=0,0,L12/H12)</f>
        <v>-0.24139400921658996</v>
      </c>
      <c r="O12" s="10"/>
      <c r="P12" s="4">
        <f>SUM(OSRRefP13x_0)</f>
        <v>832217.70999999985</v>
      </c>
      <c r="Q12" s="4"/>
      <c r="R12" s="13"/>
      <c r="S12" s="4"/>
      <c r="T12" s="4">
        <f>SUM(OSRRefT13x_0)</f>
        <v>1056699</v>
      </c>
      <c r="U12" s="4"/>
      <c r="V12" s="13"/>
      <c r="W12" s="4"/>
      <c r="X12" s="4">
        <f t="shared" ref="X12:X55" si="2">+P12-T12</f>
        <v>-224481.29000000015</v>
      </c>
      <c r="Y12" s="4"/>
      <c r="Z12" s="13">
        <f t="shared" ref="Z12:Z55" si="3">IF(T12=0,0,X12/T12)</f>
        <v>-0.2124363607801277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12587</v>
      </c>
      <c r="I13" s="2"/>
      <c r="J13" s="19"/>
      <c r="K13" s="2"/>
      <c r="L13" s="2">
        <f t="shared" si="0"/>
        <v>-12587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881543</v>
      </c>
      <c r="U13" s="2"/>
      <c r="V13" s="19"/>
      <c r="W13" s="2"/>
      <c r="X13" s="2">
        <f t="shared" si="2"/>
        <v>-881543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--347.52</f>
        <v>347.52</v>
      </c>
      <c r="Q14" s="2"/>
      <c r="R14" s="19"/>
      <c r="S14" s="2"/>
      <c r="T14" s="2"/>
      <c r="U14" s="2"/>
      <c r="V14" s="19"/>
      <c r="W14" s="2"/>
      <c r="X14" s="2">
        <f t="shared" si="2"/>
        <v>347.52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/>
      <c r="U15" s="2"/>
      <c r="V15" s="19"/>
      <c r="W15" s="2"/>
      <c r="X15" s="2">
        <f t="shared" si="2"/>
        <v>42.85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--3099.74</f>
        <v>3099.74</v>
      </c>
      <c r="E16" s="2"/>
      <c r="F16" s="19"/>
      <c r="G16" s="2"/>
      <c r="H16" s="2"/>
      <c r="I16" s="2"/>
      <c r="J16" s="19"/>
      <c r="K16" s="2"/>
      <c r="L16" s="2">
        <f t="shared" si="0"/>
        <v>3099.74</v>
      </c>
      <c r="M16" s="2"/>
      <c r="N16" s="19">
        <f t="shared" si="1"/>
        <v>0</v>
      </c>
      <c r="O16" s="11"/>
      <c r="P16" s="2">
        <f>--57806.23</f>
        <v>57806.23</v>
      </c>
      <c r="Q16" s="2"/>
      <c r="R16" s="19"/>
      <c r="S16" s="2"/>
      <c r="T16" s="2"/>
      <c r="U16" s="2"/>
      <c r="V16" s="19"/>
      <c r="W16" s="2"/>
      <c r="X16" s="2">
        <f t="shared" si="2"/>
        <v>57806.23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--2531.99</f>
        <v>2531.9899999999998</v>
      </c>
      <c r="E17" s="2"/>
      <c r="F17" s="19"/>
      <c r="G17" s="2"/>
      <c r="H17" s="2"/>
      <c r="I17" s="2"/>
      <c r="J17" s="19"/>
      <c r="K17" s="2"/>
      <c r="L17" s="2">
        <f t="shared" si="0"/>
        <v>2531.9899999999998</v>
      </c>
      <c r="M17" s="2"/>
      <c r="N17" s="19">
        <f t="shared" si="1"/>
        <v>0</v>
      </c>
      <c r="O17" s="11"/>
      <c r="P17" s="2">
        <f>--83111.97</f>
        <v>83111.97</v>
      </c>
      <c r="Q17" s="2"/>
      <c r="R17" s="19"/>
      <c r="S17" s="2"/>
      <c r="T17" s="2"/>
      <c r="U17" s="2"/>
      <c r="V17" s="19"/>
      <c r="W17" s="2"/>
      <c r="X17" s="2">
        <f t="shared" si="2"/>
        <v>83111.97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--4073.06</f>
        <v>4073.06</v>
      </c>
      <c r="E18" s="2"/>
      <c r="F18" s="19"/>
      <c r="G18" s="2"/>
      <c r="H18" s="2"/>
      <c r="I18" s="2"/>
      <c r="J18" s="19"/>
      <c r="K18" s="2"/>
      <c r="L18" s="2">
        <f t="shared" si="0"/>
        <v>4073.06</v>
      </c>
      <c r="M18" s="2"/>
      <c r="N18" s="19">
        <f t="shared" si="1"/>
        <v>0</v>
      </c>
      <c r="O18" s="11"/>
      <c r="P18" s="2">
        <f>--280688.54</f>
        <v>280688.53999999998</v>
      </c>
      <c r="Q18" s="2"/>
      <c r="R18" s="19"/>
      <c r="S18" s="2"/>
      <c r="T18" s="2"/>
      <c r="U18" s="2"/>
      <c r="V18" s="19"/>
      <c r="W18" s="2"/>
      <c r="X18" s="2">
        <f t="shared" si="2"/>
        <v>280688.53999999998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--386.59</f>
        <v>386.59</v>
      </c>
      <c r="E19" s="2"/>
      <c r="F19" s="19"/>
      <c r="G19" s="2"/>
      <c r="H19" s="2"/>
      <c r="I19" s="2"/>
      <c r="J19" s="19"/>
      <c r="K19" s="2"/>
      <c r="L19" s="2">
        <f t="shared" si="0"/>
        <v>386.59</v>
      </c>
      <c r="M19" s="2"/>
      <c r="N19" s="19">
        <f t="shared" si="1"/>
        <v>0</v>
      </c>
      <c r="O19" s="11"/>
      <c r="P19" s="2">
        <f>--293577.64</f>
        <v>293577.64</v>
      </c>
      <c r="Q19" s="2"/>
      <c r="R19" s="19"/>
      <c r="S19" s="2"/>
      <c r="T19" s="2"/>
      <c r="U19" s="2"/>
      <c r="V19" s="19"/>
      <c r="W19" s="2"/>
      <c r="X19" s="2">
        <f t="shared" si="2"/>
        <v>293577.64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ref="D20:D33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--486.34</f>
        <v>486.34</v>
      </c>
      <c r="Q20" s="2"/>
      <c r="R20" s="19"/>
      <c r="S20" s="2"/>
      <c r="T20" s="2"/>
      <c r="U20" s="2"/>
      <c r="V20" s="19"/>
      <c r="W20" s="2"/>
      <c r="X20" s="2">
        <f t="shared" si="2"/>
        <v>486.34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5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--1905.06</f>
        <v>1905.06</v>
      </c>
      <c r="Q21" s="2"/>
      <c r="R21" s="19"/>
      <c r="S21" s="2"/>
      <c r="T21" s="2"/>
      <c r="U21" s="2"/>
      <c r="V21" s="19"/>
      <c r="W21" s="2"/>
      <c r="X21" s="2">
        <f t="shared" si="2"/>
        <v>1905.06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--205.53</f>
        <v>205.53</v>
      </c>
      <c r="Q22" s="2"/>
      <c r="R22" s="19"/>
      <c r="S22" s="2"/>
      <c r="T22" s="2"/>
      <c r="U22" s="2"/>
      <c r="V22" s="19"/>
      <c r="W22" s="2"/>
      <c r="X22" s="2">
        <f t="shared" si="2"/>
        <v>205.53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--7803.51</f>
        <v>7803.51</v>
      </c>
      <c r="Q23" s="2"/>
      <c r="R23" s="19"/>
      <c r="S23" s="2"/>
      <c r="T23" s="2"/>
      <c r="U23" s="2"/>
      <c r="V23" s="19"/>
      <c r="W23" s="2"/>
      <c r="X23" s="2">
        <f t="shared" si="2"/>
        <v>7803.51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--1981.84</f>
        <v>1981.84</v>
      </c>
      <c r="Q24" s="2"/>
      <c r="R24" s="19"/>
      <c r="S24" s="2"/>
      <c r="T24" s="2"/>
      <c r="U24" s="2"/>
      <c r="V24" s="19"/>
      <c r="W24" s="2"/>
      <c r="X24" s="2">
        <f t="shared" si="2"/>
        <v>1981.84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--513.51</f>
        <v>513.51</v>
      </c>
      <c r="Q25" s="2"/>
      <c r="R25" s="19"/>
      <c r="S25" s="2"/>
      <c r="T25" s="2"/>
      <c r="U25" s="2"/>
      <c r="V25" s="19"/>
      <c r="W25" s="2"/>
      <c r="X25" s="2">
        <f t="shared" si="2"/>
        <v>513.51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 t="shared" si="5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/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 t="shared" si="5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--583.7</f>
        <v>583.70000000000005</v>
      </c>
      <c r="Q27" s="2"/>
      <c r="R27" s="19"/>
      <c r="S27" s="2"/>
      <c r="T27" s="2"/>
      <c r="U27" s="2"/>
      <c r="V27" s="19"/>
      <c r="W27" s="2"/>
      <c r="X27" s="2">
        <f t="shared" si="2"/>
        <v>583.70000000000005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 t="shared" si="5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/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--3174.93</f>
        <v>3174.93</v>
      </c>
      <c r="Q29" s="2"/>
      <c r="R29" s="19"/>
      <c r="S29" s="2"/>
      <c r="T29" s="2"/>
      <c r="U29" s="2"/>
      <c r="V29" s="19"/>
      <c r="W29" s="2"/>
      <c r="X29" s="2">
        <f t="shared" si="2"/>
        <v>3174.93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--363.94</f>
        <v>363.94</v>
      </c>
      <c r="Q30" s="2"/>
      <c r="R30" s="19"/>
      <c r="S30" s="2"/>
      <c r="T30" s="2"/>
      <c r="U30" s="2"/>
      <c r="V30" s="19"/>
      <c r="W30" s="2"/>
      <c r="X30" s="2">
        <f t="shared" si="2"/>
        <v>363.94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 t="shared" si="5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--914.33</f>
        <v>914.33</v>
      </c>
      <c r="Q31" s="2"/>
      <c r="R31" s="19"/>
      <c r="S31" s="2"/>
      <c r="T31" s="2"/>
      <c r="U31" s="2"/>
      <c r="V31" s="19"/>
      <c r="W31" s="2"/>
      <c r="X31" s="2">
        <f t="shared" si="2"/>
        <v>914.33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 t="shared" si="5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--813.74</f>
        <v>813.74</v>
      </c>
      <c r="Q32" s="2"/>
      <c r="R32" s="19"/>
      <c r="S32" s="2"/>
      <c r="T32" s="2"/>
      <c r="U32" s="2"/>
      <c r="V32" s="19"/>
      <c r="W32" s="2"/>
      <c r="X32" s="2">
        <f t="shared" si="2"/>
        <v>813.74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"4100", " - ", "NON-TAXABLE SALES")</f>
        <v xml:space="preserve">          4100 - NON-TAXABLE SALES</v>
      </c>
      <c r="C33" s="11"/>
      <c r="D33" s="2">
        <f t="shared" si="5"/>
        <v>0</v>
      </c>
      <c r="E33" s="2"/>
      <c r="F33" s="19"/>
      <c r="G33" s="2"/>
      <c r="H33" s="2">
        <v>1301</v>
      </c>
      <c r="I33" s="2"/>
      <c r="J33" s="19"/>
      <c r="K33" s="2"/>
      <c r="L33" s="2">
        <f t="shared" si="0"/>
        <v>-1301</v>
      </c>
      <c r="M33" s="2"/>
      <c r="N33" s="19">
        <f t="shared" si="1"/>
        <v>-1</v>
      </c>
      <c r="O33" s="11"/>
      <c r="P33" s="2">
        <f>0</f>
        <v>0</v>
      </c>
      <c r="Q33" s="2"/>
      <c r="R33" s="19"/>
      <c r="S33" s="2"/>
      <c r="T33" s="2">
        <v>175156</v>
      </c>
      <c r="U33" s="2"/>
      <c r="V33" s="19"/>
      <c r="W33" s="2"/>
      <c r="X33" s="2">
        <f t="shared" si="2"/>
        <v>-175156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"4125", " - ", "NON-TAXABLE SALES-TEST FORMS")</f>
        <v xml:space="preserve">          4125 - NON-TAXABLE SALES-TEST FORMS</v>
      </c>
      <c r="C34" s="11"/>
      <c r="D34" s="2">
        <f>--185</f>
        <v>185</v>
      </c>
      <c r="E34" s="2"/>
      <c r="F34" s="19"/>
      <c r="G34" s="2"/>
      <c r="H34" s="2"/>
      <c r="I34" s="2"/>
      <c r="J34" s="19"/>
      <c r="K34" s="2"/>
      <c r="L34" s="2">
        <f t="shared" si="0"/>
        <v>185</v>
      </c>
      <c r="M34" s="2"/>
      <c r="N34" s="19">
        <f t="shared" si="1"/>
        <v>0</v>
      </c>
      <c r="O34" s="11"/>
      <c r="P34" s="2">
        <f>--452.61</f>
        <v>452.61</v>
      </c>
      <c r="Q34" s="2"/>
      <c r="R34" s="19"/>
      <c r="S34" s="2"/>
      <c r="T34" s="2"/>
      <c r="U34" s="2"/>
      <c r="V34" s="19"/>
      <c r="W34" s="2"/>
      <c r="X34" s="2">
        <f t="shared" si="2"/>
        <v>452.61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"4126", " - ", "NON-TAXABLE SALES-WRITING INST")</f>
        <v xml:space="preserve">          4126 - NON-TAXABLE SALES-WRITING INST</v>
      </c>
      <c r="C35" s="11"/>
      <c r="D35" s="2">
        <f>--168.02</f>
        <v>168.02</v>
      </c>
      <c r="E35" s="2"/>
      <c r="F35" s="19"/>
      <c r="G35" s="2"/>
      <c r="H35" s="2"/>
      <c r="I35" s="2"/>
      <c r="J35" s="19"/>
      <c r="K35" s="2"/>
      <c r="L35" s="2">
        <f t="shared" si="0"/>
        <v>168.02</v>
      </c>
      <c r="M35" s="2"/>
      <c r="N35" s="19">
        <f t="shared" si="1"/>
        <v>0</v>
      </c>
      <c r="O35" s="11"/>
      <c r="P35" s="2">
        <f>--3301.44</f>
        <v>3301.44</v>
      </c>
      <c r="Q35" s="2"/>
      <c r="R35" s="19"/>
      <c r="S35" s="2"/>
      <c r="T35" s="2"/>
      <c r="U35" s="2"/>
      <c r="V35" s="19"/>
      <c r="W35" s="2"/>
      <c r="X35" s="2">
        <f t="shared" si="2"/>
        <v>3301.44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"4127", " - ", "NON-TAXABLE SALES-SCHOOL SUPPL")</f>
        <v xml:space="preserve">          4127 - NON-TAXABLE SALES-SCHOOL SUPPL</v>
      </c>
      <c r="C36" s="11"/>
      <c r="D36" s="2">
        <f>--97.62</f>
        <v>97.62</v>
      </c>
      <c r="E36" s="2"/>
      <c r="F36" s="19"/>
      <c r="G36" s="2"/>
      <c r="H36" s="2"/>
      <c r="I36" s="2"/>
      <c r="J36" s="19"/>
      <c r="K36" s="2"/>
      <c r="L36" s="2">
        <f t="shared" si="0"/>
        <v>97.62</v>
      </c>
      <c r="M36" s="2"/>
      <c r="N36" s="19">
        <f t="shared" si="1"/>
        <v>0</v>
      </c>
      <c r="O36" s="11"/>
      <c r="P36" s="2">
        <f>--6471.33</f>
        <v>6471.33</v>
      </c>
      <c r="Q36" s="2"/>
      <c r="R36" s="19"/>
      <c r="S36" s="2"/>
      <c r="T36" s="2"/>
      <c r="U36" s="2"/>
      <c r="V36" s="19"/>
      <c r="W36" s="2"/>
      <c r="X36" s="2">
        <f t="shared" si="2"/>
        <v>6471.33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"4128", " - ", "NON-TAXABLE SALES-ART/TECH")</f>
        <v xml:space="preserve">          4128 - NON-TAXABLE SALES-ART/TECH</v>
      </c>
      <c r="C37" s="11"/>
      <c r="D37" s="2">
        <f>--0.74</f>
        <v>0.74</v>
      </c>
      <c r="E37" s="2"/>
      <c r="F37" s="19"/>
      <c r="G37" s="2"/>
      <c r="H37" s="2"/>
      <c r="I37" s="2"/>
      <c r="J37" s="19"/>
      <c r="K37" s="2"/>
      <c r="L37" s="2">
        <f t="shared" si="0"/>
        <v>0.74</v>
      </c>
      <c r="M37" s="2"/>
      <c r="N37" s="19">
        <f t="shared" si="1"/>
        <v>0</v>
      </c>
      <c r="O37" s="11"/>
      <c r="P37" s="2">
        <f>--731.36</f>
        <v>731.36</v>
      </c>
      <c r="Q37" s="2"/>
      <c r="R37" s="19"/>
      <c r="S37" s="2"/>
      <c r="T37" s="2"/>
      <c r="U37" s="2"/>
      <c r="V37" s="19"/>
      <c r="W37" s="2"/>
      <c r="X37" s="2">
        <f t="shared" si="2"/>
        <v>731.36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"4131", " - ", "NON-TAXABLE SALES-FOOD")</f>
        <v xml:space="preserve">          4131 - NON-TAXABLE SALES-FOOD</v>
      </c>
      <c r="C38" s="11"/>
      <c r="D38" s="2">
        <f>--64.14</f>
        <v>64.14</v>
      </c>
      <c r="E38" s="2"/>
      <c r="F38" s="19"/>
      <c r="G38" s="2"/>
      <c r="H38" s="2"/>
      <c r="I38" s="2"/>
      <c r="J38" s="19"/>
      <c r="K38" s="2"/>
      <c r="L38" s="2">
        <f t="shared" si="0"/>
        <v>64.14</v>
      </c>
      <c r="M38" s="2"/>
      <c r="N38" s="19">
        <f t="shared" si="1"/>
        <v>0</v>
      </c>
      <c r="O38" s="11"/>
      <c r="P38" s="2">
        <f>--57957.84</f>
        <v>57957.84</v>
      </c>
      <c r="Q38" s="2"/>
      <c r="R38" s="19"/>
      <c r="S38" s="2"/>
      <c r="T38" s="2"/>
      <c r="U38" s="2"/>
      <c r="V38" s="19"/>
      <c r="W38" s="2"/>
      <c r="X38" s="2">
        <f t="shared" si="2"/>
        <v>57957.84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"4132", " - ", "NON-TAXABLE SALES-JUICE")</f>
        <v xml:space="preserve">          4132 - NON-TAXABLE SALES-JUICE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--16199.63</f>
        <v>16199.63</v>
      </c>
      <c r="Q39" s="2"/>
      <c r="R39" s="19"/>
      <c r="S39" s="2"/>
      <c r="T39" s="2"/>
      <c r="U39" s="2"/>
      <c r="V39" s="19"/>
      <c r="W39" s="2"/>
      <c r="X39" s="2">
        <f t="shared" si="2"/>
        <v>16199.63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"4133", " - ", "NON-TAXABLE SALES-CANDY")</f>
        <v xml:space="preserve">          4133 - NON-TAXABLE SALES-CANDY</v>
      </c>
      <c r="C40" s="11"/>
      <c r="D40" s="2">
        <f>--13.47</f>
        <v>13.47</v>
      </c>
      <c r="E40" s="2"/>
      <c r="F40" s="19"/>
      <c r="G40" s="2"/>
      <c r="H40" s="2"/>
      <c r="I40" s="2"/>
      <c r="J40" s="19"/>
      <c r="K40" s="2"/>
      <c r="L40" s="2">
        <f t="shared" si="0"/>
        <v>13.47</v>
      </c>
      <c r="M40" s="2"/>
      <c r="N40" s="19">
        <f t="shared" si="1"/>
        <v>0</v>
      </c>
      <c r="O40" s="11"/>
      <c r="P40" s="2">
        <f>--18150.2</f>
        <v>18150.2</v>
      </c>
      <c r="Q40" s="2"/>
      <c r="R40" s="19"/>
      <c r="S40" s="2"/>
      <c r="T40" s="2"/>
      <c r="U40" s="2"/>
      <c r="V40" s="19"/>
      <c r="W40" s="2"/>
      <c r="X40" s="2">
        <f t="shared" si="2"/>
        <v>18150.2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"4134", " - ", "NON-TAXABLE SALES-SODA")</f>
        <v xml:space="preserve">          4134 - NON-TAXABLE SALES-SODA</v>
      </c>
      <c r="C41" s="11"/>
      <c r="D41" s="2">
        <f t="shared" ref="D41:D47" si="6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--1.89</f>
        <v>1.89</v>
      </c>
      <c r="Q41" s="2"/>
      <c r="R41" s="19"/>
      <c r="S41" s="2"/>
      <c r="T41" s="2"/>
      <c r="U41" s="2"/>
      <c r="V41" s="19"/>
      <c r="W41" s="2"/>
      <c r="X41" s="2">
        <f t="shared" si="2"/>
        <v>1.89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"4135", " - ", "NON-TAXABLE SALES")</f>
        <v xml:space="preserve">          4135 - NON-TAXABLE SALES</v>
      </c>
      <c r="C42" s="11"/>
      <c r="D42" s="2">
        <f t="shared" si="6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--161.4</f>
        <v>161.4</v>
      </c>
      <c r="Q42" s="2"/>
      <c r="R42" s="19"/>
      <c r="S42" s="2"/>
      <c r="T42" s="2"/>
      <c r="U42" s="2"/>
      <c r="V42" s="19"/>
      <c r="W42" s="2"/>
      <c r="X42" s="2">
        <f t="shared" si="2"/>
        <v>161.4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"4137", " - ", "NON-TAXABLE SALES-WATER")</f>
        <v xml:space="preserve">          4137 - NON-TAXABLE SALES-WATER</v>
      </c>
      <c r="C43" s="11"/>
      <c r="D43" s="2">
        <f t="shared" si="6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--8396.06</f>
        <v>8396.06</v>
      </c>
      <c r="Q43" s="2"/>
      <c r="R43" s="19"/>
      <c r="S43" s="2"/>
      <c r="T43" s="2"/>
      <c r="U43" s="2"/>
      <c r="V43" s="19"/>
      <c r="W43" s="2"/>
      <c r="X43" s="2">
        <f t="shared" si="2"/>
        <v>8396.06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"4186", " - ", "NON-TAXABLE SALES-COMPUTER SUP")</f>
        <v xml:space="preserve">          4186 - NON-TAXABLE SALES-COMPUTER SUP</v>
      </c>
      <c r="C44" s="11"/>
      <c r="D44" s="2">
        <f t="shared" si="6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-30.97</f>
        <v>-30.97</v>
      </c>
      <c r="Q44" s="2"/>
      <c r="R44" s="19"/>
      <c r="S44" s="2"/>
      <c r="T44" s="2"/>
      <c r="U44" s="2"/>
      <c r="V44" s="19"/>
      <c r="W44" s="2"/>
      <c r="X44" s="2">
        <f t="shared" si="2"/>
        <v>-30.97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"4217", " - ", "NON-TAXABLE SALES-DORM/HOUSEWA")</f>
        <v xml:space="preserve">          4217 - NON-TAXABLE SALES-DORM/HOUSEWA</v>
      </c>
      <c r="C45" s="11"/>
      <c r="D45" s="2">
        <f t="shared" si="6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-2.98</f>
        <v>-2.98</v>
      </c>
      <c r="Q45" s="2"/>
      <c r="R45" s="19"/>
      <c r="S45" s="2"/>
      <c r="T45" s="2"/>
      <c r="U45" s="2"/>
      <c r="V45" s="19"/>
      <c r="W45" s="2"/>
      <c r="X45" s="2">
        <f t="shared" si="2"/>
        <v>-2.98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"4225", " - ", "SALES RETURN TAXABLE-TEST FORM")</f>
        <v xml:space="preserve">          4225 - SALES RETURN TAXABLE-TEST FORM</v>
      </c>
      <c r="C46" s="11"/>
      <c r="D46" s="2">
        <f t="shared" si="6"/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-205.91</f>
        <v>-205.91</v>
      </c>
      <c r="Q46" s="2"/>
      <c r="R46" s="19"/>
      <c r="S46" s="2"/>
      <c r="T46" s="2"/>
      <c r="U46" s="2"/>
      <c r="V46" s="19"/>
      <c r="W46" s="2"/>
      <c r="X46" s="2">
        <f t="shared" si="2"/>
        <v>-205.91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"4226", " - ", "SALES RETURN TAXABLE-WRITING I")</f>
        <v xml:space="preserve">          4226 - SALES RETURN TAXABLE-WRITING I</v>
      </c>
      <c r="C47" s="11"/>
      <c r="D47" s="2">
        <f t="shared" si="6"/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-789.64</f>
        <v>-789.64</v>
      </c>
      <c r="Q47" s="2"/>
      <c r="R47" s="19"/>
      <c r="S47" s="2"/>
      <c r="T47" s="2"/>
      <c r="U47" s="2"/>
      <c r="V47" s="19"/>
      <c r="W47" s="2"/>
      <c r="X47" s="2">
        <f t="shared" si="2"/>
        <v>-789.64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"4227", " - ", "SALES RETURN TAXABLE-SCHOOL SU")</f>
        <v xml:space="preserve">          4227 - SALES RETURN TAXABLE-SCHOOL SU</v>
      </c>
      <c r="C48" s="11"/>
      <c r="D48" s="2">
        <f>-81.87</f>
        <v>-81.87</v>
      </c>
      <c r="E48" s="2"/>
      <c r="F48" s="19"/>
      <c r="G48" s="2"/>
      <c r="H48" s="2"/>
      <c r="I48" s="2"/>
      <c r="J48" s="19"/>
      <c r="K48" s="2"/>
      <c r="L48" s="2">
        <f t="shared" si="0"/>
        <v>-81.87</v>
      </c>
      <c r="M48" s="2"/>
      <c r="N48" s="19">
        <f t="shared" si="1"/>
        <v>0</v>
      </c>
      <c r="O48" s="11"/>
      <c r="P48" s="2">
        <f>-8728.9</f>
        <v>-8728.9</v>
      </c>
      <c r="Q48" s="2"/>
      <c r="R48" s="19"/>
      <c r="S48" s="2"/>
      <c r="T48" s="2"/>
      <c r="U48" s="2"/>
      <c r="V48" s="19"/>
      <c r="W48" s="2"/>
      <c r="X48" s="2">
        <f t="shared" si="2"/>
        <v>-8728.9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"4228", " - ", "SALES RETURN TAXABLE-ART/TECH")</f>
        <v xml:space="preserve">          4228 - SALES RETURN TAXABLE-ART/TECH</v>
      </c>
      <c r="C49" s="11"/>
      <c r="D49" s="2">
        <f t="shared" ref="D49:D51" si="7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-4739.1</f>
        <v>-4739.1000000000004</v>
      </c>
      <c r="Q49" s="2"/>
      <c r="R49" s="19"/>
      <c r="S49" s="2"/>
      <c r="T49" s="2"/>
      <c r="U49" s="2"/>
      <c r="V49" s="19"/>
      <c r="W49" s="2"/>
      <c r="X49" s="2">
        <f t="shared" si="2"/>
        <v>-4739.1000000000004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"4233", " - ", "SALES RETURN TAXABLE-CANDY")</f>
        <v xml:space="preserve">          4233 - SALES RETURN TAXABLE-CANDY</v>
      </c>
      <c r="C50" s="11"/>
      <c r="D50" s="2">
        <f t="shared" si="7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-8.25</f>
        <v>-8.25</v>
      </c>
      <c r="Q50" s="2"/>
      <c r="R50" s="19"/>
      <c r="S50" s="2"/>
      <c r="T50" s="2"/>
      <c r="U50" s="2"/>
      <c r="V50" s="19"/>
      <c r="W50" s="2"/>
      <c r="X50" s="2">
        <f t="shared" si="2"/>
        <v>-8.25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"4281", " - ", "SALES RETURN TAXABLE-ELECTRONI")</f>
        <v xml:space="preserve">          4281 - SALES RETURN TAXABLE-ELECTRONI</v>
      </c>
      <c r="C51" s="11"/>
      <c r="D51" s="2">
        <f t="shared" si="7"/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-54.97</f>
        <v>-54.97</v>
      </c>
      <c r="Q51" s="2"/>
      <c r="R51" s="19"/>
      <c r="S51" s="2"/>
      <c r="T51" s="2"/>
      <c r="U51" s="2"/>
      <c r="V51" s="19"/>
      <c r="W51" s="2"/>
      <c r="X51" s="2">
        <f t="shared" si="2"/>
        <v>-54.97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"4326", " - ", "SALES RETURN NON TAXABLE-WRITI")</f>
        <v xml:space="preserve">          4326 - SALES RETURN NON TAXABLE-WRITI</v>
      </c>
      <c r="C52" s="11"/>
      <c r="D52" s="2">
        <f>-2.98</f>
        <v>-2.98</v>
      </c>
      <c r="E52" s="2"/>
      <c r="F52" s="19"/>
      <c r="G52" s="2"/>
      <c r="H52" s="2"/>
      <c r="I52" s="2"/>
      <c r="J52" s="19"/>
      <c r="K52" s="2"/>
      <c r="L52" s="2">
        <f t="shared" si="0"/>
        <v>-2.98</v>
      </c>
      <c r="M52" s="2"/>
      <c r="N52" s="19">
        <f t="shared" si="1"/>
        <v>0</v>
      </c>
      <c r="O52" s="11"/>
      <c r="P52" s="2">
        <f>-2.98</f>
        <v>-2.98</v>
      </c>
      <c r="Q52" s="2"/>
      <c r="R52" s="19"/>
      <c r="S52" s="2"/>
      <c r="T52" s="2"/>
      <c r="U52" s="2"/>
      <c r="V52" s="19"/>
      <c r="W52" s="2"/>
      <c r="X52" s="2">
        <f t="shared" si="2"/>
        <v>-2.98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"4327", " - ", "SALES RETURN NON TAXABLE-SCHOO")</f>
        <v xml:space="preserve">          4327 - SALES RETURN NON TAXABLE-SCHOO</v>
      </c>
      <c r="C53" s="11"/>
      <c r="D53" s="2">
        <f t="shared" ref="D53:D55" si="8"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-21.87</f>
        <v>-21.87</v>
      </c>
      <c r="Q53" s="2"/>
      <c r="R53" s="19"/>
      <c r="S53" s="2"/>
      <c r="T53" s="2"/>
      <c r="U53" s="2"/>
      <c r="V53" s="19"/>
      <c r="W53" s="2"/>
      <c r="X53" s="2">
        <f t="shared" si="2"/>
        <v>-21.87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"4331", " - ", "SALES RETURN NON TAXABLE-FOOD")</f>
        <v xml:space="preserve">          4331 - SALES RETURN NON TAXABLE-FOOD</v>
      </c>
      <c r="C54" s="11"/>
      <c r="D54" s="2">
        <f t="shared" si="8"/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-12.57</f>
        <v>-12.57</v>
      </c>
      <c r="Q54" s="2"/>
      <c r="R54" s="19"/>
      <c r="S54" s="2"/>
      <c r="T54" s="2"/>
      <c r="U54" s="2"/>
      <c r="V54" s="19"/>
      <c r="W54" s="2"/>
      <c r="X54" s="2">
        <f t="shared" si="2"/>
        <v>-12.57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"4332", " - ", "SALES RETURN NON TAXABLE-JUICE")</f>
        <v xml:space="preserve">          4332 - SALES RETURN NON TAXABLE-JUICE</v>
      </c>
      <c r="C55" s="11"/>
      <c r="D55" s="2">
        <f t="shared" si="8"/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-2.79</f>
        <v>-2.79</v>
      </c>
      <c r="Q55" s="2"/>
      <c r="R55" s="19"/>
      <c r="S55" s="2"/>
      <c r="T55" s="2"/>
      <c r="U55" s="2"/>
      <c r="V55" s="19"/>
      <c r="W55" s="2"/>
      <c r="X55" s="2">
        <f t="shared" si="2"/>
        <v>-2.79</v>
      </c>
      <c r="Y55" s="2"/>
      <c r="Z55" s="19">
        <f t="shared" si="3"/>
        <v>0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collapsed="1" x14ac:dyDescent="0.25">
      <c r="A57" s="10"/>
      <c r="B57" s="28" t="s">
        <v>8</v>
      </c>
      <c r="C57" s="10"/>
      <c r="D57" s="4">
        <f>SUM(OSRRefD16x_0)</f>
        <v>43360.53</v>
      </c>
      <c r="E57" s="4"/>
      <c r="F57" s="13">
        <f t="shared" ref="F57:F81" si="9">IF(D$12=0,0,D57/D$12)</f>
        <v>4.1156516242197823</v>
      </c>
      <c r="G57" s="4"/>
      <c r="H57" s="4">
        <f>SUM(OSRRefH16x_0)</f>
        <v>6978</v>
      </c>
      <c r="I57" s="4"/>
      <c r="J57" s="13">
        <f t="shared" ref="J57:J81" si="10">IF(H$12=0,0,H57/H$12)</f>
        <v>0.50244815668202769</v>
      </c>
      <c r="K57" s="4"/>
      <c r="L57" s="4">
        <f t="shared" ref="L57:L81" si="11">+D57-H57</f>
        <v>36382.53</v>
      </c>
      <c r="M57" s="4"/>
      <c r="N57" s="13">
        <f t="shared" ref="N57:N81" si="12">IF(H57=0,0,L57/H57)</f>
        <v>5.2138907996560615</v>
      </c>
      <c r="O57" s="10"/>
      <c r="P57" s="4">
        <f>SUM(OSRRefP16x_0)</f>
        <v>457478.95</v>
      </c>
      <c r="Q57" s="4"/>
      <c r="R57" s="13">
        <f t="shared" ref="R57:R81" si="13">IF(P$12=0,0,P57/P$12)</f>
        <v>0.54971066405207847</v>
      </c>
      <c r="S57" s="4"/>
      <c r="T57" s="4">
        <f>SUM(OSRRefT16x_0)</f>
        <v>502435</v>
      </c>
      <c r="U57" s="4"/>
      <c r="V57" s="13">
        <f t="shared" ref="V57:V81" si="14">IF(T$12=0,0,T57/T$12)</f>
        <v>0.4754759870123848</v>
      </c>
      <c r="W57" s="4"/>
      <c r="X57" s="4">
        <f t="shared" ref="X57:X81" si="15">+P57-T57</f>
        <v>-44956.049999999988</v>
      </c>
      <c r="Y57" s="4"/>
      <c r="Z57" s="13">
        <f t="shared" ref="Z57:Z81" si="16">IF(T57=0,0,X57/T57)</f>
        <v>-8.947635017464943E-2</v>
      </c>
    </row>
    <row r="58" spans="1:26" s="24" customFormat="1" hidden="1" outlineLevel="1" x14ac:dyDescent="0.25">
      <c r="A58" s="44"/>
      <c r="B58" s="11" t="str">
        <f>CONCATENATE("          ", "5000", " - ", "PURCHASES @ COST")</f>
        <v xml:space="preserve">          5000 - PURCHASES @ COST</v>
      </c>
      <c r="C58" s="11"/>
      <c r="D58" s="2"/>
      <c r="E58" s="2"/>
      <c r="F58" s="19">
        <f t="shared" si="9"/>
        <v>0</v>
      </c>
      <c r="G58" s="2"/>
      <c r="H58" s="2">
        <v>6978</v>
      </c>
      <c r="I58" s="2"/>
      <c r="J58" s="19">
        <f t="shared" si="10"/>
        <v>0.50244815668202769</v>
      </c>
      <c r="K58" s="2"/>
      <c r="L58" s="2">
        <f t="shared" si="11"/>
        <v>-6978</v>
      </c>
      <c r="M58" s="2"/>
      <c r="N58" s="19">
        <f t="shared" si="12"/>
        <v>-1</v>
      </c>
      <c r="O58" s="11"/>
      <c r="P58" s="2"/>
      <c r="Q58" s="2"/>
      <c r="R58" s="19">
        <f t="shared" si="13"/>
        <v>0</v>
      </c>
      <c r="S58" s="2"/>
      <c r="T58" s="2">
        <v>502435</v>
      </c>
      <c r="U58" s="2"/>
      <c r="V58" s="19">
        <f t="shared" si="14"/>
        <v>0.4754759870123848</v>
      </c>
      <c r="W58" s="2"/>
      <c r="X58" s="2">
        <f t="shared" si="15"/>
        <v>-502435</v>
      </c>
      <c r="Y58" s="2"/>
      <c r="Z58" s="19">
        <f t="shared" si="16"/>
        <v>-1</v>
      </c>
    </row>
    <row r="59" spans="1:26" s="24" customFormat="1" hidden="1" outlineLevel="1" x14ac:dyDescent="0.25">
      <c r="A59" s="44"/>
      <c r="B59" s="11" t="str">
        <f>CONCATENATE("          ", "5014", " - ", "PURCHASES @ COST-REMAINDERS")</f>
        <v xml:space="preserve">          5014 - PURCHASES @ COST-REMAINDERS</v>
      </c>
      <c r="C59" s="11"/>
      <c r="D59" s="2"/>
      <c r="E59" s="2"/>
      <c r="F59" s="19">
        <f t="shared" si="9"/>
        <v>0</v>
      </c>
      <c r="G59" s="2"/>
      <c r="H59" s="2"/>
      <c r="I59" s="2"/>
      <c r="J59" s="19">
        <f t="shared" si="10"/>
        <v>0</v>
      </c>
      <c r="K59" s="2"/>
      <c r="L59" s="2">
        <f t="shared" si="11"/>
        <v>0</v>
      </c>
      <c r="M59" s="2"/>
      <c r="N59" s="19">
        <f t="shared" si="12"/>
        <v>0</v>
      </c>
      <c r="O59" s="11"/>
      <c r="P59" s="2">
        <v>14.46</v>
      </c>
      <c r="Q59" s="2"/>
      <c r="R59" s="19">
        <f t="shared" si="13"/>
        <v>1.7375261096041809E-5</v>
      </c>
      <c r="S59" s="2"/>
      <c r="T59" s="2"/>
      <c r="U59" s="2"/>
      <c r="V59" s="19">
        <f t="shared" si="14"/>
        <v>0</v>
      </c>
      <c r="W59" s="2"/>
      <c r="X59" s="2">
        <f t="shared" si="15"/>
        <v>14.46</v>
      </c>
      <c r="Y59" s="2"/>
      <c r="Z59" s="19">
        <f t="shared" si="16"/>
        <v>0</v>
      </c>
    </row>
    <row r="60" spans="1:26" s="24" customFormat="1" hidden="1" outlineLevel="1" x14ac:dyDescent="0.25">
      <c r="A60" s="44"/>
      <c r="B60" s="11" t="str">
        <f>CONCATENATE("          ", "5017", " - ", "PURCHASES @ COST-DORM/HOUSEWAR")</f>
        <v xml:space="preserve">          5017 - PURCHASES @ COST-DORM/HOUSEWAR</v>
      </c>
      <c r="C60" s="11"/>
      <c r="D60" s="2"/>
      <c r="E60" s="2"/>
      <c r="F60" s="19">
        <f t="shared" si="9"/>
        <v>0</v>
      </c>
      <c r="G60" s="2"/>
      <c r="H60" s="2"/>
      <c r="I60" s="2"/>
      <c r="J60" s="19">
        <f t="shared" si="10"/>
        <v>0</v>
      </c>
      <c r="K60" s="2"/>
      <c r="L60" s="2">
        <f t="shared" si="11"/>
        <v>0</v>
      </c>
      <c r="M60" s="2"/>
      <c r="N60" s="19">
        <f t="shared" si="12"/>
        <v>0</v>
      </c>
      <c r="O60" s="11"/>
      <c r="P60" s="2">
        <v>14.46</v>
      </c>
      <c r="Q60" s="2"/>
      <c r="R60" s="19">
        <f t="shared" si="13"/>
        <v>1.7375261096041809E-5</v>
      </c>
      <c r="S60" s="2"/>
      <c r="T60" s="2"/>
      <c r="U60" s="2"/>
      <c r="V60" s="19">
        <f t="shared" si="14"/>
        <v>0</v>
      </c>
      <c r="W60" s="2"/>
      <c r="X60" s="2">
        <f t="shared" si="15"/>
        <v>14.46</v>
      </c>
      <c r="Y60" s="2"/>
      <c r="Z60" s="19">
        <f t="shared" si="16"/>
        <v>0</v>
      </c>
    </row>
    <row r="61" spans="1:26" s="24" customFormat="1" hidden="1" outlineLevel="1" x14ac:dyDescent="0.25">
      <c r="A61" s="44"/>
      <c r="B61" s="11" t="str">
        <f>CONCATENATE("          ", "5025", " - ", "PURCHASES @ COST-TEST FORMS")</f>
        <v xml:space="preserve">          5025 - PURCHASES @ COST-TEST FORMS</v>
      </c>
      <c r="C61" s="11"/>
      <c r="D61" s="2"/>
      <c r="E61" s="2"/>
      <c r="F61" s="19">
        <f t="shared" si="9"/>
        <v>0</v>
      </c>
      <c r="G61" s="2"/>
      <c r="H61" s="2"/>
      <c r="I61" s="2"/>
      <c r="J61" s="19">
        <f t="shared" si="10"/>
        <v>0</v>
      </c>
      <c r="K61" s="2"/>
      <c r="L61" s="2">
        <f t="shared" si="11"/>
        <v>0</v>
      </c>
      <c r="M61" s="2"/>
      <c r="N61" s="19">
        <f t="shared" si="12"/>
        <v>0</v>
      </c>
      <c r="O61" s="11"/>
      <c r="P61" s="2">
        <v>26394.329999999998</v>
      </c>
      <c r="Q61" s="2"/>
      <c r="R61" s="19">
        <f t="shared" si="13"/>
        <v>3.1715655270061489E-2</v>
      </c>
      <c r="S61" s="2"/>
      <c r="T61" s="2"/>
      <c r="U61" s="2"/>
      <c r="V61" s="19">
        <f t="shared" si="14"/>
        <v>0</v>
      </c>
      <c r="W61" s="2"/>
      <c r="X61" s="2">
        <f t="shared" si="15"/>
        <v>26394.329999999998</v>
      </c>
      <c r="Y61" s="2"/>
      <c r="Z61" s="19">
        <f t="shared" si="16"/>
        <v>0</v>
      </c>
    </row>
    <row r="62" spans="1:26" s="24" customFormat="1" hidden="1" outlineLevel="1" x14ac:dyDescent="0.25">
      <c r="A62" s="44"/>
      <c r="B62" s="11" t="str">
        <f>CONCATENATE("          ", "5026", " - ", "PURCHASES @ COST-WRITING INSTR")</f>
        <v xml:space="preserve">          5026 - PURCHASES @ COST-WRITING INSTR</v>
      </c>
      <c r="C62" s="11"/>
      <c r="D62" s="2"/>
      <c r="E62" s="2"/>
      <c r="F62" s="19">
        <f t="shared" si="9"/>
        <v>0</v>
      </c>
      <c r="G62" s="2"/>
      <c r="H62" s="2"/>
      <c r="I62" s="2"/>
      <c r="J62" s="19">
        <f t="shared" si="10"/>
        <v>0</v>
      </c>
      <c r="K62" s="2"/>
      <c r="L62" s="2">
        <f t="shared" si="11"/>
        <v>0</v>
      </c>
      <c r="M62" s="2"/>
      <c r="N62" s="19">
        <f t="shared" si="12"/>
        <v>0</v>
      </c>
      <c r="O62" s="11"/>
      <c r="P62" s="2">
        <v>42992.76</v>
      </c>
      <c r="Q62" s="2"/>
      <c r="R62" s="19">
        <f t="shared" si="13"/>
        <v>5.1660472354043044E-2</v>
      </c>
      <c r="S62" s="2"/>
      <c r="T62" s="2"/>
      <c r="U62" s="2"/>
      <c r="V62" s="19">
        <f t="shared" si="14"/>
        <v>0</v>
      </c>
      <c r="W62" s="2"/>
      <c r="X62" s="2">
        <f t="shared" si="15"/>
        <v>42992.76</v>
      </c>
      <c r="Y62" s="2"/>
      <c r="Z62" s="19">
        <f t="shared" si="16"/>
        <v>0</v>
      </c>
    </row>
    <row r="63" spans="1:26" s="24" customFormat="1" hidden="1" outlineLevel="1" x14ac:dyDescent="0.25">
      <c r="A63" s="44"/>
      <c r="B63" s="11" t="str">
        <f>CONCATENATE("          ", "5027", " - ", "PURCHASES @ COST-SCHOOL SUPPLI")</f>
        <v xml:space="preserve">          5027 - PURCHASES @ COST-SCHOOL SUPPLI</v>
      </c>
      <c r="C63" s="11"/>
      <c r="D63" s="2">
        <v>11947.58</v>
      </c>
      <c r="E63" s="2"/>
      <c r="F63" s="19">
        <f t="shared" si="9"/>
        <v>1.1340285054748129</v>
      </c>
      <c r="G63" s="2"/>
      <c r="H63" s="2"/>
      <c r="I63" s="2"/>
      <c r="J63" s="19">
        <f t="shared" si="10"/>
        <v>0</v>
      </c>
      <c r="K63" s="2"/>
      <c r="L63" s="2">
        <f t="shared" si="11"/>
        <v>11947.58</v>
      </c>
      <c r="M63" s="2"/>
      <c r="N63" s="19">
        <f t="shared" si="12"/>
        <v>0</v>
      </c>
      <c r="O63" s="11"/>
      <c r="P63" s="2">
        <v>152856.47</v>
      </c>
      <c r="Q63" s="2"/>
      <c r="R63" s="19">
        <f t="shared" si="13"/>
        <v>0.18367365674061423</v>
      </c>
      <c r="S63" s="2"/>
      <c r="T63" s="2"/>
      <c r="U63" s="2"/>
      <c r="V63" s="19">
        <f t="shared" si="14"/>
        <v>0</v>
      </c>
      <c r="W63" s="2"/>
      <c r="X63" s="2">
        <f t="shared" si="15"/>
        <v>152856.47</v>
      </c>
      <c r="Y63" s="2"/>
      <c r="Z63" s="19">
        <f t="shared" si="16"/>
        <v>0</v>
      </c>
    </row>
    <row r="64" spans="1:26" s="24" customFormat="1" hidden="1" outlineLevel="1" x14ac:dyDescent="0.25">
      <c r="A64" s="44"/>
      <c r="B64" s="11" t="str">
        <f>CONCATENATE("          ", "5028", " - ", "PURCHASES @ COST-ART/TECH")</f>
        <v xml:space="preserve">          5028 - PURCHASES @ COST-ART/TECH</v>
      </c>
      <c r="C64" s="11"/>
      <c r="D64" s="2">
        <v>-1073.3800000000001</v>
      </c>
      <c r="E64" s="2"/>
      <c r="F64" s="19">
        <f t="shared" si="9"/>
        <v>-0.10188201436663784</v>
      </c>
      <c r="G64" s="2"/>
      <c r="H64" s="2"/>
      <c r="I64" s="2"/>
      <c r="J64" s="19">
        <f t="shared" si="10"/>
        <v>0</v>
      </c>
      <c r="K64" s="2"/>
      <c r="L64" s="2">
        <f t="shared" si="11"/>
        <v>-1073.3800000000001</v>
      </c>
      <c r="M64" s="2"/>
      <c r="N64" s="19">
        <f t="shared" si="12"/>
        <v>0</v>
      </c>
      <c r="O64" s="11"/>
      <c r="P64" s="2">
        <v>158554.31</v>
      </c>
      <c r="Q64" s="2"/>
      <c r="R64" s="19">
        <f t="shared" si="13"/>
        <v>0.19052023057764539</v>
      </c>
      <c r="S64" s="2"/>
      <c r="T64" s="2"/>
      <c r="U64" s="2"/>
      <c r="V64" s="19">
        <f t="shared" si="14"/>
        <v>0</v>
      </c>
      <c r="W64" s="2"/>
      <c r="X64" s="2">
        <f t="shared" si="15"/>
        <v>158554.31</v>
      </c>
      <c r="Y64" s="2"/>
      <c r="Z64" s="19">
        <f t="shared" si="16"/>
        <v>0</v>
      </c>
    </row>
    <row r="65" spans="1:26" s="24" customFormat="1" hidden="1" outlineLevel="1" x14ac:dyDescent="0.25">
      <c r="A65" s="44"/>
      <c r="B65" s="11" t="str">
        <f>CONCATENATE("          ", "5031", " - ", "PURCHASES @ COST-FOOD")</f>
        <v xml:space="preserve">          5031 - PURCHASES @ COST-FOOD</v>
      </c>
      <c r="C65" s="11"/>
      <c r="D65" s="2"/>
      <c r="E65" s="2"/>
      <c r="F65" s="19">
        <f t="shared" si="9"/>
        <v>0</v>
      </c>
      <c r="G65" s="2"/>
      <c r="H65" s="2"/>
      <c r="I65" s="2"/>
      <c r="J65" s="19">
        <f t="shared" si="10"/>
        <v>0</v>
      </c>
      <c r="K65" s="2"/>
      <c r="L65" s="2">
        <f t="shared" si="11"/>
        <v>0</v>
      </c>
      <c r="M65" s="2"/>
      <c r="N65" s="19">
        <f t="shared" si="12"/>
        <v>0</v>
      </c>
      <c r="O65" s="11"/>
      <c r="P65" s="2">
        <v>33239.879999999997</v>
      </c>
      <c r="Q65" s="2"/>
      <c r="R65" s="19">
        <f t="shared" si="13"/>
        <v>3.9941327372136799E-2</v>
      </c>
      <c r="S65" s="2"/>
      <c r="T65" s="2"/>
      <c r="U65" s="2"/>
      <c r="V65" s="19">
        <f t="shared" si="14"/>
        <v>0</v>
      </c>
      <c r="W65" s="2"/>
      <c r="X65" s="2">
        <f t="shared" si="15"/>
        <v>33239.879999999997</v>
      </c>
      <c r="Y65" s="2"/>
      <c r="Z65" s="19">
        <f t="shared" si="16"/>
        <v>0</v>
      </c>
    </row>
    <row r="66" spans="1:26" s="24" customFormat="1" hidden="1" outlineLevel="1" x14ac:dyDescent="0.25">
      <c r="A66" s="44"/>
      <c r="B66" s="11" t="str">
        <f>CONCATENATE("          ", "5032", " - ", "PURCHASES @ COST-JUICE")</f>
        <v xml:space="preserve">          5032 - PURCHASES @ COST-JUICE</v>
      </c>
      <c r="C66" s="11"/>
      <c r="D66" s="2"/>
      <c r="E66" s="2"/>
      <c r="F66" s="19">
        <f t="shared" si="9"/>
        <v>0</v>
      </c>
      <c r="G66" s="2"/>
      <c r="H66" s="2"/>
      <c r="I66" s="2"/>
      <c r="J66" s="19">
        <f t="shared" si="10"/>
        <v>0</v>
      </c>
      <c r="K66" s="2"/>
      <c r="L66" s="2">
        <f t="shared" si="11"/>
        <v>0</v>
      </c>
      <c r="M66" s="2"/>
      <c r="N66" s="19">
        <f t="shared" si="12"/>
        <v>0</v>
      </c>
      <c r="O66" s="11"/>
      <c r="P66" s="2">
        <v>7802.45</v>
      </c>
      <c r="Q66" s="2"/>
      <c r="R66" s="19">
        <f t="shared" si="13"/>
        <v>9.3754914203880626E-3</v>
      </c>
      <c r="S66" s="2"/>
      <c r="T66" s="2"/>
      <c r="U66" s="2"/>
      <c r="V66" s="19">
        <f t="shared" si="14"/>
        <v>0</v>
      </c>
      <c r="W66" s="2"/>
      <c r="X66" s="2">
        <f t="shared" si="15"/>
        <v>7802.45</v>
      </c>
      <c r="Y66" s="2"/>
      <c r="Z66" s="19">
        <f t="shared" si="16"/>
        <v>0</v>
      </c>
    </row>
    <row r="67" spans="1:26" s="24" customFormat="1" hidden="1" outlineLevel="1" x14ac:dyDescent="0.25">
      <c r="A67" s="44"/>
      <c r="B67" s="11" t="str">
        <f>CONCATENATE("          ", "5033", " - ", "PURCHASES @ COST-CANDY")</f>
        <v xml:space="preserve">          5033 - PURCHASES @ COST-CANDY</v>
      </c>
      <c r="C67" s="11"/>
      <c r="D67" s="2"/>
      <c r="E67" s="2"/>
      <c r="F67" s="19">
        <f t="shared" si="9"/>
        <v>0</v>
      </c>
      <c r="G67" s="2"/>
      <c r="H67" s="2"/>
      <c r="I67" s="2"/>
      <c r="J67" s="19">
        <f t="shared" si="10"/>
        <v>0</v>
      </c>
      <c r="K67" s="2"/>
      <c r="L67" s="2">
        <f t="shared" si="11"/>
        <v>0</v>
      </c>
      <c r="M67" s="2"/>
      <c r="N67" s="19">
        <f t="shared" si="12"/>
        <v>0</v>
      </c>
      <c r="O67" s="11"/>
      <c r="P67" s="2">
        <v>9998.41</v>
      </c>
      <c r="Q67" s="2"/>
      <c r="R67" s="19">
        <f t="shared" si="13"/>
        <v>1.2014175954030109E-2</v>
      </c>
      <c r="S67" s="2"/>
      <c r="T67" s="2"/>
      <c r="U67" s="2"/>
      <c r="V67" s="19">
        <f t="shared" si="14"/>
        <v>0</v>
      </c>
      <c r="W67" s="2"/>
      <c r="X67" s="2">
        <f t="shared" si="15"/>
        <v>9998.41</v>
      </c>
      <c r="Y67" s="2"/>
      <c r="Z67" s="19">
        <f t="shared" si="16"/>
        <v>0</v>
      </c>
    </row>
    <row r="68" spans="1:26" s="24" customFormat="1" hidden="1" outlineLevel="1" x14ac:dyDescent="0.25">
      <c r="A68" s="44"/>
      <c r="B68" s="11" t="str">
        <f>CONCATENATE("          ", "5034", " - ", "PURCHASES @ COST-SODA")</f>
        <v xml:space="preserve">          5034 - PURCHASES @ COST-SODA</v>
      </c>
      <c r="C68" s="11"/>
      <c r="D68" s="2"/>
      <c r="E68" s="2"/>
      <c r="F68" s="19">
        <f t="shared" si="9"/>
        <v>0</v>
      </c>
      <c r="G68" s="2"/>
      <c r="H68" s="2"/>
      <c r="I68" s="2"/>
      <c r="J68" s="19">
        <f t="shared" si="10"/>
        <v>0</v>
      </c>
      <c r="K68" s="2"/>
      <c r="L68" s="2">
        <f t="shared" si="11"/>
        <v>0</v>
      </c>
      <c r="M68" s="2"/>
      <c r="N68" s="19">
        <f t="shared" si="12"/>
        <v>0</v>
      </c>
      <c r="O68" s="11"/>
      <c r="P68" s="2">
        <v>4033.88</v>
      </c>
      <c r="Q68" s="2"/>
      <c r="R68" s="19">
        <f t="shared" si="13"/>
        <v>4.8471451058161221E-3</v>
      </c>
      <c r="S68" s="2"/>
      <c r="T68" s="2"/>
      <c r="U68" s="2"/>
      <c r="V68" s="19">
        <f t="shared" si="14"/>
        <v>0</v>
      </c>
      <c r="W68" s="2"/>
      <c r="X68" s="2">
        <f t="shared" si="15"/>
        <v>4033.88</v>
      </c>
      <c r="Y68" s="2"/>
      <c r="Z68" s="19">
        <f t="shared" si="16"/>
        <v>0</v>
      </c>
    </row>
    <row r="69" spans="1:26" s="24" customFormat="1" hidden="1" outlineLevel="1" x14ac:dyDescent="0.25">
      <c r="A69" s="44"/>
      <c r="B69" s="11" t="str">
        <f>CONCATENATE("          ", "5035", " - ", "PURCHASES @ COST-HEALTH &amp; BEAU")</f>
        <v xml:space="preserve">          5035 - PURCHASES @ COST-HEALTH &amp; BEAU</v>
      </c>
      <c r="C69" s="11"/>
      <c r="D69" s="2"/>
      <c r="E69" s="2"/>
      <c r="F69" s="19">
        <f t="shared" si="9"/>
        <v>0</v>
      </c>
      <c r="G69" s="2"/>
      <c r="H69" s="2"/>
      <c r="I69" s="2"/>
      <c r="J69" s="19">
        <f t="shared" si="10"/>
        <v>0</v>
      </c>
      <c r="K69" s="2"/>
      <c r="L69" s="2">
        <f t="shared" si="11"/>
        <v>0</v>
      </c>
      <c r="M69" s="2"/>
      <c r="N69" s="19">
        <f t="shared" si="12"/>
        <v>0</v>
      </c>
      <c r="O69" s="11"/>
      <c r="P69" s="2">
        <v>1117.6500000000001</v>
      </c>
      <c r="Q69" s="2"/>
      <c r="R69" s="19">
        <f t="shared" si="13"/>
        <v>1.3429779089897044E-3</v>
      </c>
      <c r="S69" s="2"/>
      <c r="T69" s="2"/>
      <c r="U69" s="2"/>
      <c r="V69" s="19">
        <f t="shared" si="14"/>
        <v>0</v>
      </c>
      <c r="W69" s="2"/>
      <c r="X69" s="2">
        <f t="shared" si="15"/>
        <v>1117.6500000000001</v>
      </c>
      <c r="Y69" s="2"/>
      <c r="Z69" s="19">
        <f t="shared" si="16"/>
        <v>0</v>
      </c>
    </row>
    <row r="70" spans="1:26" s="24" customFormat="1" hidden="1" outlineLevel="1" x14ac:dyDescent="0.25">
      <c r="A70" s="44"/>
      <c r="B70" s="11" t="str">
        <f>CONCATENATE("          ", "5037", " - ", "PURCHASES @ COST-WATER")</f>
        <v xml:space="preserve">          5037 - PURCHASES @ COST-WATER</v>
      </c>
      <c r="C70" s="11"/>
      <c r="D70" s="2"/>
      <c r="E70" s="2"/>
      <c r="F70" s="19">
        <f t="shared" si="9"/>
        <v>0</v>
      </c>
      <c r="G70" s="2"/>
      <c r="H70" s="2"/>
      <c r="I70" s="2"/>
      <c r="J70" s="19">
        <f t="shared" si="10"/>
        <v>0</v>
      </c>
      <c r="K70" s="2"/>
      <c r="L70" s="2">
        <f t="shared" si="11"/>
        <v>0</v>
      </c>
      <c r="M70" s="2"/>
      <c r="N70" s="19">
        <f t="shared" si="12"/>
        <v>0</v>
      </c>
      <c r="O70" s="11"/>
      <c r="P70" s="2">
        <v>5663.81</v>
      </c>
      <c r="Q70" s="2"/>
      <c r="R70" s="19">
        <f t="shared" si="13"/>
        <v>6.8056830946315733E-3</v>
      </c>
      <c r="S70" s="2"/>
      <c r="T70" s="2"/>
      <c r="U70" s="2"/>
      <c r="V70" s="19">
        <f t="shared" si="14"/>
        <v>0</v>
      </c>
      <c r="W70" s="2"/>
      <c r="X70" s="2">
        <f t="shared" si="15"/>
        <v>5663.81</v>
      </c>
      <c r="Y70" s="2"/>
      <c r="Z70" s="19">
        <f t="shared" si="16"/>
        <v>0</v>
      </c>
    </row>
    <row r="71" spans="1:26" s="24" customFormat="1" hidden="1" outlineLevel="1" x14ac:dyDescent="0.25">
      <c r="A71" s="44"/>
      <c r="B71" s="11" t="str">
        <f>CONCATENATE("          ", "5081", " - ", "PURCHASES @ COST-ELECTRONICS")</f>
        <v xml:space="preserve">          5081 - PURCHASES @ COST-ELECTRONICS</v>
      </c>
      <c r="C71" s="11"/>
      <c r="D71" s="2"/>
      <c r="E71" s="2"/>
      <c r="F71" s="19">
        <f t="shared" si="9"/>
        <v>0</v>
      </c>
      <c r="G71" s="2"/>
      <c r="H71" s="2"/>
      <c r="I71" s="2"/>
      <c r="J71" s="19">
        <f t="shared" si="10"/>
        <v>0</v>
      </c>
      <c r="K71" s="2"/>
      <c r="L71" s="2">
        <f t="shared" si="11"/>
        <v>0</v>
      </c>
      <c r="M71" s="2"/>
      <c r="N71" s="19">
        <f t="shared" si="12"/>
        <v>0</v>
      </c>
      <c r="O71" s="11"/>
      <c r="P71" s="2">
        <v>2008.03</v>
      </c>
      <c r="Q71" s="2"/>
      <c r="R71" s="19">
        <f t="shared" si="13"/>
        <v>2.4128662198260602E-3</v>
      </c>
      <c r="S71" s="2"/>
      <c r="T71" s="2"/>
      <c r="U71" s="2"/>
      <c r="V71" s="19">
        <f t="shared" si="14"/>
        <v>0</v>
      </c>
      <c r="W71" s="2"/>
      <c r="X71" s="2">
        <f t="shared" si="15"/>
        <v>2008.03</v>
      </c>
      <c r="Y71" s="2"/>
      <c r="Z71" s="19">
        <f t="shared" si="16"/>
        <v>0</v>
      </c>
    </row>
    <row r="72" spans="1:26" s="24" customFormat="1" hidden="1" outlineLevel="1" x14ac:dyDescent="0.25">
      <c r="A72" s="44"/>
      <c r="B72" s="11" t="str">
        <f>CONCATENATE("          ", "5082", " - ", "PURCHASES @ COST-COMPUTER HARD")</f>
        <v xml:space="preserve">          5082 - PURCHASES @ COST-COMPUTER HARD</v>
      </c>
      <c r="C72" s="11"/>
      <c r="D72" s="2"/>
      <c r="E72" s="2"/>
      <c r="F72" s="19">
        <f t="shared" si="9"/>
        <v>0</v>
      </c>
      <c r="G72" s="2"/>
      <c r="H72" s="2"/>
      <c r="I72" s="2"/>
      <c r="J72" s="19">
        <f t="shared" si="10"/>
        <v>0</v>
      </c>
      <c r="K72" s="2"/>
      <c r="L72" s="2">
        <f t="shared" si="11"/>
        <v>0</v>
      </c>
      <c r="M72" s="2"/>
      <c r="N72" s="19">
        <f t="shared" si="12"/>
        <v>0</v>
      </c>
      <c r="O72" s="11"/>
      <c r="P72" s="2">
        <v>349.6</v>
      </c>
      <c r="Q72" s="2"/>
      <c r="R72" s="19">
        <f t="shared" si="13"/>
        <v>4.2008238445202046E-4</v>
      </c>
      <c r="S72" s="2"/>
      <c r="T72" s="2"/>
      <c r="U72" s="2"/>
      <c r="V72" s="19">
        <f t="shared" si="14"/>
        <v>0</v>
      </c>
      <c r="W72" s="2"/>
      <c r="X72" s="2">
        <f t="shared" si="15"/>
        <v>349.6</v>
      </c>
      <c r="Y72" s="2"/>
      <c r="Z72" s="19">
        <f t="shared" si="16"/>
        <v>0</v>
      </c>
    </row>
    <row r="73" spans="1:26" s="24" customFormat="1" hidden="1" outlineLevel="1" x14ac:dyDescent="0.25">
      <c r="A73" s="44"/>
      <c r="B73" s="11" t="str">
        <f>CONCATENATE("          ", "5083", " - ", "PURCHASES @ COST-COMPUTER EQUI")</f>
        <v xml:space="preserve">          5083 - PURCHASES @ COST-COMPUTER EQUI</v>
      </c>
      <c r="C73" s="11"/>
      <c r="D73" s="2"/>
      <c r="E73" s="2"/>
      <c r="F73" s="19">
        <f t="shared" si="9"/>
        <v>0</v>
      </c>
      <c r="G73" s="2"/>
      <c r="H73" s="2"/>
      <c r="I73" s="2"/>
      <c r="J73" s="19">
        <f t="shared" si="10"/>
        <v>0</v>
      </c>
      <c r="K73" s="2"/>
      <c r="L73" s="2">
        <f t="shared" si="11"/>
        <v>0</v>
      </c>
      <c r="M73" s="2"/>
      <c r="N73" s="19">
        <f t="shared" si="12"/>
        <v>0</v>
      </c>
      <c r="O73" s="11"/>
      <c r="P73" s="2">
        <v>304.70999999999998</v>
      </c>
      <c r="Q73" s="2"/>
      <c r="R73" s="19">
        <f t="shared" si="13"/>
        <v>3.6614217210061541E-4</v>
      </c>
      <c r="S73" s="2"/>
      <c r="T73" s="2"/>
      <c r="U73" s="2"/>
      <c r="V73" s="19">
        <f t="shared" si="14"/>
        <v>0</v>
      </c>
      <c r="W73" s="2"/>
      <c r="X73" s="2">
        <f t="shared" si="15"/>
        <v>304.70999999999998</v>
      </c>
      <c r="Y73" s="2"/>
      <c r="Z73" s="19">
        <f t="shared" si="16"/>
        <v>0</v>
      </c>
    </row>
    <row r="74" spans="1:26" s="24" customFormat="1" hidden="1" outlineLevel="1" x14ac:dyDescent="0.25">
      <c r="A74" s="44"/>
      <c r="B74" s="11" t="str">
        <f>CONCATENATE("          ", "5086", " - ", "PURCHASES @ COST-COMPUTER SUPP")</f>
        <v xml:space="preserve">          5086 - PURCHASES @ COST-COMPUTER SUPP</v>
      </c>
      <c r="C74" s="11"/>
      <c r="D74" s="2"/>
      <c r="E74" s="2"/>
      <c r="F74" s="19">
        <f t="shared" si="9"/>
        <v>0</v>
      </c>
      <c r="G74" s="2"/>
      <c r="H74" s="2"/>
      <c r="I74" s="2"/>
      <c r="J74" s="19">
        <f t="shared" si="10"/>
        <v>0</v>
      </c>
      <c r="K74" s="2"/>
      <c r="L74" s="2">
        <f t="shared" si="11"/>
        <v>0</v>
      </c>
      <c r="M74" s="2"/>
      <c r="N74" s="19">
        <f t="shared" si="12"/>
        <v>0</v>
      </c>
      <c r="O74" s="11"/>
      <c r="P74" s="2">
        <v>426.22</v>
      </c>
      <c r="Q74" s="2"/>
      <c r="R74" s="19">
        <f t="shared" si="13"/>
        <v>5.1214963930532086E-4</v>
      </c>
      <c r="S74" s="2"/>
      <c r="T74" s="2"/>
      <c r="U74" s="2"/>
      <c r="V74" s="19">
        <f t="shared" si="14"/>
        <v>0</v>
      </c>
      <c r="W74" s="2"/>
      <c r="X74" s="2">
        <f t="shared" si="15"/>
        <v>426.22</v>
      </c>
      <c r="Y74" s="2"/>
      <c r="Z74" s="19">
        <f t="shared" si="16"/>
        <v>0</v>
      </c>
    </row>
    <row r="75" spans="1:26" s="24" customFormat="1" hidden="1" outlineLevel="1" x14ac:dyDescent="0.25">
      <c r="A75" s="44"/>
      <c r="B75" s="11" t="str">
        <f>CONCATENATE("          ", "5200", " - ", "PURCHASES OFFSET")</f>
        <v xml:space="preserve">          5200 - PURCHASES OFFSET</v>
      </c>
      <c r="C75" s="11"/>
      <c r="D75" s="2">
        <v>-10888</v>
      </c>
      <c r="E75" s="2"/>
      <c r="F75" s="19">
        <f t="shared" si="9"/>
        <v>-1.0334563457712578</v>
      </c>
      <c r="G75" s="2"/>
      <c r="H75" s="2"/>
      <c r="I75" s="2"/>
      <c r="J75" s="19">
        <f t="shared" si="10"/>
        <v>0</v>
      </c>
      <c r="K75" s="2"/>
      <c r="L75" s="2">
        <f t="shared" si="11"/>
        <v>-10888</v>
      </c>
      <c r="M75" s="2"/>
      <c r="N75" s="19">
        <f t="shared" si="12"/>
        <v>0</v>
      </c>
      <c r="O75" s="11"/>
      <c r="P75" s="2">
        <v>-452309</v>
      </c>
      <c r="Q75" s="2"/>
      <c r="R75" s="19">
        <f t="shared" si="13"/>
        <v>-0.54349840740591793</v>
      </c>
      <c r="S75" s="2"/>
      <c r="T75" s="2"/>
      <c r="U75" s="2"/>
      <c r="V75" s="19">
        <f t="shared" si="14"/>
        <v>0</v>
      </c>
      <c r="W75" s="2"/>
      <c r="X75" s="2">
        <f t="shared" si="15"/>
        <v>-452309</v>
      </c>
      <c r="Y75" s="2"/>
      <c r="Z75" s="19">
        <f t="shared" si="16"/>
        <v>0</v>
      </c>
    </row>
    <row r="76" spans="1:26" s="24" customFormat="1" hidden="1" outlineLevel="1" x14ac:dyDescent="0.25">
      <c r="A76" s="44"/>
      <c r="B76" s="11" t="str">
        <f>CONCATENATE("          ", "5300", " - ", "COG$ OFFSET")</f>
        <v xml:space="preserve">          5300 - COG$ OFFSET</v>
      </c>
      <c r="C76" s="11"/>
      <c r="D76" s="2">
        <v>43345</v>
      </c>
      <c r="E76" s="2"/>
      <c r="F76" s="19">
        <f t="shared" si="9"/>
        <v>4.1141775631387922</v>
      </c>
      <c r="G76" s="2"/>
      <c r="H76" s="2"/>
      <c r="I76" s="2"/>
      <c r="J76" s="19">
        <f t="shared" si="10"/>
        <v>0</v>
      </c>
      <c r="K76" s="2"/>
      <c r="L76" s="2">
        <f t="shared" si="11"/>
        <v>43345</v>
      </c>
      <c r="M76" s="2"/>
      <c r="N76" s="19">
        <f t="shared" si="12"/>
        <v>0</v>
      </c>
      <c r="O76" s="11"/>
      <c r="P76" s="2">
        <v>457380</v>
      </c>
      <c r="Q76" s="2"/>
      <c r="R76" s="19">
        <f t="shared" si="13"/>
        <v>0.54959176487604433</v>
      </c>
      <c r="S76" s="2"/>
      <c r="T76" s="2"/>
      <c r="U76" s="2"/>
      <c r="V76" s="19">
        <f t="shared" si="14"/>
        <v>0</v>
      </c>
      <c r="W76" s="2"/>
      <c r="X76" s="2">
        <f t="shared" si="15"/>
        <v>457380</v>
      </c>
      <c r="Y76" s="2"/>
      <c r="Z76" s="19">
        <f t="shared" si="16"/>
        <v>0</v>
      </c>
    </row>
    <row r="77" spans="1:26" s="24" customFormat="1" hidden="1" outlineLevel="1" x14ac:dyDescent="0.25">
      <c r="A77" s="44"/>
      <c r="B77" s="11" t="str">
        <f>CONCATENATE("          ", "5500", " - ", "FREIGHT-IN")</f>
        <v xml:space="preserve">          5500 - FREIGHT-IN</v>
      </c>
      <c r="C77" s="11"/>
      <c r="D77" s="2">
        <v>16</v>
      </c>
      <c r="E77" s="2"/>
      <c r="F77" s="19">
        <f t="shared" si="9"/>
        <v>1.5186720731392473E-3</v>
      </c>
      <c r="G77" s="2"/>
      <c r="H77" s="2"/>
      <c r="I77" s="2"/>
      <c r="J77" s="19">
        <f t="shared" si="10"/>
        <v>0</v>
      </c>
      <c r="K77" s="2"/>
      <c r="L77" s="2">
        <f t="shared" si="11"/>
        <v>16</v>
      </c>
      <c r="M77" s="2"/>
      <c r="N77" s="19">
        <f t="shared" si="12"/>
        <v>0</v>
      </c>
      <c r="O77" s="11"/>
      <c r="P77" s="2">
        <v>102</v>
      </c>
      <c r="Q77" s="2"/>
      <c r="R77" s="19">
        <f t="shared" si="13"/>
        <v>1.2256408242021191E-4</v>
      </c>
      <c r="S77" s="2"/>
      <c r="T77" s="2"/>
      <c r="U77" s="2"/>
      <c r="V77" s="19">
        <f t="shared" si="14"/>
        <v>0</v>
      </c>
      <c r="W77" s="2"/>
      <c r="X77" s="2">
        <f t="shared" si="15"/>
        <v>102</v>
      </c>
      <c r="Y77" s="2"/>
      <c r="Z77" s="19">
        <f t="shared" si="16"/>
        <v>0</v>
      </c>
    </row>
    <row r="78" spans="1:26" s="24" customFormat="1" hidden="1" outlineLevel="1" x14ac:dyDescent="0.25">
      <c r="A78" s="44"/>
      <c r="B78" s="11" t="str">
        <f>CONCATENATE("          ", "5525", " - ", "FREIGHT-IN-TEST FORMS")</f>
        <v xml:space="preserve">          5525 - FREIGHT-IN-TEST FORMS</v>
      </c>
      <c r="C78" s="11"/>
      <c r="D78" s="2"/>
      <c r="E78" s="2"/>
      <c r="F78" s="19">
        <f t="shared" si="9"/>
        <v>0</v>
      </c>
      <c r="G78" s="2"/>
      <c r="H78" s="2"/>
      <c r="I78" s="2"/>
      <c r="J78" s="19">
        <f t="shared" si="10"/>
        <v>0</v>
      </c>
      <c r="K78" s="2"/>
      <c r="L78" s="2">
        <f t="shared" si="11"/>
        <v>0</v>
      </c>
      <c r="M78" s="2"/>
      <c r="N78" s="19">
        <f t="shared" si="12"/>
        <v>0</v>
      </c>
      <c r="O78" s="11"/>
      <c r="P78" s="2">
        <v>1614.32</v>
      </c>
      <c r="Q78" s="2"/>
      <c r="R78" s="19">
        <f t="shared" si="13"/>
        <v>1.9397808777705538E-3</v>
      </c>
      <c r="S78" s="2"/>
      <c r="T78" s="2"/>
      <c r="U78" s="2"/>
      <c r="V78" s="19">
        <f t="shared" si="14"/>
        <v>0</v>
      </c>
      <c r="W78" s="2"/>
      <c r="X78" s="2">
        <f t="shared" si="15"/>
        <v>1614.32</v>
      </c>
      <c r="Y78" s="2"/>
      <c r="Z78" s="19">
        <f t="shared" si="16"/>
        <v>0</v>
      </c>
    </row>
    <row r="79" spans="1:26" s="24" customFormat="1" hidden="1" outlineLevel="1" x14ac:dyDescent="0.25">
      <c r="A79" s="44"/>
      <c r="B79" s="11" t="str">
        <f>CONCATENATE("          ", "5526", " - ", "FREIGHT-IN-WRITING INSTRUMENTS")</f>
        <v xml:space="preserve">          5526 - FREIGHT-IN-WRITING INSTRUMENTS</v>
      </c>
      <c r="C79" s="11"/>
      <c r="D79" s="2"/>
      <c r="E79" s="2"/>
      <c r="F79" s="19">
        <f t="shared" si="9"/>
        <v>0</v>
      </c>
      <c r="G79" s="2"/>
      <c r="H79" s="2"/>
      <c r="I79" s="2"/>
      <c r="J79" s="19">
        <f t="shared" si="10"/>
        <v>0</v>
      </c>
      <c r="K79" s="2"/>
      <c r="L79" s="2">
        <f t="shared" si="11"/>
        <v>0</v>
      </c>
      <c r="M79" s="2"/>
      <c r="N79" s="19">
        <f t="shared" si="12"/>
        <v>0</v>
      </c>
      <c r="O79" s="11"/>
      <c r="P79" s="2">
        <v>274.5</v>
      </c>
      <c r="Q79" s="2"/>
      <c r="R79" s="19">
        <f t="shared" si="13"/>
        <v>3.2984157474851147E-4</v>
      </c>
      <c r="S79" s="2"/>
      <c r="T79" s="2"/>
      <c r="U79" s="2"/>
      <c r="V79" s="19">
        <f t="shared" si="14"/>
        <v>0</v>
      </c>
      <c r="W79" s="2"/>
      <c r="X79" s="2">
        <f t="shared" si="15"/>
        <v>274.5</v>
      </c>
      <c r="Y79" s="2"/>
      <c r="Z79" s="19">
        <f t="shared" si="16"/>
        <v>0</v>
      </c>
    </row>
    <row r="80" spans="1:26" s="24" customFormat="1" hidden="1" outlineLevel="1" x14ac:dyDescent="0.25">
      <c r="A80" s="44"/>
      <c r="B80" s="11" t="str">
        <f>CONCATENATE("          ", "5527", " - ", "FREIGHT-IN-SCHOOL SUPPLIES")</f>
        <v xml:space="preserve">          5527 - FREIGHT-IN-SCHOOL SUPPLIES</v>
      </c>
      <c r="C80" s="11"/>
      <c r="D80" s="2"/>
      <c r="E80" s="2"/>
      <c r="F80" s="19">
        <f t="shared" si="9"/>
        <v>0</v>
      </c>
      <c r="G80" s="2"/>
      <c r="H80" s="2"/>
      <c r="I80" s="2"/>
      <c r="J80" s="19">
        <f t="shared" si="10"/>
        <v>0</v>
      </c>
      <c r="K80" s="2"/>
      <c r="L80" s="2">
        <f t="shared" si="11"/>
        <v>0</v>
      </c>
      <c r="M80" s="2"/>
      <c r="N80" s="19">
        <f t="shared" si="12"/>
        <v>0</v>
      </c>
      <c r="O80" s="11"/>
      <c r="P80" s="2">
        <v>1808</v>
      </c>
      <c r="Q80" s="2"/>
      <c r="R80" s="19">
        <f t="shared" si="13"/>
        <v>2.1725084413308153E-3</v>
      </c>
      <c r="S80" s="2"/>
      <c r="T80" s="2"/>
      <c r="U80" s="2"/>
      <c r="V80" s="19">
        <f t="shared" si="14"/>
        <v>0</v>
      </c>
      <c r="W80" s="2"/>
      <c r="X80" s="2">
        <f t="shared" si="15"/>
        <v>1808</v>
      </c>
      <c r="Y80" s="2"/>
      <c r="Z80" s="19">
        <f t="shared" si="16"/>
        <v>0</v>
      </c>
    </row>
    <row r="81" spans="1:26" s="24" customFormat="1" hidden="1" outlineLevel="1" x14ac:dyDescent="0.25">
      <c r="A81" s="44"/>
      <c r="B81" s="11" t="str">
        <f>CONCATENATE("          ", "5528", " - ", "FREIGHT-IN-ART/TECH")</f>
        <v xml:space="preserve">          5528 - FREIGHT-IN-ART/TECH</v>
      </c>
      <c r="C81" s="11"/>
      <c r="D81" s="2">
        <v>13.33</v>
      </c>
      <c r="E81" s="2"/>
      <c r="F81" s="19">
        <f t="shared" si="9"/>
        <v>1.2652436709341354E-3</v>
      </c>
      <c r="G81" s="2"/>
      <c r="H81" s="2"/>
      <c r="I81" s="2"/>
      <c r="J81" s="19">
        <f t="shared" si="10"/>
        <v>0</v>
      </c>
      <c r="K81" s="2"/>
      <c r="L81" s="2">
        <f t="shared" si="11"/>
        <v>13.33</v>
      </c>
      <c r="M81" s="2"/>
      <c r="N81" s="19">
        <f t="shared" si="12"/>
        <v>0</v>
      </c>
      <c r="O81" s="11"/>
      <c r="P81" s="2">
        <v>2837.7</v>
      </c>
      <c r="Q81" s="2"/>
      <c r="R81" s="19">
        <f t="shared" si="13"/>
        <v>3.409804869449366E-3</v>
      </c>
      <c r="S81" s="2"/>
      <c r="T81" s="2"/>
      <c r="U81" s="2"/>
      <c r="V81" s="19">
        <f t="shared" si="14"/>
        <v>0</v>
      </c>
      <c r="W81" s="2"/>
      <c r="X81" s="2">
        <f t="shared" si="15"/>
        <v>2837.7</v>
      </c>
      <c r="Y81" s="2"/>
      <c r="Z81" s="19">
        <f t="shared" si="16"/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6</v>
      </c>
      <c r="C83" s="29"/>
      <c r="D83" s="22">
        <f>D12-D57</f>
        <v>-32825.01</v>
      </c>
      <c r="E83" s="14"/>
      <c r="F83" s="20">
        <f>IF(D$12=0,0,D83/D$12)</f>
        <v>-3.1156516242197827</v>
      </c>
      <c r="G83" s="14"/>
      <c r="H83" s="22">
        <f>H12-H57</f>
        <v>6910</v>
      </c>
      <c r="I83" s="14"/>
      <c r="J83" s="20">
        <f>IF(H$12=0,0,H83/H$12)</f>
        <v>0.49755184331797236</v>
      </c>
      <c r="K83" s="15"/>
      <c r="L83" s="22">
        <f>+D83-H83</f>
        <v>-39735.01</v>
      </c>
      <c r="M83" s="15"/>
      <c r="N83" s="20">
        <f>IF(H83=0,0,L83/H83)</f>
        <v>-5.7503632416787269</v>
      </c>
      <c r="O83" s="28"/>
      <c r="P83" s="22">
        <f>P12-P57</f>
        <v>374738.75999999983</v>
      </c>
      <c r="Q83" s="14"/>
      <c r="R83" s="20">
        <f>IF(P$12=0,0,P83/P$12)</f>
        <v>0.45028933594792148</v>
      </c>
      <c r="S83" s="14"/>
      <c r="T83" s="22">
        <f>T12-T57</f>
        <v>554264</v>
      </c>
      <c r="U83" s="14"/>
      <c r="V83" s="20">
        <f>IF(T$12=0,0,T83/T$12)</f>
        <v>0.5245240129876152</v>
      </c>
      <c r="W83" s="15"/>
      <c r="X83" s="22">
        <f>+P83-T83</f>
        <v>-179525.24000000017</v>
      </c>
      <c r="Y83" s="15"/>
      <c r="Z83" s="20">
        <f>IF(T83=0,0,X83/T83)</f>
        <v>-0.32389843107255778</v>
      </c>
    </row>
    <row r="84" spans="1:26" x14ac:dyDescent="0.25">
      <c r="A84" s="9"/>
      <c r="B84" s="10"/>
      <c r="C84" s="9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9</v>
      </c>
      <c r="C85" s="10"/>
      <c r="D85" s="21">
        <f>SUM(OSRRefD22x_0)</f>
        <v>51890.22</v>
      </c>
      <c r="E85" s="21"/>
      <c r="F85" s="32">
        <f t="shared" ref="F85:F96" si="17">IF(D$12=0,0,D85/D$12)</f>
        <v>4.925264248940727</v>
      </c>
      <c r="G85" s="21"/>
      <c r="H85" s="21">
        <f>SUM(OSRRefH22x_0)</f>
        <v>32714.869540504609</v>
      </c>
      <c r="I85" s="21"/>
      <c r="J85" s="32">
        <f t="shared" ref="J85:J96" si="18">IF(H$12=0,0,H85/H$12)</f>
        <v>2.3556213666837995</v>
      </c>
      <c r="K85" s="4"/>
      <c r="L85" s="21">
        <f t="shared" ref="L85:L96" si="19">+D85-H85</f>
        <v>19175.350459495392</v>
      </c>
      <c r="M85" s="4"/>
      <c r="N85" s="32">
        <f t="shared" ref="N85:N96" si="20">IF(H85=0,0,L85/H85)</f>
        <v>0.58613562361158733</v>
      </c>
      <c r="O85" s="10"/>
      <c r="P85" s="21">
        <f>SUM(OSRRefP22x_0)</f>
        <v>268674.05</v>
      </c>
      <c r="Q85" s="21"/>
      <c r="R85" s="32">
        <f t="shared" ref="R85:R96" si="21">IF(P$12=0,0,P85/P$12)</f>
        <v>0.32284106282717778</v>
      </c>
      <c r="S85" s="21"/>
      <c r="T85" s="21">
        <f>SUM(OSRRefT22x_0)</f>
        <v>277063.55740482197</v>
      </c>
      <c r="U85" s="21"/>
      <c r="V85" s="32">
        <f t="shared" ref="V85:V96" si="22">IF(T$12=0,0,T85/T$12)</f>
        <v>0.26219723630364178</v>
      </c>
      <c r="W85" s="4"/>
      <c r="X85" s="21">
        <f t="shared" ref="X85:X96" si="23">+P85-T85</f>
        <v>-8389.5074048219831</v>
      </c>
      <c r="Y85" s="4"/>
      <c r="Z85" s="32">
        <f t="shared" ref="Z85:Z96" si="24">IF(T85=0,0,X85/T85)</f>
        <v>-3.0280082604165585E-2</v>
      </c>
    </row>
    <row r="86" spans="1:26" s="26" customFormat="1" outlineLevel="1" collapsed="1" x14ac:dyDescent="0.25">
      <c r="A86" s="25"/>
      <c r="B86" s="12" t="str">
        <f>CONCATENATE("     ","*Benefits                                         ")</f>
        <v xml:space="preserve">     *Benefits                                         </v>
      </c>
      <c r="C86" s="12"/>
      <c r="D86" s="1">
        <f>SUM(OSRRefD22_0x_0)</f>
        <v>2426.7400000000002</v>
      </c>
      <c r="E86" s="1"/>
      <c r="F86" s="5">
        <f t="shared" si="17"/>
        <v>0.23033889167312108</v>
      </c>
      <c r="G86" s="1"/>
      <c r="H86" s="1">
        <f>SUM(OSRRefH22_0x_0)</f>
        <v>3065.6422246584607</v>
      </c>
      <c r="I86" s="1"/>
      <c r="J86" s="5">
        <f t="shared" si="18"/>
        <v>0.22074036755893295</v>
      </c>
      <c r="K86" s="1"/>
      <c r="L86" s="1">
        <f t="shared" si="19"/>
        <v>-638.90222465846045</v>
      </c>
      <c r="M86" s="1"/>
      <c r="N86" s="5">
        <f t="shared" si="20"/>
        <v>-0.20840730190870194</v>
      </c>
      <c r="O86" s="12"/>
      <c r="P86" s="1">
        <f>SUM(OSRRefP22_0x_0)</f>
        <v>36014.420000000006</v>
      </c>
      <c r="Q86" s="1"/>
      <c r="R86" s="5">
        <f t="shared" si="21"/>
        <v>4.3275238639177739E-2</v>
      </c>
      <c r="S86" s="1"/>
      <c r="T86" s="1">
        <f>SUM(OSRRefT22_0x_0)</f>
        <v>41859.979658821991</v>
      </c>
      <c r="U86" s="1"/>
      <c r="V86" s="5">
        <f t="shared" si="22"/>
        <v>3.9613910544840099E-2</v>
      </c>
      <c r="W86" s="1"/>
      <c r="X86" s="1">
        <f t="shared" si="23"/>
        <v>-5845.5596588219851</v>
      </c>
      <c r="Y86" s="1"/>
      <c r="Z86" s="5">
        <f t="shared" si="24"/>
        <v>-0.13964554465783247</v>
      </c>
    </row>
    <row r="87" spans="1:26" s="24" customFormat="1" hidden="1" outlineLevel="2" x14ac:dyDescent="0.25">
      <c r="A87" s="27"/>
      <c r="B87" s="11" t="str">
        <f>CONCATENATE("          ", "6111", " - ", "F.I.C.A.")</f>
        <v xml:space="preserve">          6111 - F.I.C.A.</v>
      </c>
      <c r="C87" s="11"/>
      <c r="D87" s="6">
        <v>318.24</v>
      </c>
      <c r="E87" s="2"/>
      <c r="F87" s="7">
        <f t="shared" si="17"/>
        <v>3.0206387534739629E-2</v>
      </c>
      <c r="G87" s="2"/>
      <c r="H87" s="6">
        <v>684.69916914461498</v>
      </c>
      <c r="I87" s="2"/>
      <c r="J87" s="7">
        <f t="shared" si="18"/>
        <v>4.9301495474122624E-2</v>
      </c>
      <c r="K87" s="2"/>
      <c r="L87" s="6">
        <f t="shared" si="19"/>
        <v>-366.45916914461498</v>
      </c>
      <c r="M87" s="2"/>
      <c r="N87" s="7">
        <f t="shared" si="20"/>
        <v>-0.53521193782435472</v>
      </c>
      <c r="O87" s="11"/>
      <c r="P87" s="6">
        <v>6429.07</v>
      </c>
      <c r="Q87" s="2"/>
      <c r="R87" s="7">
        <f t="shared" si="21"/>
        <v>7.7252261310324687E-3</v>
      </c>
      <c r="S87" s="2"/>
      <c r="T87" s="6">
        <v>10077.329691941995</v>
      </c>
      <c r="U87" s="2"/>
      <c r="V87" s="7">
        <f t="shared" si="22"/>
        <v>9.5366132568896114E-3</v>
      </c>
      <c r="W87" s="2"/>
      <c r="X87" s="6">
        <f t="shared" si="23"/>
        <v>-3648.2596919419957</v>
      </c>
      <c r="Y87" s="2"/>
      <c r="Z87" s="7">
        <f t="shared" si="24"/>
        <v>-0.36202642996380346</v>
      </c>
    </row>
    <row r="88" spans="1:26" s="24" customFormat="1" hidden="1" outlineLevel="2" x14ac:dyDescent="0.25">
      <c r="A88" s="27"/>
      <c r="B88" s="11" t="str">
        <f>CONCATENATE("          ", "6112", " - ", "COMPENSATION INSURANCE")</f>
        <v xml:space="preserve">          6112 - COMPENSATION INSURANCE</v>
      </c>
      <c r="C88" s="11"/>
      <c r="D88" s="6">
        <v>79.040000000000006</v>
      </c>
      <c r="E88" s="2"/>
      <c r="F88" s="7">
        <f t="shared" si="17"/>
        <v>7.5022400413078819E-3</v>
      </c>
      <c r="G88" s="2"/>
      <c r="H88" s="6">
        <v>199.757829707692</v>
      </c>
      <c r="I88" s="2"/>
      <c r="J88" s="7">
        <f t="shared" si="18"/>
        <v>1.4383484281947868E-2</v>
      </c>
      <c r="K88" s="2"/>
      <c r="L88" s="6">
        <f t="shared" si="19"/>
        <v>-120.71782970769199</v>
      </c>
      <c r="M88" s="2"/>
      <c r="N88" s="7">
        <f t="shared" si="20"/>
        <v>-0.60432089137301814</v>
      </c>
      <c r="O88" s="11"/>
      <c r="P88" s="6">
        <v>2835.03</v>
      </c>
      <c r="Q88" s="2"/>
      <c r="R88" s="7">
        <f t="shared" si="21"/>
        <v>3.4065965743507198E-3</v>
      </c>
      <c r="S88" s="2"/>
      <c r="T88" s="6">
        <v>3433.2269791999961</v>
      </c>
      <c r="U88" s="2"/>
      <c r="V88" s="7">
        <f t="shared" si="22"/>
        <v>3.2490112881719355E-3</v>
      </c>
      <c r="W88" s="2"/>
      <c r="X88" s="6">
        <f t="shared" si="23"/>
        <v>-598.19697919999589</v>
      </c>
      <c r="Y88" s="2"/>
      <c r="Z88" s="7">
        <f t="shared" si="24"/>
        <v>-0.17423752720811561</v>
      </c>
    </row>
    <row r="89" spans="1:26" s="24" customFormat="1" hidden="1" outlineLevel="2" x14ac:dyDescent="0.25">
      <c r="A89" s="27"/>
      <c r="B89" s="11" t="str">
        <f>CONCATENATE("          ", "6113", " - ", "GROUP INSURANCE")</f>
        <v xml:space="preserve">          6113 - GROUP INSURANCE</v>
      </c>
      <c r="C89" s="11"/>
      <c r="D89" s="6">
        <v>1367.58</v>
      </c>
      <c r="E89" s="2"/>
      <c r="F89" s="7">
        <f t="shared" si="17"/>
        <v>0.12980659711148573</v>
      </c>
      <c r="G89" s="2"/>
      <c r="H89" s="6">
        <v>1288.05</v>
      </c>
      <c r="I89" s="2"/>
      <c r="J89" s="7">
        <f t="shared" si="18"/>
        <v>9.2745535714285718E-2</v>
      </c>
      <c r="K89" s="2"/>
      <c r="L89" s="6">
        <f t="shared" si="19"/>
        <v>79.529999999999973</v>
      </c>
      <c r="M89" s="2"/>
      <c r="N89" s="7">
        <f t="shared" si="20"/>
        <v>6.1744497496215189E-2</v>
      </c>
      <c r="O89" s="11"/>
      <c r="P89" s="6">
        <v>20898.98</v>
      </c>
      <c r="Q89" s="2"/>
      <c r="R89" s="7">
        <f t="shared" si="21"/>
        <v>2.5112395168807453E-2</v>
      </c>
      <c r="S89" s="2"/>
      <c r="T89" s="6">
        <v>15456.6</v>
      </c>
      <c r="U89" s="2"/>
      <c r="V89" s="7">
        <f t="shared" si="22"/>
        <v>1.4627249576274795E-2</v>
      </c>
      <c r="W89" s="2"/>
      <c r="X89" s="6">
        <f t="shared" si="23"/>
        <v>5442.3799999999992</v>
      </c>
      <c r="Y89" s="2"/>
      <c r="Z89" s="7">
        <f t="shared" si="24"/>
        <v>0.35210719045585698</v>
      </c>
    </row>
    <row r="90" spans="1:26" s="24" customFormat="1" hidden="1" outlineLevel="2" x14ac:dyDescent="0.25">
      <c r="A90" s="27"/>
      <c r="B90" s="11" t="str">
        <f>CONCATENATE("          ", "6114", " - ", "STATE UNEMPLOYMENT INSURANCE")</f>
        <v xml:space="preserve">          6114 - STATE UNEMPLOYMENT INSURANCE</v>
      </c>
      <c r="C90" s="11"/>
      <c r="D90" s="6">
        <v>-419.11</v>
      </c>
      <c r="E90" s="2"/>
      <c r="F90" s="7">
        <f t="shared" si="17"/>
        <v>-3.9780665785836868E-2</v>
      </c>
      <c r="G90" s="2"/>
      <c r="H90" s="6">
        <v>27.33528196</v>
      </c>
      <c r="I90" s="2"/>
      <c r="J90" s="7">
        <f t="shared" si="18"/>
        <v>1.9682662701612902E-3</v>
      </c>
      <c r="K90" s="2"/>
      <c r="L90" s="6">
        <f t="shared" si="19"/>
        <v>-446.44528195999999</v>
      </c>
      <c r="M90" s="2"/>
      <c r="N90" s="7">
        <f t="shared" si="20"/>
        <v>-16.33219963171728</v>
      </c>
      <c r="O90" s="11"/>
      <c r="P90" s="6">
        <v>0</v>
      </c>
      <c r="Q90" s="2"/>
      <c r="R90" s="7">
        <f t="shared" si="21"/>
        <v>0</v>
      </c>
      <c r="S90" s="2"/>
      <c r="T90" s="6">
        <v>469.81000768000001</v>
      </c>
      <c r="U90" s="2"/>
      <c r="V90" s="7">
        <f t="shared" si="22"/>
        <v>4.4460154469721277E-4</v>
      </c>
      <c r="W90" s="2"/>
      <c r="X90" s="6">
        <f t="shared" si="23"/>
        <v>-469.81000768000001</v>
      </c>
      <c r="Y90" s="2"/>
      <c r="Z90" s="7">
        <f t="shared" si="24"/>
        <v>-1</v>
      </c>
    </row>
    <row r="91" spans="1:26" s="24" customFormat="1" hidden="1" outlineLevel="2" x14ac:dyDescent="0.25">
      <c r="A91" s="27"/>
      <c r="B91" s="11" t="str">
        <f>CONCATENATE("          ", "6115", " - ", "P.E.R.S.")</f>
        <v xml:space="preserve">          6115 - P.E.R.S.</v>
      </c>
      <c r="C91" s="11"/>
      <c r="D91" s="6">
        <v>425.19</v>
      </c>
      <c r="E91" s="2"/>
      <c r="F91" s="7">
        <f t="shared" si="17"/>
        <v>4.0357761173629783E-2</v>
      </c>
      <c r="G91" s="2"/>
      <c r="H91" s="6">
        <v>451.12567507692296</v>
      </c>
      <c r="I91" s="2"/>
      <c r="J91" s="7">
        <f t="shared" si="18"/>
        <v>3.2483127525700095E-2</v>
      </c>
      <c r="K91" s="2"/>
      <c r="L91" s="6">
        <f t="shared" si="19"/>
        <v>-25.935675076922962</v>
      </c>
      <c r="M91" s="2"/>
      <c r="N91" s="7">
        <f t="shared" si="20"/>
        <v>-5.7491019708644564E-2</v>
      </c>
      <c r="O91" s="11"/>
      <c r="P91" s="6">
        <v>5052.41</v>
      </c>
      <c r="Q91" s="2"/>
      <c r="R91" s="7">
        <f t="shared" si="21"/>
        <v>6.0710195653010087E-3</v>
      </c>
      <c r="S91" s="2"/>
      <c r="T91" s="6">
        <v>5864.6337759999997</v>
      </c>
      <c r="U91" s="2"/>
      <c r="V91" s="7">
        <f t="shared" si="22"/>
        <v>5.5499567767169269E-3</v>
      </c>
      <c r="W91" s="2"/>
      <c r="X91" s="6">
        <f t="shared" si="23"/>
        <v>-812.22377599999982</v>
      </c>
      <c r="Y91" s="2"/>
      <c r="Z91" s="7">
        <f t="shared" si="24"/>
        <v>-0.13849522528139527</v>
      </c>
    </row>
    <row r="92" spans="1:26" s="24" customFormat="1" hidden="1" outlineLevel="2" x14ac:dyDescent="0.25">
      <c r="A92" s="27"/>
      <c r="B92" s="11" t="str">
        <f>CONCATENATE("          ", "6116", " - ", "EDUCATIONAL BENEFITS")</f>
        <v xml:space="preserve">          6116 - EDUCATIONAL BENEFITS</v>
      </c>
      <c r="C92" s="11"/>
      <c r="D92" s="6"/>
      <c r="E92" s="2"/>
      <c r="F92" s="7">
        <f t="shared" si="17"/>
        <v>0</v>
      </c>
      <c r="G92" s="2"/>
      <c r="H92" s="6">
        <v>0</v>
      </c>
      <c r="I92" s="2"/>
      <c r="J92" s="7">
        <f t="shared" si="18"/>
        <v>0</v>
      </c>
      <c r="K92" s="2"/>
      <c r="L92" s="6">
        <f t="shared" si="19"/>
        <v>0</v>
      </c>
      <c r="M92" s="2"/>
      <c r="N92" s="7">
        <f t="shared" si="20"/>
        <v>0</v>
      </c>
      <c r="O92" s="11"/>
      <c r="P92" s="6"/>
      <c r="Q92" s="2"/>
      <c r="R92" s="7">
        <f t="shared" si="21"/>
        <v>0</v>
      </c>
      <c r="S92" s="2"/>
      <c r="T92" s="6">
        <v>0</v>
      </c>
      <c r="U92" s="2"/>
      <c r="V92" s="7">
        <f t="shared" si="22"/>
        <v>0</v>
      </c>
      <c r="W92" s="2"/>
      <c r="X92" s="6">
        <f t="shared" si="23"/>
        <v>0</v>
      </c>
      <c r="Y92" s="2"/>
      <c r="Z92" s="7">
        <f t="shared" si="24"/>
        <v>0</v>
      </c>
    </row>
    <row r="93" spans="1:26" s="24" customFormat="1" hidden="1" outlineLevel="2" x14ac:dyDescent="0.25">
      <c r="A93" s="27"/>
      <c r="B93" s="11" t="str">
        <f>CONCATENATE("          ", "6117", " - ", "RETIREMENT STAFF HOURLY")</f>
        <v xml:space="preserve">          6117 - RETIREMENT STAFF HOURLY</v>
      </c>
      <c r="C93" s="11"/>
      <c r="D93" s="6"/>
      <c r="E93" s="2"/>
      <c r="F93" s="7">
        <f t="shared" si="17"/>
        <v>0</v>
      </c>
      <c r="G93" s="2"/>
      <c r="H93" s="6"/>
      <c r="I93" s="2"/>
      <c r="J93" s="7">
        <f t="shared" si="18"/>
        <v>0</v>
      </c>
      <c r="K93" s="2"/>
      <c r="L93" s="6">
        <f t="shared" si="19"/>
        <v>0</v>
      </c>
      <c r="M93" s="2"/>
      <c r="N93" s="7">
        <f t="shared" si="20"/>
        <v>0</v>
      </c>
      <c r="O93" s="11"/>
      <c r="P93" s="6">
        <v>46.65</v>
      </c>
      <c r="Q93" s="2"/>
      <c r="R93" s="7">
        <f t="shared" si="21"/>
        <v>5.6055043577479269E-5</v>
      </c>
      <c r="S93" s="2"/>
      <c r="T93" s="6"/>
      <c r="U93" s="2"/>
      <c r="V93" s="7">
        <f t="shared" si="22"/>
        <v>0</v>
      </c>
      <c r="W93" s="2"/>
      <c r="X93" s="6">
        <f t="shared" si="23"/>
        <v>46.65</v>
      </c>
      <c r="Y93" s="2"/>
      <c r="Z93" s="7">
        <f t="shared" si="24"/>
        <v>0</v>
      </c>
    </row>
    <row r="94" spans="1:26" s="24" customFormat="1" hidden="1" outlineLevel="2" x14ac:dyDescent="0.25">
      <c r="A94" s="27"/>
      <c r="B94" s="11" t="str">
        <f>CONCATENATE("          ", "6118", " - ", "VACATION")</f>
        <v xml:space="preserve">          6118 - VACATION</v>
      </c>
      <c r="C94" s="11"/>
      <c r="D94" s="6">
        <v>335.92</v>
      </c>
      <c r="E94" s="2"/>
      <c r="F94" s="7">
        <f t="shared" si="17"/>
        <v>3.1884520175558498E-2</v>
      </c>
      <c r="G94" s="2"/>
      <c r="H94" s="6">
        <v>202.954369230769</v>
      </c>
      <c r="I94" s="2"/>
      <c r="J94" s="7">
        <f t="shared" si="18"/>
        <v>1.4613649858206294E-2</v>
      </c>
      <c r="K94" s="2"/>
      <c r="L94" s="6">
        <f t="shared" si="19"/>
        <v>132.96563076923101</v>
      </c>
      <c r="M94" s="2"/>
      <c r="N94" s="7">
        <f t="shared" si="20"/>
        <v>0.65515037332378201</v>
      </c>
      <c r="O94" s="11"/>
      <c r="P94" s="6">
        <v>4436.32</v>
      </c>
      <c r="Q94" s="2"/>
      <c r="R94" s="7">
        <f t="shared" si="21"/>
        <v>5.3307204913964163E-3</v>
      </c>
      <c r="S94" s="2"/>
      <c r="T94" s="6">
        <v>2638.4068000000002</v>
      </c>
      <c r="U94" s="2"/>
      <c r="V94" s="7">
        <f t="shared" si="22"/>
        <v>2.4968385509970201E-3</v>
      </c>
      <c r="W94" s="2"/>
      <c r="X94" s="6">
        <f t="shared" si="23"/>
        <v>1797.9131999999995</v>
      </c>
      <c r="Y94" s="2"/>
      <c r="Z94" s="7">
        <f t="shared" si="24"/>
        <v>0.68143896536349113</v>
      </c>
    </row>
    <row r="95" spans="1:26" s="24" customFormat="1" hidden="1" outlineLevel="2" x14ac:dyDescent="0.25">
      <c r="A95" s="27"/>
      <c r="B95" s="11" t="str">
        <f>CONCATENATE("          ", "6119", " - ", "SICK LEAVE")</f>
        <v xml:space="preserve">          6119 - SICK LEAVE</v>
      </c>
      <c r="C95" s="11"/>
      <c r="D95" s="6">
        <v>191.88</v>
      </c>
      <c r="E95" s="2"/>
      <c r="F95" s="7">
        <f t="shared" si="17"/>
        <v>1.8212674837122422E-2</v>
      </c>
      <c r="G95" s="2"/>
      <c r="H95" s="6">
        <v>211.71989953846202</v>
      </c>
      <c r="I95" s="2"/>
      <c r="J95" s="7">
        <f t="shared" si="18"/>
        <v>1.5244808434509073E-2</v>
      </c>
      <c r="K95" s="2"/>
      <c r="L95" s="6">
        <f t="shared" si="19"/>
        <v>-19.839899538462021</v>
      </c>
      <c r="M95" s="2"/>
      <c r="N95" s="7">
        <f t="shared" si="20"/>
        <v>-9.3708241793576952E-2</v>
      </c>
      <c r="O95" s="11"/>
      <c r="P95" s="6">
        <v>-5598.14</v>
      </c>
      <c r="Q95" s="2"/>
      <c r="R95" s="7">
        <f t="shared" si="21"/>
        <v>-6.7267734545086782E-3</v>
      </c>
      <c r="S95" s="2"/>
      <c r="T95" s="6">
        <v>3919.9724040000037</v>
      </c>
      <c r="U95" s="2"/>
      <c r="V95" s="7">
        <f t="shared" si="22"/>
        <v>3.7096395510926041E-3</v>
      </c>
      <c r="W95" s="2"/>
      <c r="X95" s="6">
        <f t="shared" si="23"/>
        <v>-9518.1124040000032</v>
      </c>
      <c r="Y95" s="2"/>
      <c r="Z95" s="7">
        <f t="shared" si="24"/>
        <v>-2.4281069923572844</v>
      </c>
    </row>
    <row r="96" spans="1:26" s="24" customFormat="1" hidden="1" outlineLevel="2" x14ac:dyDescent="0.25">
      <c r="A96" s="27"/>
      <c r="B96" s="11" t="str">
        <f>CONCATENATE("          ", "6156", " - ", "EMPLOYEE MEALS")</f>
        <v xml:space="preserve">          6156 - EMPLOYEE MEALS</v>
      </c>
      <c r="C96" s="11"/>
      <c r="D96" s="6">
        <v>128</v>
      </c>
      <c r="E96" s="2"/>
      <c r="F96" s="7">
        <f t="shared" si="17"/>
        <v>1.2149376585113978E-2</v>
      </c>
      <c r="G96" s="2"/>
      <c r="H96" s="6"/>
      <c r="I96" s="2"/>
      <c r="J96" s="7">
        <f t="shared" si="18"/>
        <v>0</v>
      </c>
      <c r="K96" s="2"/>
      <c r="L96" s="6">
        <f t="shared" si="19"/>
        <v>128</v>
      </c>
      <c r="M96" s="2"/>
      <c r="N96" s="7">
        <f t="shared" si="20"/>
        <v>0</v>
      </c>
      <c r="O96" s="11"/>
      <c r="P96" s="6">
        <v>1914.1</v>
      </c>
      <c r="Q96" s="2"/>
      <c r="R96" s="7">
        <f t="shared" si="21"/>
        <v>2.2999991192208589E-3</v>
      </c>
      <c r="S96" s="2"/>
      <c r="T96" s="6"/>
      <c r="U96" s="2"/>
      <c r="V96" s="7">
        <f t="shared" si="22"/>
        <v>0</v>
      </c>
      <c r="W96" s="2"/>
      <c r="X96" s="6">
        <f t="shared" si="23"/>
        <v>1914.1</v>
      </c>
      <c r="Y96" s="2"/>
      <c r="Z96" s="7">
        <f t="shared" si="24"/>
        <v>0</v>
      </c>
    </row>
    <row r="97" spans="1:26" s="26" customFormat="1" outlineLevel="1" collapsed="1" x14ac:dyDescent="0.25">
      <c r="A97" s="25"/>
      <c r="B97" s="12" t="str">
        <f>CONCATENATE("     ","*Payroll                                          ")</f>
        <v xml:space="preserve">     *Payroll                                          </v>
      </c>
      <c r="C97" s="12"/>
      <c r="D97" s="1">
        <f>SUM(OSRRefD22_1x_0)</f>
        <v>3952</v>
      </c>
      <c r="E97" s="1"/>
      <c r="F97" s="5">
        <f t="shared" ref="F97:F107" si="25">IF(D$12=0,0,D97/D$12)</f>
        <v>0.37511200206539408</v>
      </c>
      <c r="G97" s="1"/>
      <c r="H97" s="1">
        <f>SUM(OSRRefH22_1x_0)</f>
        <v>10284.22731584615</v>
      </c>
      <c r="I97" s="1"/>
      <c r="J97" s="5">
        <f t="shared" ref="J97:J107" si="26">IF(H$12=0,0,H97/H$12)</f>
        <v>0.74051175949353043</v>
      </c>
      <c r="K97" s="1"/>
      <c r="L97" s="1">
        <f t="shared" ref="L97:L107" si="27">+D97-H97</f>
        <v>-6332.2273158461503</v>
      </c>
      <c r="M97" s="1"/>
      <c r="N97" s="5">
        <f t="shared" ref="N97:N107" si="28">IF(H97=0,0,L97/H97)</f>
        <v>-0.61572222407893717</v>
      </c>
      <c r="O97" s="12"/>
      <c r="P97" s="1">
        <f>SUM(OSRRefP22_1x_0)</f>
        <v>156977.27000000002</v>
      </c>
      <c r="Q97" s="1"/>
      <c r="R97" s="5">
        <f t="shared" ref="R97:R107" si="29">IF(P$12=0,0,P97/P$12)</f>
        <v>0.1886252456703908</v>
      </c>
      <c r="S97" s="1"/>
      <c r="T97" s="1">
        <f>SUM(OSRRefT22_1x_0)</f>
        <v>176623.57774599997</v>
      </c>
      <c r="U97" s="1"/>
      <c r="V97" s="5">
        <f t="shared" ref="V97:V107" si="30">IF(T$12=0,0,T97/T$12)</f>
        <v>0.16714653628516726</v>
      </c>
      <c r="W97" s="1"/>
      <c r="X97" s="1">
        <f t="shared" ref="X97:X107" si="31">+P97-T97</f>
        <v>-19646.307745999948</v>
      </c>
      <c r="Y97" s="1"/>
      <c r="Z97" s="5">
        <f t="shared" ref="Z97:Z107" si="32">IF(T97=0,0,X97/T97)</f>
        <v>-0.11123264513559476</v>
      </c>
    </row>
    <row r="98" spans="1:26" s="24" customFormat="1" hidden="1" outlineLevel="2" x14ac:dyDescent="0.25">
      <c r="A98" s="27"/>
      <c r="B98" s="11" t="str">
        <f>CONCATENATE("          ", "6001", " - ", "ADMINISTRATIVE SALARIES")</f>
        <v xml:space="preserve">          6001 - ADMINISTRATIVE SALARIES</v>
      </c>
      <c r="C98" s="11"/>
      <c r="D98" s="6"/>
      <c r="E98" s="2"/>
      <c r="F98" s="7">
        <f t="shared" si="25"/>
        <v>0</v>
      </c>
      <c r="G98" s="2"/>
      <c r="H98" s="6">
        <v>5063.3075938461498</v>
      </c>
      <c r="I98" s="2"/>
      <c r="J98" s="7">
        <f t="shared" si="26"/>
        <v>0.36458147997164098</v>
      </c>
      <c r="K98" s="2"/>
      <c r="L98" s="6">
        <f t="shared" si="27"/>
        <v>-5063.3075938461498</v>
      </c>
      <c r="M98" s="2"/>
      <c r="N98" s="7">
        <f t="shared" si="28"/>
        <v>-1</v>
      </c>
      <c r="O98" s="11"/>
      <c r="P98" s="6"/>
      <c r="Q98" s="2"/>
      <c r="R98" s="7">
        <f t="shared" si="29"/>
        <v>0</v>
      </c>
      <c r="S98" s="2"/>
      <c r="T98" s="6">
        <v>65822.99871999996</v>
      </c>
      <c r="U98" s="2"/>
      <c r="V98" s="7">
        <f t="shared" si="30"/>
        <v>6.2291152655581161E-2</v>
      </c>
      <c r="W98" s="2"/>
      <c r="X98" s="6">
        <f t="shared" si="31"/>
        <v>-65822.99871999996</v>
      </c>
      <c r="Y98" s="2"/>
      <c r="Z98" s="7">
        <f t="shared" si="32"/>
        <v>-1</v>
      </c>
    </row>
    <row r="99" spans="1:26" s="24" customFormat="1" hidden="1" outlineLevel="2" x14ac:dyDescent="0.25">
      <c r="A99" s="27"/>
      <c r="B99" s="11" t="str">
        <f>CONCATENATE("          ", "6002", " - ", "STAFF SALARIES")</f>
        <v xml:space="preserve">          6002 - STAFF SALARIES</v>
      </c>
      <c r="C99" s="11"/>
      <c r="D99" s="6">
        <v>3952</v>
      </c>
      <c r="E99" s="2"/>
      <c r="F99" s="7">
        <f t="shared" si="25"/>
        <v>0.37511200206539408</v>
      </c>
      <c r="G99" s="2"/>
      <c r="H99" s="6">
        <v>0</v>
      </c>
      <c r="I99" s="2"/>
      <c r="J99" s="7">
        <f t="shared" si="26"/>
        <v>0</v>
      </c>
      <c r="K99" s="2"/>
      <c r="L99" s="6">
        <f t="shared" si="27"/>
        <v>3952</v>
      </c>
      <c r="M99" s="2"/>
      <c r="N99" s="7">
        <f t="shared" si="28"/>
        <v>0</v>
      </c>
      <c r="O99" s="11"/>
      <c r="P99" s="6">
        <v>59695.82</v>
      </c>
      <c r="Q99" s="2"/>
      <c r="R99" s="7">
        <f t="shared" si="29"/>
        <v>7.1731013751197406E-2</v>
      </c>
      <c r="S99" s="2"/>
      <c r="T99" s="6">
        <v>0</v>
      </c>
      <c r="U99" s="2"/>
      <c r="V99" s="7">
        <f t="shared" si="30"/>
        <v>0</v>
      </c>
      <c r="W99" s="2"/>
      <c r="X99" s="6">
        <f t="shared" si="31"/>
        <v>59695.82</v>
      </c>
      <c r="Y99" s="2"/>
      <c r="Z99" s="7">
        <f t="shared" si="32"/>
        <v>0</v>
      </c>
    </row>
    <row r="100" spans="1:26" s="24" customFormat="1" hidden="1" outlineLevel="2" x14ac:dyDescent="0.25">
      <c r="A100" s="27"/>
      <c r="B100" s="11" t="str">
        <f>CONCATENATE("          ", "6003", " - ", "STAFF HOURLY-9 MONTH")</f>
        <v xml:space="preserve">          6003 - STAFF HOURLY-9 MONTH</v>
      </c>
      <c r="C100" s="11"/>
      <c r="D100" s="6"/>
      <c r="E100" s="2"/>
      <c r="F100" s="7">
        <f t="shared" si="25"/>
        <v>0</v>
      </c>
      <c r="G100" s="2"/>
      <c r="H100" s="6">
        <v>0</v>
      </c>
      <c r="I100" s="2"/>
      <c r="J100" s="7">
        <f t="shared" si="26"/>
        <v>0</v>
      </c>
      <c r="K100" s="2"/>
      <c r="L100" s="6">
        <f t="shared" si="27"/>
        <v>0</v>
      </c>
      <c r="M100" s="2"/>
      <c r="N100" s="7">
        <f t="shared" si="28"/>
        <v>0</v>
      </c>
      <c r="O100" s="11"/>
      <c r="P100" s="6"/>
      <c r="Q100" s="2"/>
      <c r="R100" s="7">
        <f t="shared" si="29"/>
        <v>0</v>
      </c>
      <c r="S100" s="2"/>
      <c r="T100" s="6">
        <v>0</v>
      </c>
      <c r="U100" s="2"/>
      <c r="V100" s="7">
        <f t="shared" si="30"/>
        <v>0</v>
      </c>
      <c r="W100" s="2"/>
      <c r="X100" s="6">
        <f t="shared" si="31"/>
        <v>0</v>
      </c>
      <c r="Y100" s="2"/>
      <c r="Z100" s="7">
        <f t="shared" si="32"/>
        <v>0</v>
      </c>
    </row>
    <row r="101" spans="1:26" s="24" customFormat="1" hidden="1" outlineLevel="2" x14ac:dyDescent="0.25">
      <c r="A101" s="27"/>
      <c r="B101" s="11" t="str">
        <f>CONCATENATE("          ", "6004", " - ", "STAFF HOURLY")</f>
        <v xml:space="preserve">          6004 - STAFF HOURLY</v>
      </c>
      <c r="C101" s="11"/>
      <c r="D101" s="6"/>
      <c r="E101" s="2"/>
      <c r="F101" s="7">
        <f t="shared" si="25"/>
        <v>0</v>
      </c>
      <c r="G101" s="2"/>
      <c r="H101" s="6">
        <v>0</v>
      </c>
      <c r="I101" s="2"/>
      <c r="J101" s="7">
        <f t="shared" si="26"/>
        <v>0</v>
      </c>
      <c r="K101" s="2"/>
      <c r="L101" s="6">
        <f t="shared" si="27"/>
        <v>0</v>
      </c>
      <c r="M101" s="2"/>
      <c r="N101" s="7">
        <f t="shared" si="28"/>
        <v>0</v>
      </c>
      <c r="O101" s="11"/>
      <c r="P101" s="6">
        <v>-48</v>
      </c>
      <c r="Q101" s="2"/>
      <c r="R101" s="7">
        <f t="shared" si="29"/>
        <v>-5.7677215256570317E-5</v>
      </c>
      <c r="S101" s="2"/>
      <c r="T101" s="6">
        <v>0</v>
      </c>
      <c r="U101" s="2"/>
      <c r="V101" s="7">
        <f t="shared" si="30"/>
        <v>0</v>
      </c>
      <c r="W101" s="2"/>
      <c r="X101" s="6">
        <f t="shared" si="31"/>
        <v>-48</v>
      </c>
      <c r="Y101" s="2"/>
      <c r="Z101" s="7">
        <f t="shared" si="32"/>
        <v>0</v>
      </c>
    </row>
    <row r="102" spans="1:26" s="24" customFormat="1" hidden="1" outlineLevel="2" x14ac:dyDescent="0.25">
      <c r="A102" s="27"/>
      <c r="B102" s="11" t="str">
        <f>CONCATENATE("          ", "6005", " - ", "TEMPORARY WAGES-HOURLY")</f>
        <v xml:space="preserve">          6005 - TEMPORARY WAGES-HOURLY</v>
      </c>
      <c r="C102" s="11"/>
      <c r="D102" s="6"/>
      <c r="E102" s="2"/>
      <c r="F102" s="7">
        <f t="shared" si="25"/>
        <v>0</v>
      </c>
      <c r="G102" s="2"/>
      <c r="H102" s="6">
        <v>0</v>
      </c>
      <c r="I102" s="2"/>
      <c r="J102" s="7">
        <f t="shared" si="26"/>
        <v>0</v>
      </c>
      <c r="K102" s="2"/>
      <c r="L102" s="6">
        <f t="shared" si="27"/>
        <v>0</v>
      </c>
      <c r="M102" s="2"/>
      <c r="N102" s="7">
        <f t="shared" si="28"/>
        <v>0</v>
      </c>
      <c r="O102" s="11"/>
      <c r="P102" s="6">
        <v>7121.65</v>
      </c>
      <c r="Q102" s="2"/>
      <c r="R102" s="7">
        <f t="shared" si="29"/>
        <v>8.5574362506657068E-3</v>
      </c>
      <c r="S102" s="2"/>
      <c r="T102" s="6">
        <v>0</v>
      </c>
      <c r="U102" s="2"/>
      <c r="V102" s="7">
        <f t="shared" si="30"/>
        <v>0</v>
      </c>
      <c r="W102" s="2"/>
      <c r="X102" s="6">
        <f t="shared" si="31"/>
        <v>7121.65</v>
      </c>
      <c r="Y102" s="2"/>
      <c r="Z102" s="7">
        <f t="shared" si="32"/>
        <v>0</v>
      </c>
    </row>
    <row r="103" spans="1:26" s="24" customFormat="1" hidden="1" outlineLevel="2" x14ac:dyDescent="0.25">
      <c r="A103" s="27"/>
      <c r="B103" s="11" t="str">
        <f>CONCATENATE("          ", "6006", " - ", "TEMPORARY PART TIME")</f>
        <v xml:space="preserve">          6006 - TEMPORARY PART TIME</v>
      </c>
      <c r="C103" s="11"/>
      <c r="D103" s="6"/>
      <c r="E103" s="2"/>
      <c r="F103" s="7">
        <f t="shared" si="25"/>
        <v>0</v>
      </c>
      <c r="G103" s="2"/>
      <c r="H103" s="6">
        <v>0</v>
      </c>
      <c r="I103" s="2"/>
      <c r="J103" s="7">
        <f t="shared" si="26"/>
        <v>0</v>
      </c>
      <c r="K103" s="2"/>
      <c r="L103" s="6">
        <f t="shared" si="27"/>
        <v>0</v>
      </c>
      <c r="M103" s="2"/>
      <c r="N103" s="7">
        <f t="shared" si="28"/>
        <v>0</v>
      </c>
      <c r="O103" s="11"/>
      <c r="P103" s="6">
        <v>25.5</v>
      </c>
      <c r="Q103" s="2"/>
      <c r="R103" s="7">
        <f t="shared" si="29"/>
        <v>3.0641020605052976E-5</v>
      </c>
      <c r="S103" s="2"/>
      <c r="T103" s="6">
        <v>0</v>
      </c>
      <c r="U103" s="2"/>
      <c r="V103" s="7">
        <f t="shared" si="30"/>
        <v>0</v>
      </c>
      <c r="W103" s="2"/>
      <c r="X103" s="6">
        <f t="shared" si="31"/>
        <v>25.5</v>
      </c>
      <c r="Y103" s="2"/>
      <c r="Z103" s="7">
        <f t="shared" si="32"/>
        <v>0</v>
      </c>
    </row>
    <row r="104" spans="1:26" s="24" customFormat="1" hidden="1" outlineLevel="2" x14ac:dyDescent="0.25">
      <c r="A104" s="27"/>
      <c r="B104" s="11" t="str">
        <f>CONCATENATE("          ", "6007", " - ", "STUDENT HOURLY")</f>
        <v xml:space="preserve">          6007 - STUDENT HOURLY</v>
      </c>
      <c r="C104" s="11"/>
      <c r="D104" s="6"/>
      <c r="E104" s="2"/>
      <c r="F104" s="7">
        <f t="shared" si="25"/>
        <v>0</v>
      </c>
      <c r="G104" s="2"/>
      <c r="H104" s="6">
        <v>3701.16</v>
      </c>
      <c r="I104" s="2"/>
      <c r="J104" s="7">
        <f t="shared" si="26"/>
        <v>0.26650057603686633</v>
      </c>
      <c r="K104" s="2"/>
      <c r="L104" s="6">
        <f t="shared" si="27"/>
        <v>-3701.16</v>
      </c>
      <c r="M104" s="2"/>
      <c r="N104" s="7">
        <f t="shared" si="28"/>
        <v>-1</v>
      </c>
      <c r="O104" s="11"/>
      <c r="P104" s="6">
        <v>90182.3</v>
      </c>
      <c r="Q104" s="2"/>
      <c r="R104" s="7">
        <f t="shared" si="29"/>
        <v>0.10836383186317919</v>
      </c>
      <c r="S104" s="2"/>
      <c r="T104" s="6">
        <v>61983.062837999998</v>
      </c>
      <c r="U104" s="2"/>
      <c r="V104" s="7">
        <f t="shared" si="30"/>
        <v>5.8657255129417177E-2</v>
      </c>
      <c r="W104" s="2"/>
      <c r="X104" s="6">
        <f t="shared" si="31"/>
        <v>28199.237162000005</v>
      </c>
      <c r="Y104" s="2"/>
      <c r="Z104" s="7">
        <f t="shared" si="32"/>
        <v>0.45495068928268384</v>
      </c>
    </row>
    <row r="105" spans="1:26" s="24" customFormat="1" hidden="1" outlineLevel="2" x14ac:dyDescent="0.25">
      <c r="A105" s="27"/>
      <c r="B105" s="11" t="str">
        <f>CONCATENATE("          ", "6008", " - ", "STUDENT HOURLY-FICA EXEMPT")</f>
        <v xml:space="preserve">          6008 - STUDENT HOURLY-FICA EXEMPT</v>
      </c>
      <c r="C105" s="11"/>
      <c r="D105" s="6"/>
      <c r="E105" s="2"/>
      <c r="F105" s="7">
        <f t="shared" si="25"/>
        <v>0</v>
      </c>
      <c r="G105" s="2"/>
      <c r="H105" s="6">
        <v>1519.759722</v>
      </c>
      <c r="I105" s="2"/>
      <c r="J105" s="7">
        <f t="shared" si="26"/>
        <v>0.10942970348502304</v>
      </c>
      <c r="K105" s="2"/>
      <c r="L105" s="6">
        <f t="shared" si="27"/>
        <v>-1519.759722</v>
      </c>
      <c r="M105" s="2"/>
      <c r="N105" s="7">
        <f t="shared" si="28"/>
        <v>-1</v>
      </c>
      <c r="O105" s="11"/>
      <c r="P105" s="6"/>
      <c r="Q105" s="2"/>
      <c r="R105" s="7">
        <f t="shared" si="29"/>
        <v>0</v>
      </c>
      <c r="S105" s="2"/>
      <c r="T105" s="6">
        <v>48817.516188000001</v>
      </c>
      <c r="U105" s="2"/>
      <c r="V105" s="7">
        <f t="shared" si="30"/>
        <v>4.6198128500168925E-2</v>
      </c>
      <c r="W105" s="2"/>
      <c r="X105" s="6">
        <f t="shared" si="31"/>
        <v>-48817.516188000001</v>
      </c>
      <c r="Y105" s="2"/>
      <c r="Z105" s="7">
        <f t="shared" si="32"/>
        <v>-1</v>
      </c>
    </row>
    <row r="106" spans="1:26" s="24" customFormat="1" hidden="1" outlineLevel="2" x14ac:dyDescent="0.25">
      <c r="A106" s="27"/>
      <c r="B106" s="11" t="str">
        <f>CONCATENATE("          ", "6009", " - ", "TEMPORARY-SEASONAL")</f>
        <v xml:space="preserve">          6009 - TEMPORARY-SEASONAL</v>
      </c>
      <c r="C106" s="11"/>
      <c r="D106" s="6"/>
      <c r="E106" s="2"/>
      <c r="F106" s="7">
        <f t="shared" si="25"/>
        <v>0</v>
      </c>
      <c r="G106" s="2"/>
      <c r="H106" s="6">
        <v>0</v>
      </c>
      <c r="I106" s="2"/>
      <c r="J106" s="7">
        <f t="shared" si="26"/>
        <v>0</v>
      </c>
      <c r="K106" s="2"/>
      <c r="L106" s="6">
        <f t="shared" si="27"/>
        <v>0</v>
      </c>
      <c r="M106" s="2"/>
      <c r="N106" s="7">
        <f t="shared" si="28"/>
        <v>0</v>
      </c>
      <c r="O106" s="11"/>
      <c r="P106" s="6"/>
      <c r="Q106" s="2"/>
      <c r="R106" s="7">
        <f t="shared" si="29"/>
        <v>0</v>
      </c>
      <c r="S106" s="2"/>
      <c r="T106" s="6">
        <v>0</v>
      </c>
      <c r="U106" s="2"/>
      <c r="V106" s="7">
        <f t="shared" si="30"/>
        <v>0</v>
      </c>
      <c r="W106" s="2"/>
      <c r="X106" s="6">
        <f t="shared" si="31"/>
        <v>0</v>
      </c>
      <c r="Y106" s="2"/>
      <c r="Z106" s="7">
        <f t="shared" si="32"/>
        <v>0</v>
      </c>
    </row>
    <row r="107" spans="1:26" s="24" customFormat="1" hidden="1" outlineLevel="2" x14ac:dyDescent="0.25">
      <c r="A107" s="27"/>
      <c r="B107" s="11" t="str">
        <f>CONCATENATE("          ", "6010", " - ", "GRATUITY")</f>
        <v xml:space="preserve">          6010 - GRATUITY</v>
      </c>
      <c r="C107" s="11"/>
      <c r="D107" s="6"/>
      <c r="E107" s="2"/>
      <c r="F107" s="7">
        <f t="shared" si="25"/>
        <v>0</v>
      </c>
      <c r="G107" s="2"/>
      <c r="H107" s="6">
        <v>0</v>
      </c>
      <c r="I107" s="2"/>
      <c r="J107" s="7">
        <f t="shared" si="26"/>
        <v>0</v>
      </c>
      <c r="K107" s="2"/>
      <c r="L107" s="6">
        <f t="shared" si="27"/>
        <v>0</v>
      </c>
      <c r="M107" s="2"/>
      <c r="N107" s="7">
        <f t="shared" si="28"/>
        <v>0</v>
      </c>
      <c r="O107" s="11"/>
      <c r="P107" s="6"/>
      <c r="Q107" s="2"/>
      <c r="R107" s="7">
        <f t="shared" si="29"/>
        <v>0</v>
      </c>
      <c r="S107" s="2"/>
      <c r="T107" s="6">
        <v>0</v>
      </c>
      <c r="U107" s="2"/>
      <c r="V107" s="7">
        <f t="shared" si="30"/>
        <v>0</v>
      </c>
      <c r="W107" s="2"/>
      <c r="X107" s="6">
        <f t="shared" si="31"/>
        <v>0</v>
      </c>
      <c r="Y107" s="2"/>
      <c r="Z107" s="7">
        <f t="shared" si="32"/>
        <v>0</v>
      </c>
    </row>
    <row r="108" spans="1:26" s="26" customFormat="1" outlineLevel="1" collapsed="1" x14ac:dyDescent="0.25">
      <c r="A108" s="25"/>
      <c r="B108" s="12" t="str">
        <f>CONCATENATE("     ","Advertising/Promo                                 ")</f>
        <v xml:space="preserve">     Advertising/Promo                                 </v>
      </c>
      <c r="C108" s="12"/>
      <c r="D108" s="1">
        <f>SUM(OSRRefD22_2x_0)</f>
        <v>0</v>
      </c>
      <c r="E108" s="1"/>
      <c r="F108" s="5">
        <f t="shared" ref="F108:F114" si="33">IF(D$12=0,0,D108/D$12)</f>
        <v>0</v>
      </c>
      <c r="G108" s="1"/>
      <c r="H108" s="1">
        <f>SUM(OSRRefH22_2x_0)</f>
        <v>120</v>
      </c>
      <c r="I108" s="1"/>
      <c r="J108" s="5">
        <f t="shared" ref="J108:J114" si="34">IF(H$12=0,0,H108/H$12)</f>
        <v>8.6405529953917058E-3</v>
      </c>
      <c r="K108" s="1"/>
      <c r="L108" s="1">
        <f t="shared" ref="L108:L114" si="35">+D108-H108</f>
        <v>-120</v>
      </c>
      <c r="M108" s="1"/>
      <c r="N108" s="5">
        <f t="shared" ref="N108:N114" si="36">IF(H108=0,0,L108/H108)</f>
        <v>-1</v>
      </c>
      <c r="O108" s="12"/>
      <c r="P108" s="1">
        <f>SUM(OSRRefP22_2x_0)</f>
        <v>2145.38</v>
      </c>
      <c r="Q108" s="1"/>
      <c r="R108" s="5">
        <f t="shared" ref="R108:R114" si="37">IF(P$12=0,0,P108/P$12)</f>
        <v>2.5779071680654339E-3</v>
      </c>
      <c r="S108" s="1"/>
      <c r="T108" s="1">
        <f>SUM(OSRRefT22_2x_0)</f>
        <v>1440</v>
      </c>
      <c r="U108" s="1"/>
      <c r="V108" s="5">
        <f t="shared" ref="V108:V114" si="38">IF(T$12=0,0,T108/T$12)</f>
        <v>1.3627343264259737E-3</v>
      </c>
      <c r="W108" s="1"/>
      <c r="X108" s="1">
        <f t="shared" ref="X108:X114" si="39">+P108-T108</f>
        <v>705.38000000000011</v>
      </c>
      <c r="Y108" s="1"/>
      <c r="Z108" s="5">
        <f t="shared" ref="Z108:Z114" si="40">IF(T108=0,0,X108/T108)</f>
        <v>0.48984722222222232</v>
      </c>
    </row>
    <row r="109" spans="1:26" s="24" customFormat="1" hidden="1" outlineLevel="2" x14ac:dyDescent="0.25">
      <c r="A109" s="27"/>
      <c r="B109" s="11" t="str">
        <f>CONCATENATE("          ", "6362", " - ", "ADVERTISING EXPENSE")</f>
        <v xml:space="preserve">          6362 - ADVERTISING EXPENSE</v>
      </c>
      <c r="C109" s="11"/>
      <c r="D109" s="6"/>
      <c r="E109" s="2"/>
      <c r="F109" s="7">
        <f t="shared" si="33"/>
        <v>0</v>
      </c>
      <c r="G109" s="2"/>
      <c r="H109" s="6">
        <v>120</v>
      </c>
      <c r="I109" s="2"/>
      <c r="J109" s="7">
        <f t="shared" si="34"/>
        <v>8.6405529953917058E-3</v>
      </c>
      <c r="K109" s="2"/>
      <c r="L109" s="6">
        <f t="shared" si="35"/>
        <v>-120</v>
      </c>
      <c r="M109" s="2"/>
      <c r="N109" s="7">
        <f t="shared" si="36"/>
        <v>-1</v>
      </c>
      <c r="O109" s="11"/>
      <c r="P109" s="6">
        <v>2145.38</v>
      </c>
      <c r="Q109" s="2"/>
      <c r="R109" s="7">
        <f t="shared" si="37"/>
        <v>2.5779071680654339E-3</v>
      </c>
      <c r="S109" s="2"/>
      <c r="T109" s="6">
        <v>1440</v>
      </c>
      <c r="U109" s="2"/>
      <c r="V109" s="7">
        <f t="shared" si="38"/>
        <v>1.3627343264259737E-3</v>
      </c>
      <c r="W109" s="2"/>
      <c r="X109" s="6">
        <f t="shared" si="39"/>
        <v>705.38000000000011</v>
      </c>
      <c r="Y109" s="2"/>
      <c r="Z109" s="7">
        <f t="shared" si="40"/>
        <v>0.48984722222222232</v>
      </c>
    </row>
    <row r="110" spans="1:26" s="26" customFormat="1" outlineLevel="1" collapsed="1" x14ac:dyDescent="0.25">
      <c r="A110" s="25"/>
      <c r="B110" s="12" t="str">
        <f>CONCATENATE("     ","Bad Debts/Over/Short                              ")</f>
        <v xml:space="preserve">     Bad Debts/Over/Short                              </v>
      </c>
      <c r="C110" s="12"/>
      <c r="D110" s="1">
        <f>SUM(OSRRefD22_3x_0)</f>
        <v>0</v>
      </c>
      <c r="E110" s="1"/>
      <c r="F110" s="5">
        <f t="shared" si="33"/>
        <v>0</v>
      </c>
      <c r="G110" s="1"/>
      <c r="H110" s="1">
        <f>SUM(OSRRefH22_3x_0)</f>
        <v>0</v>
      </c>
      <c r="I110" s="1"/>
      <c r="J110" s="5">
        <f t="shared" si="34"/>
        <v>0</v>
      </c>
      <c r="K110" s="1"/>
      <c r="L110" s="1">
        <f t="shared" si="35"/>
        <v>0</v>
      </c>
      <c r="M110" s="1"/>
      <c r="N110" s="5">
        <f t="shared" si="36"/>
        <v>0</v>
      </c>
      <c r="O110" s="12"/>
      <c r="P110" s="1">
        <f>SUM(OSRRefP22_3x_0)</f>
        <v>-55.84</v>
      </c>
      <c r="Q110" s="1"/>
      <c r="R110" s="5">
        <f t="shared" si="37"/>
        <v>-6.7097827081810142E-5</v>
      </c>
      <c r="S110" s="1"/>
      <c r="T110" s="1">
        <f>SUM(OSRRefT22_3x_0)</f>
        <v>0</v>
      </c>
      <c r="U110" s="1"/>
      <c r="V110" s="5">
        <f t="shared" si="38"/>
        <v>0</v>
      </c>
      <c r="W110" s="1"/>
      <c r="X110" s="1">
        <f t="shared" si="39"/>
        <v>-55.84</v>
      </c>
      <c r="Y110" s="1"/>
      <c r="Z110" s="5">
        <f t="shared" si="40"/>
        <v>0</v>
      </c>
    </row>
    <row r="111" spans="1:26" s="24" customFormat="1" hidden="1" outlineLevel="2" x14ac:dyDescent="0.25">
      <c r="A111" s="27"/>
      <c r="B111" s="11" t="str">
        <f>CONCATENATE("          ", "6272", " - ", "CASH (OVER/SHORT)")</f>
        <v xml:space="preserve">          6272 - CASH (OVER/SHORT)</v>
      </c>
      <c r="C111" s="11"/>
      <c r="D111" s="6"/>
      <c r="E111" s="2"/>
      <c r="F111" s="7">
        <f t="shared" si="33"/>
        <v>0</v>
      </c>
      <c r="G111" s="2"/>
      <c r="H111" s="6"/>
      <c r="I111" s="2"/>
      <c r="J111" s="7">
        <f t="shared" si="34"/>
        <v>0</v>
      </c>
      <c r="K111" s="2"/>
      <c r="L111" s="6">
        <f t="shared" si="35"/>
        <v>0</v>
      </c>
      <c r="M111" s="2"/>
      <c r="N111" s="7">
        <f t="shared" si="36"/>
        <v>0</v>
      </c>
      <c r="O111" s="11"/>
      <c r="P111" s="6">
        <v>-55.84</v>
      </c>
      <c r="Q111" s="2"/>
      <c r="R111" s="7">
        <f t="shared" si="37"/>
        <v>-6.7097827081810142E-5</v>
      </c>
      <c r="S111" s="2"/>
      <c r="T111" s="6"/>
      <c r="U111" s="2"/>
      <c r="V111" s="7">
        <f t="shared" si="38"/>
        <v>0</v>
      </c>
      <c r="W111" s="2"/>
      <c r="X111" s="6">
        <f t="shared" si="39"/>
        <v>-55.84</v>
      </c>
      <c r="Y111" s="2"/>
      <c r="Z111" s="7">
        <f t="shared" si="40"/>
        <v>0</v>
      </c>
    </row>
    <row r="112" spans="1:26" s="26" customFormat="1" outlineLevel="1" collapsed="1" x14ac:dyDescent="0.25">
      <c r="A112" s="25"/>
      <c r="B112" s="12" t="str">
        <f>CONCATENATE("     ","Discounts and Markdowns                           ")</f>
        <v xml:space="preserve">     Discounts and Markdowns                           </v>
      </c>
      <c r="C112" s="12"/>
      <c r="D112" s="1">
        <f>SUM(OSRRefD22_4x_0)</f>
        <v>4841.82</v>
      </c>
      <c r="E112" s="1"/>
      <c r="F112" s="5">
        <f t="shared" si="33"/>
        <v>0.45957105107294183</v>
      </c>
      <c r="G112" s="1"/>
      <c r="H112" s="1">
        <f>SUM(OSRRefH22_4x_0)</f>
        <v>2500</v>
      </c>
      <c r="I112" s="1"/>
      <c r="J112" s="5">
        <f t="shared" si="34"/>
        <v>0.18001152073732718</v>
      </c>
      <c r="K112" s="1"/>
      <c r="L112" s="1">
        <f t="shared" si="35"/>
        <v>2341.8199999999997</v>
      </c>
      <c r="M112" s="1"/>
      <c r="N112" s="5">
        <f t="shared" si="36"/>
        <v>0.93672799999999989</v>
      </c>
      <c r="O112" s="12"/>
      <c r="P112" s="1">
        <f>SUM(OSRRefP22_4x_0)</f>
        <v>25704.85</v>
      </c>
      <c r="Q112" s="1"/>
      <c r="R112" s="5">
        <f t="shared" si="37"/>
        <v>3.0887170137246903E-2</v>
      </c>
      <c r="S112" s="1"/>
      <c r="T112" s="1">
        <f>SUM(OSRRefT22_4x_0)</f>
        <v>30000</v>
      </c>
      <c r="U112" s="1"/>
      <c r="V112" s="5">
        <f t="shared" si="38"/>
        <v>2.8390298467207784E-2</v>
      </c>
      <c r="W112" s="1"/>
      <c r="X112" s="1">
        <f t="shared" si="39"/>
        <v>-4295.1500000000015</v>
      </c>
      <c r="Y112" s="1"/>
      <c r="Z112" s="5">
        <f t="shared" si="40"/>
        <v>-0.14317166666666672</v>
      </c>
    </row>
    <row r="113" spans="1:26" s="24" customFormat="1" hidden="1" outlineLevel="2" x14ac:dyDescent="0.25">
      <c r="A113" s="27"/>
      <c r="B113" s="11" t="str">
        <f>CONCATENATE("          ", "6382", " - ", "DISCOUNTS/MARK DOWNS")</f>
        <v xml:space="preserve">          6382 - DISCOUNTS/MARK DOWNS</v>
      </c>
      <c r="C113" s="11"/>
      <c r="D113" s="6">
        <v>4841.82</v>
      </c>
      <c r="E113" s="2"/>
      <c r="F113" s="7">
        <f t="shared" si="33"/>
        <v>0.45957105107294183</v>
      </c>
      <c r="G113" s="2"/>
      <c r="H113" s="6">
        <v>2500</v>
      </c>
      <c r="I113" s="2"/>
      <c r="J113" s="7">
        <f t="shared" si="34"/>
        <v>0.18001152073732718</v>
      </c>
      <c r="K113" s="2"/>
      <c r="L113" s="6">
        <f t="shared" si="35"/>
        <v>2341.8199999999997</v>
      </c>
      <c r="M113" s="2"/>
      <c r="N113" s="7">
        <f t="shared" si="36"/>
        <v>0.93672799999999989</v>
      </c>
      <c r="O113" s="11"/>
      <c r="P113" s="6">
        <v>25704.85</v>
      </c>
      <c r="Q113" s="2"/>
      <c r="R113" s="7">
        <f t="shared" si="37"/>
        <v>3.0887170137246903E-2</v>
      </c>
      <c r="S113" s="2"/>
      <c r="T113" s="6">
        <v>30000</v>
      </c>
      <c r="U113" s="2"/>
      <c r="V113" s="7">
        <f t="shared" si="38"/>
        <v>2.8390298467207784E-2</v>
      </c>
      <c r="W113" s="2"/>
      <c r="X113" s="6">
        <f t="shared" si="39"/>
        <v>-4295.1500000000015</v>
      </c>
      <c r="Y113" s="2"/>
      <c r="Z113" s="7">
        <f t="shared" si="40"/>
        <v>-0.14317166666666672</v>
      </c>
    </row>
    <row r="114" spans="1:26" s="24" customFormat="1" hidden="1" outlineLevel="2" x14ac:dyDescent="0.25">
      <c r="A114" s="27"/>
      <c r="B114" s="11" t="str">
        <f>CONCATENATE("          ", "9175", " - ", "EARNED DISCOUNTS")</f>
        <v xml:space="preserve">          9175 - EARNED DISCOUNTS</v>
      </c>
      <c r="C114" s="11"/>
      <c r="D114" s="6"/>
      <c r="E114" s="2"/>
      <c r="F114" s="7">
        <f t="shared" si="33"/>
        <v>0</v>
      </c>
      <c r="G114" s="2"/>
      <c r="H114" s="6"/>
      <c r="I114" s="2"/>
      <c r="J114" s="7">
        <f t="shared" si="34"/>
        <v>0</v>
      </c>
      <c r="K114" s="2"/>
      <c r="L114" s="6">
        <f t="shared" si="35"/>
        <v>0</v>
      </c>
      <c r="M114" s="2"/>
      <c r="N114" s="7">
        <f t="shared" si="36"/>
        <v>0</v>
      </c>
      <c r="O114" s="11"/>
      <c r="P114" s="6">
        <v>0</v>
      </c>
      <c r="Q114" s="2"/>
      <c r="R114" s="7">
        <f t="shared" si="37"/>
        <v>0</v>
      </c>
      <c r="S114" s="2"/>
      <c r="T114" s="6"/>
      <c r="U114" s="2"/>
      <c r="V114" s="7">
        <f t="shared" si="38"/>
        <v>0</v>
      </c>
      <c r="W114" s="2"/>
      <c r="X114" s="6">
        <f t="shared" si="39"/>
        <v>0</v>
      </c>
      <c r="Y114" s="2"/>
      <c r="Z114" s="7">
        <f t="shared" si="40"/>
        <v>0</v>
      </c>
    </row>
    <row r="115" spans="1:26" s="26" customFormat="1" outlineLevel="1" collapsed="1" x14ac:dyDescent="0.25">
      <c r="A115" s="25"/>
      <c r="B115" s="12" t="str">
        <f>CONCATENATE("     ","Employees' Appreciation                           ")</f>
        <v xml:space="preserve">     Employees' Appreciation                           </v>
      </c>
      <c r="C115" s="12"/>
      <c r="D115" s="1">
        <f>SUM(OSRRefD22_5x_0)</f>
        <v>0</v>
      </c>
      <c r="E115" s="1"/>
      <c r="F115" s="5">
        <f t="shared" ref="F115:F143" si="41">IF(D$12=0,0,D115/D$12)</f>
        <v>0</v>
      </c>
      <c r="G115" s="1"/>
      <c r="H115" s="1">
        <f>SUM(OSRRefH22_5x_0)</f>
        <v>50</v>
      </c>
      <c r="I115" s="1"/>
      <c r="J115" s="5">
        <f t="shared" ref="J115:J143" si="42">IF(H$12=0,0,H115/H$12)</f>
        <v>3.6002304147465438E-3</v>
      </c>
      <c r="K115" s="1"/>
      <c r="L115" s="1">
        <f t="shared" ref="L115:L143" si="43">+D115-H115</f>
        <v>-50</v>
      </c>
      <c r="M115" s="1"/>
      <c r="N115" s="5">
        <f t="shared" ref="N115:N143" si="44">IF(H115=0,0,L115/H115)</f>
        <v>-1</v>
      </c>
      <c r="O115" s="12"/>
      <c r="P115" s="1">
        <f>SUM(OSRRefP22_5x_0)</f>
        <v>0</v>
      </c>
      <c r="Q115" s="1"/>
      <c r="R115" s="5">
        <f t="shared" ref="R115:R143" si="45">IF(P$12=0,0,P115/P$12)</f>
        <v>0</v>
      </c>
      <c r="S115" s="1"/>
      <c r="T115" s="1">
        <f>SUM(OSRRefT22_5x_0)</f>
        <v>600</v>
      </c>
      <c r="U115" s="1"/>
      <c r="V115" s="5">
        <f t="shared" ref="V115:V143" si="46">IF(T$12=0,0,T115/T$12)</f>
        <v>5.6780596934415573E-4</v>
      </c>
      <c r="W115" s="1"/>
      <c r="X115" s="1">
        <f t="shared" ref="X115:X143" si="47">+P115-T115</f>
        <v>-600</v>
      </c>
      <c r="Y115" s="1"/>
      <c r="Z115" s="5">
        <f t="shared" ref="Z115:Z143" si="48">IF(T115=0,0,X115/T115)</f>
        <v>-1</v>
      </c>
    </row>
    <row r="116" spans="1:26" s="24" customFormat="1" hidden="1" outlineLevel="2" x14ac:dyDescent="0.25">
      <c r="A116" s="27"/>
      <c r="B116" s="11" t="str">
        <f>CONCATENATE("          ", "6277", " - ", "EMPLOYEE APPRECIATION")</f>
        <v xml:space="preserve">          6277 - EMPLOYEE APPRECIATION</v>
      </c>
      <c r="C116" s="11"/>
      <c r="D116" s="6"/>
      <c r="E116" s="2"/>
      <c r="F116" s="7">
        <f t="shared" si="41"/>
        <v>0</v>
      </c>
      <c r="G116" s="2"/>
      <c r="H116" s="6">
        <v>50</v>
      </c>
      <c r="I116" s="2"/>
      <c r="J116" s="7">
        <f t="shared" si="42"/>
        <v>3.6002304147465438E-3</v>
      </c>
      <c r="K116" s="2"/>
      <c r="L116" s="6">
        <f t="shared" si="43"/>
        <v>-50</v>
      </c>
      <c r="M116" s="2"/>
      <c r="N116" s="7">
        <f t="shared" si="44"/>
        <v>-1</v>
      </c>
      <c r="O116" s="11"/>
      <c r="P116" s="6"/>
      <c r="Q116" s="2"/>
      <c r="R116" s="7">
        <f t="shared" si="45"/>
        <v>0</v>
      </c>
      <c r="S116" s="2"/>
      <c r="T116" s="6">
        <v>600</v>
      </c>
      <c r="U116" s="2"/>
      <c r="V116" s="7">
        <f t="shared" si="46"/>
        <v>5.6780596934415573E-4</v>
      </c>
      <c r="W116" s="2"/>
      <c r="X116" s="6">
        <f t="shared" si="47"/>
        <v>-600</v>
      </c>
      <c r="Y116" s="2"/>
      <c r="Z116" s="7">
        <f t="shared" si="48"/>
        <v>-1</v>
      </c>
    </row>
    <row r="117" spans="1:26" s="26" customFormat="1" outlineLevel="1" collapsed="1" x14ac:dyDescent="0.25">
      <c r="A117" s="25"/>
      <c r="B117" s="12" t="str">
        <f>CONCATENATE("     ","Freight out/Postage                               ")</f>
        <v xml:space="preserve">     Freight out/Postage                               </v>
      </c>
      <c r="C117" s="12"/>
      <c r="D117" s="1">
        <f>SUM(OSRRefD22_6x_0)</f>
        <v>0</v>
      </c>
      <c r="E117" s="1"/>
      <c r="F117" s="5">
        <f t="shared" si="41"/>
        <v>0</v>
      </c>
      <c r="G117" s="1"/>
      <c r="H117" s="1">
        <f>SUM(OSRRefH22_6x_0)</f>
        <v>0</v>
      </c>
      <c r="I117" s="1"/>
      <c r="J117" s="5">
        <f t="shared" si="42"/>
        <v>0</v>
      </c>
      <c r="K117" s="1"/>
      <c r="L117" s="1">
        <f t="shared" si="43"/>
        <v>0</v>
      </c>
      <c r="M117" s="1"/>
      <c r="N117" s="5">
        <f t="shared" si="44"/>
        <v>0</v>
      </c>
      <c r="O117" s="12"/>
      <c r="P117" s="1">
        <f>SUM(OSRRefP22_6x_0)</f>
        <v>15.81</v>
      </c>
      <c r="Q117" s="1"/>
      <c r="R117" s="5">
        <f t="shared" si="45"/>
        <v>1.8997432775132847E-5</v>
      </c>
      <c r="S117" s="1"/>
      <c r="T117" s="1">
        <f>SUM(OSRRefT22_6x_0)</f>
        <v>0</v>
      </c>
      <c r="U117" s="1"/>
      <c r="V117" s="5">
        <f t="shared" si="46"/>
        <v>0</v>
      </c>
      <c r="W117" s="1"/>
      <c r="X117" s="1">
        <f t="shared" si="47"/>
        <v>15.81</v>
      </c>
      <c r="Y117" s="1"/>
      <c r="Z117" s="5">
        <f t="shared" si="48"/>
        <v>0</v>
      </c>
    </row>
    <row r="118" spans="1:26" s="24" customFormat="1" hidden="1" outlineLevel="2" x14ac:dyDescent="0.25">
      <c r="A118" s="27"/>
      <c r="B118" s="11" t="str">
        <f>CONCATENATE("          ", "6305", " - ", "FREIGHT OUT")</f>
        <v xml:space="preserve">          6305 - FREIGHT OUT</v>
      </c>
      <c r="C118" s="11"/>
      <c r="D118" s="6"/>
      <c r="E118" s="2"/>
      <c r="F118" s="7">
        <f t="shared" si="41"/>
        <v>0</v>
      </c>
      <c r="G118" s="2"/>
      <c r="H118" s="6"/>
      <c r="I118" s="2"/>
      <c r="J118" s="7">
        <f t="shared" si="42"/>
        <v>0</v>
      </c>
      <c r="K118" s="2"/>
      <c r="L118" s="6">
        <f t="shared" si="43"/>
        <v>0</v>
      </c>
      <c r="M118" s="2"/>
      <c r="N118" s="7">
        <f t="shared" si="44"/>
        <v>0</v>
      </c>
      <c r="O118" s="11"/>
      <c r="P118" s="6">
        <v>15.81</v>
      </c>
      <c r="Q118" s="2"/>
      <c r="R118" s="7">
        <f t="shared" si="45"/>
        <v>1.8997432775132847E-5</v>
      </c>
      <c r="S118" s="2"/>
      <c r="T118" s="6"/>
      <c r="U118" s="2"/>
      <c r="V118" s="7">
        <f t="shared" si="46"/>
        <v>0</v>
      </c>
      <c r="W118" s="2"/>
      <c r="X118" s="6">
        <f t="shared" si="47"/>
        <v>15.81</v>
      </c>
      <c r="Y118" s="2"/>
      <c r="Z118" s="7">
        <f t="shared" si="48"/>
        <v>0</v>
      </c>
    </row>
    <row r="119" spans="1:26" s="26" customFormat="1" outlineLevel="1" collapsed="1" x14ac:dyDescent="0.25">
      <c r="A119" s="25"/>
      <c r="B119" s="12" t="str">
        <f>CONCATENATE("     ","General                                           ")</f>
        <v xml:space="preserve">     General                                           </v>
      </c>
      <c r="C119" s="12"/>
      <c r="D119" s="1">
        <f>SUM(OSRRefD22_7x_0)</f>
        <v>0</v>
      </c>
      <c r="E119" s="1"/>
      <c r="F119" s="5">
        <f t="shared" si="41"/>
        <v>0</v>
      </c>
      <c r="G119" s="1"/>
      <c r="H119" s="1">
        <f>SUM(OSRRefH22_7x_0)</f>
        <v>80</v>
      </c>
      <c r="I119" s="1"/>
      <c r="J119" s="5">
        <f t="shared" si="42"/>
        <v>5.7603686635944703E-3</v>
      </c>
      <c r="K119" s="1"/>
      <c r="L119" s="1">
        <f t="shared" si="43"/>
        <v>-80</v>
      </c>
      <c r="M119" s="1"/>
      <c r="N119" s="5">
        <f t="shared" si="44"/>
        <v>-1</v>
      </c>
      <c r="O119" s="12"/>
      <c r="P119" s="1">
        <f>SUM(OSRRefP22_7x_0)</f>
        <v>954.05</v>
      </c>
      <c r="Q119" s="1"/>
      <c r="R119" s="5">
        <f t="shared" si="45"/>
        <v>1.1463947336568939E-3</v>
      </c>
      <c r="S119" s="1"/>
      <c r="T119" s="1">
        <f>SUM(OSRRefT22_7x_0)</f>
        <v>960</v>
      </c>
      <c r="U119" s="1"/>
      <c r="V119" s="5">
        <f t="shared" si="46"/>
        <v>9.084895509506491E-4</v>
      </c>
      <c r="W119" s="1"/>
      <c r="X119" s="1">
        <f t="shared" si="47"/>
        <v>-5.9500000000000455</v>
      </c>
      <c r="Y119" s="1"/>
      <c r="Z119" s="5">
        <f t="shared" si="48"/>
        <v>-6.1979166666667144E-3</v>
      </c>
    </row>
    <row r="120" spans="1:26" s="24" customFormat="1" hidden="1" outlineLevel="2" x14ac:dyDescent="0.25">
      <c r="A120" s="27"/>
      <c r="B120" s="11" t="str">
        <f>CONCATENATE("          ", "6279", " - ", "GENERAL EXPENSE")</f>
        <v xml:space="preserve">          6279 - GENERAL EXPENSE</v>
      </c>
      <c r="C120" s="11"/>
      <c r="D120" s="6"/>
      <c r="E120" s="2"/>
      <c r="F120" s="7">
        <f t="shared" si="41"/>
        <v>0</v>
      </c>
      <c r="G120" s="2"/>
      <c r="H120" s="6">
        <v>80</v>
      </c>
      <c r="I120" s="2"/>
      <c r="J120" s="7">
        <f t="shared" si="42"/>
        <v>5.7603686635944703E-3</v>
      </c>
      <c r="K120" s="2"/>
      <c r="L120" s="6">
        <f t="shared" si="43"/>
        <v>-80</v>
      </c>
      <c r="M120" s="2"/>
      <c r="N120" s="7">
        <f t="shared" si="44"/>
        <v>-1</v>
      </c>
      <c r="O120" s="11"/>
      <c r="P120" s="6">
        <v>954.05</v>
      </c>
      <c r="Q120" s="2"/>
      <c r="R120" s="7">
        <f t="shared" si="45"/>
        <v>1.1463947336568939E-3</v>
      </c>
      <c r="S120" s="2"/>
      <c r="T120" s="6">
        <v>960</v>
      </c>
      <c r="U120" s="2"/>
      <c r="V120" s="7">
        <f t="shared" si="46"/>
        <v>9.084895509506491E-4</v>
      </c>
      <c r="W120" s="2"/>
      <c r="X120" s="6">
        <f t="shared" si="47"/>
        <v>-5.9500000000000455</v>
      </c>
      <c r="Y120" s="2"/>
      <c r="Z120" s="7">
        <f t="shared" si="48"/>
        <v>-6.1979166666667144E-3</v>
      </c>
    </row>
    <row r="121" spans="1:26" s="26" customFormat="1" outlineLevel="1" collapsed="1" x14ac:dyDescent="0.25">
      <c r="A121" s="25"/>
      <c r="B121" s="12" t="str">
        <f>CONCATENATE("     ","Inventory Adjustment                              ")</f>
        <v xml:space="preserve">     Inventory Adjustment                              </v>
      </c>
      <c r="C121" s="12"/>
      <c r="D121" s="1">
        <f>SUM(OSRRefD22_8x_0)</f>
        <v>38127</v>
      </c>
      <c r="E121" s="1"/>
      <c r="F121" s="5">
        <f t="shared" si="41"/>
        <v>3.618900633286255</v>
      </c>
      <c r="G121" s="1"/>
      <c r="H121" s="1">
        <f>SUM(OSRRefH22_8x_0)</f>
        <v>15800</v>
      </c>
      <c r="I121" s="1"/>
      <c r="J121" s="5">
        <f t="shared" si="42"/>
        <v>1.1376728110599079</v>
      </c>
      <c r="K121" s="1"/>
      <c r="L121" s="1">
        <f t="shared" si="43"/>
        <v>22327</v>
      </c>
      <c r="M121" s="1"/>
      <c r="N121" s="5">
        <f t="shared" si="44"/>
        <v>1.4131012658227848</v>
      </c>
      <c r="O121" s="12"/>
      <c r="P121" s="1">
        <f>SUM(OSRRefP22_8x_0)</f>
        <v>38127</v>
      </c>
      <c r="Q121" s="1"/>
      <c r="R121" s="5">
        <f t="shared" si="45"/>
        <v>4.581373304348451E-2</v>
      </c>
      <c r="S121" s="1"/>
      <c r="T121" s="1">
        <f>SUM(OSRRefT22_8x_0)</f>
        <v>15800</v>
      </c>
      <c r="U121" s="1"/>
      <c r="V121" s="5">
        <f t="shared" si="46"/>
        <v>1.49522238593961E-2</v>
      </c>
      <c r="W121" s="1"/>
      <c r="X121" s="1">
        <f t="shared" si="47"/>
        <v>22327</v>
      </c>
      <c r="Y121" s="1"/>
      <c r="Z121" s="5">
        <f t="shared" si="48"/>
        <v>1.4131012658227848</v>
      </c>
    </row>
    <row r="122" spans="1:26" s="24" customFormat="1" hidden="1" outlineLevel="2" x14ac:dyDescent="0.25">
      <c r="A122" s="27"/>
      <c r="B122" s="11" t="str">
        <f>CONCATENATE("          ", "6408", " - ", "INVENTORY ADJUSTMENT")</f>
        <v xml:space="preserve">          6408 - INVENTORY ADJUSTMENT</v>
      </c>
      <c r="C122" s="11"/>
      <c r="D122" s="6"/>
      <c r="E122" s="2"/>
      <c r="F122" s="7">
        <f t="shared" si="41"/>
        <v>0</v>
      </c>
      <c r="G122" s="2"/>
      <c r="H122" s="6">
        <v>15800</v>
      </c>
      <c r="I122" s="2"/>
      <c r="J122" s="7">
        <f t="shared" si="42"/>
        <v>1.1376728110599079</v>
      </c>
      <c r="K122" s="2"/>
      <c r="L122" s="6">
        <f t="shared" si="43"/>
        <v>-15800</v>
      </c>
      <c r="M122" s="2"/>
      <c r="N122" s="7">
        <f t="shared" si="44"/>
        <v>-1</v>
      </c>
      <c r="O122" s="11"/>
      <c r="P122" s="6"/>
      <c r="Q122" s="2"/>
      <c r="R122" s="7">
        <f t="shared" si="45"/>
        <v>0</v>
      </c>
      <c r="S122" s="2"/>
      <c r="T122" s="6">
        <v>15800</v>
      </c>
      <c r="U122" s="2"/>
      <c r="V122" s="7">
        <f t="shared" si="46"/>
        <v>1.49522238593961E-2</v>
      </c>
      <c r="W122" s="2"/>
      <c r="X122" s="6">
        <f t="shared" si="47"/>
        <v>-15800</v>
      </c>
      <c r="Y122" s="2"/>
      <c r="Z122" s="7">
        <f t="shared" si="48"/>
        <v>-1</v>
      </c>
    </row>
    <row r="123" spans="1:26" s="24" customFormat="1" hidden="1" outlineLevel="2" x14ac:dyDescent="0.25">
      <c r="A123" s="27"/>
      <c r="B123" s="11" t="str">
        <f>CONCATENATE("          ", "7713", " - ", "INV. SHRINKAGE-TRADE BOOKS")</f>
        <v xml:space="preserve">          7713 - INV. SHRINKAGE-TRADE BOOKS</v>
      </c>
      <c r="C123" s="11"/>
      <c r="D123" s="6">
        <v>37</v>
      </c>
      <c r="E123" s="2"/>
      <c r="F123" s="7">
        <f t="shared" si="41"/>
        <v>3.5119291691345094E-3</v>
      </c>
      <c r="G123" s="2"/>
      <c r="H123" s="6"/>
      <c r="I123" s="2"/>
      <c r="J123" s="7">
        <f t="shared" si="42"/>
        <v>0</v>
      </c>
      <c r="K123" s="2"/>
      <c r="L123" s="6">
        <f t="shared" si="43"/>
        <v>37</v>
      </c>
      <c r="M123" s="2"/>
      <c r="N123" s="7">
        <f t="shared" si="44"/>
        <v>0</v>
      </c>
      <c r="O123" s="11"/>
      <c r="P123" s="6">
        <v>37</v>
      </c>
      <c r="Q123" s="2"/>
      <c r="R123" s="7">
        <f t="shared" si="45"/>
        <v>4.4459520093606287E-5</v>
      </c>
      <c r="S123" s="2"/>
      <c r="T123" s="6"/>
      <c r="U123" s="2"/>
      <c r="V123" s="7">
        <f t="shared" si="46"/>
        <v>0</v>
      </c>
      <c r="W123" s="2"/>
      <c r="X123" s="6">
        <f t="shared" si="47"/>
        <v>37</v>
      </c>
      <c r="Y123" s="2"/>
      <c r="Z123" s="7">
        <f t="shared" si="48"/>
        <v>0</v>
      </c>
    </row>
    <row r="124" spans="1:26" s="24" customFormat="1" hidden="1" outlineLevel="2" x14ac:dyDescent="0.25">
      <c r="A124" s="27"/>
      <c r="B124" s="11" t="str">
        <f>CONCATENATE("          ", "7714", " - ", "INV. SHRINKAGE-REMAINDERS")</f>
        <v xml:space="preserve">          7714 - INV. SHRINKAGE-REMAINDERS</v>
      </c>
      <c r="C124" s="11"/>
      <c r="D124" s="6">
        <v>33</v>
      </c>
      <c r="E124" s="2"/>
      <c r="F124" s="7">
        <f t="shared" si="41"/>
        <v>3.1322611508496976E-3</v>
      </c>
      <c r="G124" s="2"/>
      <c r="H124" s="6"/>
      <c r="I124" s="2"/>
      <c r="J124" s="7">
        <f t="shared" si="42"/>
        <v>0</v>
      </c>
      <c r="K124" s="2"/>
      <c r="L124" s="6">
        <f t="shared" si="43"/>
        <v>33</v>
      </c>
      <c r="M124" s="2"/>
      <c r="N124" s="7">
        <f t="shared" si="44"/>
        <v>0</v>
      </c>
      <c r="O124" s="11"/>
      <c r="P124" s="6">
        <v>33</v>
      </c>
      <c r="Q124" s="2"/>
      <c r="R124" s="7">
        <f t="shared" si="45"/>
        <v>3.965308548889209E-5</v>
      </c>
      <c r="S124" s="2"/>
      <c r="T124" s="6"/>
      <c r="U124" s="2"/>
      <c r="V124" s="7">
        <f t="shared" si="46"/>
        <v>0</v>
      </c>
      <c r="W124" s="2"/>
      <c r="X124" s="6">
        <f t="shared" si="47"/>
        <v>33</v>
      </c>
      <c r="Y124" s="2"/>
      <c r="Z124" s="7">
        <f t="shared" si="48"/>
        <v>0</v>
      </c>
    </row>
    <row r="125" spans="1:26" s="24" customFormat="1" hidden="1" outlineLevel="2" x14ac:dyDescent="0.25">
      <c r="A125" s="27"/>
      <c r="B125" s="11" t="str">
        <f>CONCATENATE("          ", "7717", " - ", "INV. SHRINKAGE-DORM/HOUSEWARES")</f>
        <v xml:space="preserve">          7717 - INV. SHRINKAGE-DORM/HOUSEWARES</v>
      </c>
      <c r="C125" s="11"/>
      <c r="D125" s="6">
        <v>-254</v>
      </c>
      <c r="E125" s="2"/>
      <c r="F125" s="7">
        <f t="shared" si="41"/>
        <v>-2.4108919161085551E-2</v>
      </c>
      <c r="G125" s="2"/>
      <c r="H125" s="6"/>
      <c r="I125" s="2"/>
      <c r="J125" s="7">
        <f t="shared" si="42"/>
        <v>0</v>
      </c>
      <c r="K125" s="2"/>
      <c r="L125" s="6">
        <f t="shared" si="43"/>
        <v>-254</v>
      </c>
      <c r="M125" s="2"/>
      <c r="N125" s="7">
        <f t="shared" si="44"/>
        <v>0</v>
      </c>
      <c r="O125" s="11"/>
      <c r="P125" s="6">
        <v>-254</v>
      </c>
      <c r="Q125" s="2"/>
      <c r="R125" s="7">
        <f t="shared" si="45"/>
        <v>-3.0520859739935124E-4</v>
      </c>
      <c r="S125" s="2"/>
      <c r="T125" s="6"/>
      <c r="U125" s="2"/>
      <c r="V125" s="7">
        <f t="shared" si="46"/>
        <v>0</v>
      </c>
      <c r="W125" s="2"/>
      <c r="X125" s="6">
        <f t="shared" si="47"/>
        <v>-254</v>
      </c>
      <c r="Y125" s="2"/>
      <c r="Z125" s="7">
        <f t="shared" si="48"/>
        <v>0</v>
      </c>
    </row>
    <row r="126" spans="1:26" s="24" customFormat="1" hidden="1" outlineLevel="2" x14ac:dyDescent="0.25">
      <c r="A126" s="27"/>
      <c r="B126" s="11" t="str">
        <f>CONCATENATE("          ", "7719", " - ", "INV. SHRINKAGE-BOOK RELATED")</f>
        <v xml:space="preserve">          7719 - INV. SHRINKAGE-BOOK RELATED</v>
      </c>
      <c r="C126" s="11"/>
      <c r="D126" s="6">
        <v>-43</v>
      </c>
      <c r="E126" s="2"/>
      <c r="F126" s="7">
        <f t="shared" si="41"/>
        <v>-4.0814311965617269E-3</v>
      </c>
      <c r="G126" s="2"/>
      <c r="H126" s="6"/>
      <c r="I126" s="2"/>
      <c r="J126" s="7">
        <f t="shared" si="42"/>
        <v>0</v>
      </c>
      <c r="K126" s="2"/>
      <c r="L126" s="6">
        <f t="shared" si="43"/>
        <v>-43</v>
      </c>
      <c r="M126" s="2"/>
      <c r="N126" s="7">
        <f t="shared" si="44"/>
        <v>0</v>
      </c>
      <c r="O126" s="11"/>
      <c r="P126" s="6">
        <v>-43</v>
      </c>
      <c r="Q126" s="2"/>
      <c r="R126" s="7">
        <f t="shared" si="45"/>
        <v>-5.1669172000677572E-5</v>
      </c>
      <c r="S126" s="2"/>
      <c r="T126" s="6"/>
      <c r="U126" s="2"/>
      <c r="V126" s="7">
        <f t="shared" si="46"/>
        <v>0</v>
      </c>
      <c r="W126" s="2"/>
      <c r="X126" s="6">
        <f t="shared" si="47"/>
        <v>-43</v>
      </c>
      <c r="Y126" s="2"/>
      <c r="Z126" s="7">
        <f t="shared" si="48"/>
        <v>0</v>
      </c>
    </row>
    <row r="127" spans="1:26" s="24" customFormat="1" hidden="1" outlineLevel="2" x14ac:dyDescent="0.25">
      <c r="A127" s="27"/>
      <c r="B127" s="11" t="str">
        <f>CONCATENATE("          ", "7725", " - ", "INV. SHRINKAGE-TEST FORMS")</f>
        <v xml:space="preserve">          7725 - INV. SHRINKAGE-TEST FORMS</v>
      </c>
      <c r="C127" s="11"/>
      <c r="D127" s="6">
        <v>3987</v>
      </c>
      <c r="E127" s="2"/>
      <c r="F127" s="7">
        <f t="shared" si="41"/>
        <v>0.37843409722538618</v>
      </c>
      <c r="G127" s="2"/>
      <c r="H127" s="6"/>
      <c r="I127" s="2"/>
      <c r="J127" s="7">
        <f t="shared" si="42"/>
        <v>0</v>
      </c>
      <c r="K127" s="2"/>
      <c r="L127" s="6">
        <f t="shared" si="43"/>
        <v>3987</v>
      </c>
      <c r="M127" s="2"/>
      <c r="N127" s="7">
        <f t="shared" si="44"/>
        <v>0</v>
      </c>
      <c r="O127" s="11"/>
      <c r="P127" s="6">
        <v>3987</v>
      </c>
      <c r="Q127" s="2"/>
      <c r="R127" s="7">
        <f t="shared" si="45"/>
        <v>4.7908136922488716E-3</v>
      </c>
      <c r="S127" s="2"/>
      <c r="T127" s="6"/>
      <c r="U127" s="2"/>
      <c r="V127" s="7">
        <f t="shared" si="46"/>
        <v>0</v>
      </c>
      <c r="W127" s="2"/>
      <c r="X127" s="6">
        <f t="shared" si="47"/>
        <v>3987</v>
      </c>
      <c r="Y127" s="2"/>
      <c r="Z127" s="7">
        <f t="shared" si="48"/>
        <v>0</v>
      </c>
    </row>
    <row r="128" spans="1:26" s="24" customFormat="1" hidden="1" outlineLevel="2" x14ac:dyDescent="0.25">
      <c r="A128" s="27"/>
      <c r="B128" s="11" t="str">
        <f>CONCATENATE("          ", "7726", " - ", "INV. SHRINKAGE-WRITING INSTRUM")</f>
        <v xml:space="preserve">          7726 - INV. SHRINKAGE-WRITING INSTRUM</v>
      </c>
      <c r="C128" s="11"/>
      <c r="D128" s="6">
        <v>6811</v>
      </c>
      <c r="E128" s="2"/>
      <c r="F128" s="7">
        <f t="shared" si="41"/>
        <v>0.64647971813446325</v>
      </c>
      <c r="G128" s="2"/>
      <c r="H128" s="6"/>
      <c r="I128" s="2"/>
      <c r="J128" s="7">
        <f t="shared" si="42"/>
        <v>0</v>
      </c>
      <c r="K128" s="2"/>
      <c r="L128" s="6">
        <f t="shared" si="43"/>
        <v>6811</v>
      </c>
      <c r="M128" s="2"/>
      <c r="N128" s="7">
        <f t="shared" si="44"/>
        <v>0</v>
      </c>
      <c r="O128" s="11"/>
      <c r="P128" s="6">
        <v>6811</v>
      </c>
      <c r="Q128" s="2"/>
      <c r="R128" s="7">
        <f t="shared" si="45"/>
        <v>8.1841565231770916E-3</v>
      </c>
      <c r="S128" s="2"/>
      <c r="T128" s="6"/>
      <c r="U128" s="2"/>
      <c r="V128" s="7">
        <f t="shared" si="46"/>
        <v>0</v>
      </c>
      <c r="W128" s="2"/>
      <c r="X128" s="6">
        <f t="shared" si="47"/>
        <v>6811</v>
      </c>
      <c r="Y128" s="2"/>
      <c r="Z128" s="7">
        <f t="shared" si="48"/>
        <v>0</v>
      </c>
    </row>
    <row r="129" spans="1:26" s="24" customFormat="1" hidden="1" outlineLevel="2" x14ac:dyDescent="0.25">
      <c r="A129" s="27"/>
      <c r="B129" s="11" t="str">
        <f>CONCATENATE("          ", "7727", " - ", "INV. SHRINKAGE-SCHOOL SUPPLIES")</f>
        <v xml:space="preserve">          7727 - INV. SHRINKAGE-SCHOOL SUPPLIES</v>
      </c>
      <c r="C129" s="11"/>
      <c r="D129" s="6">
        <v>9438</v>
      </c>
      <c r="E129" s="2"/>
      <c r="F129" s="7">
        <f t="shared" si="41"/>
        <v>0.89582668914301344</v>
      </c>
      <c r="G129" s="2"/>
      <c r="H129" s="6"/>
      <c r="I129" s="2"/>
      <c r="J129" s="7">
        <f t="shared" si="42"/>
        <v>0</v>
      </c>
      <c r="K129" s="2"/>
      <c r="L129" s="6">
        <f t="shared" si="43"/>
        <v>9438</v>
      </c>
      <c r="M129" s="2"/>
      <c r="N129" s="7">
        <f t="shared" si="44"/>
        <v>0</v>
      </c>
      <c r="O129" s="11"/>
      <c r="P129" s="6">
        <v>9438</v>
      </c>
      <c r="Q129" s="2"/>
      <c r="R129" s="7">
        <f t="shared" si="45"/>
        <v>1.1340782449823138E-2</v>
      </c>
      <c r="S129" s="2"/>
      <c r="T129" s="6"/>
      <c r="U129" s="2"/>
      <c r="V129" s="7">
        <f t="shared" si="46"/>
        <v>0</v>
      </c>
      <c r="W129" s="2"/>
      <c r="X129" s="6">
        <f t="shared" si="47"/>
        <v>9438</v>
      </c>
      <c r="Y129" s="2"/>
      <c r="Z129" s="7">
        <f t="shared" si="48"/>
        <v>0</v>
      </c>
    </row>
    <row r="130" spans="1:26" s="24" customFormat="1" hidden="1" outlineLevel="2" x14ac:dyDescent="0.25">
      <c r="A130" s="27"/>
      <c r="B130" s="11" t="str">
        <f>CONCATENATE("          ", "7728", " - ", "INV. SHRINKAGE-ART/TECH")</f>
        <v xml:space="preserve">          7728 - INV. SHRINKAGE-ART/TECH</v>
      </c>
      <c r="C130" s="11"/>
      <c r="D130" s="6">
        <v>8990</v>
      </c>
      <c r="E130" s="2"/>
      <c r="F130" s="7">
        <f t="shared" si="41"/>
        <v>0.85330387109511452</v>
      </c>
      <c r="G130" s="2"/>
      <c r="H130" s="6"/>
      <c r="I130" s="2"/>
      <c r="J130" s="7">
        <f t="shared" si="42"/>
        <v>0</v>
      </c>
      <c r="K130" s="2"/>
      <c r="L130" s="6">
        <f t="shared" si="43"/>
        <v>8990</v>
      </c>
      <c r="M130" s="2"/>
      <c r="N130" s="7">
        <f t="shared" si="44"/>
        <v>0</v>
      </c>
      <c r="O130" s="11"/>
      <c r="P130" s="6">
        <v>8990</v>
      </c>
      <c r="Q130" s="2"/>
      <c r="R130" s="7">
        <f t="shared" si="45"/>
        <v>1.0802461774095148E-2</v>
      </c>
      <c r="S130" s="2"/>
      <c r="T130" s="6"/>
      <c r="U130" s="2"/>
      <c r="V130" s="7">
        <f t="shared" si="46"/>
        <v>0</v>
      </c>
      <c r="W130" s="2"/>
      <c r="X130" s="6">
        <f t="shared" si="47"/>
        <v>8990</v>
      </c>
      <c r="Y130" s="2"/>
      <c r="Z130" s="7">
        <f t="shared" si="48"/>
        <v>0</v>
      </c>
    </row>
    <row r="131" spans="1:26" s="24" customFormat="1" hidden="1" outlineLevel="2" x14ac:dyDescent="0.25">
      <c r="A131" s="27"/>
      <c r="B131" s="11" t="str">
        <f>CONCATENATE("          ", "7731", " - ", "INV. SHRINKAGE-FOOD")</f>
        <v xml:space="preserve">          7731 - INV. SHRINKAGE-FOOD</v>
      </c>
      <c r="C131" s="11"/>
      <c r="D131" s="6">
        <v>6964</v>
      </c>
      <c r="E131" s="2"/>
      <c r="F131" s="7">
        <f t="shared" si="41"/>
        <v>0.66100201983385731</v>
      </c>
      <c r="G131" s="2"/>
      <c r="H131" s="6"/>
      <c r="I131" s="2"/>
      <c r="J131" s="7">
        <f t="shared" si="42"/>
        <v>0</v>
      </c>
      <c r="K131" s="2"/>
      <c r="L131" s="6">
        <f t="shared" si="43"/>
        <v>6964</v>
      </c>
      <c r="M131" s="2"/>
      <c r="N131" s="7">
        <f t="shared" si="44"/>
        <v>0</v>
      </c>
      <c r="O131" s="11"/>
      <c r="P131" s="6">
        <v>6964</v>
      </c>
      <c r="Q131" s="2"/>
      <c r="R131" s="7">
        <f t="shared" si="45"/>
        <v>8.3680026468074091E-3</v>
      </c>
      <c r="S131" s="2"/>
      <c r="T131" s="6"/>
      <c r="U131" s="2"/>
      <c r="V131" s="7">
        <f t="shared" si="46"/>
        <v>0</v>
      </c>
      <c r="W131" s="2"/>
      <c r="X131" s="6">
        <f t="shared" si="47"/>
        <v>6964</v>
      </c>
      <c r="Y131" s="2"/>
      <c r="Z131" s="7">
        <f t="shared" si="48"/>
        <v>0</v>
      </c>
    </row>
    <row r="132" spans="1:26" s="24" customFormat="1" hidden="1" outlineLevel="2" x14ac:dyDescent="0.25">
      <c r="A132" s="27"/>
      <c r="B132" s="11" t="str">
        <f>CONCATENATE("          ", "7732", " - ", "INV. SHRINKAGE-JUICE")</f>
        <v xml:space="preserve">          7732 - INV. SHRINKAGE-JUICE</v>
      </c>
      <c r="C132" s="11"/>
      <c r="D132" s="6">
        <v>-1942</v>
      </c>
      <c r="E132" s="2"/>
      <c r="F132" s="7">
        <f t="shared" si="41"/>
        <v>-0.18432882287727614</v>
      </c>
      <c r="G132" s="2"/>
      <c r="H132" s="6"/>
      <c r="I132" s="2"/>
      <c r="J132" s="7">
        <f t="shared" si="42"/>
        <v>0</v>
      </c>
      <c r="K132" s="2"/>
      <c r="L132" s="6">
        <f t="shared" si="43"/>
        <v>-1942</v>
      </c>
      <c r="M132" s="2"/>
      <c r="N132" s="7">
        <f t="shared" si="44"/>
        <v>0</v>
      </c>
      <c r="O132" s="11"/>
      <c r="P132" s="6">
        <v>-1942</v>
      </c>
      <c r="Q132" s="2"/>
      <c r="R132" s="7">
        <f t="shared" si="45"/>
        <v>-2.3335240005887404E-3</v>
      </c>
      <c r="S132" s="2"/>
      <c r="T132" s="6"/>
      <c r="U132" s="2"/>
      <c r="V132" s="7">
        <f t="shared" si="46"/>
        <v>0</v>
      </c>
      <c r="W132" s="2"/>
      <c r="X132" s="6">
        <f t="shared" si="47"/>
        <v>-1942</v>
      </c>
      <c r="Y132" s="2"/>
      <c r="Z132" s="7">
        <f t="shared" si="48"/>
        <v>0</v>
      </c>
    </row>
    <row r="133" spans="1:26" s="24" customFormat="1" hidden="1" outlineLevel="2" x14ac:dyDescent="0.25">
      <c r="A133" s="27"/>
      <c r="B133" s="11" t="str">
        <f>CONCATENATE("          ", "7733", " - ", "INV. SHRINKAGE-CANDY")</f>
        <v xml:space="preserve">          7733 - INV. SHRINKAGE-CANDY</v>
      </c>
      <c r="C133" s="11"/>
      <c r="D133" s="6">
        <v>2710</v>
      </c>
      <c r="E133" s="2"/>
      <c r="F133" s="7">
        <f t="shared" si="41"/>
        <v>0.25722508238795999</v>
      </c>
      <c r="G133" s="2"/>
      <c r="H133" s="6"/>
      <c r="I133" s="2"/>
      <c r="J133" s="7">
        <f t="shared" si="42"/>
        <v>0</v>
      </c>
      <c r="K133" s="2"/>
      <c r="L133" s="6">
        <f t="shared" si="43"/>
        <v>2710</v>
      </c>
      <c r="M133" s="2"/>
      <c r="N133" s="7">
        <f t="shared" si="44"/>
        <v>0</v>
      </c>
      <c r="O133" s="11"/>
      <c r="P133" s="6">
        <v>2710</v>
      </c>
      <c r="Q133" s="2"/>
      <c r="R133" s="7">
        <f t="shared" si="45"/>
        <v>3.2563594446938658E-3</v>
      </c>
      <c r="S133" s="2"/>
      <c r="T133" s="6"/>
      <c r="U133" s="2"/>
      <c r="V133" s="7">
        <f t="shared" si="46"/>
        <v>0</v>
      </c>
      <c r="W133" s="2"/>
      <c r="X133" s="6">
        <f t="shared" si="47"/>
        <v>2710</v>
      </c>
      <c r="Y133" s="2"/>
      <c r="Z133" s="7">
        <f t="shared" si="48"/>
        <v>0</v>
      </c>
    </row>
    <row r="134" spans="1:26" s="24" customFormat="1" hidden="1" outlineLevel="2" x14ac:dyDescent="0.25">
      <c r="A134" s="27"/>
      <c r="B134" s="11" t="str">
        <f>CONCATENATE("          ", "7734", " - ", "INV. SHRINKAGE-SODA")</f>
        <v xml:space="preserve">          7734 - INV. SHRINKAGE-SODA</v>
      </c>
      <c r="C134" s="11"/>
      <c r="D134" s="6">
        <v>1253</v>
      </c>
      <c r="E134" s="2"/>
      <c r="F134" s="7">
        <f t="shared" si="41"/>
        <v>0.11893100672771729</v>
      </c>
      <c r="G134" s="2"/>
      <c r="H134" s="6"/>
      <c r="I134" s="2"/>
      <c r="J134" s="7">
        <f t="shared" si="42"/>
        <v>0</v>
      </c>
      <c r="K134" s="2"/>
      <c r="L134" s="6">
        <f t="shared" si="43"/>
        <v>1253</v>
      </c>
      <c r="M134" s="2"/>
      <c r="N134" s="7">
        <f t="shared" si="44"/>
        <v>0</v>
      </c>
      <c r="O134" s="11"/>
      <c r="P134" s="6">
        <v>1253</v>
      </c>
      <c r="Q134" s="2"/>
      <c r="R134" s="7">
        <f t="shared" si="45"/>
        <v>1.5056156399267208E-3</v>
      </c>
      <c r="S134" s="2"/>
      <c r="T134" s="6"/>
      <c r="U134" s="2"/>
      <c r="V134" s="7">
        <f t="shared" si="46"/>
        <v>0</v>
      </c>
      <c r="W134" s="2"/>
      <c r="X134" s="6">
        <f t="shared" si="47"/>
        <v>1253</v>
      </c>
      <c r="Y134" s="2"/>
      <c r="Z134" s="7">
        <f t="shared" si="48"/>
        <v>0</v>
      </c>
    </row>
    <row r="135" spans="1:26" s="24" customFormat="1" hidden="1" outlineLevel="2" x14ac:dyDescent="0.25">
      <c r="A135" s="27"/>
      <c r="B135" s="11" t="str">
        <f>CONCATENATE("          ", "7735", " - ", "INV. SHRINKAGE-HEALTH/BEAUTY")</f>
        <v xml:space="preserve">          7735 - INV. SHRINKAGE-HEALTH/BEAUTY</v>
      </c>
      <c r="C135" s="11"/>
      <c r="D135" s="6">
        <v>369</v>
      </c>
      <c r="E135" s="2"/>
      <c r="F135" s="7">
        <f t="shared" si="41"/>
        <v>3.5024374686773892E-2</v>
      </c>
      <c r="G135" s="2"/>
      <c r="H135" s="6"/>
      <c r="I135" s="2"/>
      <c r="J135" s="7">
        <f t="shared" si="42"/>
        <v>0</v>
      </c>
      <c r="K135" s="2"/>
      <c r="L135" s="6">
        <f t="shared" si="43"/>
        <v>369</v>
      </c>
      <c r="M135" s="2"/>
      <c r="N135" s="7">
        <f t="shared" si="44"/>
        <v>0</v>
      </c>
      <c r="O135" s="11"/>
      <c r="P135" s="6">
        <v>369</v>
      </c>
      <c r="Q135" s="2"/>
      <c r="R135" s="7">
        <f t="shared" si="45"/>
        <v>4.4339359228488427E-4</v>
      </c>
      <c r="S135" s="2"/>
      <c r="T135" s="6"/>
      <c r="U135" s="2"/>
      <c r="V135" s="7">
        <f t="shared" si="46"/>
        <v>0</v>
      </c>
      <c r="W135" s="2"/>
      <c r="X135" s="6">
        <f t="shared" si="47"/>
        <v>369</v>
      </c>
      <c r="Y135" s="2"/>
      <c r="Z135" s="7">
        <f t="shared" si="48"/>
        <v>0</v>
      </c>
    </row>
    <row r="136" spans="1:26" s="24" customFormat="1" hidden="1" outlineLevel="2" x14ac:dyDescent="0.25">
      <c r="A136" s="27"/>
      <c r="B136" s="11" t="str">
        <f>CONCATENATE("          ", "7737", " - ", "INV. SHRINKAGE-WATER")</f>
        <v xml:space="preserve">          7737 - INV. SHRINKAGE-WATER</v>
      </c>
      <c r="C136" s="11"/>
      <c r="D136" s="6">
        <v>832</v>
      </c>
      <c r="E136" s="2"/>
      <c r="F136" s="7">
        <f t="shared" si="41"/>
        <v>7.8970947803240862E-2</v>
      </c>
      <c r="G136" s="2"/>
      <c r="H136" s="6"/>
      <c r="I136" s="2"/>
      <c r="J136" s="7">
        <f t="shared" si="42"/>
        <v>0</v>
      </c>
      <c r="K136" s="2"/>
      <c r="L136" s="6">
        <f t="shared" si="43"/>
        <v>832</v>
      </c>
      <c r="M136" s="2"/>
      <c r="N136" s="7">
        <f t="shared" si="44"/>
        <v>0</v>
      </c>
      <c r="O136" s="11"/>
      <c r="P136" s="6">
        <v>832</v>
      </c>
      <c r="Q136" s="2"/>
      <c r="R136" s="7">
        <f t="shared" si="45"/>
        <v>9.99738397780552E-4</v>
      </c>
      <c r="S136" s="2"/>
      <c r="T136" s="6"/>
      <c r="U136" s="2"/>
      <c r="V136" s="7">
        <f t="shared" si="46"/>
        <v>0</v>
      </c>
      <c r="W136" s="2"/>
      <c r="X136" s="6">
        <f t="shared" si="47"/>
        <v>832</v>
      </c>
      <c r="Y136" s="2"/>
      <c r="Z136" s="7">
        <f t="shared" si="48"/>
        <v>0</v>
      </c>
    </row>
    <row r="137" spans="1:26" s="24" customFormat="1" hidden="1" outlineLevel="2" x14ac:dyDescent="0.25">
      <c r="A137" s="27"/>
      <c r="B137" s="11" t="str">
        <f>CONCATENATE("          ", "7741", " - ", "INV. SHRINKAGE-LOGO GIFTS")</f>
        <v xml:space="preserve">          7741 - INV. SHRINKAGE-LOGO GIFTS</v>
      </c>
      <c r="C137" s="11"/>
      <c r="D137" s="6">
        <v>-494</v>
      </c>
      <c r="E137" s="2"/>
      <c r="F137" s="7">
        <f t="shared" si="41"/>
        <v>-4.688900025817426E-2</v>
      </c>
      <c r="G137" s="2"/>
      <c r="H137" s="6"/>
      <c r="I137" s="2"/>
      <c r="J137" s="7">
        <f t="shared" si="42"/>
        <v>0</v>
      </c>
      <c r="K137" s="2"/>
      <c r="L137" s="6">
        <f t="shared" si="43"/>
        <v>-494</v>
      </c>
      <c r="M137" s="2"/>
      <c r="N137" s="7">
        <f t="shared" si="44"/>
        <v>0</v>
      </c>
      <c r="O137" s="11"/>
      <c r="P137" s="6">
        <v>-494</v>
      </c>
      <c r="Q137" s="2"/>
      <c r="R137" s="7">
        <f t="shared" si="45"/>
        <v>-5.9359467368220282E-4</v>
      </c>
      <c r="S137" s="2"/>
      <c r="T137" s="6"/>
      <c r="U137" s="2"/>
      <c r="V137" s="7">
        <f t="shared" si="46"/>
        <v>0</v>
      </c>
      <c r="W137" s="2"/>
      <c r="X137" s="6">
        <f t="shared" si="47"/>
        <v>-494</v>
      </c>
      <c r="Y137" s="2"/>
      <c r="Z137" s="7">
        <f t="shared" si="48"/>
        <v>0</v>
      </c>
    </row>
    <row r="138" spans="1:26" s="24" customFormat="1" hidden="1" outlineLevel="2" x14ac:dyDescent="0.25">
      <c r="A138" s="27"/>
      <c r="B138" s="11" t="str">
        <f>CONCATENATE("          ", "7742", " - ", "INV. SHRINKAGE-EVERYDAY GIFTS")</f>
        <v xml:space="preserve">          7742 - INV. SHRINKAGE-EVERYDAY GIFTS</v>
      </c>
      <c r="C138" s="11"/>
      <c r="D138" s="6">
        <v>-553</v>
      </c>
      <c r="E138" s="2"/>
      <c r="F138" s="7">
        <f t="shared" si="41"/>
        <v>-5.2489103527875232E-2</v>
      </c>
      <c r="G138" s="2"/>
      <c r="H138" s="6"/>
      <c r="I138" s="2"/>
      <c r="J138" s="7">
        <f t="shared" si="42"/>
        <v>0</v>
      </c>
      <c r="K138" s="2"/>
      <c r="L138" s="6">
        <f t="shared" si="43"/>
        <v>-553</v>
      </c>
      <c r="M138" s="2"/>
      <c r="N138" s="7">
        <f t="shared" si="44"/>
        <v>0</v>
      </c>
      <c r="O138" s="11"/>
      <c r="P138" s="6">
        <v>-553</v>
      </c>
      <c r="Q138" s="2"/>
      <c r="R138" s="7">
        <f t="shared" si="45"/>
        <v>-6.6448958410173713E-4</v>
      </c>
      <c r="S138" s="2"/>
      <c r="T138" s="6"/>
      <c r="U138" s="2"/>
      <c r="V138" s="7">
        <f t="shared" si="46"/>
        <v>0</v>
      </c>
      <c r="W138" s="2"/>
      <c r="X138" s="6">
        <f t="shared" si="47"/>
        <v>-553</v>
      </c>
      <c r="Y138" s="2"/>
      <c r="Z138" s="7">
        <f t="shared" si="48"/>
        <v>0</v>
      </c>
    </row>
    <row r="139" spans="1:26" s="24" customFormat="1" hidden="1" outlineLevel="2" x14ac:dyDescent="0.25">
      <c r="A139" s="27"/>
      <c r="B139" s="11" t="str">
        <f>CONCATENATE("          ", "7744", " - ", "INV. SHRINKAGE-ACCESSORIES")</f>
        <v xml:space="preserve">          7744 - INV. SHRINKAGE-ACCESSORIES</v>
      </c>
      <c r="C139" s="11"/>
      <c r="D139" s="6">
        <v>-180</v>
      </c>
      <c r="E139" s="2"/>
      <c r="F139" s="7">
        <f t="shared" si="41"/>
        <v>-1.7085060822816533E-2</v>
      </c>
      <c r="G139" s="2"/>
      <c r="H139" s="6"/>
      <c r="I139" s="2"/>
      <c r="J139" s="7">
        <f t="shared" si="42"/>
        <v>0</v>
      </c>
      <c r="K139" s="2"/>
      <c r="L139" s="6">
        <f t="shared" si="43"/>
        <v>-180</v>
      </c>
      <c r="M139" s="2"/>
      <c r="N139" s="7">
        <f t="shared" si="44"/>
        <v>0</v>
      </c>
      <c r="O139" s="11"/>
      <c r="P139" s="6">
        <v>-180</v>
      </c>
      <c r="Q139" s="2"/>
      <c r="R139" s="7">
        <f t="shared" si="45"/>
        <v>-2.1628955721213867E-4</v>
      </c>
      <c r="S139" s="2"/>
      <c r="T139" s="6"/>
      <c r="U139" s="2"/>
      <c r="V139" s="7">
        <f t="shared" si="46"/>
        <v>0</v>
      </c>
      <c r="W139" s="2"/>
      <c r="X139" s="6">
        <f t="shared" si="47"/>
        <v>-180</v>
      </c>
      <c r="Y139" s="2"/>
      <c r="Z139" s="7">
        <f t="shared" si="48"/>
        <v>0</v>
      </c>
    </row>
    <row r="140" spans="1:26" s="24" customFormat="1" hidden="1" outlineLevel="2" x14ac:dyDescent="0.25">
      <c r="A140" s="27"/>
      <c r="B140" s="11" t="str">
        <f>CONCATENATE("          ", "7781", " - ", "INV. SHRINKAGE-ELECTRONICS")</f>
        <v xml:space="preserve">          7781 - INV. SHRINKAGE-ELECTRONICS</v>
      </c>
      <c r="C140" s="11"/>
      <c r="D140" s="6">
        <v>-28</v>
      </c>
      <c r="E140" s="2"/>
      <c r="F140" s="7">
        <f t="shared" si="41"/>
        <v>-2.6576761279936828E-3</v>
      </c>
      <c r="G140" s="2"/>
      <c r="H140" s="6"/>
      <c r="I140" s="2"/>
      <c r="J140" s="7">
        <f t="shared" si="42"/>
        <v>0</v>
      </c>
      <c r="K140" s="2"/>
      <c r="L140" s="6">
        <f t="shared" si="43"/>
        <v>-28</v>
      </c>
      <c r="M140" s="2"/>
      <c r="N140" s="7">
        <f t="shared" si="44"/>
        <v>0</v>
      </c>
      <c r="O140" s="11"/>
      <c r="P140" s="6">
        <v>-28</v>
      </c>
      <c r="Q140" s="2"/>
      <c r="R140" s="7">
        <f t="shared" si="45"/>
        <v>-3.3645042232999352E-5</v>
      </c>
      <c r="S140" s="2"/>
      <c r="T140" s="6"/>
      <c r="U140" s="2"/>
      <c r="V140" s="7">
        <f t="shared" si="46"/>
        <v>0</v>
      </c>
      <c r="W140" s="2"/>
      <c r="X140" s="6">
        <f t="shared" si="47"/>
        <v>-28</v>
      </c>
      <c r="Y140" s="2"/>
      <c r="Z140" s="7">
        <f t="shared" si="48"/>
        <v>0</v>
      </c>
    </row>
    <row r="141" spans="1:26" s="24" customFormat="1" hidden="1" outlineLevel="2" x14ac:dyDescent="0.25">
      <c r="A141" s="27"/>
      <c r="B141" s="11" t="str">
        <f>CONCATENATE("          ", "7782", " - ", "INV. SHRINKAGE-COMPUTER HARDWA")</f>
        <v xml:space="preserve">          7782 - INV. SHRINKAGE-COMPUTER HARDWA</v>
      </c>
      <c r="C141" s="11"/>
      <c r="D141" s="6">
        <v>69</v>
      </c>
      <c r="E141" s="2"/>
      <c r="F141" s="7">
        <f t="shared" si="41"/>
        <v>6.5492733154130034E-3</v>
      </c>
      <c r="G141" s="2"/>
      <c r="H141" s="6"/>
      <c r="I141" s="2"/>
      <c r="J141" s="7">
        <f t="shared" si="42"/>
        <v>0</v>
      </c>
      <c r="K141" s="2"/>
      <c r="L141" s="6">
        <f t="shared" si="43"/>
        <v>69</v>
      </c>
      <c r="M141" s="2"/>
      <c r="N141" s="7">
        <f t="shared" si="44"/>
        <v>0</v>
      </c>
      <c r="O141" s="11"/>
      <c r="P141" s="6">
        <v>69</v>
      </c>
      <c r="Q141" s="2"/>
      <c r="R141" s="7">
        <f t="shared" si="45"/>
        <v>8.2910996931319822E-5</v>
      </c>
      <c r="S141" s="2"/>
      <c r="T141" s="6"/>
      <c r="U141" s="2"/>
      <c r="V141" s="7">
        <f t="shared" si="46"/>
        <v>0</v>
      </c>
      <c r="W141" s="2"/>
      <c r="X141" s="6">
        <f t="shared" si="47"/>
        <v>69</v>
      </c>
      <c r="Y141" s="2"/>
      <c r="Z141" s="7">
        <f t="shared" si="48"/>
        <v>0</v>
      </c>
    </row>
    <row r="142" spans="1:26" s="24" customFormat="1" hidden="1" outlineLevel="2" x14ac:dyDescent="0.25">
      <c r="A142" s="27"/>
      <c r="B142" s="11" t="str">
        <f>CONCATENATE("          ", "7783", " - ", "INV. SHRINKAGE-COMPUTER EQUIPM")</f>
        <v xml:space="preserve">          7783 - INV. SHRINKAGE-COMPUTER EQUIPM</v>
      </c>
      <c r="C142" s="11"/>
      <c r="D142" s="6">
        <v>90</v>
      </c>
      <c r="E142" s="2"/>
      <c r="F142" s="7">
        <f t="shared" si="41"/>
        <v>8.5425304114082664E-3</v>
      </c>
      <c r="G142" s="2"/>
      <c r="H142" s="6"/>
      <c r="I142" s="2"/>
      <c r="J142" s="7">
        <f t="shared" si="42"/>
        <v>0</v>
      </c>
      <c r="K142" s="2"/>
      <c r="L142" s="6">
        <f t="shared" si="43"/>
        <v>90</v>
      </c>
      <c r="M142" s="2"/>
      <c r="N142" s="7">
        <f t="shared" si="44"/>
        <v>0</v>
      </c>
      <c r="O142" s="11"/>
      <c r="P142" s="6">
        <v>90</v>
      </c>
      <c r="Q142" s="2"/>
      <c r="R142" s="7">
        <f t="shared" si="45"/>
        <v>1.0814477860606933E-4</v>
      </c>
      <c r="S142" s="2"/>
      <c r="T142" s="6"/>
      <c r="U142" s="2"/>
      <c r="V142" s="7">
        <f t="shared" si="46"/>
        <v>0</v>
      </c>
      <c r="W142" s="2"/>
      <c r="X142" s="6">
        <f t="shared" si="47"/>
        <v>90</v>
      </c>
      <c r="Y142" s="2"/>
      <c r="Z142" s="7">
        <f t="shared" si="48"/>
        <v>0</v>
      </c>
    </row>
    <row r="143" spans="1:26" s="24" customFormat="1" hidden="1" outlineLevel="2" x14ac:dyDescent="0.25">
      <c r="A143" s="27"/>
      <c r="B143" s="11" t="str">
        <f>CONCATENATE("          ", "7786", " - ", "INV. SHRINKAGE-COMPUTER SUPPLI")</f>
        <v xml:space="preserve">          7786 - INV. SHRINKAGE-COMPUTER SUPPLI</v>
      </c>
      <c r="C143" s="11"/>
      <c r="D143" s="6">
        <v>38</v>
      </c>
      <c r="E143" s="2"/>
      <c r="F143" s="7">
        <f t="shared" si="41"/>
        <v>3.6068461737057121E-3</v>
      </c>
      <c r="G143" s="2"/>
      <c r="H143" s="6"/>
      <c r="I143" s="2"/>
      <c r="J143" s="7">
        <f t="shared" si="42"/>
        <v>0</v>
      </c>
      <c r="K143" s="2"/>
      <c r="L143" s="6">
        <f t="shared" si="43"/>
        <v>38</v>
      </c>
      <c r="M143" s="2"/>
      <c r="N143" s="7">
        <f t="shared" si="44"/>
        <v>0</v>
      </c>
      <c r="O143" s="11"/>
      <c r="P143" s="6">
        <v>38</v>
      </c>
      <c r="Q143" s="2"/>
      <c r="R143" s="7">
        <f t="shared" si="45"/>
        <v>4.5661128744784834E-5</v>
      </c>
      <c r="S143" s="2"/>
      <c r="T143" s="6"/>
      <c r="U143" s="2"/>
      <c r="V143" s="7">
        <f t="shared" si="46"/>
        <v>0</v>
      </c>
      <c r="W143" s="2"/>
      <c r="X143" s="6">
        <f t="shared" si="47"/>
        <v>38</v>
      </c>
      <c r="Y143" s="2"/>
      <c r="Z143" s="7">
        <f t="shared" si="48"/>
        <v>0</v>
      </c>
    </row>
    <row r="144" spans="1:26" s="26" customFormat="1" outlineLevel="1" collapsed="1" x14ac:dyDescent="0.25">
      <c r="A144" s="25"/>
      <c r="B144" s="12" t="str">
        <f>CONCATENATE("     ","Professional Services                             ")</f>
        <v xml:space="preserve">     Professional Services                             </v>
      </c>
      <c r="C144" s="12"/>
      <c r="D144" s="1">
        <f>SUM(OSRRefD22_9x_0)</f>
        <v>1382.44</v>
      </c>
      <c r="E144" s="1"/>
      <c r="F144" s="5">
        <f t="shared" ref="F144:F148" si="49">IF(D$12=0,0,D144/D$12)</f>
        <v>0.13121706379941381</v>
      </c>
      <c r="G144" s="1"/>
      <c r="H144" s="1">
        <f>SUM(OSRRefH22_9x_0)</f>
        <v>115</v>
      </c>
      <c r="I144" s="1"/>
      <c r="J144" s="5">
        <f t="shared" ref="J144:J148" si="50">IF(H$12=0,0,H144/H$12)</f>
        <v>8.2805299539170513E-3</v>
      </c>
      <c r="K144" s="1"/>
      <c r="L144" s="1">
        <f t="shared" ref="L144:L148" si="51">+D144-H144</f>
        <v>1267.44</v>
      </c>
      <c r="M144" s="1"/>
      <c r="N144" s="5">
        <f t="shared" ref="N144:N148" si="52">IF(H144=0,0,L144/H144)</f>
        <v>11.021217391304349</v>
      </c>
      <c r="O144" s="12"/>
      <c r="P144" s="1">
        <f>SUM(OSRRefP22_9x_0)</f>
        <v>2173.59</v>
      </c>
      <c r="Q144" s="1"/>
      <c r="R144" s="5">
        <f t="shared" ref="R144:R148" si="53">IF(P$12=0,0,P144/P$12)</f>
        <v>2.611804548115181E-3</v>
      </c>
      <c r="S144" s="1"/>
      <c r="T144" s="1">
        <f>SUM(OSRRefT22_9x_0)</f>
        <v>1380</v>
      </c>
      <c r="U144" s="1"/>
      <c r="V144" s="5">
        <f t="shared" ref="V144:V148" si="54">IF(T$12=0,0,T144/T$12)</f>
        <v>1.3059537294915582E-3</v>
      </c>
      <c r="W144" s="1"/>
      <c r="X144" s="1">
        <f t="shared" ref="X144:X148" si="55">+P144-T144</f>
        <v>793.59000000000015</v>
      </c>
      <c r="Y144" s="1"/>
      <c r="Z144" s="5">
        <f t="shared" ref="Z144:Z148" si="56">IF(T144=0,0,X144/T144)</f>
        <v>0.57506521739130445</v>
      </c>
    </row>
    <row r="145" spans="1:26" s="24" customFormat="1" hidden="1" outlineLevel="2" x14ac:dyDescent="0.25">
      <c r="A145" s="27"/>
      <c r="B145" s="11" t="str">
        <f>CONCATENATE("          ", "6336", " - ", "PROFESSIONAL SERVICES")</f>
        <v xml:space="preserve">          6336 - PROFESSIONAL SERVICES</v>
      </c>
      <c r="C145" s="11"/>
      <c r="D145" s="6">
        <v>1382.44</v>
      </c>
      <c r="E145" s="2"/>
      <c r="F145" s="7">
        <f t="shared" si="49"/>
        <v>0.13121706379941381</v>
      </c>
      <c r="G145" s="2"/>
      <c r="H145" s="6">
        <v>115</v>
      </c>
      <c r="I145" s="2"/>
      <c r="J145" s="7">
        <f t="shared" si="50"/>
        <v>8.2805299539170513E-3</v>
      </c>
      <c r="K145" s="2"/>
      <c r="L145" s="6">
        <f t="shared" si="51"/>
        <v>1267.44</v>
      </c>
      <c r="M145" s="2"/>
      <c r="N145" s="7">
        <f t="shared" si="52"/>
        <v>11.021217391304349</v>
      </c>
      <c r="O145" s="11"/>
      <c r="P145" s="6">
        <v>2173.59</v>
      </c>
      <c r="Q145" s="2"/>
      <c r="R145" s="7">
        <f t="shared" si="53"/>
        <v>2.611804548115181E-3</v>
      </c>
      <c r="S145" s="2"/>
      <c r="T145" s="6">
        <v>1380</v>
      </c>
      <c r="U145" s="2"/>
      <c r="V145" s="7">
        <f t="shared" si="54"/>
        <v>1.3059537294915582E-3</v>
      </c>
      <c r="W145" s="2"/>
      <c r="X145" s="6">
        <f t="shared" si="55"/>
        <v>793.59000000000015</v>
      </c>
      <c r="Y145" s="2"/>
      <c r="Z145" s="7">
        <f t="shared" si="56"/>
        <v>0.57506521739130445</v>
      </c>
    </row>
    <row r="146" spans="1:26" s="26" customFormat="1" outlineLevel="1" collapsed="1" x14ac:dyDescent="0.25">
      <c r="A146" s="25"/>
      <c r="B146" s="12" t="str">
        <f>CONCATENATE("     ","Repair and Maintenance                            ")</f>
        <v xml:space="preserve">     Repair and Maintenance                            </v>
      </c>
      <c r="C146" s="12"/>
      <c r="D146" s="1">
        <f>SUM(OSRRefD22_10x_0)</f>
        <v>61.11</v>
      </c>
      <c r="E146" s="1"/>
      <c r="F146" s="5">
        <f t="shared" si="49"/>
        <v>5.8003781493462126E-3</v>
      </c>
      <c r="G146" s="1"/>
      <c r="H146" s="1">
        <f>SUM(OSRRefH22_10x_0)</f>
        <v>125</v>
      </c>
      <c r="I146" s="1"/>
      <c r="J146" s="5">
        <f t="shared" si="50"/>
        <v>9.0005760368663586E-3</v>
      </c>
      <c r="K146" s="1"/>
      <c r="L146" s="1">
        <f t="shared" si="51"/>
        <v>-63.89</v>
      </c>
      <c r="M146" s="1"/>
      <c r="N146" s="5">
        <f t="shared" si="52"/>
        <v>-0.51112000000000002</v>
      </c>
      <c r="O146" s="12"/>
      <c r="P146" s="1">
        <f>SUM(OSRRefP22_10x_0)</f>
        <v>251.75</v>
      </c>
      <c r="Q146" s="1"/>
      <c r="R146" s="5">
        <f t="shared" si="53"/>
        <v>3.0250497793419948E-4</v>
      </c>
      <c r="S146" s="1"/>
      <c r="T146" s="1">
        <f>SUM(OSRRefT22_10x_0)</f>
        <v>1500</v>
      </c>
      <c r="U146" s="1"/>
      <c r="V146" s="5">
        <f t="shared" si="54"/>
        <v>1.4195149233603892E-3</v>
      </c>
      <c r="W146" s="1"/>
      <c r="X146" s="1">
        <f t="shared" si="55"/>
        <v>-1248.25</v>
      </c>
      <c r="Y146" s="1"/>
      <c r="Z146" s="5">
        <f t="shared" si="56"/>
        <v>-0.83216666666666672</v>
      </c>
    </row>
    <row r="147" spans="1:26" s="24" customFormat="1" hidden="1" outlineLevel="2" x14ac:dyDescent="0.25">
      <c r="A147" s="27"/>
      <c r="B147" s="11" t="str">
        <f>CONCATENATE("          ", "6373", " - ", "MAINTENANCE CONTRACTS")</f>
        <v xml:space="preserve">          6373 - MAINTENANCE CONTRACTS</v>
      </c>
      <c r="C147" s="11"/>
      <c r="D147" s="6">
        <v>61.11</v>
      </c>
      <c r="E147" s="2"/>
      <c r="F147" s="7">
        <f t="shared" si="49"/>
        <v>5.8003781493462126E-3</v>
      </c>
      <c r="G147" s="2"/>
      <c r="H147" s="6"/>
      <c r="I147" s="2"/>
      <c r="J147" s="7">
        <f t="shared" si="50"/>
        <v>0</v>
      </c>
      <c r="K147" s="2"/>
      <c r="L147" s="6">
        <f t="shared" si="51"/>
        <v>61.11</v>
      </c>
      <c r="M147" s="2"/>
      <c r="N147" s="7">
        <f t="shared" si="52"/>
        <v>0</v>
      </c>
      <c r="O147" s="11"/>
      <c r="P147" s="6">
        <v>241.95</v>
      </c>
      <c r="Q147" s="2"/>
      <c r="R147" s="7">
        <f t="shared" si="53"/>
        <v>2.9072921315264971E-4</v>
      </c>
      <c r="S147" s="2"/>
      <c r="T147" s="6"/>
      <c r="U147" s="2"/>
      <c r="V147" s="7">
        <f t="shared" si="54"/>
        <v>0</v>
      </c>
      <c r="W147" s="2"/>
      <c r="X147" s="6">
        <f t="shared" si="55"/>
        <v>241.95</v>
      </c>
      <c r="Y147" s="2"/>
      <c r="Z147" s="7">
        <f t="shared" si="56"/>
        <v>0</v>
      </c>
    </row>
    <row r="148" spans="1:26" s="24" customFormat="1" hidden="1" outlineLevel="2" x14ac:dyDescent="0.25">
      <c r="A148" s="27"/>
      <c r="B148" s="11" t="str">
        <f>CONCATENATE("          ", "6375", " - ", "OUTSIDE REPAIRS &amp; MAINTENANCE")</f>
        <v xml:space="preserve">          6375 - OUTSIDE REPAIRS &amp; MAINTENANCE</v>
      </c>
      <c r="C148" s="11"/>
      <c r="D148" s="6"/>
      <c r="E148" s="2"/>
      <c r="F148" s="7">
        <f t="shared" si="49"/>
        <v>0</v>
      </c>
      <c r="G148" s="2"/>
      <c r="H148" s="6">
        <v>125</v>
      </c>
      <c r="I148" s="2"/>
      <c r="J148" s="7">
        <f t="shared" si="50"/>
        <v>9.0005760368663586E-3</v>
      </c>
      <c r="K148" s="2"/>
      <c r="L148" s="6">
        <f t="shared" si="51"/>
        <v>-125</v>
      </c>
      <c r="M148" s="2"/>
      <c r="N148" s="7">
        <f t="shared" si="52"/>
        <v>-1</v>
      </c>
      <c r="O148" s="11"/>
      <c r="P148" s="6">
        <v>9.8000000000000007</v>
      </c>
      <c r="Q148" s="2"/>
      <c r="R148" s="7">
        <f t="shared" si="53"/>
        <v>1.1775764781549774E-5</v>
      </c>
      <c r="S148" s="2"/>
      <c r="T148" s="6">
        <v>1500</v>
      </c>
      <c r="U148" s="2"/>
      <c r="V148" s="7">
        <f t="shared" si="54"/>
        <v>1.4195149233603892E-3</v>
      </c>
      <c r="W148" s="2"/>
      <c r="X148" s="6">
        <f t="shared" si="55"/>
        <v>-1490.2</v>
      </c>
      <c r="Y148" s="2"/>
      <c r="Z148" s="7">
        <f t="shared" si="56"/>
        <v>-0.99346666666666672</v>
      </c>
    </row>
    <row r="149" spans="1:26" s="26" customFormat="1" outlineLevel="1" collapsed="1" x14ac:dyDescent="0.25">
      <c r="A149" s="25"/>
      <c r="B149" s="12" t="str">
        <f>CONCATENATE("     ","Services                                          ")</f>
        <v xml:space="preserve">     Services                                          </v>
      </c>
      <c r="C149" s="12"/>
      <c r="D149" s="1">
        <f>SUM(OSRRefD22_11x_0)</f>
        <v>1017.36</v>
      </c>
      <c r="E149" s="1"/>
      <c r="F149" s="5">
        <f t="shared" ref="F149:F151" si="57">IF(D$12=0,0,D149/D$12)</f>
        <v>9.6564763770559031E-2</v>
      </c>
      <c r="G149" s="1"/>
      <c r="H149" s="1">
        <f>SUM(OSRRefH22_11x_0)</f>
        <v>100</v>
      </c>
      <c r="I149" s="1"/>
      <c r="J149" s="5">
        <f t="shared" ref="J149:J151" si="58">IF(H$12=0,0,H149/H$12)</f>
        <v>7.2004608294930876E-3</v>
      </c>
      <c r="K149" s="1"/>
      <c r="L149" s="1">
        <f t="shared" ref="L149:L151" si="59">+D149-H149</f>
        <v>917.36</v>
      </c>
      <c r="M149" s="1"/>
      <c r="N149" s="5">
        <f t="shared" ref="N149:N151" si="60">IF(H149=0,0,L149/H149)</f>
        <v>9.1736000000000004</v>
      </c>
      <c r="O149" s="12"/>
      <c r="P149" s="1">
        <f>SUM(OSRRefP22_11x_0)</f>
        <v>3111.27</v>
      </c>
      <c r="Q149" s="1"/>
      <c r="R149" s="5">
        <f t="shared" ref="R149:R151" si="61">IF(P$12=0,0,P149/P$12)</f>
        <v>3.7385289481522816E-3</v>
      </c>
      <c r="S149" s="1"/>
      <c r="T149" s="1">
        <f>SUM(OSRRefT22_11x_0)</f>
        <v>1200</v>
      </c>
      <c r="U149" s="1"/>
      <c r="V149" s="5">
        <f t="shared" ref="V149:V151" si="62">IF(T$12=0,0,T149/T$12)</f>
        <v>1.1356119386883115E-3</v>
      </c>
      <c r="W149" s="1"/>
      <c r="X149" s="1">
        <f t="shared" ref="X149:X151" si="63">+P149-T149</f>
        <v>1911.27</v>
      </c>
      <c r="Y149" s="1"/>
      <c r="Z149" s="5">
        <f t="shared" ref="Z149:Z151" si="64">IF(T149=0,0,X149/T149)</f>
        <v>1.5927249999999999</v>
      </c>
    </row>
    <row r="150" spans="1:26" s="24" customFormat="1" hidden="1" outlineLevel="2" x14ac:dyDescent="0.25">
      <c r="A150" s="27"/>
      <c r="B150" s="11" t="str">
        <f>CONCATENATE("          ", "6282", " - ", "JANITORIAL/EXTERMINATOR EXPENS")</f>
        <v xml:space="preserve">          6282 - JANITORIAL/EXTERMINATOR EXPENS</v>
      </c>
      <c r="C150" s="11"/>
      <c r="D150" s="6">
        <v>88</v>
      </c>
      <c r="E150" s="2"/>
      <c r="F150" s="7">
        <f t="shared" si="57"/>
        <v>8.3526964022658592E-3</v>
      </c>
      <c r="G150" s="2"/>
      <c r="H150" s="6">
        <v>50</v>
      </c>
      <c r="I150" s="2"/>
      <c r="J150" s="7">
        <f t="shared" si="58"/>
        <v>3.6002304147465438E-3</v>
      </c>
      <c r="K150" s="2"/>
      <c r="L150" s="6">
        <f t="shared" si="59"/>
        <v>38</v>
      </c>
      <c r="M150" s="2"/>
      <c r="N150" s="7">
        <f t="shared" si="60"/>
        <v>0.76</v>
      </c>
      <c r="O150" s="11"/>
      <c r="P150" s="6">
        <v>549.02</v>
      </c>
      <c r="Q150" s="2"/>
      <c r="R150" s="7">
        <f t="shared" si="61"/>
        <v>6.5970718167004656E-4</v>
      </c>
      <c r="S150" s="2"/>
      <c r="T150" s="6">
        <v>600</v>
      </c>
      <c r="U150" s="2"/>
      <c r="V150" s="7">
        <f t="shared" si="62"/>
        <v>5.6780596934415573E-4</v>
      </c>
      <c r="W150" s="2"/>
      <c r="X150" s="6">
        <f t="shared" si="63"/>
        <v>-50.980000000000018</v>
      </c>
      <c r="Y150" s="2"/>
      <c r="Z150" s="7">
        <f t="shared" si="64"/>
        <v>-8.496666666666669E-2</v>
      </c>
    </row>
    <row r="151" spans="1:26" s="24" customFormat="1" hidden="1" outlineLevel="2" x14ac:dyDescent="0.25">
      <c r="A151" s="27"/>
      <c r="B151" s="11" t="str">
        <f>CONCATENATE("          ", "6285", " - ", "JANITORIAL SERVICES")</f>
        <v xml:space="preserve">          6285 - JANITORIAL SERVICES</v>
      </c>
      <c r="C151" s="11"/>
      <c r="D151" s="6">
        <v>929.36</v>
      </c>
      <c r="E151" s="2"/>
      <c r="F151" s="7">
        <f t="shared" si="57"/>
        <v>8.8212067368293179E-2</v>
      </c>
      <c r="G151" s="2"/>
      <c r="H151" s="6">
        <v>50</v>
      </c>
      <c r="I151" s="2"/>
      <c r="J151" s="7">
        <f t="shared" si="58"/>
        <v>3.6002304147465438E-3</v>
      </c>
      <c r="K151" s="2"/>
      <c r="L151" s="6">
        <f t="shared" si="59"/>
        <v>879.36</v>
      </c>
      <c r="M151" s="2"/>
      <c r="N151" s="7">
        <f t="shared" si="60"/>
        <v>17.587199999999999</v>
      </c>
      <c r="O151" s="11"/>
      <c r="P151" s="6">
        <v>2562.25</v>
      </c>
      <c r="Q151" s="2"/>
      <c r="R151" s="7">
        <f t="shared" si="61"/>
        <v>3.0788217664822351E-3</v>
      </c>
      <c r="S151" s="2"/>
      <c r="T151" s="6">
        <v>600</v>
      </c>
      <c r="U151" s="2"/>
      <c r="V151" s="7">
        <f t="shared" si="62"/>
        <v>5.6780596934415573E-4</v>
      </c>
      <c r="W151" s="2"/>
      <c r="X151" s="6">
        <f t="shared" si="63"/>
        <v>1962.25</v>
      </c>
      <c r="Y151" s="2"/>
      <c r="Z151" s="7">
        <f t="shared" si="64"/>
        <v>3.2704166666666667</v>
      </c>
    </row>
    <row r="152" spans="1:26" s="26" customFormat="1" outlineLevel="1" collapsed="1" x14ac:dyDescent="0.25">
      <c r="A152" s="25"/>
      <c r="B152" s="12" t="str">
        <f>CONCATENATE("     ","Subscriptions &amp; Dues                              ")</f>
        <v xml:space="preserve">     Subscriptions &amp; Dues                              </v>
      </c>
      <c r="C152" s="12"/>
      <c r="D152" s="1">
        <f>SUM(OSRRefD22_12x_0)</f>
        <v>0</v>
      </c>
      <c r="E152" s="1"/>
      <c r="F152" s="5">
        <f t="shared" ref="F152:F157" si="65">IF(D$12=0,0,D152/D$12)</f>
        <v>0</v>
      </c>
      <c r="G152" s="1"/>
      <c r="H152" s="1">
        <f>SUM(OSRRefH22_12x_0)</f>
        <v>0</v>
      </c>
      <c r="I152" s="1"/>
      <c r="J152" s="5">
        <f t="shared" ref="J152:J157" si="66">IF(H$12=0,0,H152/H$12)</f>
        <v>0</v>
      </c>
      <c r="K152" s="1"/>
      <c r="L152" s="1">
        <f t="shared" ref="L152:L157" si="67">+D152-H152</f>
        <v>0</v>
      </c>
      <c r="M152" s="1"/>
      <c r="N152" s="5">
        <f t="shared" ref="N152:N157" si="68">IF(H152=0,0,L152/H152)</f>
        <v>0</v>
      </c>
      <c r="O152" s="12"/>
      <c r="P152" s="1">
        <f>SUM(OSRRefP22_12x_0)</f>
        <v>120</v>
      </c>
      <c r="Q152" s="1"/>
      <c r="R152" s="5">
        <f t="shared" ref="R152:R157" si="69">IF(P$12=0,0,P152/P$12)</f>
        <v>1.4419303814142579E-4</v>
      </c>
      <c r="S152" s="1"/>
      <c r="T152" s="1">
        <f>SUM(OSRRefT22_12x_0)</f>
        <v>0</v>
      </c>
      <c r="U152" s="1"/>
      <c r="V152" s="5">
        <f t="shared" ref="V152:V157" si="70">IF(T$12=0,0,T152/T$12)</f>
        <v>0</v>
      </c>
      <c r="W152" s="1"/>
      <c r="X152" s="1">
        <f t="shared" ref="X152:X157" si="71">+P152-T152</f>
        <v>120</v>
      </c>
      <c r="Y152" s="1"/>
      <c r="Z152" s="5">
        <f t="shared" ref="Z152:Z157" si="72">IF(T152=0,0,X152/T152)</f>
        <v>0</v>
      </c>
    </row>
    <row r="153" spans="1:26" s="24" customFormat="1" hidden="1" outlineLevel="2" x14ac:dyDescent="0.25">
      <c r="A153" s="27"/>
      <c r="B153" s="11" t="str">
        <f>CONCATENATE("          ", "6258", " - ", "MEMBERSHIP DUES")</f>
        <v xml:space="preserve">          6258 - MEMBERSHIP DUES</v>
      </c>
      <c r="C153" s="11"/>
      <c r="D153" s="6"/>
      <c r="E153" s="2"/>
      <c r="F153" s="7">
        <f t="shared" si="65"/>
        <v>0</v>
      </c>
      <c r="G153" s="2"/>
      <c r="H153" s="6"/>
      <c r="I153" s="2"/>
      <c r="J153" s="7">
        <f t="shared" si="66"/>
        <v>0</v>
      </c>
      <c r="K153" s="2"/>
      <c r="L153" s="6">
        <f t="shared" si="67"/>
        <v>0</v>
      </c>
      <c r="M153" s="2"/>
      <c r="N153" s="7">
        <f t="shared" si="68"/>
        <v>0</v>
      </c>
      <c r="O153" s="11"/>
      <c r="P153" s="6">
        <v>120</v>
      </c>
      <c r="Q153" s="2"/>
      <c r="R153" s="7">
        <f t="shared" si="69"/>
        <v>1.4419303814142579E-4</v>
      </c>
      <c r="S153" s="2"/>
      <c r="T153" s="6"/>
      <c r="U153" s="2"/>
      <c r="V153" s="7">
        <f t="shared" si="70"/>
        <v>0</v>
      </c>
      <c r="W153" s="2"/>
      <c r="X153" s="6">
        <f t="shared" si="71"/>
        <v>120</v>
      </c>
      <c r="Y153" s="2"/>
      <c r="Z153" s="7">
        <f t="shared" si="72"/>
        <v>0</v>
      </c>
    </row>
    <row r="154" spans="1:26" s="26" customFormat="1" outlineLevel="1" collapsed="1" x14ac:dyDescent="0.25">
      <c r="A154" s="25"/>
      <c r="B154" s="12" t="str">
        <f>CONCATENATE("     ","Supplies                                          ")</f>
        <v xml:space="preserve">     Supplies                                          </v>
      </c>
      <c r="C154" s="12"/>
      <c r="D154" s="1">
        <f>SUM(OSRRefD22_13x_0)</f>
        <v>0</v>
      </c>
      <c r="E154" s="1"/>
      <c r="F154" s="5">
        <f t="shared" si="65"/>
        <v>0</v>
      </c>
      <c r="G154" s="1"/>
      <c r="H154" s="1">
        <f>SUM(OSRRefH22_13x_0)</f>
        <v>225</v>
      </c>
      <c r="I154" s="1"/>
      <c r="J154" s="5">
        <f t="shared" si="66"/>
        <v>1.6201036866359448E-2</v>
      </c>
      <c r="K154" s="1"/>
      <c r="L154" s="1">
        <f t="shared" si="67"/>
        <v>-225</v>
      </c>
      <c r="M154" s="1"/>
      <c r="N154" s="5">
        <f t="shared" si="68"/>
        <v>-1</v>
      </c>
      <c r="O154" s="12"/>
      <c r="P154" s="1">
        <f>SUM(OSRRefP22_13x_0)</f>
        <v>1967.59</v>
      </c>
      <c r="Q154" s="1"/>
      <c r="R154" s="5">
        <f t="shared" si="69"/>
        <v>2.3642731659723995E-3</v>
      </c>
      <c r="S154" s="1"/>
      <c r="T154" s="1">
        <f>SUM(OSRRefT22_13x_0)</f>
        <v>2700</v>
      </c>
      <c r="U154" s="1"/>
      <c r="V154" s="5">
        <f t="shared" si="70"/>
        <v>2.5551268620487007E-3</v>
      </c>
      <c r="W154" s="1"/>
      <c r="X154" s="1">
        <f t="shared" si="71"/>
        <v>-732.41000000000008</v>
      </c>
      <c r="Y154" s="1"/>
      <c r="Z154" s="5">
        <f t="shared" si="72"/>
        <v>-0.27126296296296298</v>
      </c>
    </row>
    <row r="155" spans="1:26" s="24" customFormat="1" hidden="1" outlineLevel="2" x14ac:dyDescent="0.25">
      <c r="A155" s="27"/>
      <c r="B155" s="11" t="str">
        <f>CONCATENATE("          ", "6241", " - ", "OFFICE EXPENSE")</f>
        <v xml:space="preserve">          6241 - OFFICE EXPENSE</v>
      </c>
      <c r="C155" s="11"/>
      <c r="D155" s="6"/>
      <c r="E155" s="2"/>
      <c r="F155" s="7">
        <f t="shared" si="65"/>
        <v>0</v>
      </c>
      <c r="G155" s="2"/>
      <c r="H155" s="6">
        <v>225</v>
      </c>
      <c r="I155" s="2"/>
      <c r="J155" s="7">
        <f t="shared" si="66"/>
        <v>1.6201036866359448E-2</v>
      </c>
      <c r="K155" s="2"/>
      <c r="L155" s="6">
        <f t="shared" si="67"/>
        <v>-225</v>
      </c>
      <c r="M155" s="2"/>
      <c r="N155" s="7">
        <f t="shared" si="68"/>
        <v>-1</v>
      </c>
      <c r="O155" s="11"/>
      <c r="P155" s="6">
        <v>1673.46</v>
      </c>
      <c r="Q155" s="2"/>
      <c r="R155" s="7">
        <f t="shared" si="69"/>
        <v>2.0108440134012531E-3</v>
      </c>
      <c r="S155" s="2"/>
      <c r="T155" s="6">
        <v>2700</v>
      </c>
      <c r="U155" s="2"/>
      <c r="V155" s="7">
        <f t="shared" si="70"/>
        <v>2.5551268620487007E-3</v>
      </c>
      <c r="W155" s="2"/>
      <c r="X155" s="6">
        <f t="shared" si="71"/>
        <v>-1026.54</v>
      </c>
      <c r="Y155" s="2"/>
      <c r="Z155" s="7">
        <f t="shared" si="72"/>
        <v>-0.38019999999999998</v>
      </c>
    </row>
    <row r="156" spans="1:26" s="24" customFormat="1" hidden="1" outlineLevel="2" x14ac:dyDescent="0.25">
      <c r="A156" s="27"/>
      <c r="B156" s="11" t="str">
        <f>CONCATENATE("          ", "6245", " - ", "PRINTING")</f>
        <v xml:space="preserve">          6245 - PRINTING</v>
      </c>
      <c r="C156" s="11"/>
      <c r="D156" s="6"/>
      <c r="E156" s="2"/>
      <c r="F156" s="7">
        <f t="shared" si="65"/>
        <v>0</v>
      </c>
      <c r="G156" s="2"/>
      <c r="H156" s="6"/>
      <c r="I156" s="2"/>
      <c r="J156" s="7">
        <f t="shared" si="66"/>
        <v>0</v>
      </c>
      <c r="K156" s="2"/>
      <c r="L156" s="6">
        <f t="shared" si="67"/>
        <v>0</v>
      </c>
      <c r="M156" s="2"/>
      <c r="N156" s="7">
        <f t="shared" si="68"/>
        <v>0</v>
      </c>
      <c r="O156" s="11"/>
      <c r="P156" s="6">
        <v>22.05</v>
      </c>
      <c r="Q156" s="2"/>
      <c r="R156" s="7">
        <f t="shared" si="69"/>
        <v>2.6495470758486988E-5</v>
      </c>
      <c r="S156" s="2"/>
      <c r="T156" s="6"/>
      <c r="U156" s="2"/>
      <c r="V156" s="7">
        <f t="shared" si="70"/>
        <v>0</v>
      </c>
      <c r="W156" s="2"/>
      <c r="X156" s="6">
        <f t="shared" si="71"/>
        <v>22.05</v>
      </c>
      <c r="Y156" s="2"/>
      <c r="Z156" s="7">
        <f t="shared" si="72"/>
        <v>0</v>
      </c>
    </row>
    <row r="157" spans="1:26" s="24" customFormat="1" hidden="1" outlineLevel="2" x14ac:dyDescent="0.25">
      <c r="A157" s="27"/>
      <c r="B157" s="11" t="str">
        <f>CONCATENATE("          ", "6247", " - ", "STORE SUPPLIES")</f>
        <v xml:space="preserve">          6247 - STORE SUPPLIES</v>
      </c>
      <c r="C157" s="11"/>
      <c r="D157" s="6"/>
      <c r="E157" s="2"/>
      <c r="F157" s="7">
        <f t="shared" si="65"/>
        <v>0</v>
      </c>
      <c r="G157" s="2"/>
      <c r="H157" s="6"/>
      <c r="I157" s="2"/>
      <c r="J157" s="7">
        <f t="shared" si="66"/>
        <v>0</v>
      </c>
      <c r="K157" s="2"/>
      <c r="L157" s="6">
        <f t="shared" si="67"/>
        <v>0</v>
      </c>
      <c r="M157" s="2"/>
      <c r="N157" s="7">
        <f t="shared" si="68"/>
        <v>0</v>
      </c>
      <c r="O157" s="11"/>
      <c r="P157" s="6">
        <v>272.08</v>
      </c>
      <c r="Q157" s="2"/>
      <c r="R157" s="7">
        <f t="shared" si="69"/>
        <v>3.269336818126594E-4</v>
      </c>
      <c r="S157" s="2"/>
      <c r="T157" s="6"/>
      <c r="U157" s="2"/>
      <c r="V157" s="7">
        <f t="shared" si="70"/>
        <v>0</v>
      </c>
      <c r="W157" s="2"/>
      <c r="X157" s="6">
        <f t="shared" si="71"/>
        <v>272.08</v>
      </c>
      <c r="Y157" s="2"/>
      <c r="Z157" s="7">
        <f t="shared" si="72"/>
        <v>0</v>
      </c>
    </row>
    <row r="158" spans="1:26" s="26" customFormat="1" outlineLevel="1" collapsed="1" x14ac:dyDescent="0.25">
      <c r="A158" s="25"/>
      <c r="B158" s="12" t="str">
        <f>CONCATENATE("     ","Telephone/Data Lines                              ")</f>
        <v xml:space="preserve">     Telephone/Data Lines                              </v>
      </c>
      <c r="C158" s="12"/>
      <c r="D158" s="1">
        <f>SUM(OSRRefD22_14x_0)</f>
        <v>81.75</v>
      </c>
      <c r="E158" s="1"/>
      <c r="F158" s="5">
        <f t="shared" ref="F158:F163" si="73">IF(D$12=0,0,D158/D$12)</f>
        <v>7.759465123695841E-3</v>
      </c>
      <c r="G158" s="1"/>
      <c r="H158" s="1">
        <f>SUM(OSRRefH22_14x_0)</f>
        <v>75</v>
      </c>
      <c r="I158" s="1"/>
      <c r="J158" s="5">
        <f t="shared" ref="J158:J163" si="74">IF(H$12=0,0,H158/H$12)</f>
        <v>5.4003456221198157E-3</v>
      </c>
      <c r="K158" s="1"/>
      <c r="L158" s="1">
        <f t="shared" ref="L158:L163" si="75">+D158-H158</f>
        <v>6.75</v>
      </c>
      <c r="M158" s="1"/>
      <c r="N158" s="5">
        <f t="shared" ref="N158:N163" si="76">IF(H158=0,0,L158/H158)</f>
        <v>0.09</v>
      </c>
      <c r="O158" s="12"/>
      <c r="P158" s="1">
        <f>SUM(OSRRefP22_14x_0)</f>
        <v>1175.1199999999999</v>
      </c>
      <c r="Q158" s="1"/>
      <c r="R158" s="5">
        <f t="shared" ref="R158:R163" si="77">IF(P$12=0,0,P158/P$12)</f>
        <v>1.4120343581729355E-3</v>
      </c>
      <c r="S158" s="1"/>
      <c r="T158" s="1">
        <f>SUM(OSRRefT22_14x_0)</f>
        <v>900</v>
      </c>
      <c r="U158" s="1"/>
      <c r="V158" s="5">
        <f t="shared" ref="V158:V163" si="78">IF(T$12=0,0,T158/T$12)</f>
        <v>8.5170895401623359E-4</v>
      </c>
      <c r="W158" s="1"/>
      <c r="X158" s="1">
        <f t="shared" ref="X158:X163" si="79">+P158-T158</f>
        <v>275.11999999999989</v>
      </c>
      <c r="Y158" s="1"/>
      <c r="Z158" s="5">
        <f t="shared" ref="Z158:Z163" si="80">IF(T158=0,0,X158/T158)</f>
        <v>0.30568888888888879</v>
      </c>
    </row>
    <row r="159" spans="1:26" s="24" customFormat="1" hidden="1" outlineLevel="2" x14ac:dyDescent="0.25">
      <c r="A159" s="27"/>
      <c r="B159" s="11" t="str">
        <f>CONCATENATE("          ", "6309", " - ", "TELEPHONE")</f>
        <v xml:space="preserve">          6309 - TELEPHONE</v>
      </c>
      <c r="C159" s="11"/>
      <c r="D159" s="6">
        <v>81.75</v>
      </c>
      <c r="E159" s="2"/>
      <c r="F159" s="7">
        <f t="shared" si="73"/>
        <v>7.759465123695841E-3</v>
      </c>
      <c r="G159" s="2"/>
      <c r="H159" s="6">
        <v>75</v>
      </c>
      <c r="I159" s="2"/>
      <c r="J159" s="7">
        <f t="shared" si="74"/>
        <v>5.4003456221198157E-3</v>
      </c>
      <c r="K159" s="2"/>
      <c r="L159" s="6">
        <f t="shared" si="75"/>
        <v>6.75</v>
      </c>
      <c r="M159" s="2"/>
      <c r="N159" s="7">
        <f t="shared" si="76"/>
        <v>0.09</v>
      </c>
      <c r="O159" s="11"/>
      <c r="P159" s="6">
        <v>1175.1199999999999</v>
      </c>
      <c r="Q159" s="2"/>
      <c r="R159" s="7">
        <f t="shared" si="77"/>
        <v>1.4120343581729355E-3</v>
      </c>
      <c r="S159" s="2"/>
      <c r="T159" s="6">
        <v>900</v>
      </c>
      <c r="U159" s="2"/>
      <c r="V159" s="7">
        <f t="shared" si="78"/>
        <v>8.5170895401623359E-4</v>
      </c>
      <c r="W159" s="2"/>
      <c r="X159" s="6">
        <f t="shared" si="79"/>
        <v>275.11999999999989</v>
      </c>
      <c r="Y159" s="2"/>
      <c r="Z159" s="7">
        <f t="shared" si="80"/>
        <v>0.30568888888888879</v>
      </c>
    </row>
    <row r="160" spans="1:26" s="26" customFormat="1" outlineLevel="1" collapsed="1" x14ac:dyDescent="0.25">
      <c r="A160" s="25"/>
      <c r="B160" s="12" t="str">
        <f>CONCATENATE("     ","Training                                          ")</f>
        <v xml:space="preserve">     Training                                          </v>
      </c>
      <c r="C160" s="12"/>
      <c r="D160" s="1">
        <f>SUM(OSRRefD22_15x_0)</f>
        <v>0</v>
      </c>
      <c r="E160" s="1"/>
      <c r="F160" s="5">
        <f t="shared" si="73"/>
        <v>0</v>
      </c>
      <c r="G160" s="1"/>
      <c r="H160" s="1">
        <f>SUM(OSRRefH22_15x_0)</f>
        <v>175</v>
      </c>
      <c r="I160" s="1"/>
      <c r="J160" s="5">
        <f t="shared" si="74"/>
        <v>1.2600806451612902E-2</v>
      </c>
      <c r="K160" s="1"/>
      <c r="L160" s="1">
        <f t="shared" si="75"/>
        <v>-175</v>
      </c>
      <c r="M160" s="1"/>
      <c r="N160" s="5">
        <f t="shared" si="76"/>
        <v>-1</v>
      </c>
      <c r="O160" s="12"/>
      <c r="P160" s="1">
        <f>SUM(OSRRefP22_15x_0)</f>
        <v>314.8</v>
      </c>
      <c r="Q160" s="1"/>
      <c r="R160" s="5">
        <f t="shared" si="77"/>
        <v>3.78266403391007E-4</v>
      </c>
      <c r="S160" s="1"/>
      <c r="T160" s="1">
        <f>SUM(OSRRefT22_15x_0)</f>
        <v>2100</v>
      </c>
      <c r="U160" s="1"/>
      <c r="V160" s="5">
        <f t="shared" si="78"/>
        <v>1.9873208927045452E-3</v>
      </c>
      <c r="W160" s="1"/>
      <c r="X160" s="1">
        <f t="shared" si="79"/>
        <v>-1785.2</v>
      </c>
      <c r="Y160" s="1"/>
      <c r="Z160" s="5">
        <f t="shared" si="80"/>
        <v>-0.85009523809523813</v>
      </c>
    </row>
    <row r="161" spans="1:26" s="24" customFormat="1" hidden="1" outlineLevel="2" x14ac:dyDescent="0.25">
      <c r="A161" s="27"/>
      <c r="B161" s="11" t="str">
        <f>CONCATENATE("          ", "6376", " - ", "TRAINING")</f>
        <v xml:space="preserve">          6376 - TRAINING</v>
      </c>
      <c r="C161" s="11"/>
      <c r="D161" s="6"/>
      <c r="E161" s="2"/>
      <c r="F161" s="7">
        <f t="shared" si="73"/>
        <v>0</v>
      </c>
      <c r="G161" s="2"/>
      <c r="H161" s="6">
        <v>175</v>
      </c>
      <c r="I161" s="2"/>
      <c r="J161" s="7">
        <f t="shared" si="74"/>
        <v>1.2600806451612902E-2</v>
      </c>
      <c r="K161" s="2"/>
      <c r="L161" s="6">
        <f t="shared" si="75"/>
        <v>-175</v>
      </c>
      <c r="M161" s="2"/>
      <c r="N161" s="7">
        <f t="shared" si="76"/>
        <v>-1</v>
      </c>
      <c r="O161" s="11"/>
      <c r="P161" s="6">
        <v>314.8</v>
      </c>
      <c r="Q161" s="2"/>
      <c r="R161" s="7">
        <f t="shared" si="77"/>
        <v>3.78266403391007E-4</v>
      </c>
      <c r="S161" s="2"/>
      <c r="T161" s="6">
        <v>2100</v>
      </c>
      <c r="U161" s="2"/>
      <c r="V161" s="7">
        <f t="shared" si="78"/>
        <v>1.9873208927045452E-3</v>
      </c>
      <c r="W161" s="2"/>
      <c r="X161" s="6">
        <f t="shared" si="79"/>
        <v>-1785.2</v>
      </c>
      <c r="Y161" s="2"/>
      <c r="Z161" s="7">
        <f t="shared" si="80"/>
        <v>-0.85009523809523813</v>
      </c>
    </row>
    <row r="162" spans="1:26" s="26" customFormat="1" outlineLevel="1" collapsed="1" x14ac:dyDescent="0.25">
      <c r="A162" s="25"/>
      <c r="B162" s="12" t="str">
        <f>CONCATENATE("     ","Travel                                            ")</f>
        <v xml:space="preserve">     Travel                                            </v>
      </c>
      <c r="C162" s="12"/>
      <c r="D162" s="1">
        <f>SUM(OSRRefD22_16x_0)</f>
        <v>0</v>
      </c>
      <c r="E162" s="1"/>
      <c r="F162" s="5">
        <f t="shared" si="73"/>
        <v>0</v>
      </c>
      <c r="G162" s="1"/>
      <c r="H162" s="1">
        <f>SUM(OSRRefH22_16x_0)</f>
        <v>0</v>
      </c>
      <c r="I162" s="1"/>
      <c r="J162" s="5">
        <f t="shared" si="74"/>
        <v>0</v>
      </c>
      <c r="K162" s="1"/>
      <c r="L162" s="1">
        <f t="shared" si="75"/>
        <v>0</v>
      </c>
      <c r="M162" s="1"/>
      <c r="N162" s="5">
        <f t="shared" si="76"/>
        <v>0</v>
      </c>
      <c r="O162" s="12"/>
      <c r="P162" s="1">
        <f>SUM(OSRRefP22_16x_0)</f>
        <v>-323.01</v>
      </c>
      <c r="Q162" s="1"/>
      <c r="R162" s="5">
        <f t="shared" si="77"/>
        <v>-3.8813161041718284E-4</v>
      </c>
      <c r="S162" s="1"/>
      <c r="T162" s="1">
        <f>SUM(OSRRefT22_16x_0)</f>
        <v>0</v>
      </c>
      <c r="U162" s="1"/>
      <c r="V162" s="5">
        <f t="shared" si="78"/>
        <v>0</v>
      </c>
      <c r="W162" s="1"/>
      <c r="X162" s="1">
        <f t="shared" si="79"/>
        <v>-323.01</v>
      </c>
      <c r="Y162" s="1"/>
      <c r="Z162" s="5">
        <f t="shared" si="80"/>
        <v>0</v>
      </c>
    </row>
    <row r="163" spans="1:26" s="24" customFormat="1" hidden="1" outlineLevel="2" x14ac:dyDescent="0.25">
      <c r="A163" s="27"/>
      <c r="B163" s="11" t="str">
        <f>CONCATENATE("          ", "6292", " - ", "TRAVEL/CONFERENCE")</f>
        <v xml:space="preserve">          6292 - TRAVEL/CONFERENCE</v>
      </c>
      <c r="C163" s="11"/>
      <c r="D163" s="6"/>
      <c r="E163" s="2"/>
      <c r="F163" s="7">
        <f t="shared" si="73"/>
        <v>0</v>
      </c>
      <c r="G163" s="2"/>
      <c r="H163" s="6"/>
      <c r="I163" s="2"/>
      <c r="J163" s="7">
        <f t="shared" si="74"/>
        <v>0</v>
      </c>
      <c r="K163" s="2"/>
      <c r="L163" s="6">
        <f t="shared" si="75"/>
        <v>0</v>
      </c>
      <c r="M163" s="2"/>
      <c r="N163" s="7">
        <f t="shared" si="76"/>
        <v>0</v>
      </c>
      <c r="O163" s="11"/>
      <c r="P163" s="6">
        <v>-323.01</v>
      </c>
      <c r="Q163" s="2"/>
      <c r="R163" s="7">
        <f t="shared" si="77"/>
        <v>-3.8813161041718284E-4</v>
      </c>
      <c r="S163" s="2"/>
      <c r="T163" s="6"/>
      <c r="U163" s="2"/>
      <c r="V163" s="7">
        <f t="shared" si="78"/>
        <v>0</v>
      </c>
      <c r="W163" s="2"/>
      <c r="X163" s="6">
        <f t="shared" si="79"/>
        <v>-323.01</v>
      </c>
      <c r="Y163" s="2"/>
      <c r="Z163" s="7">
        <f t="shared" si="80"/>
        <v>0</v>
      </c>
    </row>
    <row r="164" spans="1:26" s="60" customFormat="1" x14ac:dyDescent="0.25">
      <c r="A164" s="36"/>
      <c r="B164" s="36"/>
      <c r="C164" s="36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6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3" customFormat="1" collapsed="1" x14ac:dyDescent="0.25">
      <c r="A165" s="10"/>
      <c r="B165" s="28" t="s">
        <v>0</v>
      </c>
      <c r="C165" s="10"/>
      <c r="D165" s="4">
        <f>SUM(OSRRefD25x_0)</f>
        <v>0</v>
      </c>
      <c r="E165" s="4"/>
      <c r="F165" s="13">
        <f t="shared" ref="F165:F166" si="81">IF(D$12=0,0,D165/D$12)</f>
        <v>0</v>
      </c>
      <c r="G165" s="4"/>
      <c r="H165" s="4">
        <f>SUM(OSRRefH25x_0)</f>
        <v>0</v>
      </c>
      <c r="I165" s="4"/>
      <c r="J165" s="13">
        <f t="shared" ref="J165:J166" si="82">IF(H$12=0,0,H165/H$12)</f>
        <v>0</v>
      </c>
      <c r="K165" s="4"/>
      <c r="L165" s="4">
        <f t="shared" ref="L165:L166" si="83">+D165-H165</f>
        <v>0</v>
      </c>
      <c r="M165" s="4"/>
      <c r="N165" s="13">
        <f t="shared" ref="N165:N166" si="84">IF(H165=0,0,L165/H165)</f>
        <v>0</v>
      </c>
      <c r="O165" s="10"/>
      <c r="P165" s="4">
        <f>SUM(OSRRefP25x_0)</f>
        <v>68.760000000000005</v>
      </c>
      <c r="Q165" s="4"/>
      <c r="R165" s="13">
        <f t="shared" ref="R165:R166" si="85">IF(P$12=0,0,P165/P$12)</f>
        <v>8.2622610855036987E-5</v>
      </c>
      <c r="S165" s="4"/>
      <c r="T165" s="4">
        <f>SUM(OSRRefT25x_0)</f>
        <v>0</v>
      </c>
      <c r="U165" s="4"/>
      <c r="V165" s="13">
        <f t="shared" ref="V165:V166" si="86">IF(T$12=0,0,T165/T$12)</f>
        <v>0</v>
      </c>
      <c r="W165" s="4"/>
      <c r="X165" s="4">
        <f t="shared" ref="X165:X166" si="87">+P165-T165</f>
        <v>68.760000000000005</v>
      </c>
      <c r="Y165" s="4"/>
      <c r="Z165" s="13">
        <f t="shared" ref="Z165:Z166" si="88">IF(T165=0,0,X165/T165)</f>
        <v>0</v>
      </c>
    </row>
    <row r="166" spans="1:26" s="24" customFormat="1" hidden="1" outlineLevel="1" x14ac:dyDescent="0.25">
      <c r="A166" s="44"/>
      <c r="B166" s="11" t="str">
        <f>CONCATENATE("          ", "9150", " - ", "MISC. INCOME")</f>
        <v xml:space="preserve">          9150 - MISC. INCOME</v>
      </c>
      <c r="C166" s="11"/>
      <c r="D166" s="2">
        <f>0</f>
        <v>0</v>
      </c>
      <c r="E166" s="2"/>
      <c r="F166" s="19">
        <f t="shared" si="81"/>
        <v>0</v>
      </c>
      <c r="G166" s="2"/>
      <c r="H166" s="2"/>
      <c r="I166" s="2"/>
      <c r="J166" s="19">
        <f t="shared" si="82"/>
        <v>0</v>
      </c>
      <c r="K166" s="2"/>
      <c r="L166" s="2">
        <f t="shared" si="83"/>
        <v>0</v>
      </c>
      <c r="M166" s="2"/>
      <c r="N166" s="19">
        <f t="shared" si="84"/>
        <v>0</v>
      </c>
      <c r="O166" s="11"/>
      <c r="P166" s="2">
        <f>--68.76</f>
        <v>68.760000000000005</v>
      </c>
      <c r="Q166" s="2"/>
      <c r="R166" s="19">
        <f t="shared" si="85"/>
        <v>8.2622610855036987E-5</v>
      </c>
      <c r="S166" s="2"/>
      <c r="T166" s="2"/>
      <c r="U166" s="2"/>
      <c r="V166" s="19">
        <f t="shared" si="86"/>
        <v>0</v>
      </c>
      <c r="W166" s="2"/>
      <c r="X166" s="2">
        <f t="shared" si="87"/>
        <v>68.760000000000005</v>
      </c>
      <c r="Y166" s="2"/>
      <c r="Z166" s="19">
        <f t="shared" si="88"/>
        <v>0</v>
      </c>
    </row>
    <row r="167" spans="1:26" x14ac:dyDescent="0.25">
      <c r="A167" s="9"/>
      <c r="B167" s="10"/>
      <c r="C167" s="10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O167" s="10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s="23" customFormat="1" x14ac:dyDescent="0.25">
      <c r="A168" s="10"/>
      <c r="B168" s="29" t="s">
        <v>3</v>
      </c>
      <c r="C168" s="29"/>
      <c r="D168" s="22">
        <f>+D83-D85+D165</f>
        <v>-84715.23000000001</v>
      </c>
      <c r="E168" s="14"/>
      <c r="F168" s="20">
        <f>IF(D$12=0,0,D168/D$12)</f>
        <v>-8.040915873160511</v>
      </c>
      <c r="G168" s="14"/>
      <c r="H168" s="22">
        <f>+H83-H85+H165</f>
        <v>-25804.869540504609</v>
      </c>
      <c r="I168" s="14"/>
      <c r="J168" s="20">
        <f>IF(H$12=0,0,H168/H$12)</f>
        <v>-1.8580695233658273</v>
      </c>
      <c r="K168" s="15"/>
      <c r="L168" s="22">
        <f>+D168-H168</f>
        <v>-58910.360459495401</v>
      </c>
      <c r="M168" s="15"/>
      <c r="N168" s="20">
        <f>IF(H168=0,0,L168/H168)</f>
        <v>2.2829164226940488</v>
      </c>
      <c r="O168" s="28"/>
      <c r="P168" s="22">
        <f>+P83-P85+P165</f>
        <v>106133.46999999984</v>
      </c>
      <c r="Q168" s="14"/>
      <c r="R168" s="20">
        <f>IF(P$12=0,0,P168/P$12)</f>
        <v>0.12753089573159873</v>
      </c>
      <c r="S168" s="14"/>
      <c r="T168" s="22">
        <f>+T83-T85+T165</f>
        <v>277200.44259517803</v>
      </c>
      <c r="U168" s="14"/>
      <c r="V168" s="20">
        <f>IF(T$12=0,0,T168/T$12)</f>
        <v>0.26232677668397342</v>
      </c>
      <c r="W168" s="15"/>
      <c r="X168" s="22">
        <f>+P168-T168</f>
        <v>-171066.97259517817</v>
      </c>
      <c r="Y168" s="15"/>
      <c r="Z168" s="20">
        <f>IF(T168=0,0,X168/T168)</f>
        <v>-0.61712373542275845</v>
      </c>
    </row>
    <row r="169" spans="1:26" x14ac:dyDescent="0.25">
      <c r="A169" s="9"/>
      <c r="B169" s="10"/>
      <c r="C169" s="9"/>
      <c r="D169" s="3"/>
      <c r="E169" s="3"/>
      <c r="F169" s="8"/>
      <c r="G169" s="3"/>
      <c r="H169" s="3"/>
      <c r="I169" s="3"/>
      <c r="J169" s="8"/>
      <c r="K169" s="3"/>
      <c r="L169" s="3"/>
      <c r="M169" s="3"/>
      <c r="N169" s="8"/>
      <c r="P169" s="3"/>
      <c r="Q169" s="3"/>
      <c r="R169" s="8"/>
      <c r="S169" s="3"/>
      <c r="T169" s="3"/>
      <c r="U169" s="3"/>
      <c r="V169" s="8"/>
      <c r="W169" s="3"/>
      <c r="X169" s="3"/>
      <c r="Y169" s="3"/>
      <c r="Z169" s="8"/>
    </row>
    <row r="170" spans="1:26" s="23" customFormat="1" x14ac:dyDescent="0.25">
      <c r="A170" s="52"/>
      <c r="B170" s="10" t="s">
        <v>14</v>
      </c>
      <c r="C170" s="10"/>
      <c r="D170" s="4">
        <v>28725.929999999997</v>
      </c>
      <c r="E170" s="4"/>
      <c r="F170" s="13">
        <f>IF(D$12=0,0,D170/D$12)</f>
        <v>2.7265792291220556</v>
      </c>
      <c r="G170" s="4"/>
      <c r="H170" s="4">
        <v>15924</v>
      </c>
      <c r="I170" s="4"/>
      <c r="J170" s="13">
        <f>IF(H$12=0,0,H170/H$12)</f>
        <v>1.1466013824884793</v>
      </c>
      <c r="K170" s="4"/>
      <c r="L170" s="4">
        <f>+D170-H170</f>
        <v>12801.929999999997</v>
      </c>
      <c r="M170" s="4"/>
      <c r="N170" s="13">
        <f>IF(H170=0,0,L170/H170)</f>
        <v>0.80393933685003749</v>
      </c>
      <c r="O170" s="10"/>
      <c r="P170" s="4">
        <v>126030.01</v>
      </c>
      <c r="Q170" s="4"/>
      <c r="R170" s="13">
        <f>IF(P$12=0,0,P170/P$12)</f>
        <v>0.15143875032411894</v>
      </c>
      <c r="S170" s="4"/>
      <c r="T170" s="4">
        <v>136706</v>
      </c>
      <c r="U170" s="4"/>
      <c r="V170" s="13">
        <f>IF(T$12=0,0,T170/T$12)</f>
        <v>0.12937080474193691</v>
      </c>
      <c r="W170" s="4"/>
      <c r="X170" s="4">
        <f>+P170-T170</f>
        <v>-10675.990000000005</v>
      </c>
      <c r="Y170" s="4"/>
      <c r="Z170" s="13">
        <f>IF(T170=0,0,X170/T170)</f>
        <v>-7.8094524015039607E-2</v>
      </c>
    </row>
    <row r="171" spans="1:26" x14ac:dyDescent="0.25">
      <c r="A171" s="9"/>
      <c r="B171" s="10"/>
      <c r="C171" s="10"/>
      <c r="D171" s="3"/>
      <c r="E171" s="3"/>
      <c r="F171" s="8"/>
      <c r="G171" s="3"/>
      <c r="H171" s="3"/>
      <c r="I171" s="3"/>
      <c r="J171" s="8"/>
      <c r="K171" s="3"/>
      <c r="L171" s="3"/>
      <c r="M171" s="3"/>
      <c r="N171" s="8"/>
      <c r="O171" s="10"/>
      <c r="P171" s="3"/>
      <c r="Q171" s="3"/>
      <c r="R171" s="8"/>
      <c r="S171" s="3"/>
      <c r="T171" s="3"/>
      <c r="U171" s="3"/>
      <c r="V171" s="8"/>
      <c r="W171" s="3"/>
      <c r="X171" s="3"/>
      <c r="Y171" s="3"/>
      <c r="Z171" s="8"/>
    </row>
    <row r="172" spans="1:26" s="23" customFormat="1" ht="15.75" thickBot="1" x14ac:dyDescent="0.3">
      <c r="A172" s="10"/>
      <c r="B172" s="29" t="s">
        <v>4</v>
      </c>
      <c r="C172" s="29"/>
      <c r="D172" s="31">
        <f>+D168-D170</f>
        <v>-113441.16</v>
      </c>
      <c r="E172" s="14"/>
      <c r="F172" s="33">
        <f>IF(D$12=0,0,D172/D$12)</f>
        <v>-10.767495102282567</v>
      </c>
      <c r="G172" s="14"/>
      <c r="H172" s="31">
        <f>+H168-H170</f>
        <v>-41728.869540504609</v>
      </c>
      <c r="I172" s="14"/>
      <c r="J172" s="33">
        <f>IF(H$12=0,0,H172/H$12)</f>
        <v>-3.0046709058543066</v>
      </c>
      <c r="K172" s="15"/>
      <c r="L172" s="31">
        <f>D172-H172</f>
        <v>-71712.290459495387</v>
      </c>
      <c r="M172" s="15"/>
      <c r="N172" s="33">
        <f>IF(H172=0,0,L172/H172)</f>
        <v>1.7185294317615536</v>
      </c>
      <c r="O172" s="28"/>
      <c r="P172" s="31">
        <f>+P168-P170</f>
        <v>-19896.540000000154</v>
      </c>
      <c r="Q172" s="14"/>
      <c r="R172" s="33">
        <f>IF(P$12=0,0,P172/P$12)</f>
        <v>-2.3907854592520216E-2</v>
      </c>
      <c r="S172" s="14"/>
      <c r="T172" s="31">
        <f>+T168-T170</f>
        <v>140494.44259517803</v>
      </c>
      <c r="U172" s="14"/>
      <c r="V172" s="33">
        <f>IF(T$12=0,0,T172/T$12)</f>
        <v>0.13295597194203651</v>
      </c>
      <c r="W172" s="15"/>
      <c r="X172" s="31">
        <f>P172-T172</f>
        <v>-160390.98259517818</v>
      </c>
      <c r="Y172" s="15"/>
      <c r="Z172" s="33">
        <f>IF(T172=0,0,X172/T172)</f>
        <v>-1.1416179859678168</v>
      </c>
    </row>
    <row r="173" spans="1:26" ht="15.75" thickTop="1" x14ac:dyDescent="0.25">
      <c r="A173" s="9"/>
      <c r="B173" s="9"/>
      <c r="C173" s="9"/>
      <c r="D173" s="3"/>
      <c r="E173" s="3"/>
      <c r="F173" s="8"/>
      <c r="G173" s="3"/>
      <c r="H173" s="3"/>
      <c r="I173" s="3"/>
      <c r="J173" s="8"/>
      <c r="K173" s="3"/>
      <c r="L173" s="3"/>
      <c r="M173" s="3"/>
      <c r="N173" s="8"/>
      <c r="P173" s="3"/>
      <c r="Q173" s="3"/>
      <c r="R173" s="8"/>
      <c r="S173" s="3"/>
      <c r="T173" s="3"/>
      <c r="U173" s="3"/>
      <c r="V173" s="8"/>
      <c r="W173" s="3"/>
      <c r="X173" s="3"/>
      <c r="Y173" s="3"/>
      <c r="Z173" s="8"/>
    </row>
    <row r="174" spans="1:26" x14ac:dyDescent="0.25">
      <c r="A174" s="9"/>
      <c r="B174" s="9"/>
      <c r="C174" s="9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3" customFormat="1" ht="15.75" thickBot="1" x14ac:dyDescent="0.3">
      <c r="A175" s="10"/>
      <c r="B175" s="29" t="s">
        <v>5</v>
      </c>
      <c r="C175" s="29"/>
      <c r="D175" s="34">
        <f>SUM(D172:D174)</f>
        <v>-113441.16</v>
      </c>
      <c r="E175" s="14"/>
      <c r="F175" s="35">
        <f>IF(D$12=0,0,D175/D$12)</f>
        <v>-10.767495102282567</v>
      </c>
      <c r="G175" s="14"/>
      <c r="H175" s="34">
        <f>SUM(H172:H174)</f>
        <v>-41728.869540504609</v>
      </c>
      <c r="I175" s="14"/>
      <c r="J175" s="35">
        <f>IF(H$12=0,0,H175/H$12)</f>
        <v>-3.0046709058543066</v>
      </c>
      <c r="K175" s="15"/>
      <c r="L175" s="34">
        <f>+D175-H175</f>
        <v>-71712.290459495387</v>
      </c>
      <c r="M175" s="15"/>
      <c r="N175" s="35">
        <f>IF(H175=0,0,L175/H175)</f>
        <v>1.7185294317615536</v>
      </c>
      <c r="O175" s="28"/>
      <c r="P175" s="34">
        <f>SUM(P172:P174)</f>
        <v>-19896.540000000154</v>
      </c>
      <c r="Q175" s="14"/>
      <c r="R175" s="35">
        <f>IF(P$12=0,0,P175/P$12)</f>
        <v>-2.3907854592520216E-2</v>
      </c>
      <c r="S175" s="14"/>
      <c r="T175" s="34">
        <f>SUM(T172:T174)</f>
        <v>140494.44259517803</v>
      </c>
      <c r="U175" s="14"/>
      <c r="V175" s="35">
        <f>IF(T$12=0,0,T175/T$12)</f>
        <v>0.13295597194203651</v>
      </c>
      <c r="W175" s="15"/>
      <c r="X175" s="34">
        <f>+P175-T175</f>
        <v>-160390.98259517818</v>
      </c>
      <c r="Y175" s="15"/>
      <c r="Z175" s="35">
        <f>IF(T175=0,0,X175/T175)</f>
        <v>-1.1416179859678168</v>
      </c>
    </row>
    <row r="176" spans="1:26" ht="15.75" thickTop="1" x14ac:dyDescent="0.25">
      <c r="A176" s="9"/>
      <c r="C176" s="9"/>
      <c r="D176" s="17"/>
      <c r="E176" s="17"/>
      <c r="G176" s="17"/>
      <c r="H176" s="17"/>
      <c r="I176" s="17"/>
      <c r="J176" s="43"/>
      <c r="K176" s="17"/>
      <c r="L176" s="17"/>
      <c r="M176" s="17"/>
      <c r="P176" s="17"/>
      <c r="Q176" s="17"/>
      <c r="R176" s="43"/>
      <c r="S176" s="17"/>
      <c r="T176" s="17"/>
      <c r="U176" s="17"/>
      <c r="V176" s="43"/>
      <c r="W176" s="17"/>
      <c r="X176" s="17"/>
    </row>
    <row r="177" spans="1:24" x14ac:dyDescent="0.25">
      <c r="A177" s="9"/>
      <c r="B177" s="55">
        <v>44043.472930324075</v>
      </c>
      <c r="D177" s="17"/>
      <c r="E177" s="17"/>
      <c r="G177" s="17"/>
      <c r="H177" s="17"/>
      <c r="I177" s="17"/>
      <c r="J177" s="43"/>
      <c r="K177" s="17"/>
      <c r="L177" s="17"/>
      <c r="M177" s="17"/>
      <c r="P177" s="17"/>
      <c r="Q177" s="17"/>
      <c r="R177" s="43"/>
      <c r="S177" s="17"/>
      <c r="T177" s="17"/>
      <c r="U177" s="17"/>
      <c r="V177" s="43"/>
      <c r="W177" s="17"/>
      <c r="X177" s="17"/>
    </row>
    <row r="178" spans="1:24" x14ac:dyDescent="0.25">
      <c r="A178" s="9"/>
      <c r="B178" s="62" t="s">
        <v>314</v>
      </c>
      <c r="D178" s="17"/>
      <c r="E178" s="17"/>
      <c r="G178" s="17"/>
      <c r="H178" s="17"/>
      <c r="I178" s="17"/>
      <c r="J178" s="43"/>
      <c r="K178" s="17"/>
      <c r="L178" s="17"/>
      <c r="M178" s="17"/>
      <c r="P178" s="17"/>
      <c r="Q178" s="17"/>
      <c r="R178" s="43"/>
      <c r="S178" s="17"/>
      <c r="T178" s="17"/>
      <c r="U178" s="17"/>
      <c r="V178" s="43"/>
      <c r="W178" s="17"/>
      <c r="X178" s="17"/>
    </row>
    <row r="179" spans="1:24" x14ac:dyDescent="0.25">
      <c r="A179" s="9"/>
      <c r="B179" s="63"/>
      <c r="D179" s="17"/>
      <c r="E179" s="17"/>
      <c r="G179" s="17"/>
      <c r="H179" s="17"/>
      <c r="I179" s="17"/>
      <c r="J179" s="43"/>
      <c r="K179" s="17"/>
      <c r="L179" s="17"/>
      <c r="M179" s="17"/>
      <c r="P179" s="17"/>
      <c r="Q179" s="17"/>
      <c r="R179" s="43"/>
      <c r="S179" s="17"/>
      <c r="T179" s="17"/>
      <c r="U179" s="17"/>
      <c r="V179" s="43"/>
      <c r="W179" s="17"/>
      <c r="X179" s="17"/>
    </row>
    <row r="180" spans="1:24" x14ac:dyDescent="0.25">
      <c r="D180" s="17"/>
      <c r="E180" s="17"/>
      <c r="G180" s="17"/>
      <c r="H180" s="17"/>
      <c r="I180" s="17"/>
      <c r="J180" s="43"/>
      <c r="K180" s="17"/>
      <c r="L180" s="17"/>
      <c r="M180" s="17"/>
      <c r="P180" s="17"/>
      <c r="Q180" s="17"/>
      <c r="R180" s="43"/>
      <c r="S180" s="17"/>
      <c r="T180" s="17"/>
      <c r="U180" s="17"/>
      <c r="V180" s="43"/>
      <c r="W180" s="17"/>
      <c r="X180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6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","307", " - ", "Art Store")</f>
        <v>Department 307 - Art Store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2630</v>
      </c>
      <c r="I12" s="4"/>
      <c r="J12" s="13"/>
      <c r="K12" s="4"/>
      <c r="L12" s="4">
        <f t="shared" ref="L12:L50" si="0">+D12-H12</f>
        <v>-2630</v>
      </c>
      <c r="M12" s="4"/>
      <c r="N12" s="13">
        <f t="shared" ref="N12:N50" si="1">IF(H12=0,0,L12/H12)</f>
        <v>-1</v>
      </c>
      <c r="O12" s="10"/>
      <c r="P12" s="4">
        <f>SUM(OSRRefP13x_0)</f>
        <v>410549.44000000024</v>
      </c>
      <c r="Q12" s="4"/>
      <c r="R12" s="13"/>
      <c r="S12" s="4"/>
      <c r="T12" s="4">
        <f>SUM(OSRRefT13x_0)</f>
        <v>531802</v>
      </c>
      <c r="U12" s="4"/>
      <c r="V12" s="13"/>
      <c r="W12" s="4"/>
      <c r="X12" s="4">
        <f t="shared" ref="X12:X50" si="2">+P12-T12</f>
        <v>-121252.55999999976</v>
      </c>
      <c r="Y12" s="4"/>
      <c r="Z12" s="13">
        <f t="shared" ref="Z12:Z50" si="3">IF(T12=0,0,X12/T12)</f>
        <v>-0.22800320420005898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50" si="4">0</f>
        <v>0</v>
      </c>
      <c r="E13" s="2"/>
      <c r="F13" s="19"/>
      <c r="G13" s="2"/>
      <c r="H13" s="2">
        <v>2229</v>
      </c>
      <c r="I13" s="2"/>
      <c r="J13" s="19"/>
      <c r="K13" s="2"/>
      <c r="L13" s="2">
        <f t="shared" si="0"/>
        <v>-2229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398647</v>
      </c>
      <c r="U13" s="2"/>
      <c r="V13" s="19"/>
      <c r="W13" s="2"/>
      <c r="X13" s="2">
        <f t="shared" si="2"/>
        <v>-398647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--71.37</f>
        <v>71.37</v>
      </c>
      <c r="Q14" s="2"/>
      <c r="R14" s="19"/>
      <c r="S14" s="2"/>
      <c r="T14" s="2"/>
      <c r="U14" s="2"/>
      <c r="V14" s="19"/>
      <c r="W14" s="2"/>
      <c r="X14" s="2">
        <f t="shared" si="2"/>
        <v>71.37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--2262.94</f>
        <v>2262.94</v>
      </c>
      <c r="Q15" s="2"/>
      <c r="R15" s="19"/>
      <c r="S15" s="2"/>
      <c r="T15" s="2"/>
      <c r="U15" s="2"/>
      <c r="V15" s="19"/>
      <c r="W15" s="2"/>
      <c r="X15" s="2">
        <f t="shared" si="2"/>
        <v>2262.94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--6663.38</f>
        <v>6663.38</v>
      </c>
      <c r="Q16" s="2"/>
      <c r="R16" s="19"/>
      <c r="S16" s="2"/>
      <c r="T16" s="2"/>
      <c r="U16" s="2"/>
      <c r="V16" s="19"/>
      <c r="W16" s="2"/>
      <c r="X16" s="2">
        <f t="shared" si="2"/>
        <v>6663.38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--9231.13</f>
        <v>9231.1299999999992</v>
      </c>
      <c r="Q17" s="2"/>
      <c r="R17" s="19"/>
      <c r="S17" s="2"/>
      <c r="T17" s="2"/>
      <c r="U17" s="2"/>
      <c r="V17" s="19"/>
      <c r="W17" s="2"/>
      <c r="X17" s="2">
        <f t="shared" si="2"/>
        <v>9231.1299999999992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--280493.72</f>
        <v>280493.71999999997</v>
      </c>
      <c r="Q18" s="2"/>
      <c r="R18" s="19"/>
      <c r="S18" s="2"/>
      <c r="T18" s="2"/>
      <c r="U18" s="2"/>
      <c r="V18" s="19"/>
      <c r="W18" s="2"/>
      <c r="X18" s="2">
        <f t="shared" si="2"/>
        <v>280493.71999999997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--486.34</f>
        <v>486.34</v>
      </c>
      <c r="Q19" s="2"/>
      <c r="R19" s="19"/>
      <c r="S19" s="2"/>
      <c r="T19" s="2"/>
      <c r="U19" s="2"/>
      <c r="V19" s="19"/>
      <c r="W19" s="2"/>
      <c r="X19" s="2">
        <f t="shared" si="2"/>
        <v>486.34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--1905.06</f>
        <v>1905.06</v>
      </c>
      <c r="Q20" s="2"/>
      <c r="R20" s="19"/>
      <c r="S20" s="2"/>
      <c r="T20" s="2"/>
      <c r="U20" s="2"/>
      <c r="V20" s="19"/>
      <c r="W20" s="2"/>
      <c r="X20" s="2">
        <f t="shared" si="2"/>
        <v>1905.06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--205.53</f>
        <v>205.53</v>
      </c>
      <c r="Q21" s="2"/>
      <c r="R21" s="19"/>
      <c r="S21" s="2"/>
      <c r="T21" s="2"/>
      <c r="U21" s="2"/>
      <c r="V21" s="19"/>
      <c r="W21" s="2"/>
      <c r="X21" s="2">
        <f t="shared" si="2"/>
        <v>205.53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--7803.51</f>
        <v>7803.51</v>
      </c>
      <c r="Q22" s="2"/>
      <c r="R22" s="19"/>
      <c r="S22" s="2"/>
      <c r="T22" s="2"/>
      <c r="U22" s="2"/>
      <c r="V22" s="19"/>
      <c r="W22" s="2"/>
      <c r="X22" s="2">
        <f t="shared" si="2"/>
        <v>7803.51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--1961.69</f>
        <v>1961.69</v>
      </c>
      <c r="Q23" s="2"/>
      <c r="R23" s="19"/>
      <c r="S23" s="2"/>
      <c r="T23" s="2"/>
      <c r="U23" s="2"/>
      <c r="V23" s="19"/>
      <c r="W23" s="2"/>
      <c r="X23" s="2">
        <f t="shared" si="2"/>
        <v>1961.69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--513.51</f>
        <v>513.51</v>
      </c>
      <c r="Q24" s="2"/>
      <c r="R24" s="19"/>
      <c r="S24" s="2"/>
      <c r="T24" s="2"/>
      <c r="U24" s="2"/>
      <c r="V24" s="19"/>
      <c r="W24" s="2"/>
      <c r="X24" s="2">
        <f t="shared" si="2"/>
        <v>513.51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"4041", " - ", "TAXABLE SALES-LOGO GIFTS")</f>
        <v xml:space="preserve">          4041 - TAXABLE SALES-LOGO GIFTS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--494.2</f>
        <v>494.2</v>
      </c>
      <c r="Q25" s="2"/>
      <c r="R25" s="19"/>
      <c r="S25" s="2"/>
      <c r="T25" s="2"/>
      <c r="U25" s="2"/>
      <c r="V25" s="19"/>
      <c r="W25" s="2"/>
      <c r="X25" s="2">
        <f t="shared" si="2"/>
        <v>494.2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--583.7</f>
        <v>583.70000000000005</v>
      </c>
      <c r="Q26" s="2"/>
      <c r="R26" s="19"/>
      <c r="S26" s="2"/>
      <c r="T26" s="2"/>
      <c r="U26" s="2"/>
      <c r="V26" s="19"/>
      <c r="W26" s="2"/>
      <c r="X26" s="2">
        <f t="shared" si="2"/>
        <v>583.70000000000005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"4044", " - ", "TAXABLE SALES-ACCESSORIES")</f>
        <v xml:space="preserve">          4044 - TAXABLE SALES-ACCESSORIES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--179.5</f>
        <v>179.5</v>
      </c>
      <c r="Q27" s="2"/>
      <c r="R27" s="19"/>
      <c r="S27" s="2"/>
      <c r="T27" s="2"/>
      <c r="U27" s="2"/>
      <c r="V27" s="19"/>
      <c r="W27" s="2"/>
      <c r="X27" s="2">
        <f t="shared" si="2"/>
        <v>179.5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"4081", " - ", "TAXABLE SALES-ELECTRONICS")</f>
        <v xml:space="preserve">          4081 - TAXABLE SALES-ELECTRONICS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--3174.93</f>
        <v>3174.93</v>
      </c>
      <c r="Q28" s="2"/>
      <c r="R28" s="19"/>
      <c r="S28" s="2"/>
      <c r="T28" s="2"/>
      <c r="U28" s="2"/>
      <c r="V28" s="19"/>
      <c r="W28" s="2"/>
      <c r="X28" s="2">
        <f t="shared" si="2"/>
        <v>3174.93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"4082", " - ", "TAXABLE SALES-COMPUTER HARDWAR")</f>
        <v xml:space="preserve">          4082 - TAXABLE SALES-COMPUTER HARDWAR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--363.94</f>
        <v>363.94</v>
      </c>
      <c r="Q29" s="2"/>
      <c r="R29" s="19"/>
      <c r="S29" s="2"/>
      <c r="T29" s="2"/>
      <c r="U29" s="2"/>
      <c r="V29" s="19"/>
      <c r="W29" s="2"/>
      <c r="X29" s="2">
        <f t="shared" si="2"/>
        <v>363.94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"4083", " - ", "TAXABLE SALES-COMPUTER EQUIPME")</f>
        <v xml:space="preserve">          4083 - TAXABLE SALES-COMPUTER EQUIPME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--914.33</f>
        <v>914.33</v>
      </c>
      <c r="Q30" s="2"/>
      <c r="R30" s="19"/>
      <c r="S30" s="2"/>
      <c r="T30" s="2"/>
      <c r="U30" s="2"/>
      <c r="V30" s="19"/>
      <c r="W30" s="2"/>
      <c r="X30" s="2">
        <f t="shared" si="2"/>
        <v>914.33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"4086", " - ", "TAXABLE SALES-COMPUTER SUPPLIE")</f>
        <v xml:space="preserve">          4086 - TAXABLE SALES-COMPUTER SUPPLIE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--813.74</f>
        <v>813.74</v>
      </c>
      <c r="Q31" s="2"/>
      <c r="R31" s="19"/>
      <c r="S31" s="2"/>
      <c r="T31" s="2"/>
      <c r="U31" s="2"/>
      <c r="V31" s="19"/>
      <c r="W31" s="2"/>
      <c r="X31" s="2">
        <f t="shared" si="2"/>
        <v>813.74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"4100", " - ", "NON-TAXABLE SALES")</f>
        <v xml:space="preserve">          4100 - NON-TAXABLE SALES</v>
      </c>
      <c r="C32" s="11"/>
      <c r="D32" s="2">
        <f t="shared" si="4"/>
        <v>0</v>
      </c>
      <c r="E32" s="2"/>
      <c r="F32" s="19"/>
      <c r="G32" s="2"/>
      <c r="H32" s="2">
        <v>401</v>
      </c>
      <c r="I32" s="2"/>
      <c r="J32" s="19"/>
      <c r="K32" s="2"/>
      <c r="L32" s="2">
        <f t="shared" si="0"/>
        <v>-401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v>133155</v>
      </c>
      <c r="U32" s="2"/>
      <c r="V32" s="19"/>
      <c r="W32" s="2"/>
      <c r="X32" s="2">
        <f t="shared" si="2"/>
        <v>-133155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"4126", " - ", "NON-TAXABLE SALES-WRITING INST")</f>
        <v xml:space="preserve">          4126 - NON-TAXABLE SALES-WRITING INST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--2.49</f>
        <v>2.4900000000000002</v>
      </c>
      <c r="Q33" s="2"/>
      <c r="R33" s="19"/>
      <c r="S33" s="2"/>
      <c r="T33" s="2"/>
      <c r="U33" s="2"/>
      <c r="V33" s="19"/>
      <c r="W33" s="2"/>
      <c r="X33" s="2">
        <f t="shared" si="2"/>
        <v>2.4900000000000002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"4127", " - ", "NON-TAXABLE SALES-SCHOOL SUPPL")</f>
        <v xml:space="preserve">          4127 - NON-TAXABLE SALES-SCHOOL SUPPL</v>
      </c>
      <c r="C34" s="11"/>
      <c r="D34" s="2">
        <f t="shared" si="4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--16.45</f>
        <v>16.45</v>
      </c>
      <c r="Q34" s="2"/>
      <c r="R34" s="19"/>
      <c r="S34" s="2"/>
      <c r="T34" s="2"/>
      <c r="U34" s="2"/>
      <c r="V34" s="19"/>
      <c r="W34" s="2"/>
      <c r="X34" s="2">
        <f t="shared" si="2"/>
        <v>16.45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"4128", " - ", "NON-TAXABLE SALES-ART/TECH")</f>
        <v xml:space="preserve">          4128 - NON-TAXABLE SALES-ART/TECH</v>
      </c>
      <c r="C35" s="11"/>
      <c r="D35" s="2">
        <f t="shared" si="4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--242.09</f>
        <v>242.09</v>
      </c>
      <c r="Q35" s="2"/>
      <c r="R35" s="19"/>
      <c r="S35" s="2"/>
      <c r="T35" s="2"/>
      <c r="U35" s="2"/>
      <c r="V35" s="19"/>
      <c r="W35" s="2"/>
      <c r="X35" s="2">
        <f t="shared" si="2"/>
        <v>242.09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"4131", " - ", "NON-TAXABLE SALES-FOOD")</f>
        <v xml:space="preserve">          4131 - NON-TAXABLE SALES-FOOD</v>
      </c>
      <c r="C36" s="11"/>
      <c r="D36" s="2">
        <f t="shared" si="4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--56310.14</f>
        <v>56310.14</v>
      </c>
      <c r="Q36" s="2"/>
      <c r="R36" s="19"/>
      <c r="S36" s="2"/>
      <c r="T36" s="2"/>
      <c r="U36" s="2"/>
      <c r="V36" s="19"/>
      <c r="W36" s="2"/>
      <c r="X36" s="2">
        <f t="shared" si="2"/>
        <v>56310.14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"4132", " - ", "NON-TAXABLE SALES-JUICE")</f>
        <v xml:space="preserve">          4132 - NON-TAXABLE SALES-JUICE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--16199.63</f>
        <v>16199.63</v>
      </c>
      <c r="Q37" s="2"/>
      <c r="R37" s="19"/>
      <c r="S37" s="2"/>
      <c r="T37" s="2"/>
      <c r="U37" s="2"/>
      <c r="V37" s="19"/>
      <c r="W37" s="2"/>
      <c r="X37" s="2">
        <f t="shared" si="2"/>
        <v>16199.63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"4133", " - ", "NON-TAXABLE SALES-CANDY")</f>
        <v xml:space="preserve">          4133 - NON-TAXABLE SALES-CANDY</v>
      </c>
      <c r="C38" s="11"/>
      <c r="D38" s="2">
        <f t="shared" si="4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--15823.84</f>
        <v>15823.84</v>
      </c>
      <c r="Q38" s="2"/>
      <c r="R38" s="19"/>
      <c r="S38" s="2"/>
      <c r="T38" s="2"/>
      <c r="U38" s="2"/>
      <c r="V38" s="19"/>
      <c r="W38" s="2"/>
      <c r="X38" s="2">
        <f t="shared" si="2"/>
        <v>15823.84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"4134", " - ", "NON-TAXABLE SALES-SODA")</f>
        <v xml:space="preserve">          4134 - NON-TAXABLE SALES-SODA</v>
      </c>
      <c r="C39" s="11"/>
      <c r="D39" s="2">
        <f t="shared" si="4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--1.89</f>
        <v>1.89</v>
      </c>
      <c r="Q39" s="2"/>
      <c r="R39" s="19"/>
      <c r="S39" s="2"/>
      <c r="T39" s="2"/>
      <c r="U39" s="2"/>
      <c r="V39" s="19"/>
      <c r="W39" s="2"/>
      <c r="X39" s="2">
        <f t="shared" si="2"/>
        <v>1.89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"4135", " - ", "NON-TAXABLE SALES")</f>
        <v xml:space="preserve">          4135 - NON-TAXABLE SALES</v>
      </c>
      <c r="C40" s="11"/>
      <c r="D40" s="2">
        <f t="shared" si="4"/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--111.24</f>
        <v>111.24</v>
      </c>
      <c r="Q40" s="2"/>
      <c r="R40" s="19"/>
      <c r="S40" s="2"/>
      <c r="T40" s="2"/>
      <c r="U40" s="2"/>
      <c r="V40" s="19"/>
      <c r="W40" s="2"/>
      <c r="X40" s="2">
        <f t="shared" si="2"/>
        <v>111.24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"4137", " - ", "NON-TAXABLE SALES-WATER")</f>
        <v xml:space="preserve">          4137 - NON-TAXABLE SALES-WATER</v>
      </c>
      <c r="C41" s="11"/>
      <c r="D41" s="2">
        <f t="shared" si="4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--8396.06</f>
        <v>8396.06</v>
      </c>
      <c r="Q41" s="2"/>
      <c r="R41" s="19"/>
      <c r="S41" s="2"/>
      <c r="T41" s="2"/>
      <c r="U41" s="2"/>
      <c r="V41" s="19"/>
      <c r="W41" s="2"/>
      <c r="X41" s="2">
        <f t="shared" si="2"/>
        <v>8396.06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"4186", " - ", "NON-TAXABLE SALES-COMPUTER SUP")</f>
        <v xml:space="preserve">          4186 - NON-TAXABLE SALES-COMPUTER SUP</v>
      </c>
      <c r="C42" s="11"/>
      <c r="D42" s="2">
        <f t="shared" si="4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-30.97</f>
        <v>-30.97</v>
      </c>
      <c r="Q42" s="2"/>
      <c r="R42" s="19"/>
      <c r="S42" s="2"/>
      <c r="T42" s="2"/>
      <c r="U42" s="2"/>
      <c r="V42" s="19"/>
      <c r="W42" s="2"/>
      <c r="X42" s="2">
        <f t="shared" si="2"/>
        <v>-30.97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 t="shared" si="4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-35.13</f>
        <v>-35.130000000000003</v>
      </c>
      <c r="Q43" s="2"/>
      <c r="R43" s="19"/>
      <c r="S43" s="2"/>
      <c r="T43" s="2"/>
      <c r="U43" s="2"/>
      <c r="V43" s="19"/>
      <c r="W43" s="2"/>
      <c r="X43" s="2">
        <f t="shared" si="2"/>
        <v>-35.130000000000003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 t="shared" si="4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-11.05</f>
        <v>-11.05</v>
      </c>
      <c r="Q44" s="2"/>
      <c r="R44" s="19"/>
      <c r="S44" s="2"/>
      <c r="T44" s="2"/>
      <c r="U44" s="2"/>
      <c r="V44" s="19"/>
      <c r="W44" s="2"/>
      <c r="X44" s="2">
        <f t="shared" si="2"/>
        <v>-11.05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-42.06</f>
        <v>-42.06</v>
      </c>
      <c r="Q45" s="2"/>
      <c r="R45" s="19"/>
      <c r="S45" s="2"/>
      <c r="T45" s="2"/>
      <c r="U45" s="2"/>
      <c r="V45" s="19"/>
      <c r="W45" s="2"/>
      <c r="X45" s="2">
        <f t="shared" si="2"/>
        <v>-42.06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 t="shared" si="4"/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-4479.12</f>
        <v>-4479.12</v>
      </c>
      <c r="Q46" s="2"/>
      <c r="R46" s="19"/>
      <c r="S46" s="2"/>
      <c r="T46" s="2"/>
      <c r="U46" s="2"/>
      <c r="V46" s="19"/>
      <c r="W46" s="2"/>
      <c r="X46" s="2">
        <f t="shared" si="2"/>
        <v>-4479.12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 t="shared" si="4"/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-8.25</f>
        <v>-8.25</v>
      </c>
      <c r="Q47" s="2"/>
      <c r="R47" s="19"/>
      <c r="S47" s="2"/>
      <c r="T47" s="2"/>
      <c r="U47" s="2"/>
      <c r="V47" s="19"/>
      <c r="W47" s="2"/>
      <c r="X47" s="2">
        <f t="shared" si="2"/>
        <v>-8.25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"4281", " - ", "SALES RETURN TAXABLE-ELECTRONI")</f>
        <v xml:space="preserve">          4281 - SALES RETURN TAXABLE-ELECTRONI</v>
      </c>
      <c r="C48" s="11"/>
      <c r="D48" s="2">
        <f t="shared" si="4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-54.97</f>
        <v>-54.97</v>
      </c>
      <c r="Q48" s="2"/>
      <c r="R48" s="19"/>
      <c r="S48" s="2"/>
      <c r="T48" s="2"/>
      <c r="U48" s="2"/>
      <c r="V48" s="19"/>
      <c r="W48" s="2"/>
      <c r="X48" s="2">
        <f t="shared" si="2"/>
        <v>-54.97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"4331", " - ", "SALES RETURN NON TAXABLE-FOOD")</f>
        <v xml:space="preserve">          4331 - SALES RETURN NON TAXABLE-FOOD</v>
      </c>
      <c r="C49" s="11"/>
      <c r="D49" s="2">
        <f t="shared" si="4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-12.57</f>
        <v>-12.57</v>
      </c>
      <c r="Q49" s="2"/>
      <c r="R49" s="19"/>
      <c r="S49" s="2"/>
      <c r="T49" s="2"/>
      <c r="U49" s="2"/>
      <c r="V49" s="19"/>
      <c r="W49" s="2"/>
      <c r="X49" s="2">
        <f t="shared" si="2"/>
        <v>-12.57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"4332", " - ", "SALES RETURN NON TAXABLE-JUICE")</f>
        <v xml:space="preserve">          4332 - SALES RETURN NON TAXABLE-JUICE</v>
      </c>
      <c r="C50" s="11"/>
      <c r="D50" s="2">
        <f t="shared" si="4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-2.79</f>
        <v>-2.79</v>
      </c>
      <c r="Q50" s="2"/>
      <c r="R50" s="19"/>
      <c r="S50" s="2"/>
      <c r="T50" s="2"/>
      <c r="U50" s="2"/>
      <c r="V50" s="19"/>
      <c r="W50" s="2"/>
      <c r="X50" s="2">
        <f t="shared" si="2"/>
        <v>-2.79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8" t="s">
        <v>8</v>
      </c>
      <c r="C52" s="10"/>
      <c r="D52" s="4">
        <f>SUM(OSRRefD16x_0)</f>
        <v>13138.83</v>
      </c>
      <c r="E52" s="4"/>
      <c r="F52" s="13">
        <f t="shared" ref="F52:F73" si="5">IF(D$12=0,0,D52/D$12)</f>
        <v>0</v>
      </c>
      <c r="G52" s="4"/>
      <c r="H52" s="4">
        <f>SUM(OSRRefH16x_0)</f>
        <v>1236</v>
      </c>
      <c r="I52" s="4"/>
      <c r="J52" s="13">
        <f t="shared" ref="J52:J73" si="6">IF(H$12=0,0,H52/H$12)</f>
        <v>0.46996197718631177</v>
      </c>
      <c r="K52" s="4"/>
      <c r="L52" s="4">
        <f t="shared" ref="L52:L73" si="7">+D52-H52</f>
        <v>11902.83</v>
      </c>
      <c r="M52" s="4"/>
      <c r="N52" s="13">
        <f t="shared" ref="N52:N73" si="8">IF(H52=0,0,L52/H52)</f>
        <v>9.6301213592233008</v>
      </c>
      <c r="O52" s="10"/>
      <c r="P52" s="4">
        <f>SUM(OSRRefP16x_0)</f>
        <v>228933.56</v>
      </c>
      <c r="Q52" s="4"/>
      <c r="R52" s="13">
        <f t="shared" ref="R52:R73" si="9">IF(P$12=0,0,P52/P$12)</f>
        <v>0.55762726165209209</v>
      </c>
      <c r="S52" s="4"/>
      <c r="T52" s="4">
        <f>SUM(OSRRefT16x_0)</f>
        <v>234689</v>
      </c>
      <c r="U52" s="4"/>
      <c r="V52" s="13">
        <f t="shared" ref="V52:V73" si="10">IF(T$12=0,0,T52/T$12)</f>
        <v>0.44130898341864078</v>
      </c>
      <c r="W52" s="4"/>
      <c r="X52" s="4">
        <f t="shared" ref="X52:X73" si="11">+P52-T52</f>
        <v>-5755.4400000000023</v>
      </c>
      <c r="Y52" s="4"/>
      <c r="Z52" s="13">
        <f t="shared" ref="Z52:Z73" si="12">IF(T52=0,0,X52/T52)</f>
        <v>-2.4523688796662828E-2</v>
      </c>
    </row>
    <row r="53" spans="1:26" s="24" customFormat="1" hidden="1" outlineLevel="1" x14ac:dyDescent="0.25">
      <c r="A53" s="44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19">
        <f t="shared" si="5"/>
        <v>0</v>
      </c>
      <c r="G53" s="2"/>
      <c r="H53" s="2">
        <v>1236</v>
      </c>
      <c r="I53" s="2"/>
      <c r="J53" s="19">
        <f t="shared" si="6"/>
        <v>0.46996197718631177</v>
      </c>
      <c r="K53" s="2"/>
      <c r="L53" s="2">
        <f t="shared" si="7"/>
        <v>-1236</v>
      </c>
      <c r="M53" s="2"/>
      <c r="N53" s="19">
        <f t="shared" si="8"/>
        <v>-1</v>
      </c>
      <c r="O53" s="11"/>
      <c r="P53" s="2"/>
      <c r="Q53" s="2"/>
      <c r="R53" s="19">
        <f t="shared" si="9"/>
        <v>0</v>
      </c>
      <c r="S53" s="2"/>
      <c r="T53" s="2">
        <v>234689</v>
      </c>
      <c r="U53" s="2"/>
      <c r="V53" s="19">
        <f t="shared" si="10"/>
        <v>0.44130898341864078</v>
      </c>
      <c r="W53" s="2"/>
      <c r="X53" s="2">
        <f t="shared" si="11"/>
        <v>-234689</v>
      </c>
      <c r="Y53" s="2"/>
      <c r="Z53" s="19">
        <f t="shared" si="12"/>
        <v>-1</v>
      </c>
    </row>
    <row r="54" spans="1:26" s="24" customFormat="1" hidden="1" outlineLevel="1" x14ac:dyDescent="0.25">
      <c r="A54" s="44"/>
      <c r="B54" s="11" t="str">
        <f>CONCATENATE("          ", "5014", " - ", "PURCHASES @ COST-REMAINDERS")</f>
        <v xml:space="preserve">          5014 - PURCHASES @ COST-REMAINDERS</v>
      </c>
      <c r="C54" s="11"/>
      <c r="D54" s="2"/>
      <c r="E54" s="2"/>
      <c r="F54" s="19">
        <f t="shared" si="5"/>
        <v>0</v>
      </c>
      <c r="G54" s="2"/>
      <c r="H54" s="2"/>
      <c r="I54" s="2"/>
      <c r="J54" s="19">
        <f t="shared" si="6"/>
        <v>0</v>
      </c>
      <c r="K54" s="2"/>
      <c r="L54" s="2">
        <f t="shared" si="7"/>
        <v>0</v>
      </c>
      <c r="M54" s="2"/>
      <c r="N54" s="19">
        <f t="shared" si="8"/>
        <v>0</v>
      </c>
      <c r="O54" s="11"/>
      <c r="P54" s="2">
        <v>14.46</v>
      </c>
      <c r="Q54" s="2"/>
      <c r="R54" s="19">
        <f t="shared" si="9"/>
        <v>3.522109298212657E-5</v>
      </c>
      <c r="S54" s="2"/>
      <c r="T54" s="2"/>
      <c r="U54" s="2"/>
      <c r="V54" s="19">
        <f t="shared" si="10"/>
        <v>0</v>
      </c>
      <c r="W54" s="2"/>
      <c r="X54" s="2">
        <f t="shared" si="11"/>
        <v>14.46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688.18</v>
      </c>
      <c r="Q55" s="2"/>
      <c r="R55" s="19">
        <f t="shared" si="9"/>
        <v>1.6762414777620927E-3</v>
      </c>
      <c r="S55" s="2"/>
      <c r="T55" s="2"/>
      <c r="U55" s="2"/>
      <c r="V55" s="19">
        <f t="shared" si="10"/>
        <v>0</v>
      </c>
      <c r="W55" s="2"/>
      <c r="X55" s="2">
        <f t="shared" si="11"/>
        <v>688.18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/>
      <c r="E56" s="2"/>
      <c r="F56" s="19">
        <f t="shared" si="5"/>
        <v>0</v>
      </c>
      <c r="G56" s="2"/>
      <c r="H56" s="2"/>
      <c r="I56" s="2"/>
      <c r="J56" s="19">
        <f t="shared" si="6"/>
        <v>0</v>
      </c>
      <c r="K56" s="2"/>
      <c r="L56" s="2">
        <f t="shared" si="7"/>
        <v>0</v>
      </c>
      <c r="M56" s="2"/>
      <c r="N56" s="19">
        <f t="shared" si="8"/>
        <v>0</v>
      </c>
      <c r="O56" s="11"/>
      <c r="P56" s="2">
        <v>3365.91</v>
      </c>
      <c r="Q56" s="2"/>
      <c r="R56" s="19">
        <f t="shared" si="9"/>
        <v>8.1985497288706525E-3</v>
      </c>
      <c r="S56" s="2"/>
      <c r="T56" s="2"/>
      <c r="U56" s="2"/>
      <c r="V56" s="19">
        <f t="shared" si="10"/>
        <v>0</v>
      </c>
      <c r="W56" s="2"/>
      <c r="X56" s="2">
        <f t="shared" si="11"/>
        <v>3365.91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3855.85</v>
      </c>
      <c r="Q57" s="2"/>
      <c r="R57" s="19">
        <f t="shared" si="9"/>
        <v>9.3919260978653323E-3</v>
      </c>
      <c r="S57" s="2"/>
      <c r="T57" s="2"/>
      <c r="U57" s="2"/>
      <c r="V57" s="19">
        <f t="shared" si="10"/>
        <v>0</v>
      </c>
      <c r="W57" s="2"/>
      <c r="X57" s="2">
        <f t="shared" si="11"/>
        <v>3855.85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1190.5</v>
      </c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1190.5</v>
      </c>
      <c r="M58" s="2"/>
      <c r="N58" s="19">
        <f t="shared" si="8"/>
        <v>0</v>
      </c>
      <c r="O58" s="11"/>
      <c r="P58" s="2">
        <v>153156.18</v>
      </c>
      <c r="Q58" s="2"/>
      <c r="R58" s="19">
        <f t="shared" si="9"/>
        <v>0.37305173281931625</v>
      </c>
      <c r="S58" s="2"/>
      <c r="T58" s="2"/>
      <c r="U58" s="2"/>
      <c r="V58" s="19">
        <f t="shared" si="10"/>
        <v>0</v>
      </c>
      <c r="W58" s="2"/>
      <c r="X58" s="2">
        <f t="shared" si="11"/>
        <v>153156.18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/>
      <c r="E59" s="2"/>
      <c r="F59" s="19">
        <f t="shared" si="5"/>
        <v>0</v>
      </c>
      <c r="G59" s="2"/>
      <c r="H59" s="2"/>
      <c r="I59" s="2"/>
      <c r="J59" s="19">
        <f t="shared" si="6"/>
        <v>0</v>
      </c>
      <c r="K59" s="2"/>
      <c r="L59" s="2">
        <f t="shared" si="7"/>
        <v>0</v>
      </c>
      <c r="M59" s="2"/>
      <c r="N59" s="19">
        <f t="shared" si="8"/>
        <v>0</v>
      </c>
      <c r="O59" s="11"/>
      <c r="P59" s="2">
        <v>32459.350000000002</v>
      </c>
      <c r="Q59" s="2"/>
      <c r="R59" s="19">
        <f t="shared" si="9"/>
        <v>7.9063193948090596E-2</v>
      </c>
      <c r="S59" s="2"/>
      <c r="T59" s="2"/>
      <c r="U59" s="2"/>
      <c r="V59" s="19">
        <f t="shared" si="10"/>
        <v>0</v>
      </c>
      <c r="W59" s="2"/>
      <c r="X59" s="2">
        <f t="shared" si="11"/>
        <v>32459.350000000002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/>
      <c r="E60" s="2"/>
      <c r="F60" s="19">
        <f t="shared" si="5"/>
        <v>0</v>
      </c>
      <c r="G60" s="2"/>
      <c r="H60" s="2"/>
      <c r="I60" s="2"/>
      <c r="J60" s="19">
        <f t="shared" si="6"/>
        <v>0</v>
      </c>
      <c r="K60" s="2"/>
      <c r="L60" s="2">
        <f t="shared" si="7"/>
        <v>0</v>
      </c>
      <c r="M60" s="2"/>
      <c r="N60" s="19">
        <f t="shared" si="8"/>
        <v>0</v>
      </c>
      <c r="O60" s="11"/>
      <c r="P60" s="2">
        <v>7802.45</v>
      </c>
      <c r="Q60" s="2"/>
      <c r="R60" s="19">
        <f t="shared" si="9"/>
        <v>1.9004897436956669E-2</v>
      </c>
      <c r="S60" s="2"/>
      <c r="T60" s="2"/>
      <c r="U60" s="2"/>
      <c r="V60" s="19">
        <f t="shared" si="10"/>
        <v>0</v>
      </c>
      <c r="W60" s="2"/>
      <c r="X60" s="2">
        <f t="shared" si="11"/>
        <v>7802.45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/>
      <c r="E61" s="2"/>
      <c r="F61" s="19">
        <f t="shared" si="5"/>
        <v>0</v>
      </c>
      <c r="G61" s="2"/>
      <c r="H61" s="2"/>
      <c r="I61" s="2"/>
      <c r="J61" s="19">
        <f t="shared" si="6"/>
        <v>0</v>
      </c>
      <c r="K61" s="2"/>
      <c r="L61" s="2">
        <f t="shared" si="7"/>
        <v>0</v>
      </c>
      <c r="M61" s="2"/>
      <c r="N61" s="19">
        <f t="shared" si="8"/>
        <v>0</v>
      </c>
      <c r="O61" s="11"/>
      <c r="P61" s="2">
        <v>8879.33</v>
      </c>
      <c r="Q61" s="2"/>
      <c r="R61" s="19">
        <f t="shared" si="9"/>
        <v>2.1627918917633878E-2</v>
      </c>
      <c r="S61" s="2"/>
      <c r="T61" s="2"/>
      <c r="U61" s="2"/>
      <c r="V61" s="19">
        <f t="shared" si="10"/>
        <v>0</v>
      </c>
      <c r="W61" s="2"/>
      <c r="X61" s="2">
        <f t="shared" si="11"/>
        <v>8879.33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/>
      <c r="E62" s="2"/>
      <c r="F62" s="19">
        <f t="shared" si="5"/>
        <v>0</v>
      </c>
      <c r="G62" s="2"/>
      <c r="H62" s="2"/>
      <c r="I62" s="2"/>
      <c r="J62" s="19">
        <f t="shared" si="6"/>
        <v>0</v>
      </c>
      <c r="K62" s="2"/>
      <c r="L62" s="2">
        <f t="shared" si="7"/>
        <v>0</v>
      </c>
      <c r="M62" s="2"/>
      <c r="N62" s="19">
        <f t="shared" si="8"/>
        <v>0</v>
      </c>
      <c r="O62" s="11"/>
      <c r="P62" s="2">
        <v>4033.88</v>
      </c>
      <c r="Q62" s="2"/>
      <c r="R62" s="19">
        <f t="shared" si="9"/>
        <v>9.8255644923057207E-3</v>
      </c>
      <c r="S62" s="2"/>
      <c r="T62" s="2"/>
      <c r="U62" s="2"/>
      <c r="V62" s="19">
        <f t="shared" si="10"/>
        <v>0</v>
      </c>
      <c r="W62" s="2"/>
      <c r="X62" s="2">
        <f t="shared" si="11"/>
        <v>4033.88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/>
      <c r="E63" s="2"/>
      <c r="F63" s="19">
        <f t="shared" si="5"/>
        <v>0</v>
      </c>
      <c r="G63" s="2"/>
      <c r="H63" s="2"/>
      <c r="I63" s="2"/>
      <c r="J63" s="19">
        <f t="shared" si="6"/>
        <v>0</v>
      </c>
      <c r="K63" s="2"/>
      <c r="L63" s="2">
        <f t="shared" si="7"/>
        <v>0</v>
      </c>
      <c r="M63" s="2"/>
      <c r="N63" s="19">
        <f t="shared" si="8"/>
        <v>0</v>
      </c>
      <c r="O63" s="11"/>
      <c r="P63" s="2">
        <v>1081.4000000000001</v>
      </c>
      <c r="Q63" s="2"/>
      <c r="R63" s="19">
        <f t="shared" si="9"/>
        <v>2.6340311169344172E-3</v>
      </c>
      <c r="S63" s="2"/>
      <c r="T63" s="2"/>
      <c r="U63" s="2"/>
      <c r="V63" s="19">
        <f t="shared" si="10"/>
        <v>0</v>
      </c>
      <c r="W63" s="2"/>
      <c r="X63" s="2">
        <f t="shared" si="11"/>
        <v>1081.4000000000001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/>
      <c r="E64" s="2"/>
      <c r="F64" s="19">
        <f t="shared" si="5"/>
        <v>0</v>
      </c>
      <c r="G64" s="2"/>
      <c r="H64" s="2"/>
      <c r="I64" s="2"/>
      <c r="J64" s="19">
        <f t="shared" si="6"/>
        <v>0</v>
      </c>
      <c r="K64" s="2"/>
      <c r="L64" s="2">
        <f t="shared" si="7"/>
        <v>0</v>
      </c>
      <c r="M64" s="2"/>
      <c r="N64" s="19">
        <f t="shared" si="8"/>
        <v>0</v>
      </c>
      <c r="O64" s="11"/>
      <c r="P64" s="2">
        <v>5663.81</v>
      </c>
      <c r="Q64" s="2"/>
      <c r="R64" s="19">
        <f t="shared" si="9"/>
        <v>1.3795683170338746E-2</v>
      </c>
      <c r="S64" s="2"/>
      <c r="T64" s="2"/>
      <c r="U64" s="2"/>
      <c r="V64" s="19">
        <f t="shared" si="10"/>
        <v>0</v>
      </c>
      <c r="W64" s="2"/>
      <c r="X64" s="2">
        <f t="shared" si="11"/>
        <v>5663.81</v>
      </c>
      <c r="Y64" s="2"/>
      <c r="Z64" s="19">
        <f t="shared" si="12"/>
        <v>0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/>
      <c r="E65" s="2"/>
      <c r="F65" s="19">
        <f t="shared" si="5"/>
        <v>0</v>
      </c>
      <c r="G65" s="2"/>
      <c r="H65" s="2"/>
      <c r="I65" s="2"/>
      <c r="J65" s="19">
        <f t="shared" si="6"/>
        <v>0</v>
      </c>
      <c r="K65" s="2"/>
      <c r="L65" s="2">
        <f t="shared" si="7"/>
        <v>0</v>
      </c>
      <c r="M65" s="2"/>
      <c r="N65" s="19">
        <f t="shared" si="8"/>
        <v>0</v>
      </c>
      <c r="O65" s="11"/>
      <c r="P65" s="2">
        <v>2008.03</v>
      </c>
      <c r="Q65" s="2"/>
      <c r="R65" s="19">
        <f t="shared" si="9"/>
        <v>4.8910796224688529E-3</v>
      </c>
      <c r="S65" s="2"/>
      <c r="T65" s="2"/>
      <c r="U65" s="2"/>
      <c r="V65" s="19">
        <f t="shared" si="10"/>
        <v>0</v>
      </c>
      <c r="W65" s="2"/>
      <c r="X65" s="2">
        <f t="shared" si="11"/>
        <v>2008.03</v>
      </c>
      <c r="Y65" s="2"/>
      <c r="Z65" s="19">
        <f t="shared" si="12"/>
        <v>0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/>
      <c r="E66" s="2"/>
      <c r="F66" s="19">
        <f t="shared" si="5"/>
        <v>0</v>
      </c>
      <c r="G66" s="2"/>
      <c r="H66" s="2"/>
      <c r="I66" s="2"/>
      <c r="J66" s="19">
        <f t="shared" si="6"/>
        <v>0</v>
      </c>
      <c r="K66" s="2"/>
      <c r="L66" s="2">
        <f t="shared" si="7"/>
        <v>0</v>
      </c>
      <c r="M66" s="2"/>
      <c r="N66" s="19">
        <f t="shared" si="8"/>
        <v>0</v>
      </c>
      <c r="O66" s="11"/>
      <c r="P66" s="2">
        <v>349.6</v>
      </c>
      <c r="Q66" s="2"/>
      <c r="R66" s="19">
        <f t="shared" si="9"/>
        <v>8.5154177776980975E-4</v>
      </c>
      <c r="S66" s="2"/>
      <c r="T66" s="2"/>
      <c r="U66" s="2"/>
      <c r="V66" s="19">
        <f t="shared" si="10"/>
        <v>0</v>
      </c>
      <c r="W66" s="2"/>
      <c r="X66" s="2">
        <f t="shared" si="11"/>
        <v>349.6</v>
      </c>
      <c r="Y66" s="2"/>
      <c r="Z66" s="19">
        <f t="shared" si="12"/>
        <v>0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/>
      <c r="E67" s="2"/>
      <c r="F67" s="19">
        <f t="shared" si="5"/>
        <v>0</v>
      </c>
      <c r="G67" s="2"/>
      <c r="H67" s="2"/>
      <c r="I67" s="2"/>
      <c r="J67" s="19">
        <f t="shared" si="6"/>
        <v>0</v>
      </c>
      <c r="K67" s="2"/>
      <c r="L67" s="2">
        <f t="shared" si="7"/>
        <v>0</v>
      </c>
      <c r="M67" s="2"/>
      <c r="N67" s="19">
        <f t="shared" si="8"/>
        <v>0</v>
      </c>
      <c r="O67" s="11"/>
      <c r="P67" s="2">
        <v>304.70999999999998</v>
      </c>
      <c r="Q67" s="2"/>
      <c r="R67" s="19">
        <f t="shared" si="9"/>
        <v>7.4220050087024799E-4</v>
      </c>
      <c r="S67" s="2"/>
      <c r="T67" s="2"/>
      <c r="U67" s="2"/>
      <c r="V67" s="19">
        <f t="shared" si="10"/>
        <v>0</v>
      </c>
      <c r="W67" s="2"/>
      <c r="X67" s="2">
        <f t="shared" si="11"/>
        <v>304.70999999999998</v>
      </c>
      <c r="Y67" s="2"/>
      <c r="Z67" s="19">
        <f t="shared" si="12"/>
        <v>0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/>
      <c r="E68" s="2"/>
      <c r="F68" s="19">
        <f t="shared" si="5"/>
        <v>0</v>
      </c>
      <c r="G68" s="2"/>
      <c r="H68" s="2"/>
      <c r="I68" s="2"/>
      <c r="J68" s="19">
        <f t="shared" si="6"/>
        <v>0</v>
      </c>
      <c r="K68" s="2"/>
      <c r="L68" s="2">
        <f t="shared" si="7"/>
        <v>0</v>
      </c>
      <c r="M68" s="2"/>
      <c r="N68" s="19">
        <f t="shared" si="8"/>
        <v>0</v>
      </c>
      <c r="O68" s="11"/>
      <c r="P68" s="2">
        <v>426.22</v>
      </c>
      <c r="Q68" s="2"/>
      <c r="R68" s="19">
        <f t="shared" si="9"/>
        <v>1.0381697268908704E-3</v>
      </c>
      <c r="S68" s="2"/>
      <c r="T68" s="2"/>
      <c r="U68" s="2"/>
      <c r="V68" s="19">
        <f t="shared" si="10"/>
        <v>0</v>
      </c>
      <c r="W68" s="2"/>
      <c r="X68" s="2">
        <f t="shared" si="11"/>
        <v>426.22</v>
      </c>
      <c r="Y68" s="2"/>
      <c r="Z68" s="19">
        <f t="shared" si="12"/>
        <v>0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-1204</v>
      </c>
      <c r="E69" s="2"/>
      <c r="F69" s="19">
        <f t="shared" si="5"/>
        <v>0</v>
      </c>
      <c r="G69" s="2"/>
      <c r="H69" s="2"/>
      <c r="I69" s="2"/>
      <c r="J69" s="19">
        <f t="shared" si="6"/>
        <v>0</v>
      </c>
      <c r="K69" s="2"/>
      <c r="L69" s="2">
        <f t="shared" si="7"/>
        <v>-1204</v>
      </c>
      <c r="M69" s="2"/>
      <c r="N69" s="19">
        <f t="shared" si="8"/>
        <v>0</v>
      </c>
      <c r="O69" s="11"/>
      <c r="P69" s="2">
        <v>-227198</v>
      </c>
      <c r="Q69" s="2"/>
      <c r="R69" s="19">
        <f t="shared" si="9"/>
        <v>-0.55339985362055266</v>
      </c>
      <c r="S69" s="2"/>
      <c r="T69" s="2"/>
      <c r="U69" s="2"/>
      <c r="V69" s="19">
        <f t="shared" si="10"/>
        <v>0</v>
      </c>
      <c r="W69" s="2"/>
      <c r="X69" s="2">
        <f t="shared" si="11"/>
        <v>-227198</v>
      </c>
      <c r="Y69" s="2"/>
      <c r="Z69" s="19">
        <f t="shared" si="12"/>
        <v>0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>
        <v>13123</v>
      </c>
      <c r="E70" s="2"/>
      <c r="F70" s="19">
        <f t="shared" si="5"/>
        <v>0</v>
      </c>
      <c r="G70" s="2"/>
      <c r="H70" s="2"/>
      <c r="I70" s="2"/>
      <c r="J70" s="19">
        <f t="shared" si="6"/>
        <v>0</v>
      </c>
      <c r="K70" s="2"/>
      <c r="L70" s="2">
        <f t="shared" si="7"/>
        <v>13123</v>
      </c>
      <c r="M70" s="2"/>
      <c r="N70" s="19">
        <f t="shared" si="8"/>
        <v>0</v>
      </c>
      <c r="O70" s="11"/>
      <c r="P70" s="2">
        <v>228840</v>
      </c>
      <c r="Q70" s="2"/>
      <c r="R70" s="19">
        <f t="shared" si="9"/>
        <v>0.55739937192460876</v>
      </c>
      <c r="S70" s="2"/>
      <c r="T70" s="2"/>
      <c r="U70" s="2"/>
      <c r="V70" s="19">
        <f t="shared" si="10"/>
        <v>0</v>
      </c>
      <c r="W70" s="2"/>
      <c r="X70" s="2">
        <f t="shared" si="11"/>
        <v>228840</v>
      </c>
      <c r="Y70" s="2"/>
      <c r="Z70" s="19">
        <f t="shared" si="12"/>
        <v>0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>
        <v>16</v>
      </c>
      <c r="E71" s="2"/>
      <c r="F71" s="19">
        <f t="shared" si="5"/>
        <v>0</v>
      </c>
      <c r="G71" s="2"/>
      <c r="H71" s="2"/>
      <c r="I71" s="2"/>
      <c r="J71" s="19">
        <f t="shared" si="6"/>
        <v>0</v>
      </c>
      <c r="K71" s="2"/>
      <c r="L71" s="2">
        <f t="shared" si="7"/>
        <v>16</v>
      </c>
      <c r="M71" s="2"/>
      <c r="N71" s="19">
        <f t="shared" si="8"/>
        <v>0</v>
      </c>
      <c r="O71" s="11"/>
      <c r="P71" s="2">
        <v>96</v>
      </c>
      <c r="Q71" s="2"/>
      <c r="R71" s="19">
        <f t="shared" si="9"/>
        <v>2.3383298245395232E-4</v>
      </c>
      <c r="S71" s="2"/>
      <c r="T71" s="2"/>
      <c r="U71" s="2"/>
      <c r="V71" s="19">
        <f t="shared" si="10"/>
        <v>0</v>
      </c>
      <c r="W71" s="2"/>
      <c r="X71" s="2">
        <f t="shared" si="11"/>
        <v>96</v>
      </c>
      <c r="Y71" s="2"/>
      <c r="Z71" s="19">
        <f t="shared" si="12"/>
        <v>0</v>
      </c>
    </row>
    <row r="72" spans="1:26" s="24" customFormat="1" hidden="1" outlineLevel="1" x14ac:dyDescent="0.25">
      <c r="A72" s="44"/>
      <c r="B72" s="11" t="str">
        <f>CONCATENATE("          ", "5527", " - ", "FREIGHT-IN-SCHOOL SUPPLIES")</f>
        <v xml:space="preserve">          5527 - FREIGHT-IN-SCHOOL SUPPLIES</v>
      </c>
      <c r="C72" s="11"/>
      <c r="D72" s="2"/>
      <c r="E72" s="2"/>
      <c r="F72" s="19">
        <f t="shared" si="5"/>
        <v>0</v>
      </c>
      <c r="G72" s="2"/>
      <c r="H72" s="2"/>
      <c r="I72" s="2"/>
      <c r="J72" s="19">
        <f t="shared" si="6"/>
        <v>0</v>
      </c>
      <c r="K72" s="2"/>
      <c r="L72" s="2">
        <f t="shared" si="7"/>
        <v>0</v>
      </c>
      <c r="M72" s="2"/>
      <c r="N72" s="19">
        <f t="shared" si="8"/>
        <v>0</v>
      </c>
      <c r="O72" s="11"/>
      <c r="P72" s="2">
        <v>369.28</v>
      </c>
      <c r="Q72" s="2"/>
      <c r="R72" s="19">
        <f t="shared" si="9"/>
        <v>8.9947753917286985E-4</v>
      </c>
      <c r="S72" s="2"/>
      <c r="T72" s="2"/>
      <c r="U72" s="2"/>
      <c r="V72" s="19">
        <f t="shared" si="10"/>
        <v>0</v>
      </c>
      <c r="W72" s="2"/>
      <c r="X72" s="2">
        <f t="shared" si="11"/>
        <v>369.28</v>
      </c>
      <c r="Y72" s="2"/>
      <c r="Z72" s="19">
        <f t="shared" si="12"/>
        <v>0</v>
      </c>
    </row>
    <row r="73" spans="1:26" s="24" customFormat="1" hidden="1" outlineLevel="1" x14ac:dyDescent="0.25">
      <c r="A73" s="44"/>
      <c r="B73" s="11" t="str">
        <f>CONCATENATE("          ", "5528", " - ", "FREIGHT-IN-ART/TECH")</f>
        <v xml:space="preserve">          5528 - FREIGHT-IN-ART/TECH</v>
      </c>
      <c r="C73" s="11"/>
      <c r="D73" s="2">
        <v>13.33</v>
      </c>
      <c r="E73" s="2"/>
      <c r="F73" s="19">
        <f t="shared" si="5"/>
        <v>0</v>
      </c>
      <c r="G73" s="2"/>
      <c r="H73" s="2"/>
      <c r="I73" s="2"/>
      <c r="J73" s="19">
        <f t="shared" si="6"/>
        <v>0</v>
      </c>
      <c r="K73" s="2"/>
      <c r="L73" s="2">
        <f t="shared" si="7"/>
        <v>13.33</v>
      </c>
      <c r="M73" s="2"/>
      <c r="N73" s="19">
        <f t="shared" si="8"/>
        <v>0</v>
      </c>
      <c r="O73" s="11"/>
      <c r="P73" s="2">
        <v>2736.92</v>
      </c>
      <c r="Q73" s="2"/>
      <c r="R73" s="19">
        <f t="shared" si="9"/>
        <v>6.6664808993528247E-3</v>
      </c>
      <c r="S73" s="2"/>
      <c r="T73" s="2"/>
      <c r="U73" s="2"/>
      <c r="V73" s="19">
        <f t="shared" si="10"/>
        <v>0</v>
      </c>
      <c r="W73" s="2"/>
      <c r="X73" s="2">
        <f t="shared" si="11"/>
        <v>2736.92</v>
      </c>
      <c r="Y73" s="2"/>
      <c r="Z73" s="19">
        <f t="shared" si="12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6</v>
      </c>
      <c r="C75" s="29"/>
      <c r="D75" s="22">
        <f>D12-D52</f>
        <v>-13138.83</v>
      </c>
      <c r="E75" s="14"/>
      <c r="F75" s="20">
        <f>IF(D$12=0,0,D75/D$12)</f>
        <v>0</v>
      </c>
      <c r="G75" s="14"/>
      <c r="H75" s="22">
        <f>H12-H52</f>
        <v>1394</v>
      </c>
      <c r="I75" s="14"/>
      <c r="J75" s="20">
        <f>IF(H$12=0,0,H75/H$12)</f>
        <v>0.53003802281368817</v>
      </c>
      <c r="K75" s="15"/>
      <c r="L75" s="22">
        <f>+D75-H75</f>
        <v>-14532.83</v>
      </c>
      <c r="M75" s="15"/>
      <c r="N75" s="20">
        <f>IF(H75=0,0,L75/H75)</f>
        <v>-10.425272596843616</v>
      </c>
      <c r="O75" s="28"/>
      <c r="P75" s="22">
        <f>P12-P52</f>
        <v>181615.88000000024</v>
      </c>
      <c r="Q75" s="14"/>
      <c r="R75" s="20">
        <f>IF(P$12=0,0,P75/P$12)</f>
        <v>0.44237273834790797</v>
      </c>
      <c r="S75" s="14"/>
      <c r="T75" s="22">
        <f>T12-T52</f>
        <v>297113</v>
      </c>
      <c r="U75" s="14"/>
      <c r="V75" s="20">
        <f>IF(T$12=0,0,T75/T$12)</f>
        <v>0.55869101658135922</v>
      </c>
      <c r="W75" s="15"/>
      <c r="X75" s="22">
        <f>+P75-T75</f>
        <v>-115497.11999999976</v>
      </c>
      <c r="Y75" s="15"/>
      <c r="Z75" s="20">
        <f>IF(T75=0,0,X75/T75)</f>
        <v>-0.38873129078835245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9</v>
      </c>
      <c r="C77" s="10"/>
      <c r="D77" s="21">
        <f>SUM(OSRRefD22x_0)</f>
        <v>19716.719999999998</v>
      </c>
      <c r="E77" s="21"/>
      <c r="F77" s="32">
        <f t="shared" ref="F77:F87" si="13">IF(D$12=0,0,D77/D$12)</f>
        <v>0</v>
      </c>
      <c r="G77" s="21"/>
      <c r="H77" s="21">
        <f>SUM(OSRRefH22x_0)</f>
        <v>12693.777904160001</v>
      </c>
      <c r="I77" s="21"/>
      <c r="J77" s="32">
        <f t="shared" ref="J77:J87" si="14">IF(H$12=0,0,H77/H$12)</f>
        <v>4.8265315224942968</v>
      </c>
      <c r="K77" s="4"/>
      <c r="L77" s="21">
        <f t="shared" ref="L77:L87" si="15">+D77-H77</f>
        <v>7022.9420958399969</v>
      </c>
      <c r="M77" s="4"/>
      <c r="N77" s="32">
        <f t="shared" ref="N77:N87" si="16">IF(H77=0,0,L77/H77)</f>
        <v>0.55325862393877556</v>
      </c>
      <c r="O77" s="10"/>
      <c r="P77" s="21">
        <f>SUM(OSRRefP22x_0)</f>
        <v>128257.76</v>
      </c>
      <c r="Q77" s="21"/>
      <c r="R77" s="32">
        <f t="shared" ref="R77:R87" si="17">IF(P$12=0,0,P77/P$12)</f>
        <v>0.31240515149649195</v>
      </c>
      <c r="S77" s="21"/>
      <c r="T77" s="21">
        <f>SUM(OSRRefT22x_0)</f>
        <v>145774.076508942</v>
      </c>
      <c r="U77" s="21"/>
      <c r="V77" s="32">
        <f t="shared" ref="V77:V87" si="18">IF(T$12=0,0,T77/T$12)</f>
        <v>0.2741134416736718</v>
      </c>
      <c r="W77" s="4"/>
      <c r="X77" s="21">
        <f t="shared" ref="X77:X87" si="19">+P77-T77</f>
        <v>-17516.316508942007</v>
      </c>
      <c r="Y77" s="4"/>
      <c r="Z77" s="32">
        <f t="shared" ref="Z77:Z87" si="20">IF(T77=0,0,X77/T77)</f>
        <v>-0.12016070983558952</v>
      </c>
    </row>
    <row r="78" spans="1:26" s="26" customFormat="1" outlineLevel="1" collapsed="1" x14ac:dyDescent="0.25">
      <c r="A78" s="25"/>
      <c r="B78" s="12" t="str">
        <f>CONCATENATE("     ","*Benefits                                         ")</f>
        <v xml:space="preserve">     *Benefits                                         </v>
      </c>
      <c r="C78" s="12"/>
      <c r="D78" s="1">
        <f>SUM(OSRRefD22_0x_0)</f>
        <v>-203.94</v>
      </c>
      <c r="E78" s="1"/>
      <c r="F78" s="5">
        <f t="shared" si="13"/>
        <v>0</v>
      </c>
      <c r="G78" s="1"/>
      <c r="H78" s="1">
        <f>SUM(OSRRefH22_0x_0)</f>
        <v>1272.6181821599998</v>
      </c>
      <c r="I78" s="1"/>
      <c r="J78" s="5">
        <f t="shared" si="14"/>
        <v>0.48388524036501895</v>
      </c>
      <c r="K78" s="1"/>
      <c r="L78" s="1">
        <f t="shared" si="15"/>
        <v>-1476.5581821599999</v>
      </c>
      <c r="M78" s="1"/>
      <c r="N78" s="5">
        <f t="shared" si="16"/>
        <v>-1.1602523072975863</v>
      </c>
      <c r="O78" s="12"/>
      <c r="P78" s="1">
        <f>SUM(OSRRefP22_0x_0)</f>
        <v>17456.48</v>
      </c>
      <c r="Q78" s="1"/>
      <c r="R78" s="5">
        <f t="shared" si="17"/>
        <v>4.2519799807789263E-2</v>
      </c>
      <c r="S78" s="1"/>
      <c r="T78" s="1">
        <f>SUM(OSRRefT22_0x_0)</f>
        <v>21754.312482942001</v>
      </c>
      <c r="U78" s="1"/>
      <c r="V78" s="5">
        <f t="shared" si="18"/>
        <v>4.0906789524939736E-2</v>
      </c>
      <c r="W78" s="1"/>
      <c r="X78" s="1">
        <f t="shared" si="19"/>
        <v>-4297.8324829420017</v>
      </c>
      <c r="Y78" s="1"/>
      <c r="Z78" s="5">
        <f t="shared" si="20"/>
        <v>-0.19756232178387709</v>
      </c>
    </row>
    <row r="79" spans="1:26" s="24" customFormat="1" hidden="1" outlineLevel="2" x14ac:dyDescent="0.25">
      <c r="A79" s="27"/>
      <c r="B79" s="11" t="str">
        <f>CONCATENATE("          ", "6111", " - ", "F.I.C.A.")</f>
        <v xml:space="preserve">          6111 - F.I.C.A.</v>
      </c>
      <c r="C79" s="11"/>
      <c r="D79" s="6"/>
      <c r="E79" s="2"/>
      <c r="F79" s="7">
        <f t="shared" si="13"/>
        <v>0</v>
      </c>
      <c r="G79" s="2"/>
      <c r="H79" s="6">
        <v>227.01859200000001</v>
      </c>
      <c r="I79" s="2"/>
      <c r="J79" s="7">
        <f t="shared" si="14"/>
        <v>8.6318856273764261E-2</v>
      </c>
      <c r="K79" s="2"/>
      <c r="L79" s="6">
        <f t="shared" si="15"/>
        <v>-227.01859200000001</v>
      </c>
      <c r="M79" s="2"/>
      <c r="N79" s="7">
        <f t="shared" si="16"/>
        <v>-1</v>
      </c>
      <c r="O79" s="11"/>
      <c r="P79" s="6">
        <v>2534.9299999999998</v>
      </c>
      <c r="Q79" s="2"/>
      <c r="R79" s="7">
        <f t="shared" si="17"/>
        <v>6.1744816897083051E-3</v>
      </c>
      <c r="S79" s="2"/>
      <c r="T79" s="6">
        <v>6782.0339116620007</v>
      </c>
      <c r="U79" s="2"/>
      <c r="V79" s="7">
        <f t="shared" si="18"/>
        <v>1.2752930435880272E-2</v>
      </c>
      <c r="W79" s="2"/>
      <c r="X79" s="6">
        <f t="shared" si="19"/>
        <v>-4247.1039116620013</v>
      </c>
      <c r="Y79" s="2"/>
      <c r="Z79" s="7">
        <f t="shared" si="20"/>
        <v>-0.62622864571038528</v>
      </c>
    </row>
    <row r="80" spans="1:26" s="24" customFormat="1" hidden="1" outlineLevel="2" x14ac:dyDescent="0.25">
      <c r="A80" s="27"/>
      <c r="B80" s="11" t="str">
        <f>CONCATENATE("          ", "6112", " - ", "COMPENSATION INSURANCE")</f>
        <v xml:space="preserve">          6112 - COMPENSATION INSURANCE</v>
      </c>
      <c r="C80" s="11"/>
      <c r="D80" s="6"/>
      <c r="E80" s="2"/>
      <c r="F80" s="7">
        <f t="shared" si="13"/>
        <v>0</v>
      </c>
      <c r="G80" s="2"/>
      <c r="H80" s="6">
        <v>86.130089400000003</v>
      </c>
      <c r="I80" s="2"/>
      <c r="J80" s="7">
        <f t="shared" si="14"/>
        <v>3.2749083422053231E-2</v>
      </c>
      <c r="K80" s="2"/>
      <c r="L80" s="6">
        <f t="shared" si="15"/>
        <v>-86.130089400000003</v>
      </c>
      <c r="M80" s="2"/>
      <c r="N80" s="7">
        <f t="shared" si="16"/>
        <v>-1</v>
      </c>
      <c r="O80" s="11"/>
      <c r="P80" s="6">
        <v>1326.62</v>
      </c>
      <c r="Q80" s="2"/>
      <c r="R80" s="7">
        <f t="shared" si="17"/>
        <v>3.2313282414902309E-3</v>
      </c>
      <c r="S80" s="2"/>
      <c r="T80" s="6">
        <v>1810.7365902000001</v>
      </c>
      <c r="U80" s="2"/>
      <c r="V80" s="7">
        <f t="shared" si="18"/>
        <v>3.4049074471325796E-3</v>
      </c>
      <c r="W80" s="2"/>
      <c r="X80" s="6">
        <f t="shared" si="19"/>
        <v>-484.11659020000025</v>
      </c>
      <c r="Y80" s="2"/>
      <c r="Z80" s="7">
        <f t="shared" si="20"/>
        <v>-0.26735892609677059</v>
      </c>
    </row>
    <row r="81" spans="1:26" s="24" customFormat="1" hidden="1" outlineLevel="2" x14ac:dyDescent="0.25">
      <c r="A81" s="27"/>
      <c r="B81" s="11" t="str">
        <f>CONCATENATE("          ", "6113", " - ", "GROUP INSURANCE")</f>
        <v xml:space="preserve">          6113 - GROUP INSURANCE</v>
      </c>
      <c r="C81" s="11"/>
      <c r="D81" s="6"/>
      <c r="E81" s="2"/>
      <c r="F81" s="7">
        <f t="shared" si="13"/>
        <v>0</v>
      </c>
      <c r="G81" s="2"/>
      <c r="H81" s="6">
        <v>497.25</v>
      </c>
      <c r="I81" s="2"/>
      <c r="J81" s="7">
        <f t="shared" si="14"/>
        <v>0.18906844106463877</v>
      </c>
      <c r="K81" s="2"/>
      <c r="L81" s="6">
        <f t="shared" si="15"/>
        <v>-497.25</v>
      </c>
      <c r="M81" s="2"/>
      <c r="N81" s="7">
        <f t="shared" si="16"/>
        <v>-1</v>
      </c>
      <c r="O81" s="11"/>
      <c r="P81" s="6">
        <v>8133.54</v>
      </c>
      <c r="Q81" s="2"/>
      <c r="R81" s="7">
        <f t="shared" si="17"/>
        <v>1.9811353292797075E-2</v>
      </c>
      <c r="S81" s="2"/>
      <c r="T81" s="6">
        <v>5967</v>
      </c>
      <c r="U81" s="2"/>
      <c r="V81" s="7">
        <f t="shared" si="18"/>
        <v>1.1220341405259852E-2</v>
      </c>
      <c r="W81" s="2"/>
      <c r="X81" s="6">
        <f t="shared" si="19"/>
        <v>2166.54</v>
      </c>
      <c r="Y81" s="2"/>
      <c r="Z81" s="7">
        <f t="shared" si="20"/>
        <v>0.36308697838109605</v>
      </c>
    </row>
    <row r="82" spans="1:26" s="24" customFormat="1" hidden="1" outlineLevel="2" x14ac:dyDescent="0.25">
      <c r="A82" s="27"/>
      <c r="B82" s="11" t="str">
        <f>CONCATENATE("          ", "6114", " - ", "STATE UNEMPLOYMENT INSURANCE")</f>
        <v xml:space="preserve">          6114 - STATE UNEMPLOYMENT INSURANCE</v>
      </c>
      <c r="C82" s="11"/>
      <c r="D82" s="6">
        <v>-203.94</v>
      </c>
      <c r="E82" s="2"/>
      <c r="F82" s="7">
        <f t="shared" si="13"/>
        <v>0</v>
      </c>
      <c r="G82" s="2"/>
      <c r="H82" s="6">
        <v>11.786222759999999</v>
      </c>
      <c r="I82" s="2"/>
      <c r="J82" s="7">
        <f t="shared" si="14"/>
        <v>4.4814535209125473E-3</v>
      </c>
      <c r="K82" s="2"/>
      <c r="L82" s="6">
        <f t="shared" si="15"/>
        <v>-215.72622275999998</v>
      </c>
      <c r="M82" s="2"/>
      <c r="N82" s="7">
        <f t="shared" si="16"/>
        <v>-18.303253481016</v>
      </c>
      <c r="O82" s="11"/>
      <c r="P82" s="6">
        <v>0</v>
      </c>
      <c r="Q82" s="2"/>
      <c r="R82" s="7">
        <f t="shared" si="17"/>
        <v>0</v>
      </c>
      <c r="S82" s="2"/>
      <c r="T82" s="6">
        <v>247.78500708000001</v>
      </c>
      <c r="U82" s="2"/>
      <c r="V82" s="7">
        <f t="shared" si="18"/>
        <v>4.6593470329182667E-4</v>
      </c>
      <c r="W82" s="2"/>
      <c r="X82" s="6">
        <f t="shared" si="19"/>
        <v>-247.78500708000001</v>
      </c>
      <c r="Y82" s="2"/>
      <c r="Z82" s="7">
        <f t="shared" si="20"/>
        <v>-1</v>
      </c>
    </row>
    <row r="83" spans="1:26" s="24" customFormat="1" hidden="1" outlineLevel="2" x14ac:dyDescent="0.25">
      <c r="A83" s="27"/>
      <c r="B83" s="11" t="str">
        <f>CONCATENATE("          ", "6115", " - ", "P.E.R.S.")</f>
        <v xml:space="preserve">          6115 - P.E.R.S.</v>
      </c>
      <c r="C83" s="11"/>
      <c r="D83" s="6"/>
      <c r="E83" s="2"/>
      <c r="F83" s="7">
        <f t="shared" si="13"/>
        <v>0</v>
      </c>
      <c r="G83" s="2"/>
      <c r="H83" s="6">
        <v>255.1104</v>
      </c>
      <c r="I83" s="2"/>
      <c r="J83" s="7">
        <f t="shared" si="14"/>
        <v>9.7000152091254746E-2</v>
      </c>
      <c r="K83" s="2"/>
      <c r="L83" s="6">
        <f t="shared" si="15"/>
        <v>-255.1104</v>
      </c>
      <c r="M83" s="2"/>
      <c r="N83" s="7">
        <f t="shared" si="16"/>
        <v>-1</v>
      </c>
      <c r="O83" s="11"/>
      <c r="P83" s="6">
        <v>1788.49</v>
      </c>
      <c r="Q83" s="2"/>
      <c r="R83" s="7">
        <f t="shared" si="17"/>
        <v>4.3563328207194708E-3</v>
      </c>
      <c r="S83" s="2"/>
      <c r="T83" s="6">
        <v>3316.4351999999999</v>
      </c>
      <c r="U83" s="2"/>
      <c r="V83" s="7">
        <f t="shared" si="18"/>
        <v>6.2362217517045815E-3</v>
      </c>
      <c r="W83" s="2"/>
      <c r="X83" s="6">
        <f t="shared" si="19"/>
        <v>-1527.9451999999999</v>
      </c>
      <c r="Y83" s="2"/>
      <c r="Z83" s="7">
        <f t="shared" si="20"/>
        <v>-0.46071914807803266</v>
      </c>
    </row>
    <row r="84" spans="1:26" s="24" customFormat="1" hidden="1" outlineLevel="2" x14ac:dyDescent="0.25">
      <c r="A84" s="27"/>
      <c r="B84" s="11" t="str">
        <f>CONCATENATE("          ", "6116", " - ", "EDUCATIONAL BENEFITS")</f>
        <v xml:space="preserve">          6116 - EDUCATIONAL BENEFITS</v>
      </c>
      <c r="C84" s="11"/>
      <c r="D84" s="6"/>
      <c r="E84" s="2"/>
      <c r="F84" s="7">
        <f t="shared" si="13"/>
        <v>0</v>
      </c>
      <c r="G84" s="2"/>
      <c r="H84" s="6">
        <v>0</v>
      </c>
      <c r="I84" s="2"/>
      <c r="J84" s="7">
        <f t="shared" si="14"/>
        <v>0</v>
      </c>
      <c r="K84" s="2"/>
      <c r="L84" s="6">
        <f t="shared" si="15"/>
        <v>0</v>
      </c>
      <c r="M84" s="2"/>
      <c r="N84" s="7">
        <f t="shared" si="16"/>
        <v>0</v>
      </c>
      <c r="O84" s="11"/>
      <c r="P84" s="6"/>
      <c r="Q84" s="2"/>
      <c r="R84" s="7">
        <f t="shared" si="17"/>
        <v>0</v>
      </c>
      <c r="S84" s="2"/>
      <c r="T84" s="6">
        <v>0</v>
      </c>
      <c r="U84" s="2"/>
      <c r="V84" s="7">
        <f t="shared" si="18"/>
        <v>0</v>
      </c>
      <c r="W84" s="2"/>
      <c r="X84" s="6">
        <f t="shared" si="19"/>
        <v>0</v>
      </c>
      <c r="Y84" s="2"/>
      <c r="Z84" s="7">
        <f t="shared" si="20"/>
        <v>0</v>
      </c>
    </row>
    <row r="85" spans="1:26" s="24" customFormat="1" hidden="1" outlineLevel="2" x14ac:dyDescent="0.25">
      <c r="A85" s="27"/>
      <c r="B85" s="11" t="str">
        <f>CONCATENATE("          ", "6118", " - ", "VACATION")</f>
        <v xml:space="preserve">          6118 - VACATION</v>
      </c>
      <c r="C85" s="11"/>
      <c r="D85" s="6"/>
      <c r="E85" s="2"/>
      <c r="F85" s="7">
        <f t="shared" si="13"/>
        <v>0</v>
      </c>
      <c r="G85" s="2"/>
      <c r="H85" s="6">
        <v>88.992000000000004</v>
      </c>
      <c r="I85" s="2"/>
      <c r="J85" s="7">
        <f t="shared" si="14"/>
        <v>3.3837262357414452E-2</v>
      </c>
      <c r="K85" s="2"/>
      <c r="L85" s="6">
        <f t="shared" si="15"/>
        <v>-88.992000000000004</v>
      </c>
      <c r="M85" s="2"/>
      <c r="N85" s="7">
        <f t="shared" si="16"/>
        <v>-1</v>
      </c>
      <c r="O85" s="11"/>
      <c r="P85" s="6">
        <v>1686.84</v>
      </c>
      <c r="Q85" s="2"/>
      <c r="R85" s="7">
        <f t="shared" si="17"/>
        <v>4.1087377929440094E-3</v>
      </c>
      <c r="S85" s="2"/>
      <c r="T85" s="6">
        <v>1156.896</v>
      </c>
      <c r="U85" s="2"/>
      <c r="V85" s="7">
        <f t="shared" si="18"/>
        <v>2.1754261924550864E-3</v>
      </c>
      <c r="W85" s="2"/>
      <c r="X85" s="6">
        <f t="shared" si="19"/>
        <v>529.94399999999996</v>
      </c>
      <c r="Y85" s="2"/>
      <c r="Z85" s="7">
        <f t="shared" si="20"/>
        <v>0.45807401875363041</v>
      </c>
    </row>
    <row r="86" spans="1:26" s="24" customFormat="1" hidden="1" outlineLevel="2" x14ac:dyDescent="0.25">
      <c r="A86" s="27"/>
      <c r="B86" s="11" t="str">
        <f>CONCATENATE("          ", "6119", " - ", "SICK LEAVE")</f>
        <v xml:space="preserve">          6119 - SICK LEAVE</v>
      </c>
      <c r="C86" s="11"/>
      <c r="D86" s="6"/>
      <c r="E86" s="2"/>
      <c r="F86" s="7">
        <f t="shared" si="13"/>
        <v>0</v>
      </c>
      <c r="G86" s="2"/>
      <c r="H86" s="6">
        <v>106.330878</v>
      </c>
      <c r="I86" s="2"/>
      <c r="J86" s="7">
        <f t="shared" si="14"/>
        <v>4.042999163498099E-2</v>
      </c>
      <c r="K86" s="2"/>
      <c r="L86" s="6">
        <f t="shared" si="15"/>
        <v>-106.330878</v>
      </c>
      <c r="M86" s="2"/>
      <c r="N86" s="7">
        <f t="shared" si="16"/>
        <v>-1</v>
      </c>
      <c r="O86" s="11"/>
      <c r="P86" s="6">
        <v>684.81</v>
      </c>
      <c r="Q86" s="2"/>
      <c r="R86" s="7">
        <f t="shared" si="17"/>
        <v>1.6680329657738652E-3</v>
      </c>
      <c r="S86" s="2"/>
      <c r="T86" s="6">
        <v>2473.4257740000003</v>
      </c>
      <c r="U86" s="2"/>
      <c r="V86" s="7">
        <f t="shared" si="18"/>
        <v>4.651027589215536E-3</v>
      </c>
      <c r="W86" s="2"/>
      <c r="X86" s="6">
        <f t="shared" si="19"/>
        <v>-1788.6157740000003</v>
      </c>
      <c r="Y86" s="2"/>
      <c r="Z86" s="7">
        <f t="shared" si="20"/>
        <v>-0.72313298939529858</v>
      </c>
    </row>
    <row r="87" spans="1:26" s="24" customFormat="1" hidden="1" outlineLevel="2" x14ac:dyDescent="0.25">
      <c r="A87" s="27"/>
      <c r="B87" s="11" t="str">
        <f>CONCATENATE("          ", "6156", " - ", "EMPLOYEE MEALS")</f>
        <v xml:space="preserve">          6156 - EMPLOYEE MEALS</v>
      </c>
      <c r="C87" s="11"/>
      <c r="D87" s="6"/>
      <c r="E87" s="2"/>
      <c r="F87" s="7">
        <f t="shared" si="13"/>
        <v>0</v>
      </c>
      <c r="G87" s="2"/>
      <c r="H87" s="6"/>
      <c r="I87" s="2"/>
      <c r="J87" s="7">
        <f t="shared" si="14"/>
        <v>0</v>
      </c>
      <c r="K87" s="2"/>
      <c r="L87" s="6">
        <f t="shared" si="15"/>
        <v>0</v>
      </c>
      <c r="M87" s="2"/>
      <c r="N87" s="7">
        <f t="shared" si="16"/>
        <v>0</v>
      </c>
      <c r="O87" s="11"/>
      <c r="P87" s="6">
        <v>1301.25</v>
      </c>
      <c r="Q87" s="2"/>
      <c r="R87" s="7">
        <f t="shared" si="17"/>
        <v>3.1695330043563065E-3</v>
      </c>
      <c r="S87" s="2"/>
      <c r="T87" s="6"/>
      <c r="U87" s="2"/>
      <c r="V87" s="7">
        <f t="shared" si="18"/>
        <v>0</v>
      </c>
      <c r="W87" s="2"/>
      <c r="X87" s="6">
        <f t="shared" si="19"/>
        <v>1301.25</v>
      </c>
      <c r="Y87" s="2"/>
      <c r="Z87" s="7">
        <f t="shared" si="20"/>
        <v>0</v>
      </c>
    </row>
    <row r="88" spans="1:26" s="26" customFormat="1" outlineLevel="1" collapsed="1" x14ac:dyDescent="0.25">
      <c r="A88" s="25"/>
      <c r="B88" s="12" t="str">
        <f>CONCATENATE("     ","*Payroll                                          ")</f>
        <v xml:space="preserve">     *Payroll                                          </v>
      </c>
      <c r="C88" s="12"/>
      <c r="D88" s="1">
        <f>SUM(OSRRefD22_1x_0)</f>
        <v>0</v>
      </c>
      <c r="E88" s="1"/>
      <c r="F88" s="5">
        <f t="shared" ref="F88:F98" si="21">IF(D$12=0,0,D88/D$12)</f>
        <v>0</v>
      </c>
      <c r="G88" s="1"/>
      <c r="H88" s="1">
        <f>SUM(OSRRefH22_1x_0)</f>
        <v>4486.1597220000003</v>
      </c>
      <c r="I88" s="1"/>
      <c r="J88" s="5">
        <f t="shared" ref="J88:J98" si="22">IF(H$12=0,0,H88/H$12)</f>
        <v>1.7057641528517111</v>
      </c>
      <c r="K88" s="1"/>
      <c r="L88" s="1">
        <f t="shared" ref="L88:L98" si="23">+D88-H88</f>
        <v>-4486.1597220000003</v>
      </c>
      <c r="M88" s="1"/>
      <c r="N88" s="5">
        <f t="shared" ref="N88:N98" si="24">IF(H88=0,0,L88/H88)</f>
        <v>-1</v>
      </c>
      <c r="O88" s="12"/>
      <c r="P88" s="1">
        <f>SUM(OSRRefP22_1x_0)</f>
        <v>74046.41</v>
      </c>
      <c r="Q88" s="1"/>
      <c r="R88" s="5">
        <f t="shared" ref="R88:R98" si="25">IF(P$12=0,0,P88/P$12)</f>
        <v>0.18035930094070998</v>
      </c>
      <c r="S88" s="1"/>
      <c r="T88" s="1">
        <f>SUM(OSRRefT22_1x_0)</f>
        <v>93599.76402599999</v>
      </c>
      <c r="U88" s="1"/>
      <c r="V88" s="5">
        <f t="shared" ref="V88:V98" si="26">IF(T$12=0,0,T88/T$12)</f>
        <v>0.17600491165132887</v>
      </c>
      <c r="W88" s="1"/>
      <c r="X88" s="1">
        <f t="shared" ref="X88:X98" si="27">+P88-T88</f>
        <v>-19553.354025999986</v>
      </c>
      <c r="Y88" s="1"/>
      <c r="Z88" s="5">
        <f t="shared" ref="Z88:Z98" si="28">IF(T88=0,0,X88/T88)</f>
        <v>-0.20890388164406576</v>
      </c>
    </row>
    <row r="89" spans="1:26" s="24" customFormat="1" hidden="1" outlineLevel="2" x14ac:dyDescent="0.25">
      <c r="A89" s="27"/>
      <c r="B89" s="11" t="str">
        <f>CONCATENATE("          ", "6001", " - ", "ADMINISTRATIVE SALARIES")</f>
        <v xml:space="preserve">          6001 - ADMINISTRATIVE SALARIES</v>
      </c>
      <c r="C89" s="11"/>
      <c r="D89" s="6"/>
      <c r="E89" s="2"/>
      <c r="F89" s="7">
        <f t="shared" si="21"/>
        <v>0</v>
      </c>
      <c r="G89" s="2"/>
      <c r="H89" s="6">
        <v>2966.4</v>
      </c>
      <c r="I89" s="2"/>
      <c r="J89" s="7">
        <f t="shared" si="22"/>
        <v>1.1279087452471483</v>
      </c>
      <c r="K89" s="2"/>
      <c r="L89" s="6">
        <f t="shared" si="23"/>
        <v>-2966.4</v>
      </c>
      <c r="M89" s="2"/>
      <c r="N89" s="7">
        <f t="shared" si="24"/>
        <v>-1</v>
      </c>
      <c r="O89" s="11"/>
      <c r="P89" s="6"/>
      <c r="Q89" s="2"/>
      <c r="R89" s="7">
        <f t="shared" si="25"/>
        <v>0</v>
      </c>
      <c r="S89" s="2"/>
      <c r="T89" s="6">
        <v>38563.199999999997</v>
      </c>
      <c r="U89" s="2"/>
      <c r="V89" s="7">
        <f t="shared" si="26"/>
        <v>7.2514206415169549E-2</v>
      </c>
      <c r="W89" s="2"/>
      <c r="X89" s="6">
        <f t="shared" si="27"/>
        <v>-38563.199999999997</v>
      </c>
      <c r="Y89" s="2"/>
      <c r="Z89" s="7">
        <f t="shared" si="28"/>
        <v>-1</v>
      </c>
    </row>
    <row r="90" spans="1:26" s="24" customFormat="1" hidden="1" outlineLevel="2" x14ac:dyDescent="0.25">
      <c r="A90" s="27"/>
      <c r="B90" s="11" t="str">
        <f>CONCATENATE("          ", "6002", " - ", "STAFF SALARIES")</f>
        <v xml:space="preserve">          6002 - STAFF SALARIES</v>
      </c>
      <c r="C90" s="11"/>
      <c r="D90" s="6"/>
      <c r="E90" s="2"/>
      <c r="F90" s="7">
        <f t="shared" si="21"/>
        <v>0</v>
      </c>
      <c r="G90" s="2"/>
      <c r="H90" s="6">
        <v>0</v>
      </c>
      <c r="I90" s="2"/>
      <c r="J90" s="7">
        <f t="shared" si="22"/>
        <v>0</v>
      </c>
      <c r="K90" s="2"/>
      <c r="L90" s="6">
        <f t="shared" si="23"/>
        <v>0</v>
      </c>
      <c r="M90" s="2"/>
      <c r="N90" s="7">
        <f t="shared" si="24"/>
        <v>0</v>
      </c>
      <c r="O90" s="11"/>
      <c r="P90" s="6">
        <v>20966.809999999998</v>
      </c>
      <c r="Q90" s="2"/>
      <c r="R90" s="7">
        <f t="shared" si="25"/>
        <v>5.1070122029639078E-2</v>
      </c>
      <c r="S90" s="2"/>
      <c r="T90" s="6">
        <v>0</v>
      </c>
      <c r="U90" s="2"/>
      <c r="V90" s="7">
        <f t="shared" si="26"/>
        <v>0</v>
      </c>
      <c r="W90" s="2"/>
      <c r="X90" s="6">
        <f t="shared" si="27"/>
        <v>20966.809999999998</v>
      </c>
      <c r="Y90" s="2"/>
      <c r="Z90" s="7">
        <f t="shared" si="28"/>
        <v>0</v>
      </c>
    </row>
    <row r="91" spans="1:26" s="24" customFormat="1" hidden="1" outlineLevel="2" x14ac:dyDescent="0.25">
      <c r="A91" s="27"/>
      <c r="B91" s="11" t="str">
        <f>CONCATENATE("          ", "6003", " - ", "STAFF HOURLY-9 MONTH")</f>
        <v xml:space="preserve">          6003 - STAFF HOURLY-9 MONTH</v>
      </c>
      <c r="C91" s="11"/>
      <c r="D91" s="6"/>
      <c r="E91" s="2"/>
      <c r="F91" s="7">
        <f t="shared" si="21"/>
        <v>0</v>
      </c>
      <c r="G91" s="2"/>
      <c r="H91" s="6">
        <v>0</v>
      </c>
      <c r="I91" s="2"/>
      <c r="J91" s="7">
        <f t="shared" si="22"/>
        <v>0</v>
      </c>
      <c r="K91" s="2"/>
      <c r="L91" s="6">
        <f t="shared" si="23"/>
        <v>0</v>
      </c>
      <c r="M91" s="2"/>
      <c r="N91" s="7">
        <f t="shared" si="24"/>
        <v>0</v>
      </c>
      <c r="O91" s="11"/>
      <c r="P91" s="6"/>
      <c r="Q91" s="2"/>
      <c r="R91" s="7">
        <f t="shared" si="25"/>
        <v>0</v>
      </c>
      <c r="S91" s="2"/>
      <c r="T91" s="6">
        <v>0</v>
      </c>
      <c r="U91" s="2"/>
      <c r="V91" s="7">
        <f t="shared" si="26"/>
        <v>0</v>
      </c>
      <c r="W91" s="2"/>
      <c r="X91" s="6">
        <f t="shared" si="27"/>
        <v>0</v>
      </c>
      <c r="Y91" s="2"/>
      <c r="Z91" s="7">
        <f t="shared" si="28"/>
        <v>0</v>
      </c>
    </row>
    <row r="92" spans="1:26" s="24" customFormat="1" hidden="1" outlineLevel="2" x14ac:dyDescent="0.25">
      <c r="A92" s="27"/>
      <c r="B92" s="11" t="str">
        <f>CONCATENATE("          ", "6004", " - ", "STAFF HOURLY")</f>
        <v xml:space="preserve">          6004 - STAFF HOURLY</v>
      </c>
      <c r="C92" s="11"/>
      <c r="D92" s="6"/>
      <c r="E92" s="2"/>
      <c r="F92" s="7">
        <f t="shared" si="21"/>
        <v>0</v>
      </c>
      <c r="G92" s="2"/>
      <c r="H92" s="6">
        <v>0</v>
      </c>
      <c r="I92" s="2"/>
      <c r="J92" s="7">
        <f t="shared" si="22"/>
        <v>0</v>
      </c>
      <c r="K92" s="2"/>
      <c r="L92" s="6">
        <f t="shared" si="23"/>
        <v>0</v>
      </c>
      <c r="M92" s="2"/>
      <c r="N92" s="7">
        <f t="shared" si="24"/>
        <v>0</v>
      </c>
      <c r="O92" s="11"/>
      <c r="P92" s="6"/>
      <c r="Q92" s="2"/>
      <c r="R92" s="7">
        <f t="shared" si="25"/>
        <v>0</v>
      </c>
      <c r="S92" s="2"/>
      <c r="T92" s="6">
        <v>0</v>
      </c>
      <c r="U92" s="2"/>
      <c r="V92" s="7">
        <f t="shared" si="26"/>
        <v>0</v>
      </c>
      <c r="W92" s="2"/>
      <c r="X92" s="6">
        <f t="shared" si="27"/>
        <v>0</v>
      </c>
      <c r="Y92" s="2"/>
      <c r="Z92" s="7">
        <f t="shared" si="28"/>
        <v>0</v>
      </c>
    </row>
    <row r="93" spans="1:26" s="24" customFormat="1" hidden="1" outlineLevel="2" x14ac:dyDescent="0.25">
      <c r="A93" s="27"/>
      <c r="B93" s="11" t="str">
        <f>CONCATENATE("          ", "6005", " - ", "TEMPORARY WAGES-HOURLY")</f>
        <v xml:space="preserve">          6005 - TEMPORARY WAGES-HOURLY</v>
      </c>
      <c r="C93" s="11"/>
      <c r="D93" s="6"/>
      <c r="E93" s="2"/>
      <c r="F93" s="7">
        <f t="shared" si="21"/>
        <v>0</v>
      </c>
      <c r="G93" s="2"/>
      <c r="H93" s="6">
        <v>0</v>
      </c>
      <c r="I93" s="2"/>
      <c r="J93" s="7">
        <f t="shared" si="22"/>
        <v>0</v>
      </c>
      <c r="K93" s="2"/>
      <c r="L93" s="6">
        <f t="shared" si="23"/>
        <v>0</v>
      </c>
      <c r="M93" s="2"/>
      <c r="N93" s="7">
        <f t="shared" si="24"/>
        <v>0</v>
      </c>
      <c r="O93" s="11"/>
      <c r="P93" s="6">
        <v>7121.65</v>
      </c>
      <c r="Q93" s="2"/>
      <c r="R93" s="7">
        <f t="shared" si="25"/>
        <v>1.7346631869720724E-2</v>
      </c>
      <c r="S93" s="2"/>
      <c r="T93" s="6">
        <v>0</v>
      </c>
      <c r="U93" s="2"/>
      <c r="V93" s="7">
        <f t="shared" si="26"/>
        <v>0</v>
      </c>
      <c r="W93" s="2"/>
      <c r="X93" s="6">
        <f t="shared" si="27"/>
        <v>7121.65</v>
      </c>
      <c r="Y93" s="2"/>
      <c r="Z93" s="7">
        <f t="shared" si="28"/>
        <v>0</v>
      </c>
    </row>
    <row r="94" spans="1:26" s="24" customFormat="1" hidden="1" outlineLevel="2" x14ac:dyDescent="0.25">
      <c r="A94" s="27"/>
      <c r="B94" s="11" t="str">
        <f>CONCATENATE("          ", "6006", " - ", "TEMPORARY PART TIME")</f>
        <v xml:space="preserve">          6006 - TEMPORARY PART TIME</v>
      </c>
      <c r="C94" s="11"/>
      <c r="D94" s="6"/>
      <c r="E94" s="2"/>
      <c r="F94" s="7">
        <f t="shared" si="21"/>
        <v>0</v>
      </c>
      <c r="G94" s="2"/>
      <c r="H94" s="6">
        <v>0</v>
      </c>
      <c r="I94" s="2"/>
      <c r="J94" s="7">
        <f t="shared" si="22"/>
        <v>0</v>
      </c>
      <c r="K94" s="2"/>
      <c r="L94" s="6">
        <f t="shared" si="23"/>
        <v>0</v>
      </c>
      <c r="M94" s="2"/>
      <c r="N94" s="7">
        <f t="shared" si="24"/>
        <v>0</v>
      </c>
      <c r="O94" s="11"/>
      <c r="P94" s="6">
        <v>25.5</v>
      </c>
      <c r="Q94" s="2"/>
      <c r="R94" s="7">
        <f t="shared" si="25"/>
        <v>6.2111885964331076E-5</v>
      </c>
      <c r="S94" s="2"/>
      <c r="T94" s="6">
        <v>0</v>
      </c>
      <c r="U94" s="2"/>
      <c r="V94" s="7">
        <f t="shared" si="26"/>
        <v>0</v>
      </c>
      <c r="W94" s="2"/>
      <c r="X94" s="6">
        <f t="shared" si="27"/>
        <v>25.5</v>
      </c>
      <c r="Y94" s="2"/>
      <c r="Z94" s="7">
        <f t="shared" si="28"/>
        <v>0</v>
      </c>
    </row>
    <row r="95" spans="1:26" s="24" customFormat="1" hidden="1" outlineLevel="2" x14ac:dyDescent="0.25">
      <c r="A95" s="27"/>
      <c r="B95" s="11" t="str">
        <f>CONCATENATE("          ", "6007", " - ", "STUDENT HOURLY")</f>
        <v xml:space="preserve">          6007 - STUDENT HOURLY</v>
      </c>
      <c r="C95" s="11"/>
      <c r="D95" s="6"/>
      <c r="E95" s="2"/>
      <c r="F95" s="7">
        <f t="shared" si="21"/>
        <v>0</v>
      </c>
      <c r="G95" s="2"/>
      <c r="H95" s="6">
        <v>0</v>
      </c>
      <c r="I95" s="2"/>
      <c r="J95" s="7">
        <f t="shared" si="22"/>
        <v>0</v>
      </c>
      <c r="K95" s="2"/>
      <c r="L95" s="6">
        <f t="shared" si="23"/>
        <v>0</v>
      </c>
      <c r="M95" s="2"/>
      <c r="N95" s="7">
        <f t="shared" si="24"/>
        <v>0</v>
      </c>
      <c r="O95" s="11"/>
      <c r="P95" s="6">
        <v>45932.45</v>
      </c>
      <c r="Q95" s="2"/>
      <c r="R95" s="7">
        <f t="shared" si="25"/>
        <v>0.11188043515538584</v>
      </c>
      <c r="S95" s="2"/>
      <c r="T95" s="6">
        <v>48554.402838000002</v>
      </c>
      <c r="U95" s="2"/>
      <c r="V95" s="7">
        <f t="shared" si="26"/>
        <v>9.1301655198739382E-2</v>
      </c>
      <c r="W95" s="2"/>
      <c r="X95" s="6">
        <f t="shared" si="27"/>
        <v>-2621.9528380000047</v>
      </c>
      <c r="Y95" s="2"/>
      <c r="Z95" s="7">
        <f t="shared" si="28"/>
        <v>-5.4000310677242903E-2</v>
      </c>
    </row>
    <row r="96" spans="1:26" s="24" customFormat="1" hidden="1" outlineLevel="2" x14ac:dyDescent="0.25">
      <c r="A96" s="27"/>
      <c r="B96" s="11" t="str">
        <f>CONCATENATE("          ", "6008", " - ", "STUDENT HOURLY-FICA EXEMPT")</f>
        <v xml:space="preserve">          6008 - STUDENT HOURLY-FICA EXEMPT</v>
      </c>
      <c r="C96" s="11"/>
      <c r="D96" s="6"/>
      <c r="E96" s="2"/>
      <c r="F96" s="7">
        <f t="shared" si="21"/>
        <v>0</v>
      </c>
      <c r="G96" s="2"/>
      <c r="H96" s="6">
        <v>1519.759722</v>
      </c>
      <c r="I96" s="2"/>
      <c r="J96" s="7">
        <f t="shared" si="22"/>
        <v>0.57785540760456278</v>
      </c>
      <c r="K96" s="2"/>
      <c r="L96" s="6">
        <f t="shared" si="23"/>
        <v>-1519.759722</v>
      </c>
      <c r="M96" s="2"/>
      <c r="N96" s="7">
        <f t="shared" si="24"/>
        <v>-1</v>
      </c>
      <c r="O96" s="11"/>
      <c r="P96" s="6"/>
      <c r="Q96" s="2"/>
      <c r="R96" s="7">
        <f t="shared" si="25"/>
        <v>0</v>
      </c>
      <c r="S96" s="2"/>
      <c r="T96" s="6">
        <v>6482.161188</v>
      </c>
      <c r="U96" s="2"/>
      <c r="V96" s="7">
        <f t="shared" si="26"/>
        <v>1.2189050037419942E-2</v>
      </c>
      <c r="W96" s="2"/>
      <c r="X96" s="6">
        <f t="shared" si="27"/>
        <v>-6482.161188</v>
      </c>
      <c r="Y96" s="2"/>
      <c r="Z96" s="7">
        <f t="shared" si="28"/>
        <v>-1</v>
      </c>
    </row>
    <row r="97" spans="1:26" s="24" customFormat="1" hidden="1" outlineLevel="2" x14ac:dyDescent="0.25">
      <c r="A97" s="27"/>
      <c r="B97" s="11" t="str">
        <f>CONCATENATE("          ", "6009", " - ", "TEMPORARY-SEASONAL")</f>
        <v xml:space="preserve">          6009 - TEMPORARY-SEASONAL</v>
      </c>
      <c r="C97" s="11"/>
      <c r="D97" s="6"/>
      <c r="E97" s="2"/>
      <c r="F97" s="7">
        <f t="shared" si="21"/>
        <v>0</v>
      </c>
      <c r="G97" s="2"/>
      <c r="H97" s="6">
        <v>0</v>
      </c>
      <c r="I97" s="2"/>
      <c r="J97" s="7">
        <f t="shared" si="22"/>
        <v>0</v>
      </c>
      <c r="K97" s="2"/>
      <c r="L97" s="6">
        <f t="shared" si="23"/>
        <v>0</v>
      </c>
      <c r="M97" s="2"/>
      <c r="N97" s="7">
        <f t="shared" si="24"/>
        <v>0</v>
      </c>
      <c r="O97" s="11"/>
      <c r="P97" s="6"/>
      <c r="Q97" s="2"/>
      <c r="R97" s="7">
        <f t="shared" si="25"/>
        <v>0</v>
      </c>
      <c r="S97" s="2"/>
      <c r="T97" s="6">
        <v>0</v>
      </c>
      <c r="U97" s="2"/>
      <c r="V97" s="7">
        <f t="shared" si="26"/>
        <v>0</v>
      </c>
      <c r="W97" s="2"/>
      <c r="X97" s="6">
        <f t="shared" si="27"/>
        <v>0</v>
      </c>
      <c r="Y97" s="2"/>
      <c r="Z97" s="7">
        <f t="shared" si="28"/>
        <v>0</v>
      </c>
    </row>
    <row r="98" spans="1:26" s="24" customFormat="1" hidden="1" outlineLevel="2" x14ac:dyDescent="0.25">
      <c r="A98" s="27"/>
      <c r="B98" s="11" t="str">
        <f>CONCATENATE("          ", "6010", " - ", "GRATUITY")</f>
        <v xml:space="preserve">          6010 - GRATUITY</v>
      </c>
      <c r="C98" s="11"/>
      <c r="D98" s="6"/>
      <c r="E98" s="2"/>
      <c r="F98" s="7">
        <f t="shared" si="21"/>
        <v>0</v>
      </c>
      <c r="G98" s="2"/>
      <c r="H98" s="6">
        <v>0</v>
      </c>
      <c r="I98" s="2"/>
      <c r="J98" s="7">
        <f t="shared" si="22"/>
        <v>0</v>
      </c>
      <c r="K98" s="2"/>
      <c r="L98" s="6">
        <f t="shared" si="23"/>
        <v>0</v>
      </c>
      <c r="M98" s="2"/>
      <c r="N98" s="7">
        <f t="shared" si="24"/>
        <v>0</v>
      </c>
      <c r="O98" s="11"/>
      <c r="P98" s="6"/>
      <c r="Q98" s="2"/>
      <c r="R98" s="7">
        <f t="shared" si="25"/>
        <v>0</v>
      </c>
      <c r="S98" s="2"/>
      <c r="T98" s="6">
        <v>0</v>
      </c>
      <c r="U98" s="2"/>
      <c r="V98" s="7">
        <f t="shared" si="26"/>
        <v>0</v>
      </c>
      <c r="W98" s="2"/>
      <c r="X98" s="6">
        <f t="shared" si="27"/>
        <v>0</v>
      </c>
      <c r="Y98" s="2"/>
      <c r="Z98" s="7">
        <f t="shared" si="28"/>
        <v>0</v>
      </c>
    </row>
    <row r="99" spans="1:26" s="26" customFormat="1" outlineLevel="1" collapsed="1" x14ac:dyDescent="0.25">
      <c r="A99" s="25"/>
      <c r="B99" s="12" t="str">
        <f>CONCATENATE("     ","Advertising/Promo                                 ")</f>
        <v xml:space="preserve">     Advertising/Promo                                 </v>
      </c>
      <c r="C99" s="12"/>
      <c r="D99" s="1">
        <f>SUM(OSRRefD22_2x_0)</f>
        <v>0</v>
      </c>
      <c r="E99" s="1"/>
      <c r="F99" s="5">
        <f t="shared" ref="F99:F105" si="29">IF(D$12=0,0,D99/D$12)</f>
        <v>0</v>
      </c>
      <c r="G99" s="1"/>
      <c r="H99" s="1">
        <f>SUM(OSRRefH22_2x_0)</f>
        <v>40</v>
      </c>
      <c r="I99" s="1"/>
      <c r="J99" s="5">
        <f t="shared" ref="J99:J105" si="30">IF(H$12=0,0,H99/H$12)</f>
        <v>1.5209125475285171E-2</v>
      </c>
      <c r="K99" s="1"/>
      <c r="L99" s="1">
        <f t="shared" ref="L99:L105" si="31">+D99-H99</f>
        <v>-40</v>
      </c>
      <c r="M99" s="1"/>
      <c r="N99" s="5">
        <f t="shared" ref="N99:N105" si="32">IF(H99=0,0,L99/H99)</f>
        <v>-1</v>
      </c>
      <c r="O99" s="12"/>
      <c r="P99" s="1">
        <f>SUM(OSRRefP22_2x_0)</f>
        <v>963.62</v>
      </c>
      <c r="Q99" s="1"/>
      <c r="R99" s="5">
        <f t="shared" ref="R99:R105" si="33">IF(P$12=0,0,P99/P$12)</f>
        <v>2.3471472765862244E-3</v>
      </c>
      <c r="S99" s="1"/>
      <c r="T99" s="1">
        <f>SUM(OSRRefT22_2x_0)</f>
        <v>480</v>
      </c>
      <c r="U99" s="1"/>
      <c r="V99" s="5">
        <f t="shared" ref="V99:V105" si="34">IF(T$12=0,0,T99/T$12)</f>
        <v>9.0259156603397501E-4</v>
      </c>
      <c r="W99" s="1"/>
      <c r="X99" s="1">
        <f t="shared" ref="X99:X105" si="35">+P99-T99</f>
        <v>483.62</v>
      </c>
      <c r="Y99" s="1"/>
      <c r="Z99" s="5">
        <f t="shared" ref="Z99:Z105" si="36">IF(T99=0,0,X99/T99)</f>
        <v>1.0075416666666668</v>
      </c>
    </row>
    <row r="100" spans="1:26" s="24" customFormat="1" hidden="1" outlineLevel="2" x14ac:dyDescent="0.25">
      <c r="A100" s="27"/>
      <c r="B100" s="11" t="str">
        <f>CONCATENATE("          ", "6362", " - ", "ADVERTISING EXPENSE")</f>
        <v xml:space="preserve">          6362 - ADVERTISING EXPENSE</v>
      </c>
      <c r="C100" s="11"/>
      <c r="D100" s="6"/>
      <c r="E100" s="2"/>
      <c r="F100" s="7">
        <f t="shared" si="29"/>
        <v>0</v>
      </c>
      <c r="G100" s="2"/>
      <c r="H100" s="6">
        <v>40</v>
      </c>
      <c r="I100" s="2"/>
      <c r="J100" s="7">
        <f t="shared" si="30"/>
        <v>1.5209125475285171E-2</v>
      </c>
      <c r="K100" s="2"/>
      <c r="L100" s="6">
        <f t="shared" si="31"/>
        <v>-40</v>
      </c>
      <c r="M100" s="2"/>
      <c r="N100" s="7">
        <f t="shared" si="32"/>
        <v>-1</v>
      </c>
      <c r="O100" s="11"/>
      <c r="P100" s="6">
        <v>963.62</v>
      </c>
      <c r="Q100" s="2"/>
      <c r="R100" s="7">
        <f t="shared" si="33"/>
        <v>2.3471472765862244E-3</v>
      </c>
      <c r="S100" s="2"/>
      <c r="T100" s="6">
        <v>480</v>
      </c>
      <c r="U100" s="2"/>
      <c r="V100" s="7">
        <f t="shared" si="34"/>
        <v>9.0259156603397501E-4</v>
      </c>
      <c r="W100" s="2"/>
      <c r="X100" s="6">
        <f t="shared" si="35"/>
        <v>483.62</v>
      </c>
      <c r="Y100" s="2"/>
      <c r="Z100" s="7">
        <f t="shared" si="36"/>
        <v>1.0075416666666668</v>
      </c>
    </row>
    <row r="101" spans="1:26" s="26" customFormat="1" outlineLevel="1" collapsed="1" x14ac:dyDescent="0.25">
      <c r="A101" s="25"/>
      <c r="B101" s="12" t="str">
        <f>CONCATENATE("     ","Bad Debts/Over/Short                              ")</f>
        <v xml:space="preserve">     Bad Debts/Over/Short                              </v>
      </c>
      <c r="C101" s="12"/>
      <c r="D101" s="1">
        <f>SUM(OSRRefD22_3x_0)</f>
        <v>0</v>
      </c>
      <c r="E101" s="1"/>
      <c r="F101" s="5">
        <f t="shared" si="29"/>
        <v>0</v>
      </c>
      <c r="G101" s="1"/>
      <c r="H101" s="1">
        <f>SUM(OSRRefH22_3x_0)</f>
        <v>0</v>
      </c>
      <c r="I101" s="1"/>
      <c r="J101" s="5">
        <f t="shared" si="30"/>
        <v>0</v>
      </c>
      <c r="K101" s="1"/>
      <c r="L101" s="1">
        <f t="shared" si="31"/>
        <v>0</v>
      </c>
      <c r="M101" s="1"/>
      <c r="N101" s="5">
        <f t="shared" si="32"/>
        <v>0</v>
      </c>
      <c r="O101" s="12"/>
      <c r="P101" s="1">
        <f>SUM(OSRRefP22_3x_0)</f>
        <v>-55.84</v>
      </c>
      <c r="Q101" s="1"/>
      <c r="R101" s="5">
        <f t="shared" si="33"/>
        <v>-1.360128514607156E-4</v>
      </c>
      <c r="S101" s="1"/>
      <c r="T101" s="1">
        <f>SUM(OSRRefT22_3x_0)</f>
        <v>0</v>
      </c>
      <c r="U101" s="1"/>
      <c r="V101" s="5">
        <f t="shared" si="34"/>
        <v>0</v>
      </c>
      <c r="W101" s="1"/>
      <c r="X101" s="1">
        <f t="shared" si="35"/>
        <v>-55.84</v>
      </c>
      <c r="Y101" s="1"/>
      <c r="Z101" s="5">
        <f t="shared" si="36"/>
        <v>0</v>
      </c>
    </row>
    <row r="102" spans="1:26" s="24" customFormat="1" hidden="1" outlineLevel="2" x14ac:dyDescent="0.25">
      <c r="A102" s="27"/>
      <c r="B102" s="11" t="str">
        <f>CONCATENATE("          ", "6272", " - ", "CASH (OVER/SHORT)")</f>
        <v xml:space="preserve">          6272 - CASH (OVER/SHORT)</v>
      </c>
      <c r="C102" s="11"/>
      <c r="D102" s="6"/>
      <c r="E102" s="2"/>
      <c r="F102" s="7">
        <f t="shared" si="29"/>
        <v>0</v>
      </c>
      <c r="G102" s="2"/>
      <c r="H102" s="6"/>
      <c r="I102" s="2"/>
      <c r="J102" s="7">
        <f t="shared" si="30"/>
        <v>0</v>
      </c>
      <c r="K102" s="2"/>
      <c r="L102" s="6">
        <f t="shared" si="31"/>
        <v>0</v>
      </c>
      <c r="M102" s="2"/>
      <c r="N102" s="7">
        <f t="shared" si="32"/>
        <v>0</v>
      </c>
      <c r="O102" s="11"/>
      <c r="P102" s="6">
        <v>-55.84</v>
      </c>
      <c r="Q102" s="2"/>
      <c r="R102" s="7">
        <f t="shared" si="33"/>
        <v>-1.360128514607156E-4</v>
      </c>
      <c r="S102" s="2"/>
      <c r="T102" s="6"/>
      <c r="U102" s="2"/>
      <c r="V102" s="7">
        <f t="shared" si="34"/>
        <v>0</v>
      </c>
      <c r="W102" s="2"/>
      <c r="X102" s="6">
        <f t="shared" si="35"/>
        <v>-55.84</v>
      </c>
      <c r="Y102" s="2"/>
      <c r="Z102" s="7">
        <f t="shared" si="36"/>
        <v>0</v>
      </c>
    </row>
    <row r="103" spans="1:26" s="26" customFormat="1" outlineLevel="1" collapsed="1" x14ac:dyDescent="0.25">
      <c r="A103" s="25"/>
      <c r="B103" s="12" t="str">
        <f>CONCATENATE("     ","Discounts and Markdowns                           ")</f>
        <v xml:space="preserve">     Discounts and Markdowns                           </v>
      </c>
      <c r="C103" s="12"/>
      <c r="D103" s="1">
        <f>SUM(OSRRefD22_4x_0)</f>
        <v>0</v>
      </c>
      <c r="E103" s="1"/>
      <c r="F103" s="5">
        <f t="shared" si="29"/>
        <v>0</v>
      </c>
      <c r="G103" s="1"/>
      <c r="H103" s="1">
        <f>SUM(OSRRefH22_4x_0)</f>
        <v>1250</v>
      </c>
      <c r="I103" s="1"/>
      <c r="J103" s="5">
        <f t="shared" si="30"/>
        <v>0.47528517110266161</v>
      </c>
      <c r="K103" s="1"/>
      <c r="L103" s="1">
        <f t="shared" si="31"/>
        <v>-1250</v>
      </c>
      <c r="M103" s="1"/>
      <c r="N103" s="5">
        <f t="shared" si="32"/>
        <v>-1</v>
      </c>
      <c r="O103" s="12"/>
      <c r="P103" s="1">
        <f>SUM(OSRRefP22_4x_0)</f>
        <v>8936.44</v>
      </c>
      <c r="Q103" s="1"/>
      <c r="R103" s="5">
        <f t="shared" si="33"/>
        <v>2.1767025184591643E-2</v>
      </c>
      <c r="S103" s="1"/>
      <c r="T103" s="1">
        <f>SUM(OSRRefT22_4x_0)</f>
        <v>15000</v>
      </c>
      <c r="U103" s="1"/>
      <c r="V103" s="5">
        <f t="shared" si="34"/>
        <v>2.8205986438561721E-2</v>
      </c>
      <c r="W103" s="1"/>
      <c r="X103" s="1">
        <f t="shared" si="35"/>
        <v>-6063.5599999999995</v>
      </c>
      <c r="Y103" s="1"/>
      <c r="Z103" s="5">
        <f t="shared" si="36"/>
        <v>-0.40423733333333328</v>
      </c>
    </row>
    <row r="104" spans="1:26" s="24" customFormat="1" hidden="1" outlineLevel="2" x14ac:dyDescent="0.25">
      <c r="A104" s="27"/>
      <c r="B104" s="11" t="str">
        <f>CONCATENATE("          ", "6382", " - ", "DISCOUNTS/MARK DOWNS")</f>
        <v xml:space="preserve">          6382 - DISCOUNTS/MARK DOWNS</v>
      </c>
      <c r="C104" s="11"/>
      <c r="D104" s="6"/>
      <c r="E104" s="2"/>
      <c r="F104" s="7">
        <f t="shared" si="29"/>
        <v>0</v>
      </c>
      <c r="G104" s="2"/>
      <c r="H104" s="6">
        <v>1250</v>
      </c>
      <c r="I104" s="2"/>
      <c r="J104" s="7">
        <f t="shared" si="30"/>
        <v>0.47528517110266161</v>
      </c>
      <c r="K104" s="2"/>
      <c r="L104" s="6">
        <f t="shared" si="31"/>
        <v>-1250</v>
      </c>
      <c r="M104" s="2"/>
      <c r="N104" s="7">
        <f t="shared" si="32"/>
        <v>-1</v>
      </c>
      <c r="O104" s="11"/>
      <c r="P104" s="6">
        <v>8936.44</v>
      </c>
      <c r="Q104" s="2"/>
      <c r="R104" s="7">
        <f t="shared" si="33"/>
        <v>2.1767025184591643E-2</v>
      </c>
      <c r="S104" s="2"/>
      <c r="T104" s="6">
        <v>15000</v>
      </c>
      <c r="U104" s="2"/>
      <c r="V104" s="7">
        <f t="shared" si="34"/>
        <v>2.8205986438561721E-2</v>
      </c>
      <c r="W104" s="2"/>
      <c r="X104" s="6">
        <f t="shared" si="35"/>
        <v>-6063.5599999999995</v>
      </c>
      <c r="Y104" s="2"/>
      <c r="Z104" s="7">
        <f t="shared" si="36"/>
        <v>-0.40423733333333328</v>
      </c>
    </row>
    <row r="105" spans="1:26" s="24" customFormat="1" hidden="1" outlineLevel="2" x14ac:dyDescent="0.25">
      <c r="A105" s="27"/>
      <c r="B105" s="11" t="str">
        <f>CONCATENATE("          ", "9175", " - ", "EARNED DISCOUNTS")</f>
        <v xml:space="preserve">          9175 - EARNED DISCOUNTS</v>
      </c>
      <c r="C105" s="11"/>
      <c r="D105" s="6"/>
      <c r="E105" s="2"/>
      <c r="F105" s="7">
        <f t="shared" si="29"/>
        <v>0</v>
      </c>
      <c r="G105" s="2"/>
      <c r="H105" s="6"/>
      <c r="I105" s="2"/>
      <c r="J105" s="7">
        <f t="shared" si="30"/>
        <v>0</v>
      </c>
      <c r="K105" s="2"/>
      <c r="L105" s="6">
        <f t="shared" si="31"/>
        <v>0</v>
      </c>
      <c r="M105" s="2"/>
      <c r="N105" s="7">
        <f t="shared" si="32"/>
        <v>0</v>
      </c>
      <c r="O105" s="11"/>
      <c r="P105" s="6">
        <v>0</v>
      </c>
      <c r="Q105" s="2"/>
      <c r="R105" s="7">
        <f t="shared" si="33"/>
        <v>0</v>
      </c>
      <c r="S105" s="2"/>
      <c r="T105" s="6"/>
      <c r="U105" s="2"/>
      <c r="V105" s="7">
        <f t="shared" si="34"/>
        <v>0</v>
      </c>
      <c r="W105" s="2"/>
      <c r="X105" s="6">
        <f t="shared" si="35"/>
        <v>0</v>
      </c>
      <c r="Y105" s="2"/>
      <c r="Z105" s="7">
        <f t="shared" si="36"/>
        <v>0</v>
      </c>
    </row>
    <row r="106" spans="1:26" s="26" customFormat="1" outlineLevel="1" collapsed="1" x14ac:dyDescent="0.25">
      <c r="A106" s="25"/>
      <c r="B106" s="12" t="str">
        <f>CONCATENATE("     ","Employees' Appreciation                           ")</f>
        <v xml:space="preserve">     Employees' Appreciation                           </v>
      </c>
      <c r="C106" s="12"/>
      <c r="D106" s="1">
        <f>SUM(OSRRefD22_5x_0)</f>
        <v>0</v>
      </c>
      <c r="E106" s="1"/>
      <c r="F106" s="5">
        <f t="shared" ref="F106:F131" si="37">IF(D$12=0,0,D106/D$12)</f>
        <v>0</v>
      </c>
      <c r="G106" s="1"/>
      <c r="H106" s="1">
        <f>SUM(OSRRefH22_5x_0)</f>
        <v>25</v>
      </c>
      <c r="I106" s="1"/>
      <c r="J106" s="5">
        <f t="shared" ref="J106:J131" si="38">IF(H$12=0,0,H106/H$12)</f>
        <v>9.5057034220532317E-3</v>
      </c>
      <c r="K106" s="1"/>
      <c r="L106" s="1">
        <f t="shared" ref="L106:L131" si="39">+D106-H106</f>
        <v>-25</v>
      </c>
      <c r="M106" s="1"/>
      <c r="N106" s="5">
        <f t="shared" ref="N106:N131" si="40">IF(H106=0,0,L106/H106)</f>
        <v>-1</v>
      </c>
      <c r="O106" s="12"/>
      <c r="P106" s="1">
        <f>SUM(OSRRefP22_5x_0)</f>
        <v>0</v>
      </c>
      <c r="Q106" s="1"/>
      <c r="R106" s="5">
        <f t="shared" ref="R106:R131" si="41">IF(P$12=0,0,P106/P$12)</f>
        <v>0</v>
      </c>
      <c r="S106" s="1"/>
      <c r="T106" s="1">
        <f>SUM(OSRRefT22_5x_0)</f>
        <v>300</v>
      </c>
      <c r="U106" s="1"/>
      <c r="V106" s="5">
        <f t="shared" ref="V106:V131" si="42">IF(T$12=0,0,T106/T$12)</f>
        <v>5.6411972877123441E-4</v>
      </c>
      <c r="W106" s="1"/>
      <c r="X106" s="1">
        <f t="shared" ref="X106:X131" si="43">+P106-T106</f>
        <v>-300</v>
      </c>
      <c r="Y106" s="1"/>
      <c r="Z106" s="5">
        <f t="shared" ref="Z106:Z131" si="44">IF(T106=0,0,X106/T106)</f>
        <v>-1</v>
      </c>
    </row>
    <row r="107" spans="1:26" s="24" customFormat="1" hidden="1" outlineLevel="2" x14ac:dyDescent="0.25">
      <c r="A107" s="27"/>
      <c r="B107" s="11" t="str">
        <f>CONCATENATE("          ", "6277", " - ", "EMPLOYEE APPRECIATION")</f>
        <v xml:space="preserve">          6277 - EMPLOYEE APPRECIATION</v>
      </c>
      <c r="C107" s="11"/>
      <c r="D107" s="6"/>
      <c r="E107" s="2"/>
      <c r="F107" s="7">
        <f t="shared" si="37"/>
        <v>0</v>
      </c>
      <c r="G107" s="2"/>
      <c r="H107" s="6">
        <v>25</v>
      </c>
      <c r="I107" s="2"/>
      <c r="J107" s="7">
        <f t="shared" si="38"/>
        <v>9.5057034220532317E-3</v>
      </c>
      <c r="K107" s="2"/>
      <c r="L107" s="6">
        <f t="shared" si="39"/>
        <v>-25</v>
      </c>
      <c r="M107" s="2"/>
      <c r="N107" s="7">
        <f t="shared" si="40"/>
        <v>-1</v>
      </c>
      <c r="O107" s="11"/>
      <c r="P107" s="6"/>
      <c r="Q107" s="2"/>
      <c r="R107" s="7">
        <f t="shared" si="41"/>
        <v>0</v>
      </c>
      <c r="S107" s="2"/>
      <c r="T107" s="6">
        <v>300</v>
      </c>
      <c r="U107" s="2"/>
      <c r="V107" s="7">
        <f t="shared" si="42"/>
        <v>5.6411972877123441E-4</v>
      </c>
      <c r="W107" s="2"/>
      <c r="X107" s="6">
        <f t="shared" si="43"/>
        <v>-300</v>
      </c>
      <c r="Y107" s="2"/>
      <c r="Z107" s="7">
        <f t="shared" si="44"/>
        <v>-1</v>
      </c>
    </row>
    <row r="108" spans="1:26" s="26" customFormat="1" outlineLevel="1" collapsed="1" x14ac:dyDescent="0.25">
      <c r="A108" s="25"/>
      <c r="B108" s="12" t="str">
        <f>CONCATENATE("     ","General                                           ")</f>
        <v xml:space="preserve">     General                                           </v>
      </c>
      <c r="C108" s="12"/>
      <c r="D108" s="1">
        <f>SUM(OSRRefD22_6x_0)</f>
        <v>0</v>
      </c>
      <c r="E108" s="1"/>
      <c r="F108" s="5">
        <f t="shared" si="37"/>
        <v>0</v>
      </c>
      <c r="G108" s="1"/>
      <c r="H108" s="1">
        <f>SUM(OSRRefH22_6x_0)</f>
        <v>80</v>
      </c>
      <c r="I108" s="1"/>
      <c r="J108" s="5">
        <f t="shared" si="38"/>
        <v>3.0418250950570342E-2</v>
      </c>
      <c r="K108" s="1"/>
      <c r="L108" s="1">
        <f t="shared" si="39"/>
        <v>-80</v>
      </c>
      <c r="M108" s="1"/>
      <c r="N108" s="5">
        <f t="shared" si="40"/>
        <v>-1</v>
      </c>
      <c r="O108" s="12"/>
      <c r="P108" s="1">
        <f>SUM(OSRRefP22_6x_0)</f>
        <v>954.05</v>
      </c>
      <c r="Q108" s="1"/>
      <c r="R108" s="5">
        <f t="shared" si="41"/>
        <v>2.3238370511478455E-3</v>
      </c>
      <c r="S108" s="1"/>
      <c r="T108" s="1">
        <f>SUM(OSRRefT22_6x_0)</f>
        <v>960</v>
      </c>
      <c r="U108" s="1"/>
      <c r="V108" s="5">
        <f t="shared" si="42"/>
        <v>1.80518313206795E-3</v>
      </c>
      <c r="W108" s="1"/>
      <c r="X108" s="1">
        <f t="shared" si="43"/>
        <v>-5.9500000000000455</v>
      </c>
      <c r="Y108" s="1"/>
      <c r="Z108" s="5">
        <f t="shared" si="44"/>
        <v>-6.1979166666667144E-3</v>
      </c>
    </row>
    <row r="109" spans="1:26" s="24" customFormat="1" hidden="1" outlineLevel="2" x14ac:dyDescent="0.25">
      <c r="A109" s="27"/>
      <c r="B109" s="11" t="str">
        <f>CONCATENATE("          ", "6279", " - ", "GENERAL EXPENSE")</f>
        <v xml:space="preserve">          6279 - GENERAL EXPENSE</v>
      </c>
      <c r="C109" s="11"/>
      <c r="D109" s="6"/>
      <c r="E109" s="2"/>
      <c r="F109" s="7">
        <f t="shared" si="37"/>
        <v>0</v>
      </c>
      <c r="G109" s="2"/>
      <c r="H109" s="6">
        <v>80</v>
      </c>
      <c r="I109" s="2"/>
      <c r="J109" s="7">
        <f t="shared" si="38"/>
        <v>3.0418250950570342E-2</v>
      </c>
      <c r="K109" s="2"/>
      <c r="L109" s="6">
        <f t="shared" si="39"/>
        <v>-80</v>
      </c>
      <c r="M109" s="2"/>
      <c r="N109" s="7">
        <f t="shared" si="40"/>
        <v>-1</v>
      </c>
      <c r="O109" s="11"/>
      <c r="P109" s="6">
        <v>954.05</v>
      </c>
      <c r="Q109" s="2"/>
      <c r="R109" s="7">
        <f t="shared" si="41"/>
        <v>2.3238370511478455E-3</v>
      </c>
      <c r="S109" s="2"/>
      <c r="T109" s="6">
        <v>960</v>
      </c>
      <c r="U109" s="2"/>
      <c r="V109" s="7">
        <f t="shared" si="42"/>
        <v>1.80518313206795E-3</v>
      </c>
      <c r="W109" s="2"/>
      <c r="X109" s="6">
        <f t="shared" si="43"/>
        <v>-5.9500000000000455</v>
      </c>
      <c r="Y109" s="2"/>
      <c r="Z109" s="7">
        <f t="shared" si="44"/>
        <v>-6.1979166666667144E-3</v>
      </c>
    </row>
    <row r="110" spans="1:26" s="26" customFormat="1" outlineLevel="1" collapsed="1" x14ac:dyDescent="0.25">
      <c r="A110" s="25"/>
      <c r="B110" s="12" t="str">
        <f>CONCATENATE("     ","Inventory Adjustment                              ")</f>
        <v xml:space="preserve">     Inventory Adjustment                              </v>
      </c>
      <c r="C110" s="12"/>
      <c r="D110" s="1">
        <f>SUM(OSRRefD22_7x_0)</f>
        <v>17378</v>
      </c>
      <c r="E110" s="1"/>
      <c r="F110" s="5">
        <f t="shared" si="37"/>
        <v>0</v>
      </c>
      <c r="G110" s="1"/>
      <c r="H110" s="1">
        <f>SUM(OSRRefH22_7x_0)</f>
        <v>4800</v>
      </c>
      <c r="I110" s="1"/>
      <c r="J110" s="5">
        <f t="shared" si="38"/>
        <v>1.8250950570342206</v>
      </c>
      <c r="K110" s="1"/>
      <c r="L110" s="1">
        <f t="shared" si="39"/>
        <v>12578</v>
      </c>
      <c r="M110" s="1"/>
      <c r="N110" s="5">
        <f t="shared" si="40"/>
        <v>2.6204166666666668</v>
      </c>
      <c r="O110" s="12"/>
      <c r="P110" s="1">
        <f>SUM(OSRRefP22_7x_0)</f>
        <v>17378</v>
      </c>
      <c r="Q110" s="1"/>
      <c r="R110" s="5">
        <f t="shared" si="41"/>
        <v>4.2328641344633156E-2</v>
      </c>
      <c r="S110" s="1"/>
      <c r="T110" s="1">
        <f>SUM(OSRRefT22_7x_0)</f>
        <v>4800</v>
      </c>
      <c r="U110" s="1"/>
      <c r="V110" s="5">
        <f t="shared" si="42"/>
        <v>9.0259156603397506E-3</v>
      </c>
      <c r="W110" s="1"/>
      <c r="X110" s="1">
        <f t="shared" si="43"/>
        <v>12578</v>
      </c>
      <c r="Y110" s="1"/>
      <c r="Z110" s="5">
        <f t="shared" si="44"/>
        <v>2.6204166666666668</v>
      </c>
    </row>
    <row r="111" spans="1:26" s="24" customFormat="1" hidden="1" outlineLevel="2" x14ac:dyDescent="0.25">
      <c r="A111" s="27"/>
      <c r="B111" s="11" t="str">
        <f>CONCATENATE("          ", "6408", " - ", "INVENTORY ADJUSTMENT")</f>
        <v xml:space="preserve">          6408 - INVENTORY ADJUSTMENT</v>
      </c>
      <c r="C111" s="11"/>
      <c r="D111" s="6"/>
      <c r="E111" s="2"/>
      <c r="F111" s="7">
        <f t="shared" si="37"/>
        <v>0</v>
      </c>
      <c r="G111" s="2"/>
      <c r="H111" s="6">
        <v>4800</v>
      </c>
      <c r="I111" s="2"/>
      <c r="J111" s="7">
        <f t="shared" si="38"/>
        <v>1.8250950570342206</v>
      </c>
      <c r="K111" s="2"/>
      <c r="L111" s="6">
        <f t="shared" si="39"/>
        <v>-4800</v>
      </c>
      <c r="M111" s="2"/>
      <c r="N111" s="7">
        <f t="shared" si="40"/>
        <v>-1</v>
      </c>
      <c r="O111" s="11"/>
      <c r="P111" s="6"/>
      <c r="Q111" s="2"/>
      <c r="R111" s="7">
        <f t="shared" si="41"/>
        <v>0</v>
      </c>
      <c r="S111" s="2"/>
      <c r="T111" s="6">
        <v>4800</v>
      </c>
      <c r="U111" s="2"/>
      <c r="V111" s="7">
        <f t="shared" si="42"/>
        <v>9.0259156603397506E-3</v>
      </c>
      <c r="W111" s="2"/>
      <c r="X111" s="6">
        <f t="shared" si="43"/>
        <v>-4800</v>
      </c>
      <c r="Y111" s="2"/>
      <c r="Z111" s="7">
        <f t="shared" si="44"/>
        <v>-1</v>
      </c>
    </row>
    <row r="112" spans="1:26" s="24" customFormat="1" hidden="1" outlineLevel="2" x14ac:dyDescent="0.25">
      <c r="A112" s="27"/>
      <c r="B112" s="11" t="str">
        <f>CONCATENATE("          ", "7713", " - ", "INV. SHRINKAGE-TRADE BOOKS")</f>
        <v xml:space="preserve">          7713 - INV. SHRINKAGE-TRADE BOOKS</v>
      </c>
      <c r="C112" s="11"/>
      <c r="D112" s="6">
        <v>37</v>
      </c>
      <c r="E112" s="2"/>
      <c r="F112" s="7">
        <f t="shared" si="37"/>
        <v>0</v>
      </c>
      <c r="G112" s="2"/>
      <c r="H112" s="6"/>
      <c r="I112" s="2"/>
      <c r="J112" s="7">
        <f t="shared" si="38"/>
        <v>0</v>
      </c>
      <c r="K112" s="2"/>
      <c r="L112" s="6">
        <f t="shared" si="39"/>
        <v>37</v>
      </c>
      <c r="M112" s="2"/>
      <c r="N112" s="7">
        <f t="shared" si="40"/>
        <v>0</v>
      </c>
      <c r="O112" s="11"/>
      <c r="P112" s="6">
        <v>37</v>
      </c>
      <c r="Q112" s="2"/>
      <c r="R112" s="7">
        <f t="shared" si="41"/>
        <v>9.0123128654127449E-5</v>
      </c>
      <c r="S112" s="2"/>
      <c r="T112" s="6"/>
      <c r="U112" s="2"/>
      <c r="V112" s="7">
        <f t="shared" si="42"/>
        <v>0</v>
      </c>
      <c r="W112" s="2"/>
      <c r="X112" s="6">
        <f t="shared" si="43"/>
        <v>37</v>
      </c>
      <c r="Y112" s="2"/>
      <c r="Z112" s="7">
        <f t="shared" si="44"/>
        <v>0</v>
      </c>
    </row>
    <row r="113" spans="1:26" s="24" customFormat="1" hidden="1" outlineLevel="2" x14ac:dyDescent="0.25">
      <c r="A113" s="27"/>
      <c r="B113" s="11" t="str">
        <f>CONCATENATE("          ", "7714", " - ", "INV. SHRINKAGE-REMAINDERS")</f>
        <v xml:space="preserve">          7714 - INV. SHRINKAGE-REMAINDERS</v>
      </c>
      <c r="C113" s="11"/>
      <c r="D113" s="6">
        <v>33</v>
      </c>
      <c r="E113" s="2"/>
      <c r="F113" s="7">
        <f t="shared" si="37"/>
        <v>0</v>
      </c>
      <c r="G113" s="2"/>
      <c r="H113" s="6"/>
      <c r="I113" s="2"/>
      <c r="J113" s="7">
        <f t="shared" si="38"/>
        <v>0</v>
      </c>
      <c r="K113" s="2"/>
      <c r="L113" s="6">
        <f t="shared" si="39"/>
        <v>33</v>
      </c>
      <c r="M113" s="2"/>
      <c r="N113" s="7">
        <f t="shared" si="40"/>
        <v>0</v>
      </c>
      <c r="O113" s="11"/>
      <c r="P113" s="6">
        <v>33</v>
      </c>
      <c r="Q113" s="2"/>
      <c r="R113" s="7">
        <f t="shared" si="41"/>
        <v>8.0380087718546104E-5</v>
      </c>
      <c r="S113" s="2"/>
      <c r="T113" s="6"/>
      <c r="U113" s="2"/>
      <c r="V113" s="7">
        <f t="shared" si="42"/>
        <v>0</v>
      </c>
      <c r="W113" s="2"/>
      <c r="X113" s="6">
        <f t="shared" si="43"/>
        <v>33</v>
      </c>
      <c r="Y113" s="2"/>
      <c r="Z113" s="7">
        <f t="shared" si="44"/>
        <v>0</v>
      </c>
    </row>
    <row r="114" spans="1:26" s="24" customFormat="1" hidden="1" outlineLevel="2" x14ac:dyDescent="0.25">
      <c r="A114" s="27"/>
      <c r="B114" s="11" t="str">
        <f>CONCATENATE("          ", "7717", " - ", "INV. SHRINKAGE-DORM/HOUSEWARES")</f>
        <v xml:space="preserve">          7717 - INV. SHRINKAGE-DORM/HOUSEWARES</v>
      </c>
      <c r="C114" s="11"/>
      <c r="D114" s="6">
        <v>-104</v>
      </c>
      <c r="E114" s="2"/>
      <c r="F114" s="7">
        <f t="shared" si="37"/>
        <v>0</v>
      </c>
      <c r="G114" s="2"/>
      <c r="H114" s="6"/>
      <c r="I114" s="2"/>
      <c r="J114" s="7">
        <f t="shared" si="38"/>
        <v>0</v>
      </c>
      <c r="K114" s="2"/>
      <c r="L114" s="6">
        <f t="shared" si="39"/>
        <v>-104</v>
      </c>
      <c r="M114" s="2"/>
      <c r="N114" s="7">
        <f t="shared" si="40"/>
        <v>0</v>
      </c>
      <c r="O114" s="11"/>
      <c r="P114" s="6">
        <v>-104</v>
      </c>
      <c r="Q114" s="2"/>
      <c r="R114" s="7">
        <f t="shared" si="41"/>
        <v>-2.5331906432511501E-4</v>
      </c>
      <c r="S114" s="2"/>
      <c r="T114" s="6"/>
      <c r="U114" s="2"/>
      <c r="V114" s="7">
        <f t="shared" si="42"/>
        <v>0</v>
      </c>
      <c r="W114" s="2"/>
      <c r="X114" s="6">
        <f t="shared" si="43"/>
        <v>-104</v>
      </c>
      <c r="Y114" s="2"/>
      <c r="Z114" s="7">
        <f t="shared" si="44"/>
        <v>0</v>
      </c>
    </row>
    <row r="115" spans="1:26" s="24" customFormat="1" hidden="1" outlineLevel="2" x14ac:dyDescent="0.25">
      <c r="A115" s="27"/>
      <c r="B115" s="11" t="str">
        <f>CONCATENATE("          ", "7725", " - ", "INV. SHRINKAGE-TEST FORMS")</f>
        <v xml:space="preserve">          7725 - INV. SHRINKAGE-TEST FORMS</v>
      </c>
      <c r="C115" s="11"/>
      <c r="D115" s="6">
        <v>-320</v>
      </c>
      <c r="E115" s="2"/>
      <c r="F115" s="7">
        <f t="shared" si="37"/>
        <v>0</v>
      </c>
      <c r="G115" s="2"/>
      <c r="H115" s="6"/>
      <c r="I115" s="2"/>
      <c r="J115" s="7">
        <f t="shared" si="38"/>
        <v>0</v>
      </c>
      <c r="K115" s="2"/>
      <c r="L115" s="6">
        <f t="shared" si="39"/>
        <v>-320</v>
      </c>
      <c r="M115" s="2"/>
      <c r="N115" s="7">
        <f t="shared" si="40"/>
        <v>0</v>
      </c>
      <c r="O115" s="11"/>
      <c r="P115" s="6">
        <v>-320</v>
      </c>
      <c r="Q115" s="2"/>
      <c r="R115" s="7">
        <f t="shared" si="41"/>
        <v>-7.7944327484650764E-4</v>
      </c>
      <c r="S115" s="2"/>
      <c r="T115" s="6"/>
      <c r="U115" s="2"/>
      <c r="V115" s="7">
        <f t="shared" si="42"/>
        <v>0</v>
      </c>
      <c r="W115" s="2"/>
      <c r="X115" s="6">
        <f t="shared" si="43"/>
        <v>-320</v>
      </c>
      <c r="Y115" s="2"/>
      <c r="Z115" s="7">
        <f t="shared" si="44"/>
        <v>0</v>
      </c>
    </row>
    <row r="116" spans="1:26" s="24" customFormat="1" hidden="1" outlineLevel="2" x14ac:dyDescent="0.25">
      <c r="A116" s="27"/>
      <c r="B116" s="11" t="str">
        <f>CONCATENATE("          ", "7726", " - ", "INV. SHRINKAGE-WRITING INSTRUM")</f>
        <v xml:space="preserve">          7726 - INV. SHRINKAGE-WRITING INSTRUM</v>
      </c>
      <c r="C116" s="11"/>
      <c r="D116" s="6">
        <v>-1120</v>
      </c>
      <c r="E116" s="2"/>
      <c r="F116" s="7">
        <f t="shared" si="37"/>
        <v>0</v>
      </c>
      <c r="G116" s="2"/>
      <c r="H116" s="6"/>
      <c r="I116" s="2"/>
      <c r="J116" s="7">
        <f t="shared" si="38"/>
        <v>0</v>
      </c>
      <c r="K116" s="2"/>
      <c r="L116" s="6">
        <f t="shared" si="39"/>
        <v>-1120</v>
      </c>
      <c r="M116" s="2"/>
      <c r="N116" s="7">
        <f t="shared" si="40"/>
        <v>0</v>
      </c>
      <c r="O116" s="11"/>
      <c r="P116" s="6">
        <v>-1120</v>
      </c>
      <c r="Q116" s="2"/>
      <c r="R116" s="7">
        <f t="shared" si="41"/>
        <v>-2.7280514619627771E-3</v>
      </c>
      <c r="S116" s="2"/>
      <c r="T116" s="6"/>
      <c r="U116" s="2"/>
      <c r="V116" s="7">
        <f t="shared" si="42"/>
        <v>0</v>
      </c>
      <c r="W116" s="2"/>
      <c r="X116" s="6">
        <f t="shared" si="43"/>
        <v>-1120</v>
      </c>
      <c r="Y116" s="2"/>
      <c r="Z116" s="7">
        <f t="shared" si="44"/>
        <v>0</v>
      </c>
    </row>
    <row r="117" spans="1:26" s="24" customFormat="1" hidden="1" outlineLevel="2" x14ac:dyDescent="0.25">
      <c r="A117" s="27"/>
      <c r="B117" s="11" t="str">
        <f>CONCATENATE("          ", "7727", " - ", "INV. SHRINKAGE-SCHOOL SUPPLIES")</f>
        <v xml:space="preserve">          7727 - INV. SHRINKAGE-SCHOOL SUPPLIES</v>
      </c>
      <c r="C117" s="11"/>
      <c r="D117" s="6">
        <v>-3269</v>
      </c>
      <c r="E117" s="2"/>
      <c r="F117" s="7">
        <f t="shared" si="37"/>
        <v>0</v>
      </c>
      <c r="G117" s="2"/>
      <c r="H117" s="6"/>
      <c r="I117" s="2"/>
      <c r="J117" s="7">
        <f t="shared" si="38"/>
        <v>0</v>
      </c>
      <c r="K117" s="2"/>
      <c r="L117" s="6">
        <f t="shared" si="39"/>
        <v>-3269</v>
      </c>
      <c r="M117" s="2"/>
      <c r="N117" s="7">
        <f t="shared" si="40"/>
        <v>0</v>
      </c>
      <c r="O117" s="11"/>
      <c r="P117" s="6">
        <v>-3269</v>
      </c>
      <c r="Q117" s="2"/>
      <c r="R117" s="7">
        <f t="shared" si="41"/>
        <v>-7.9625002046038555E-3</v>
      </c>
      <c r="S117" s="2"/>
      <c r="T117" s="6"/>
      <c r="U117" s="2"/>
      <c r="V117" s="7">
        <f t="shared" si="42"/>
        <v>0</v>
      </c>
      <c r="W117" s="2"/>
      <c r="X117" s="6">
        <f t="shared" si="43"/>
        <v>-3269</v>
      </c>
      <c r="Y117" s="2"/>
      <c r="Z117" s="7">
        <f t="shared" si="44"/>
        <v>0</v>
      </c>
    </row>
    <row r="118" spans="1:26" s="24" customFormat="1" hidden="1" outlineLevel="2" x14ac:dyDescent="0.25">
      <c r="A118" s="27"/>
      <c r="B118" s="11" t="str">
        <f>CONCATENATE("          ", "7728", " - ", "INV. SHRINKAGE-ART/TECH")</f>
        <v xml:space="preserve">          7728 - INV. SHRINKAGE-ART/TECH</v>
      </c>
      <c r="C118" s="11"/>
      <c r="D118" s="6">
        <v>13544</v>
      </c>
      <c r="E118" s="2"/>
      <c r="F118" s="7">
        <f t="shared" si="37"/>
        <v>0</v>
      </c>
      <c r="G118" s="2"/>
      <c r="H118" s="6"/>
      <c r="I118" s="2"/>
      <c r="J118" s="7">
        <f t="shared" si="38"/>
        <v>0</v>
      </c>
      <c r="K118" s="2"/>
      <c r="L118" s="6">
        <f t="shared" si="39"/>
        <v>13544</v>
      </c>
      <c r="M118" s="2"/>
      <c r="N118" s="7">
        <f t="shared" si="40"/>
        <v>0</v>
      </c>
      <c r="O118" s="11"/>
      <c r="P118" s="6">
        <v>13544</v>
      </c>
      <c r="Q118" s="2"/>
      <c r="R118" s="7">
        <f t="shared" si="41"/>
        <v>3.298993660787844E-2</v>
      </c>
      <c r="S118" s="2"/>
      <c r="T118" s="6"/>
      <c r="U118" s="2"/>
      <c r="V118" s="7">
        <f t="shared" si="42"/>
        <v>0</v>
      </c>
      <c r="W118" s="2"/>
      <c r="X118" s="6">
        <f t="shared" si="43"/>
        <v>13544</v>
      </c>
      <c r="Y118" s="2"/>
      <c r="Z118" s="7">
        <f t="shared" si="44"/>
        <v>0</v>
      </c>
    </row>
    <row r="119" spans="1:26" s="24" customFormat="1" hidden="1" outlineLevel="2" x14ac:dyDescent="0.25">
      <c r="A119" s="27"/>
      <c r="B119" s="11" t="str">
        <f>CONCATENATE("          ", "7731", " - ", "INV. SHRINKAGE-FOOD")</f>
        <v xml:space="preserve">          7731 - INV. SHRINKAGE-FOOD</v>
      </c>
      <c r="C119" s="11"/>
      <c r="D119" s="6">
        <v>7157</v>
      </c>
      <c r="E119" s="2"/>
      <c r="F119" s="7">
        <f t="shared" si="37"/>
        <v>0</v>
      </c>
      <c r="G119" s="2"/>
      <c r="H119" s="6"/>
      <c r="I119" s="2"/>
      <c r="J119" s="7">
        <f t="shared" si="38"/>
        <v>0</v>
      </c>
      <c r="K119" s="2"/>
      <c r="L119" s="6">
        <f t="shared" si="39"/>
        <v>7157</v>
      </c>
      <c r="M119" s="2"/>
      <c r="N119" s="7">
        <f t="shared" si="40"/>
        <v>0</v>
      </c>
      <c r="O119" s="11"/>
      <c r="P119" s="6">
        <v>7157</v>
      </c>
      <c r="Q119" s="2"/>
      <c r="R119" s="7">
        <f t="shared" si="41"/>
        <v>1.7432735993988924E-2</v>
      </c>
      <c r="S119" s="2"/>
      <c r="T119" s="6"/>
      <c r="U119" s="2"/>
      <c r="V119" s="7">
        <f t="shared" si="42"/>
        <v>0</v>
      </c>
      <c r="W119" s="2"/>
      <c r="X119" s="6">
        <f t="shared" si="43"/>
        <v>7157</v>
      </c>
      <c r="Y119" s="2"/>
      <c r="Z119" s="7">
        <f t="shared" si="44"/>
        <v>0</v>
      </c>
    </row>
    <row r="120" spans="1:26" s="24" customFormat="1" hidden="1" outlineLevel="2" x14ac:dyDescent="0.25">
      <c r="A120" s="27"/>
      <c r="B120" s="11" t="str">
        <f>CONCATENATE("          ", "7732", " - ", "INV. SHRINKAGE-JUICE")</f>
        <v xml:space="preserve">          7732 - INV. SHRINKAGE-JUICE</v>
      </c>
      <c r="C120" s="11"/>
      <c r="D120" s="6">
        <v>-1942</v>
      </c>
      <c r="E120" s="2"/>
      <c r="F120" s="7">
        <f t="shared" si="37"/>
        <v>0</v>
      </c>
      <c r="G120" s="2"/>
      <c r="H120" s="6"/>
      <c r="I120" s="2"/>
      <c r="J120" s="7">
        <f t="shared" si="38"/>
        <v>0</v>
      </c>
      <c r="K120" s="2"/>
      <c r="L120" s="6">
        <f t="shared" si="39"/>
        <v>-1942</v>
      </c>
      <c r="M120" s="2"/>
      <c r="N120" s="7">
        <f t="shared" si="40"/>
        <v>0</v>
      </c>
      <c r="O120" s="11"/>
      <c r="P120" s="6">
        <v>-1942</v>
      </c>
      <c r="Q120" s="2"/>
      <c r="R120" s="7">
        <f t="shared" si="41"/>
        <v>-4.7302463742247437E-3</v>
      </c>
      <c r="S120" s="2"/>
      <c r="T120" s="6"/>
      <c r="U120" s="2"/>
      <c r="V120" s="7">
        <f t="shared" si="42"/>
        <v>0</v>
      </c>
      <c r="W120" s="2"/>
      <c r="X120" s="6">
        <f t="shared" si="43"/>
        <v>-1942</v>
      </c>
      <c r="Y120" s="2"/>
      <c r="Z120" s="7">
        <f t="shared" si="44"/>
        <v>0</v>
      </c>
    </row>
    <row r="121" spans="1:26" s="24" customFormat="1" hidden="1" outlineLevel="2" x14ac:dyDescent="0.25">
      <c r="A121" s="27"/>
      <c r="B121" s="11" t="str">
        <f>CONCATENATE("          ", "7733", " - ", "INV. SHRINKAGE-CANDY")</f>
        <v xml:space="preserve">          7733 - INV. SHRINKAGE-CANDY</v>
      </c>
      <c r="C121" s="11"/>
      <c r="D121" s="6">
        <v>2289</v>
      </c>
      <c r="E121" s="2"/>
      <c r="F121" s="7">
        <f t="shared" si="37"/>
        <v>0</v>
      </c>
      <c r="G121" s="2"/>
      <c r="H121" s="6"/>
      <c r="I121" s="2"/>
      <c r="J121" s="7">
        <f t="shared" si="38"/>
        <v>0</v>
      </c>
      <c r="K121" s="2"/>
      <c r="L121" s="6">
        <f t="shared" si="39"/>
        <v>2289</v>
      </c>
      <c r="M121" s="2"/>
      <c r="N121" s="7">
        <f t="shared" si="40"/>
        <v>0</v>
      </c>
      <c r="O121" s="11"/>
      <c r="P121" s="6">
        <v>2289</v>
      </c>
      <c r="Q121" s="2"/>
      <c r="R121" s="7">
        <f t="shared" si="41"/>
        <v>5.575455175386425E-3</v>
      </c>
      <c r="S121" s="2"/>
      <c r="T121" s="6"/>
      <c r="U121" s="2"/>
      <c r="V121" s="7">
        <f t="shared" si="42"/>
        <v>0</v>
      </c>
      <c r="W121" s="2"/>
      <c r="X121" s="6">
        <f t="shared" si="43"/>
        <v>2289</v>
      </c>
      <c r="Y121" s="2"/>
      <c r="Z121" s="7">
        <f t="shared" si="44"/>
        <v>0</v>
      </c>
    </row>
    <row r="122" spans="1:26" s="24" customFormat="1" hidden="1" outlineLevel="2" x14ac:dyDescent="0.25">
      <c r="A122" s="27"/>
      <c r="B122" s="11" t="str">
        <f>CONCATENATE("          ", "7734", " - ", "INV. SHRINKAGE-SODA")</f>
        <v xml:space="preserve">          7734 - INV. SHRINKAGE-SODA</v>
      </c>
      <c r="C122" s="11"/>
      <c r="D122" s="6">
        <v>1253</v>
      </c>
      <c r="E122" s="2"/>
      <c r="F122" s="7">
        <f t="shared" si="37"/>
        <v>0</v>
      </c>
      <c r="G122" s="2"/>
      <c r="H122" s="6"/>
      <c r="I122" s="2"/>
      <c r="J122" s="7">
        <f t="shared" si="38"/>
        <v>0</v>
      </c>
      <c r="K122" s="2"/>
      <c r="L122" s="6">
        <f t="shared" si="39"/>
        <v>1253</v>
      </c>
      <c r="M122" s="2"/>
      <c r="N122" s="7">
        <f t="shared" si="40"/>
        <v>0</v>
      </c>
      <c r="O122" s="11"/>
      <c r="P122" s="6">
        <v>1253</v>
      </c>
      <c r="Q122" s="2"/>
      <c r="R122" s="7">
        <f t="shared" si="41"/>
        <v>3.0520075730708566E-3</v>
      </c>
      <c r="S122" s="2"/>
      <c r="T122" s="6"/>
      <c r="U122" s="2"/>
      <c r="V122" s="7">
        <f t="shared" si="42"/>
        <v>0</v>
      </c>
      <c r="W122" s="2"/>
      <c r="X122" s="6">
        <f t="shared" si="43"/>
        <v>1253</v>
      </c>
      <c r="Y122" s="2"/>
      <c r="Z122" s="7">
        <f t="shared" si="44"/>
        <v>0</v>
      </c>
    </row>
    <row r="123" spans="1:26" s="24" customFormat="1" hidden="1" outlineLevel="2" x14ac:dyDescent="0.25">
      <c r="A123" s="27"/>
      <c r="B123" s="11" t="str">
        <f>CONCATENATE("          ", "7735", " - ", "INV. SHRINKAGE-HEALTH/BEAUTY")</f>
        <v xml:space="preserve">          7735 - INV. SHRINKAGE-HEALTH/BEAUTY</v>
      </c>
      <c r="C123" s="11"/>
      <c r="D123" s="6">
        <v>46</v>
      </c>
      <c r="E123" s="2"/>
      <c r="F123" s="7">
        <f t="shared" si="37"/>
        <v>0</v>
      </c>
      <c r="G123" s="2"/>
      <c r="H123" s="6"/>
      <c r="I123" s="2"/>
      <c r="J123" s="7">
        <f t="shared" si="38"/>
        <v>0</v>
      </c>
      <c r="K123" s="2"/>
      <c r="L123" s="6">
        <f t="shared" si="39"/>
        <v>46</v>
      </c>
      <c r="M123" s="2"/>
      <c r="N123" s="7">
        <f t="shared" si="40"/>
        <v>0</v>
      </c>
      <c r="O123" s="11"/>
      <c r="P123" s="6">
        <v>46</v>
      </c>
      <c r="Q123" s="2"/>
      <c r="R123" s="7">
        <f t="shared" si="41"/>
        <v>1.1204497075918548E-4</v>
      </c>
      <c r="S123" s="2"/>
      <c r="T123" s="6"/>
      <c r="U123" s="2"/>
      <c r="V123" s="7">
        <f t="shared" si="42"/>
        <v>0</v>
      </c>
      <c r="W123" s="2"/>
      <c r="X123" s="6">
        <f t="shared" si="43"/>
        <v>46</v>
      </c>
      <c r="Y123" s="2"/>
      <c r="Z123" s="7">
        <f t="shared" si="44"/>
        <v>0</v>
      </c>
    </row>
    <row r="124" spans="1:26" s="24" customFormat="1" hidden="1" outlineLevel="2" x14ac:dyDescent="0.25">
      <c r="A124" s="27"/>
      <c r="B124" s="11" t="str">
        <f>CONCATENATE("          ", "7737", " - ", "INV. SHRINKAGE-WATER")</f>
        <v xml:space="preserve">          7737 - INV. SHRINKAGE-WATER</v>
      </c>
      <c r="C124" s="11"/>
      <c r="D124" s="6">
        <v>832</v>
      </c>
      <c r="E124" s="2"/>
      <c r="F124" s="7">
        <f t="shared" si="37"/>
        <v>0</v>
      </c>
      <c r="G124" s="2"/>
      <c r="H124" s="6"/>
      <c r="I124" s="2"/>
      <c r="J124" s="7">
        <f t="shared" si="38"/>
        <v>0</v>
      </c>
      <c r="K124" s="2"/>
      <c r="L124" s="6">
        <f t="shared" si="39"/>
        <v>832</v>
      </c>
      <c r="M124" s="2"/>
      <c r="N124" s="7">
        <f t="shared" si="40"/>
        <v>0</v>
      </c>
      <c r="O124" s="11"/>
      <c r="P124" s="6">
        <v>832</v>
      </c>
      <c r="Q124" s="2"/>
      <c r="R124" s="7">
        <f t="shared" si="41"/>
        <v>2.0265525146009201E-3</v>
      </c>
      <c r="S124" s="2"/>
      <c r="T124" s="6"/>
      <c r="U124" s="2"/>
      <c r="V124" s="7">
        <f t="shared" si="42"/>
        <v>0</v>
      </c>
      <c r="W124" s="2"/>
      <c r="X124" s="6">
        <f t="shared" si="43"/>
        <v>832</v>
      </c>
      <c r="Y124" s="2"/>
      <c r="Z124" s="7">
        <f t="shared" si="44"/>
        <v>0</v>
      </c>
    </row>
    <row r="125" spans="1:26" s="24" customFormat="1" hidden="1" outlineLevel="2" x14ac:dyDescent="0.25">
      <c r="A125" s="27"/>
      <c r="B125" s="11" t="str">
        <f>CONCATENATE("          ", "7741", " - ", "INV. SHRINKAGE-LOGO GIFTS")</f>
        <v xml:space="preserve">          7741 - INV. SHRINKAGE-LOGO GIFTS</v>
      </c>
      <c r="C125" s="11"/>
      <c r="D125" s="6">
        <v>-494</v>
      </c>
      <c r="E125" s="2"/>
      <c r="F125" s="7">
        <f t="shared" si="37"/>
        <v>0</v>
      </c>
      <c r="G125" s="2"/>
      <c r="H125" s="6"/>
      <c r="I125" s="2"/>
      <c r="J125" s="7">
        <f t="shared" si="38"/>
        <v>0</v>
      </c>
      <c r="K125" s="2"/>
      <c r="L125" s="6">
        <f t="shared" si="39"/>
        <v>-494</v>
      </c>
      <c r="M125" s="2"/>
      <c r="N125" s="7">
        <f t="shared" si="40"/>
        <v>0</v>
      </c>
      <c r="O125" s="11"/>
      <c r="P125" s="6">
        <v>-494</v>
      </c>
      <c r="Q125" s="2"/>
      <c r="R125" s="7">
        <f t="shared" si="41"/>
        <v>-1.2032655555442961E-3</v>
      </c>
      <c r="S125" s="2"/>
      <c r="T125" s="6"/>
      <c r="U125" s="2"/>
      <c r="V125" s="7">
        <f t="shared" si="42"/>
        <v>0</v>
      </c>
      <c r="W125" s="2"/>
      <c r="X125" s="6">
        <f t="shared" si="43"/>
        <v>-494</v>
      </c>
      <c r="Y125" s="2"/>
      <c r="Z125" s="7">
        <f t="shared" si="44"/>
        <v>0</v>
      </c>
    </row>
    <row r="126" spans="1:26" s="24" customFormat="1" hidden="1" outlineLevel="2" x14ac:dyDescent="0.25">
      <c r="A126" s="27"/>
      <c r="B126" s="11" t="str">
        <f>CONCATENATE("          ", "7742", " - ", "INV. SHRINKAGE-EVERYDAY GIFTS")</f>
        <v xml:space="preserve">          7742 - INV. SHRINKAGE-EVERYDAY GIFTS</v>
      </c>
      <c r="C126" s="11"/>
      <c r="D126" s="6">
        <v>-553</v>
      </c>
      <c r="E126" s="2"/>
      <c r="F126" s="7">
        <f t="shared" si="37"/>
        <v>0</v>
      </c>
      <c r="G126" s="2"/>
      <c r="H126" s="6"/>
      <c r="I126" s="2"/>
      <c r="J126" s="7">
        <f t="shared" si="38"/>
        <v>0</v>
      </c>
      <c r="K126" s="2"/>
      <c r="L126" s="6">
        <f t="shared" si="39"/>
        <v>-553</v>
      </c>
      <c r="M126" s="2"/>
      <c r="N126" s="7">
        <f t="shared" si="40"/>
        <v>0</v>
      </c>
      <c r="O126" s="11"/>
      <c r="P126" s="6">
        <v>-553</v>
      </c>
      <c r="Q126" s="2"/>
      <c r="R126" s="7">
        <f t="shared" si="41"/>
        <v>-1.3469754093441211E-3</v>
      </c>
      <c r="S126" s="2"/>
      <c r="T126" s="6"/>
      <c r="U126" s="2"/>
      <c r="V126" s="7">
        <f t="shared" si="42"/>
        <v>0</v>
      </c>
      <c r="W126" s="2"/>
      <c r="X126" s="6">
        <f t="shared" si="43"/>
        <v>-553</v>
      </c>
      <c r="Y126" s="2"/>
      <c r="Z126" s="7">
        <f t="shared" si="44"/>
        <v>0</v>
      </c>
    </row>
    <row r="127" spans="1:26" s="24" customFormat="1" hidden="1" outlineLevel="2" x14ac:dyDescent="0.25">
      <c r="A127" s="27"/>
      <c r="B127" s="11" t="str">
        <f>CONCATENATE("          ", "7744", " - ", "INV. SHRINKAGE-ACCESSORIES")</f>
        <v xml:space="preserve">          7744 - INV. SHRINKAGE-ACCESSORIES</v>
      </c>
      <c r="C127" s="11"/>
      <c r="D127" s="6">
        <v>-180</v>
      </c>
      <c r="E127" s="2"/>
      <c r="F127" s="7">
        <f t="shared" si="37"/>
        <v>0</v>
      </c>
      <c r="G127" s="2"/>
      <c r="H127" s="6"/>
      <c r="I127" s="2"/>
      <c r="J127" s="7">
        <f t="shared" si="38"/>
        <v>0</v>
      </c>
      <c r="K127" s="2"/>
      <c r="L127" s="6">
        <f t="shared" si="39"/>
        <v>-180</v>
      </c>
      <c r="M127" s="2"/>
      <c r="N127" s="7">
        <f t="shared" si="40"/>
        <v>0</v>
      </c>
      <c r="O127" s="11"/>
      <c r="P127" s="6">
        <v>-180</v>
      </c>
      <c r="Q127" s="2"/>
      <c r="R127" s="7">
        <f t="shared" si="41"/>
        <v>-4.3843684210116056E-4</v>
      </c>
      <c r="S127" s="2"/>
      <c r="T127" s="6"/>
      <c r="U127" s="2"/>
      <c r="V127" s="7">
        <f t="shared" si="42"/>
        <v>0</v>
      </c>
      <c r="W127" s="2"/>
      <c r="X127" s="6">
        <f t="shared" si="43"/>
        <v>-180</v>
      </c>
      <c r="Y127" s="2"/>
      <c r="Z127" s="7">
        <f t="shared" si="44"/>
        <v>0</v>
      </c>
    </row>
    <row r="128" spans="1:26" s="24" customFormat="1" hidden="1" outlineLevel="2" x14ac:dyDescent="0.25">
      <c r="A128" s="27"/>
      <c r="B128" s="11" t="str">
        <f>CONCATENATE("          ", "7781", " - ", "INV. SHRINKAGE-ELECTRONICS")</f>
        <v xml:space="preserve">          7781 - INV. SHRINKAGE-ELECTRONICS</v>
      </c>
      <c r="C128" s="11"/>
      <c r="D128" s="6">
        <v>-28</v>
      </c>
      <c r="E128" s="2"/>
      <c r="F128" s="7">
        <f t="shared" si="37"/>
        <v>0</v>
      </c>
      <c r="G128" s="2"/>
      <c r="H128" s="6"/>
      <c r="I128" s="2"/>
      <c r="J128" s="7">
        <f t="shared" si="38"/>
        <v>0</v>
      </c>
      <c r="K128" s="2"/>
      <c r="L128" s="6">
        <f t="shared" si="39"/>
        <v>-28</v>
      </c>
      <c r="M128" s="2"/>
      <c r="N128" s="7">
        <f t="shared" si="40"/>
        <v>0</v>
      </c>
      <c r="O128" s="11"/>
      <c r="P128" s="6">
        <v>-28</v>
      </c>
      <c r="Q128" s="2"/>
      <c r="R128" s="7">
        <f t="shared" si="41"/>
        <v>-6.8201286549069418E-5</v>
      </c>
      <c r="S128" s="2"/>
      <c r="T128" s="6"/>
      <c r="U128" s="2"/>
      <c r="V128" s="7">
        <f t="shared" si="42"/>
        <v>0</v>
      </c>
      <c r="W128" s="2"/>
      <c r="X128" s="6">
        <f t="shared" si="43"/>
        <v>-28</v>
      </c>
      <c r="Y128" s="2"/>
      <c r="Z128" s="7">
        <f t="shared" si="44"/>
        <v>0</v>
      </c>
    </row>
    <row r="129" spans="1:26" s="24" customFormat="1" hidden="1" outlineLevel="2" x14ac:dyDescent="0.25">
      <c r="A129" s="27"/>
      <c r="B129" s="11" t="str">
        <f>CONCATENATE("          ", "7782", " - ", "INV. SHRINKAGE-COMPUTER HARDWA")</f>
        <v xml:space="preserve">          7782 - INV. SHRINKAGE-COMPUTER HARDWA</v>
      </c>
      <c r="C129" s="11"/>
      <c r="D129" s="6">
        <v>69</v>
      </c>
      <c r="E129" s="2"/>
      <c r="F129" s="7">
        <f t="shared" si="37"/>
        <v>0</v>
      </c>
      <c r="G129" s="2"/>
      <c r="H129" s="6"/>
      <c r="I129" s="2"/>
      <c r="J129" s="7">
        <f t="shared" si="38"/>
        <v>0</v>
      </c>
      <c r="K129" s="2"/>
      <c r="L129" s="6">
        <f t="shared" si="39"/>
        <v>69</v>
      </c>
      <c r="M129" s="2"/>
      <c r="N129" s="7">
        <f t="shared" si="40"/>
        <v>0</v>
      </c>
      <c r="O129" s="11"/>
      <c r="P129" s="6">
        <v>69</v>
      </c>
      <c r="Q129" s="2"/>
      <c r="R129" s="7">
        <f t="shared" si="41"/>
        <v>1.6806745613877821E-4</v>
      </c>
      <c r="S129" s="2"/>
      <c r="T129" s="6"/>
      <c r="U129" s="2"/>
      <c r="V129" s="7">
        <f t="shared" si="42"/>
        <v>0</v>
      </c>
      <c r="W129" s="2"/>
      <c r="X129" s="6">
        <f t="shared" si="43"/>
        <v>69</v>
      </c>
      <c r="Y129" s="2"/>
      <c r="Z129" s="7">
        <f t="shared" si="44"/>
        <v>0</v>
      </c>
    </row>
    <row r="130" spans="1:26" s="24" customFormat="1" hidden="1" outlineLevel="2" x14ac:dyDescent="0.25">
      <c r="A130" s="27"/>
      <c r="B130" s="11" t="str">
        <f>CONCATENATE("          ", "7783", " - ", "INV. SHRINKAGE-COMPUTER EQUIPM")</f>
        <v xml:space="preserve">          7783 - INV. SHRINKAGE-COMPUTER EQUIPM</v>
      </c>
      <c r="C130" s="11"/>
      <c r="D130" s="6">
        <v>90</v>
      </c>
      <c r="E130" s="2"/>
      <c r="F130" s="7">
        <f t="shared" si="37"/>
        <v>0</v>
      </c>
      <c r="G130" s="2"/>
      <c r="H130" s="6"/>
      <c r="I130" s="2"/>
      <c r="J130" s="7">
        <f t="shared" si="38"/>
        <v>0</v>
      </c>
      <c r="K130" s="2"/>
      <c r="L130" s="6">
        <f t="shared" si="39"/>
        <v>90</v>
      </c>
      <c r="M130" s="2"/>
      <c r="N130" s="7">
        <f t="shared" si="40"/>
        <v>0</v>
      </c>
      <c r="O130" s="11"/>
      <c r="P130" s="6">
        <v>90</v>
      </c>
      <c r="Q130" s="2"/>
      <c r="R130" s="7">
        <f t="shared" si="41"/>
        <v>2.1921842105058028E-4</v>
      </c>
      <c r="S130" s="2"/>
      <c r="T130" s="6"/>
      <c r="U130" s="2"/>
      <c r="V130" s="7">
        <f t="shared" si="42"/>
        <v>0</v>
      </c>
      <c r="W130" s="2"/>
      <c r="X130" s="6">
        <f t="shared" si="43"/>
        <v>90</v>
      </c>
      <c r="Y130" s="2"/>
      <c r="Z130" s="7">
        <f t="shared" si="44"/>
        <v>0</v>
      </c>
    </row>
    <row r="131" spans="1:26" s="24" customFormat="1" hidden="1" outlineLevel="2" x14ac:dyDescent="0.25">
      <c r="A131" s="27"/>
      <c r="B131" s="11" t="str">
        <f>CONCATENATE("          ", "7786", " - ", "INV. SHRINKAGE-COMPUTER SUPPLI")</f>
        <v xml:space="preserve">          7786 - INV. SHRINKAGE-COMPUTER SUPPLI</v>
      </c>
      <c r="C131" s="11"/>
      <c r="D131" s="6">
        <v>38</v>
      </c>
      <c r="E131" s="2"/>
      <c r="F131" s="7">
        <f t="shared" si="37"/>
        <v>0</v>
      </c>
      <c r="G131" s="2"/>
      <c r="H131" s="6"/>
      <c r="I131" s="2"/>
      <c r="J131" s="7">
        <f t="shared" si="38"/>
        <v>0</v>
      </c>
      <c r="K131" s="2"/>
      <c r="L131" s="6">
        <f t="shared" si="39"/>
        <v>38</v>
      </c>
      <c r="M131" s="2"/>
      <c r="N131" s="7">
        <f t="shared" si="40"/>
        <v>0</v>
      </c>
      <c r="O131" s="11"/>
      <c r="P131" s="6">
        <v>38</v>
      </c>
      <c r="Q131" s="2"/>
      <c r="R131" s="7">
        <f t="shared" si="41"/>
        <v>9.2558888888022789E-5</v>
      </c>
      <c r="S131" s="2"/>
      <c r="T131" s="6"/>
      <c r="U131" s="2"/>
      <c r="V131" s="7">
        <f t="shared" si="42"/>
        <v>0</v>
      </c>
      <c r="W131" s="2"/>
      <c r="X131" s="6">
        <f t="shared" si="43"/>
        <v>38</v>
      </c>
      <c r="Y131" s="2"/>
      <c r="Z131" s="7">
        <f t="shared" si="44"/>
        <v>0</v>
      </c>
    </row>
    <row r="132" spans="1:26" s="26" customFormat="1" outlineLevel="1" collapsed="1" x14ac:dyDescent="0.25">
      <c r="A132" s="25"/>
      <c r="B132" s="12" t="str">
        <f>CONCATENATE("     ","Professional Services                             ")</f>
        <v xml:space="preserve">     Professional Services                             </v>
      </c>
      <c r="C132" s="12"/>
      <c r="D132" s="1">
        <f>SUM(OSRRefD22_8x_0)</f>
        <v>1382.44</v>
      </c>
      <c r="E132" s="1"/>
      <c r="F132" s="5">
        <f t="shared" ref="F132:F136" si="45">IF(D$12=0,0,D132/D$12)</f>
        <v>0</v>
      </c>
      <c r="G132" s="1"/>
      <c r="H132" s="1">
        <f>SUM(OSRRefH22_8x_0)</f>
        <v>115</v>
      </c>
      <c r="I132" s="1"/>
      <c r="J132" s="5">
        <f t="shared" ref="J132:J136" si="46">IF(H$12=0,0,H132/H$12)</f>
        <v>4.3726235741444866E-2</v>
      </c>
      <c r="K132" s="1"/>
      <c r="L132" s="1">
        <f t="shared" ref="L132:L136" si="47">+D132-H132</f>
        <v>1267.44</v>
      </c>
      <c r="M132" s="1"/>
      <c r="N132" s="5">
        <f t="shared" ref="N132:N136" si="48">IF(H132=0,0,L132/H132)</f>
        <v>11.021217391304349</v>
      </c>
      <c r="O132" s="12"/>
      <c r="P132" s="1">
        <f>SUM(OSRRefP22_8x_0)</f>
        <v>2173.59</v>
      </c>
      <c r="Q132" s="1"/>
      <c r="R132" s="5">
        <f t="shared" ref="R132:R136" si="49">IF(P$12=0,0,P132/P$12)</f>
        <v>5.2943440867925648E-3</v>
      </c>
      <c r="S132" s="1"/>
      <c r="T132" s="1">
        <f>SUM(OSRRefT22_8x_0)</f>
        <v>1380</v>
      </c>
      <c r="U132" s="1"/>
      <c r="V132" s="5">
        <f t="shared" ref="V132:V136" si="50">IF(T$12=0,0,T132/T$12)</f>
        <v>2.5949507523476785E-3</v>
      </c>
      <c r="W132" s="1"/>
      <c r="X132" s="1">
        <f t="shared" ref="X132:X136" si="51">+P132-T132</f>
        <v>793.59000000000015</v>
      </c>
      <c r="Y132" s="1"/>
      <c r="Z132" s="5">
        <f t="shared" ref="Z132:Z136" si="52">IF(T132=0,0,X132/T132)</f>
        <v>0.57506521739130445</v>
      </c>
    </row>
    <row r="133" spans="1:26" s="24" customFormat="1" hidden="1" outlineLevel="2" x14ac:dyDescent="0.25">
      <c r="A133" s="27"/>
      <c r="B133" s="11" t="str">
        <f>CONCATENATE("          ", "6336", " - ", "PROFESSIONAL SERVICES")</f>
        <v xml:space="preserve">          6336 - PROFESSIONAL SERVICES</v>
      </c>
      <c r="C133" s="11"/>
      <c r="D133" s="6">
        <v>1382.44</v>
      </c>
      <c r="E133" s="2"/>
      <c r="F133" s="7">
        <f t="shared" si="45"/>
        <v>0</v>
      </c>
      <c r="G133" s="2"/>
      <c r="H133" s="6">
        <v>115</v>
      </c>
      <c r="I133" s="2"/>
      <c r="J133" s="7">
        <f t="shared" si="46"/>
        <v>4.3726235741444866E-2</v>
      </c>
      <c r="K133" s="2"/>
      <c r="L133" s="6">
        <f t="shared" si="47"/>
        <v>1267.44</v>
      </c>
      <c r="M133" s="2"/>
      <c r="N133" s="7">
        <f t="shared" si="48"/>
        <v>11.021217391304349</v>
      </c>
      <c r="O133" s="11"/>
      <c r="P133" s="6">
        <v>2173.59</v>
      </c>
      <c r="Q133" s="2"/>
      <c r="R133" s="7">
        <f t="shared" si="49"/>
        <v>5.2943440867925648E-3</v>
      </c>
      <c r="S133" s="2"/>
      <c r="T133" s="6">
        <v>1380</v>
      </c>
      <c r="U133" s="2"/>
      <c r="V133" s="7">
        <f t="shared" si="50"/>
        <v>2.5949507523476785E-3</v>
      </c>
      <c r="W133" s="2"/>
      <c r="X133" s="6">
        <f t="shared" si="51"/>
        <v>793.59000000000015</v>
      </c>
      <c r="Y133" s="2"/>
      <c r="Z133" s="7">
        <f t="shared" si="52"/>
        <v>0.57506521739130445</v>
      </c>
    </row>
    <row r="134" spans="1:26" s="26" customFormat="1" outlineLevel="1" collapsed="1" x14ac:dyDescent="0.25">
      <c r="A134" s="25"/>
      <c r="B134" s="12" t="str">
        <f>CONCATENATE("     ","Repair and Maintenance                            ")</f>
        <v xml:space="preserve">     Repair and Maintenance                            </v>
      </c>
      <c r="C134" s="12"/>
      <c r="D134" s="1">
        <f>SUM(OSRRefD22_9x_0)</f>
        <v>61.11</v>
      </c>
      <c r="E134" s="1"/>
      <c r="F134" s="5">
        <f t="shared" si="45"/>
        <v>0</v>
      </c>
      <c r="G134" s="1"/>
      <c r="H134" s="1">
        <f>SUM(OSRRefH22_9x_0)</f>
        <v>125</v>
      </c>
      <c r="I134" s="1"/>
      <c r="J134" s="5">
        <f t="shared" si="46"/>
        <v>4.7528517110266157E-2</v>
      </c>
      <c r="K134" s="1"/>
      <c r="L134" s="1">
        <f t="shared" si="47"/>
        <v>-63.89</v>
      </c>
      <c r="M134" s="1"/>
      <c r="N134" s="5">
        <f t="shared" si="48"/>
        <v>-0.51112000000000002</v>
      </c>
      <c r="O134" s="12"/>
      <c r="P134" s="1">
        <f>SUM(OSRRefP22_9x_0)</f>
        <v>251.75</v>
      </c>
      <c r="Q134" s="1"/>
      <c r="R134" s="5">
        <f t="shared" si="49"/>
        <v>6.13202638883151E-4</v>
      </c>
      <c r="S134" s="1"/>
      <c r="T134" s="1">
        <f>SUM(OSRRefT22_9x_0)</f>
        <v>1500</v>
      </c>
      <c r="U134" s="1"/>
      <c r="V134" s="5">
        <f t="shared" si="50"/>
        <v>2.8205986438561721E-3</v>
      </c>
      <c r="W134" s="1"/>
      <c r="X134" s="1">
        <f t="shared" si="51"/>
        <v>-1248.25</v>
      </c>
      <c r="Y134" s="1"/>
      <c r="Z134" s="5">
        <f t="shared" si="52"/>
        <v>-0.83216666666666672</v>
      </c>
    </row>
    <row r="135" spans="1:26" s="24" customFormat="1" hidden="1" outlineLevel="2" x14ac:dyDescent="0.25">
      <c r="A135" s="27"/>
      <c r="B135" s="11" t="str">
        <f>CONCATENATE("          ", "6373", " - ", "MAINTENANCE CONTRACTS")</f>
        <v xml:space="preserve">          6373 - MAINTENANCE CONTRACTS</v>
      </c>
      <c r="C135" s="11"/>
      <c r="D135" s="6">
        <v>61.11</v>
      </c>
      <c r="E135" s="2"/>
      <c r="F135" s="7">
        <f t="shared" si="45"/>
        <v>0</v>
      </c>
      <c r="G135" s="2"/>
      <c r="H135" s="6"/>
      <c r="I135" s="2"/>
      <c r="J135" s="7">
        <f t="shared" si="46"/>
        <v>0</v>
      </c>
      <c r="K135" s="2"/>
      <c r="L135" s="6">
        <f t="shared" si="47"/>
        <v>61.11</v>
      </c>
      <c r="M135" s="2"/>
      <c r="N135" s="7">
        <f t="shared" si="48"/>
        <v>0</v>
      </c>
      <c r="O135" s="11"/>
      <c r="P135" s="6">
        <v>241.95</v>
      </c>
      <c r="Q135" s="2"/>
      <c r="R135" s="7">
        <f t="shared" si="49"/>
        <v>5.8933218859097663E-4</v>
      </c>
      <c r="S135" s="2"/>
      <c r="T135" s="6"/>
      <c r="U135" s="2"/>
      <c r="V135" s="7">
        <f t="shared" si="50"/>
        <v>0</v>
      </c>
      <c r="W135" s="2"/>
      <c r="X135" s="6">
        <f t="shared" si="51"/>
        <v>241.95</v>
      </c>
      <c r="Y135" s="2"/>
      <c r="Z135" s="7">
        <f t="shared" si="52"/>
        <v>0</v>
      </c>
    </row>
    <row r="136" spans="1:26" s="24" customFormat="1" hidden="1" outlineLevel="2" x14ac:dyDescent="0.25">
      <c r="A136" s="27"/>
      <c r="B136" s="11" t="str">
        <f>CONCATENATE("          ", "6375", " - ", "OUTSIDE REPAIRS &amp; MAINTENANCE")</f>
        <v xml:space="preserve">          6375 - OUTSIDE REPAIRS &amp; MAINTENANCE</v>
      </c>
      <c r="C136" s="11"/>
      <c r="D136" s="6"/>
      <c r="E136" s="2"/>
      <c r="F136" s="7">
        <f t="shared" si="45"/>
        <v>0</v>
      </c>
      <c r="G136" s="2"/>
      <c r="H136" s="6">
        <v>125</v>
      </c>
      <c r="I136" s="2"/>
      <c r="J136" s="7">
        <f t="shared" si="46"/>
        <v>4.7528517110266157E-2</v>
      </c>
      <c r="K136" s="2"/>
      <c r="L136" s="6">
        <f t="shared" si="47"/>
        <v>-125</v>
      </c>
      <c r="M136" s="2"/>
      <c r="N136" s="7">
        <f t="shared" si="48"/>
        <v>-1</v>
      </c>
      <c r="O136" s="11"/>
      <c r="P136" s="6">
        <v>9.8000000000000007</v>
      </c>
      <c r="Q136" s="2"/>
      <c r="R136" s="7">
        <f t="shared" si="49"/>
        <v>2.3870450292174299E-5</v>
      </c>
      <c r="S136" s="2"/>
      <c r="T136" s="6">
        <v>1500</v>
      </c>
      <c r="U136" s="2"/>
      <c r="V136" s="7">
        <f t="shared" si="50"/>
        <v>2.8205986438561721E-3</v>
      </c>
      <c r="W136" s="2"/>
      <c r="X136" s="6">
        <f t="shared" si="51"/>
        <v>-1490.2</v>
      </c>
      <c r="Y136" s="2"/>
      <c r="Z136" s="7">
        <f t="shared" si="52"/>
        <v>-0.99346666666666672</v>
      </c>
    </row>
    <row r="137" spans="1:26" s="26" customFormat="1" outlineLevel="1" collapsed="1" x14ac:dyDescent="0.25">
      <c r="A137" s="25"/>
      <c r="B137" s="12" t="str">
        <f>CONCATENATE("     ","Services                                          ")</f>
        <v xml:space="preserve">     Services                                          </v>
      </c>
      <c r="C137" s="12"/>
      <c r="D137" s="1">
        <f>SUM(OSRRefD22_10x_0)</f>
        <v>1017.36</v>
      </c>
      <c r="E137" s="1"/>
      <c r="F137" s="5">
        <f t="shared" ref="F137:F139" si="53">IF(D$12=0,0,D137/D$12)</f>
        <v>0</v>
      </c>
      <c r="G137" s="1"/>
      <c r="H137" s="1">
        <f>SUM(OSRRefH22_10x_0)</f>
        <v>100</v>
      </c>
      <c r="I137" s="1"/>
      <c r="J137" s="5">
        <f t="shared" ref="J137:J139" si="54">IF(H$12=0,0,H137/H$12)</f>
        <v>3.8022813688212927E-2</v>
      </c>
      <c r="K137" s="1"/>
      <c r="L137" s="1">
        <f t="shared" ref="L137:L139" si="55">+D137-H137</f>
        <v>917.36</v>
      </c>
      <c r="M137" s="1"/>
      <c r="N137" s="5">
        <f t="shared" ref="N137:N139" si="56">IF(H137=0,0,L137/H137)</f>
        <v>9.1736000000000004</v>
      </c>
      <c r="O137" s="12"/>
      <c r="P137" s="1">
        <f>SUM(OSRRefP22_10x_0)</f>
        <v>3111.27</v>
      </c>
      <c r="Q137" s="1"/>
      <c r="R137" s="5">
        <f t="shared" ref="R137:R139" si="57">IF(P$12=0,0,P137/P$12)</f>
        <v>7.5783077429115433E-3</v>
      </c>
      <c r="S137" s="1"/>
      <c r="T137" s="1">
        <f>SUM(OSRRefT22_10x_0)</f>
        <v>1200</v>
      </c>
      <c r="U137" s="1"/>
      <c r="V137" s="5">
        <f t="shared" ref="V137:V139" si="58">IF(T$12=0,0,T137/T$12)</f>
        <v>2.2564789150849376E-3</v>
      </c>
      <c r="W137" s="1"/>
      <c r="X137" s="1">
        <f t="shared" ref="X137:X139" si="59">+P137-T137</f>
        <v>1911.27</v>
      </c>
      <c r="Y137" s="1"/>
      <c r="Z137" s="5">
        <f t="shared" ref="Z137:Z139" si="60">IF(T137=0,0,X137/T137)</f>
        <v>1.5927249999999999</v>
      </c>
    </row>
    <row r="138" spans="1:26" s="24" customFormat="1" hidden="1" outlineLevel="2" x14ac:dyDescent="0.25">
      <c r="A138" s="27"/>
      <c r="B138" s="11" t="str">
        <f>CONCATENATE("          ", "6282", " - ", "JANITORIAL/EXTERMINATOR EXPENS")</f>
        <v xml:space="preserve">          6282 - JANITORIAL/EXTERMINATOR EXPENS</v>
      </c>
      <c r="C138" s="11"/>
      <c r="D138" s="6">
        <v>88</v>
      </c>
      <c r="E138" s="2"/>
      <c r="F138" s="7">
        <f t="shared" si="53"/>
        <v>0</v>
      </c>
      <c r="G138" s="2"/>
      <c r="H138" s="6">
        <v>50</v>
      </c>
      <c r="I138" s="2"/>
      <c r="J138" s="7">
        <f t="shared" si="54"/>
        <v>1.9011406844106463E-2</v>
      </c>
      <c r="K138" s="2"/>
      <c r="L138" s="6">
        <f t="shared" si="55"/>
        <v>38</v>
      </c>
      <c r="M138" s="2"/>
      <c r="N138" s="7">
        <f t="shared" si="56"/>
        <v>0.76</v>
      </c>
      <c r="O138" s="11"/>
      <c r="P138" s="6">
        <v>549.02</v>
      </c>
      <c r="Q138" s="2"/>
      <c r="R138" s="7">
        <f t="shared" si="57"/>
        <v>1.3372810836132175E-3</v>
      </c>
      <c r="S138" s="2"/>
      <c r="T138" s="6">
        <v>600</v>
      </c>
      <c r="U138" s="2"/>
      <c r="V138" s="7">
        <f t="shared" si="58"/>
        <v>1.1282394575424688E-3</v>
      </c>
      <c r="W138" s="2"/>
      <c r="X138" s="6">
        <f t="shared" si="59"/>
        <v>-50.980000000000018</v>
      </c>
      <c r="Y138" s="2"/>
      <c r="Z138" s="7">
        <f t="shared" si="60"/>
        <v>-8.496666666666669E-2</v>
      </c>
    </row>
    <row r="139" spans="1:26" s="24" customFormat="1" hidden="1" outlineLevel="2" x14ac:dyDescent="0.25">
      <c r="A139" s="27"/>
      <c r="B139" s="11" t="str">
        <f>CONCATENATE("          ", "6285", " - ", "JANITORIAL SERVICES")</f>
        <v xml:space="preserve">          6285 - JANITORIAL SERVICES</v>
      </c>
      <c r="C139" s="11"/>
      <c r="D139" s="6">
        <v>929.36</v>
      </c>
      <c r="E139" s="2"/>
      <c r="F139" s="7">
        <f t="shared" si="53"/>
        <v>0</v>
      </c>
      <c r="G139" s="2"/>
      <c r="H139" s="6">
        <v>50</v>
      </c>
      <c r="I139" s="2"/>
      <c r="J139" s="7">
        <f t="shared" si="54"/>
        <v>1.9011406844106463E-2</v>
      </c>
      <c r="K139" s="2"/>
      <c r="L139" s="6">
        <f t="shared" si="55"/>
        <v>879.36</v>
      </c>
      <c r="M139" s="2"/>
      <c r="N139" s="7">
        <f t="shared" si="56"/>
        <v>17.587199999999999</v>
      </c>
      <c r="O139" s="11"/>
      <c r="P139" s="6">
        <v>2562.25</v>
      </c>
      <c r="Q139" s="2"/>
      <c r="R139" s="7">
        <f t="shared" si="57"/>
        <v>6.2410266592983262E-3</v>
      </c>
      <c r="S139" s="2"/>
      <c r="T139" s="6">
        <v>600</v>
      </c>
      <c r="U139" s="2"/>
      <c r="V139" s="7">
        <f t="shared" si="58"/>
        <v>1.1282394575424688E-3</v>
      </c>
      <c r="W139" s="2"/>
      <c r="X139" s="6">
        <f t="shared" si="59"/>
        <v>1962.25</v>
      </c>
      <c r="Y139" s="2"/>
      <c r="Z139" s="7">
        <f t="shared" si="60"/>
        <v>3.2704166666666667</v>
      </c>
    </row>
    <row r="140" spans="1:26" s="26" customFormat="1" outlineLevel="1" collapsed="1" x14ac:dyDescent="0.25">
      <c r="A140" s="25"/>
      <c r="B140" s="12" t="str">
        <f>CONCATENATE("     ","Supplies                                          ")</f>
        <v xml:space="preserve">     Supplies                                          </v>
      </c>
      <c r="C140" s="12"/>
      <c r="D140" s="1">
        <f>SUM(OSRRefD22_11x_0)</f>
        <v>0</v>
      </c>
      <c r="E140" s="1"/>
      <c r="F140" s="5">
        <f t="shared" ref="F140:F143" si="61">IF(D$12=0,0,D140/D$12)</f>
        <v>0</v>
      </c>
      <c r="G140" s="1"/>
      <c r="H140" s="1">
        <f>SUM(OSRRefH22_11x_0)</f>
        <v>150</v>
      </c>
      <c r="I140" s="1"/>
      <c r="J140" s="5">
        <f t="shared" ref="J140:J143" si="62">IF(H$12=0,0,H140/H$12)</f>
        <v>5.7034220532319393E-2</v>
      </c>
      <c r="K140" s="1"/>
      <c r="L140" s="1">
        <f t="shared" ref="L140:L143" si="63">+D140-H140</f>
        <v>-150</v>
      </c>
      <c r="M140" s="1"/>
      <c r="N140" s="5">
        <f t="shared" ref="N140:N143" si="64">IF(H140=0,0,L140/H140)</f>
        <v>-1</v>
      </c>
      <c r="O140" s="12"/>
      <c r="P140" s="1">
        <f>SUM(OSRRefP22_11x_0)</f>
        <v>1612.07</v>
      </c>
      <c r="Q140" s="1"/>
      <c r="R140" s="5">
        <f t="shared" ref="R140:R143" si="65">IF(P$12=0,0,P140/P$12)</f>
        <v>3.9266160002556548E-3</v>
      </c>
      <c r="S140" s="1"/>
      <c r="T140" s="1">
        <f>SUM(OSRRefT22_11x_0)</f>
        <v>1800</v>
      </c>
      <c r="U140" s="1"/>
      <c r="V140" s="5">
        <f t="shared" ref="V140:V143" si="66">IF(T$12=0,0,T140/T$12)</f>
        <v>3.3847183726274065E-3</v>
      </c>
      <c r="W140" s="1"/>
      <c r="X140" s="1">
        <f t="shared" ref="X140:X143" si="67">+P140-T140</f>
        <v>-187.93000000000006</v>
      </c>
      <c r="Y140" s="1"/>
      <c r="Z140" s="5">
        <f t="shared" ref="Z140:Z143" si="68">IF(T140=0,0,X140/T140)</f>
        <v>-0.10440555555555558</v>
      </c>
    </row>
    <row r="141" spans="1:26" s="24" customFormat="1" hidden="1" outlineLevel="2" x14ac:dyDescent="0.25">
      <c r="A141" s="27"/>
      <c r="B141" s="11" t="str">
        <f>CONCATENATE("          ", "6241", " - ", "OFFICE EXPENSE")</f>
        <v xml:space="preserve">          6241 - OFFICE EXPENSE</v>
      </c>
      <c r="C141" s="11"/>
      <c r="D141" s="6"/>
      <c r="E141" s="2"/>
      <c r="F141" s="7">
        <f t="shared" si="61"/>
        <v>0</v>
      </c>
      <c r="G141" s="2"/>
      <c r="H141" s="6">
        <v>150</v>
      </c>
      <c r="I141" s="2"/>
      <c r="J141" s="7">
        <f t="shared" si="62"/>
        <v>5.7034220532319393E-2</v>
      </c>
      <c r="K141" s="2"/>
      <c r="L141" s="6">
        <f t="shared" si="63"/>
        <v>-150</v>
      </c>
      <c r="M141" s="2"/>
      <c r="N141" s="7">
        <f t="shared" si="64"/>
        <v>-1</v>
      </c>
      <c r="O141" s="11"/>
      <c r="P141" s="6">
        <v>1421.17</v>
      </c>
      <c r="Q141" s="2"/>
      <c r="R141" s="7">
        <f t="shared" si="65"/>
        <v>3.4616293716050357E-3</v>
      </c>
      <c r="S141" s="2"/>
      <c r="T141" s="6">
        <v>1800</v>
      </c>
      <c r="U141" s="2"/>
      <c r="V141" s="7">
        <f t="shared" si="66"/>
        <v>3.3847183726274065E-3</v>
      </c>
      <c r="W141" s="2"/>
      <c r="X141" s="6">
        <f t="shared" si="67"/>
        <v>-378.82999999999993</v>
      </c>
      <c r="Y141" s="2"/>
      <c r="Z141" s="7">
        <f t="shared" si="68"/>
        <v>-0.21046111111111107</v>
      </c>
    </row>
    <row r="142" spans="1:26" s="24" customFormat="1" hidden="1" outlineLevel="2" x14ac:dyDescent="0.25">
      <c r="A142" s="27"/>
      <c r="B142" s="11" t="str">
        <f>CONCATENATE("          ", "6245", " - ", "PRINTING")</f>
        <v xml:space="preserve">          6245 - PRINTING</v>
      </c>
      <c r="C142" s="11"/>
      <c r="D142" s="6"/>
      <c r="E142" s="2"/>
      <c r="F142" s="7">
        <f t="shared" si="61"/>
        <v>0</v>
      </c>
      <c r="G142" s="2"/>
      <c r="H142" s="6"/>
      <c r="I142" s="2"/>
      <c r="J142" s="7">
        <f t="shared" si="62"/>
        <v>0</v>
      </c>
      <c r="K142" s="2"/>
      <c r="L142" s="6">
        <f t="shared" si="63"/>
        <v>0</v>
      </c>
      <c r="M142" s="2"/>
      <c r="N142" s="7">
        <f t="shared" si="64"/>
        <v>0</v>
      </c>
      <c r="O142" s="11"/>
      <c r="P142" s="6">
        <v>22.05</v>
      </c>
      <c r="Q142" s="2"/>
      <c r="R142" s="7">
        <f t="shared" si="65"/>
        <v>5.3708513157392171E-5</v>
      </c>
      <c r="S142" s="2"/>
      <c r="T142" s="6"/>
      <c r="U142" s="2"/>
      <c r="V142" s="7">
        <f t="shared" si="66"/>
        <v>0</v>
      </c>
      <c r="W142" s="2"/>
      <c r="X142" s="6">
        <f t="shared" si="67"/>
        <v>22.05</v>
      </c>
      <c r="Y142" s="2"/>
      <c r="Z142" s="7">
        <f t="shared" si="68"/>
        <v>0</v>
      </c>
    </row>
    <row r="143" spans="1:26" s="24" customFormat="1" hidden="1" outlineLevel="2" x14ac:dyDescent="0.25">
      <c r="A143" s="27"/>
      <c r="B143" s="11" t="str">
        <f>CONCATENATE("          ", "6247", " - ", "STORE SUPPLIES")</f>
        <v xml:space="preserve">          6247 - STORE SUPPLIES</v>
      </c>
      <c r="C143" s="11"/>
      <c r="D143" s="6"/>
      <c r="E143" s="2"/>
      <c r="F143" s="7">
        <f t="shared" si="61"/>
        <v>0</v>
      </c>
      <c r="G143" s="2"/>
      <c r="H143" s="6"/>
      <c r="I143" s="2"/>
      <c r="J143" s="7">
        <f t="shared" si="62"/>
        <v>0</v>
      </c>
      <c r="K143" s="2"/>
      <c r="L143" s="6">
        <f t="shared" si="63"/>
        <v>0</v>
      </c>
      <c r="M143" s="2"/>
      <c r="N143" s="7">
        <f t="shared" si="64"/>
        <v>0</v>
      </c>
      <c r="O143" s="11"/>
      <c r="P143" s="6">
        <v>168.85</v>
      </c>
      <c r="Q143" s="2"/>
      <c r="R143" s="7">
        <f t="shared" si="65"/>
        <v>4.1127811549322756E-4</v>
      </c>
      <c r="S143" s="2"/>
      <c r="T143" s="6"/>
      <c r="U143" s="2"/>
      <c r="V143" s="7">
        <f t="shared" si="66"/>
        <v>0</v>
      </c>
      <c r="W143" s="2"/>
      <c r="X143" s="6">
        <f t="shared" si="67"/>
        <v>168.85</v>
      </c>
      <c r="Y143" s="2"/>
      <c r="Z143" s="7">
        <f t="shared" si="68"/>
        <v>0</v>
      </c>
    </row>
    <row r="144" spans="1:26" s="26" customFormat="1" outlineLevel="1" collapsed="1" x14ac:dyDescent="0.25">
      <c r="A144" s="25"/>
      <c r="B144" s="12" t="str">
        <f>CONCATENATE("     ","Telephone/Data Lines                              ")</f>
        <v xml:space="preserve">     Telephone/Data Lines                              </v>
      </c>
      <c r="C144" s="12"/>
      <c r="D144" s="1">
        <f>SUM(OSRRefD22_12x_0)</f>
        <v>81.75</v>
      </c>
      <c r="E144" s="1"/>
      <c r="F144" s="5">
        <f t="shared" ref="F144:F147" si="69">IF(D$12=0,0,D144/D$12)</f>
        <v>0</v>
      </c>
      <c r="G144" s="1"/>
      <c r="H144" s="1">
        <f>SUM(OSRRefH22_12x_0)</f>
        <v>75</v>
      </c>
      <c r="I144" s="1"/>
      <c r="J144" s="5">
        <f t="shared" ref="J144:J147" si="70">IF(H$12=0,0,H144/H$12)</f>
        <v>2.8517110266159697E-2</v>
      </c>
      <c r="K144" s="1"/>
      <c r="L144" s="1">
        <f t="shared" ref="L144:L147" si="71">+D144-H144</f>
        <v>6.75</v>
      </c>
      <c r="M144" s="1"/>
      <c r="N144" s="5">
        <f t="shared" ref="N144:N147" si="72">IF(H144=0,0,L144/H144)</f>
        <v>0.09</v>
      </c>
      <c r="O144" s="12"/>
      <c r="P144" s="1">
        <f>SUM(OSRRefP22_12x_0)</f>
        <v>1175.1199999999999</v>
      </c>
      <c r="Q144" s="1"/>
      <c r="R144" s="5">
        <f t="shared" ref="R144:R147" si="73">IF(P$12=0,0,P144/P$12)</f>
        <v>2.8623105660550876E-3</v>
      </c>
      <c r="S144" s="1"/>
      <c r="T144" s="1">
        <f>SUM(OSRRefT22_12x_0)</f>
        <v>900</v>
      </c>
      <c r="U144" s="1"/>
      <c r="V144" s="5">
        <f t="shared" ref="V144:V147" si="74">IF(T$12=0,0,T144/T$12)</f>
        <v>1.6923591863137032E-3</v>
      </c>
      <c r="W144" s="1"/>
      <c r="X144" s="1">
        <f t="shared" ref="X144:X147" si="75">+P144-T144</f>
        <v>275.11999999999989</v>
      </c>
      <c r="Y144" s="1"/>
      <c r="Z144" s="5">
        <f t="shared" ref="Z144:Z147" si="76">IF(T144=0,0,X144/T144)</f>
        <v>0.30568888888888879</v>
      </c>
    </row>
    <row r="145" spans="1:26" s="24" customFormat="1" hidden="1" outlineLevel="2" x14ac:dyDescent="0.25">
      <c r="A145" s="27"/>
      <c r="B145" s="11" t="str">
        <f>CONCATENATE("          ", "6309", " - ", "TELEPHONE")</f>
        <v xml:space="preserve">          6309 - TELEPHONE</v>
      </c>
      <c r="C145" s="11"/>
      <c r="D145" s="6">
        <v>81.75</v>
      </c>
      <c r="E145" s="2"/>
      <c r="F145" s="7">
        <f t="shared" si="69"/>
        <v>0</v>
      </c>
      <c r="G145" s="2"/>
      <c r="H145" s="6">
        <v>75</v>
      </c>
      <c r="I145" s="2"/>
      <c r="J145" s="7">
        <f t="shared" si="70"/>
        <v>2.8517110266159697E-2</v>
      </c>
      <c r="K145" s="2"/>
      <c r="L145" s="6">
        <f t="shared" si="71"/>
        <v>6.75</v>
      </c>
      <c r="M145" s="2"/>
      <c r="N145" s="7">
        <f t="shared" si="72"/>
        <v>0.09</v>
      </c>
      <c r="O145" s="11"/>
      <c r="P145" s="6">
        <v>1175.1199999999999</v>
      </c>
      <c r="Q145" s="2"/>
      <c r="R145" s="7">
        <f t="shared" si="73"/>
        <v>2.8623105660550876E-3</v>
      </c>
      <c r="S145" s="2"/>
      <c r="T145" s="6">
        <v>900</v>
      </c>
      <c r="U145" s="2"/>
      <c r="V145" s="7">
        <f t="shared" si="74"/>
        <v>1.6923591863137032E-3</v>
      </c>
      <c r="W145" s="2"/>
      <c r="X145" s="6">
        <f t="shared" si="75"/>
        <v>275.11999999999989</v>
      </c>
      <c r="Y145" s="2"/>
      <c r="Z145" s="7">
        <f t="shared" si="76"/>
        <v>0.30568888888888879</v>
      </c>
    </row>
    <row r="146" spans="1:26" s="26" customFormat="1" outlineLevel="1" collapsed="1" x14ac:dyDescent="0.25">
      <c r="A146" s="25"/>
      <c r="B146" s="12" t="str">
        <f>CONCATENATE("     ","Training                                          ")</f>
        <v xml:space="preserve">     Training                                          </v>
      </c>
      <c r="C146" s="12"/>
      <c r="D146" s="1">
        <f>SUM(OSRRefD22_13x_0)</f>
        <v>0</v>
      </c>
      <c r="E146" s="1"/>
      <c r="F146" s="5">
        <f t="shared" si="69"/>
        <v>0</v>
      </c>
      <c r="G146" s="1"/>
      <c r="H146" s="1">
        <f>SUM(OSRRefH22_13x_0)</f>
        <v>175</v>
      </c>
      <c r="I146" s="1"/>
      <c r="J146" s="5">
        <f t="shared" si="70"/>
        <v>6.6539923954372623E-2</v>
      </c>
      <c r="K146" s="1"/>
      <c r="L146" s="1">
        <f t="shared" si="71"/>
        <v>-175</v>
      </c>
      <c r="M146" s="1"/>
      <c r="N146" s="5">
        <f t="shared" si="72"/>
        <v>-1</v>
      </c>
      <c r="O146" s="12"/>
      <c r="P146" s="1">
        <f>SUM(OSRRefP22_13x_0)</f>
        <v>254.8</v>
      </c>
      <c r="Q146" s="1"/>
      <c r="R146" s="5">
        <f t="shared" si="73"/>
        <v>6.2063170759653178E-4</v>
      </c>
      <c r="S146" s="1"/>
      <c r="T146" s="1">
        <f>SUM(OSRRefT22_13x_0)</f>
        <v>2100</v>
      </c>
      <c r="U146" s="1"/>
      <c r="V146" s="5">
        <f t="shared" si="74"/>
        <v>3.9488381013986409E-3</v>
      </c>
      <c r="W146" s="1"/>
      <c r="X146" s="1">
        <f t="shared" si="75"/>
        <v>-1845.2</v>
      </c>
      <c r="Y146" s="1"/>
      <c r="Z146" s="5">
        <f t="shared" si="76"/>
        <v>-0.87866666666666671</v>
      </c>
    </row>
    <row r="147" spans="1:26" s="24" customFormat="1" hidden="1" outlineLevel="2" x14ac:dyDescent="0.25">
      <c r="A147" s="27"/>
      <c r="B147" s="11" t="str">
        <f>CONCATENATE("          ", "6376", " - ", "TRAINING")</f>
        <v xml:space="preserve">          6376 - TRAINING</v>
      </c>
      <c r="C147" s="11"/>
      <c r="D147" s="6"/>
      <c r="E147" s="2"/>
      <c r="F147" s="7">
        <f t="shared" si="69"/>
        <v>0</v>
      </c>
      <c r="G147" s="2"/>
      <c r="H147" s="6">
        <v>175</v>
      </c>
      <c r="I147" s="2"/>
      <c r="J147" s="7">
        <f t="shared" si="70"/>
        <v>6.6539923954372623E-2</v>
      </c>
      <c r="K147" s="2"/>
      <c r="L147" s="6">
        <f t="shared" si="71"/>
        <v>-175</v>
      </c>
      <c r="M147" s="2"/>
      <c r="N147" s="7">
        <f t="shared" si="72"/>
        <v>-1</v>
      </c>
      <c r="O147" s="11"/>
      <c r="P147" s="6">
        <v>254.8</v>
      </c>
      <c r="Q147" s="2"/>
      <c r="R147" s="7">
        <f t="shared" si="73"/>
        <v>6.2063170759653178E-4</v>
      </c>
      <c r="S147" s="2"/>
      <c r="T147" s="6">
        <v>2100</v>
      </c>
      <c r="U147" s="2"/>
      <c r="V147" s="7">
        <f t="shared" si="74"/>
        <v>3.9488381013986409E-3</v>
      </c>
      <c r="W147" s="2"/>
      <c r="X147" s="6">
        <f t="shared" si="75"/>
        <v>-1845.2</v>
      </c>
      <c r="Y147" s="2"/>
      <c r="Z147" s="7">
        <f t="shared" si="76"/>
        <v>-0.87866666666666671</v>
      </c>
    </row>
    <row r="148" spans="1:26" s="60" customFormat="1" x14ac:dyDescent="0.25">
      <c r="A148" s="36"/>
      <c r="B148" s="36"/>
      <c r="C148" s="36"/>
      <c r="D148" s="1"/>
      <c r="E148" s="1"/>
      <c r="F148" s="5"/>
      <c r="G148" s="1"/>
      <c r="H148" s="1"/>
      <c r="I148" s="1"/>
      <c r="J148" s="5"/>
      <c r="K148" s="1"/>
      <c r="L148" s="1"/>
      <c r="M148" s="1"/>
      <c r="N148" s="5"/>
      <c r="O148" s="36"/>
      <c r="P148" s="1"/>
      <c r="Q148" s="1"/>
      <c r="R148" s="5"/>
      <c r="S148" s="1"/>
      <c r="T148" s="1"/>
      <c r="U148" s="1"/>
      <c r="V148" s="5"/>
      <c r="W148" s="1"/>
      <c r="X148" s="1"/>
      <c r="Y148" s="1"/>
      <c r="Z148" s="5"/>
    </row>
    <row r="149" spans="1:26" s="23" customFormat="1" collapsed="1" x14ac:dyDescent="0.25">
      <c r="A149" s="10"/>
      <c r="B149" s="28" t="s">
        <v>0</v>
      </c>
      <c r="C149" s="10"/>
      <c r="D149" s="4">
        <f>SUM(OSRRefD25x_0)</f>
        <v>0</v>
      </c>
      <c r="E149" s="4"/>
      <c r="F149" s="13">
        <f t="shared" ref="F149:F150" si="77">IF(D$12=0,0,D149/D$12)</f>
        <v>0</v>
      </c>
      <c r="G149" s="4"/>
      <c r="H149" s="4">
        <f>SUM(OSRRefH25x_0)</f>
        <v>0</v>
      </c>
      <c r="I149" s="4"/>
      <c r="J149" s="13">
        <f t="shared" ref="J149:J150" si="78">IF(H$12=0,0,H149/H$12)</f>
        <v>0</v>
      </c>
      <c r="K149" s="4"/>
      <c r="L149" s="4">
        <f t="shared" ref="L149:L150" si="79">+D149-H149</f>
        <v>0</v>
      </c>
      <c r="M149" s="4"/>
      <c r="N149" s="13">
        <f t="shared" ref="N149:N150" si="80">IF(H149=0,0,L149/H149)</f>
        <v>0</v>
      </c>
      <c r="O149" s="10"/>
      <c r="P149" s="4">
        <f>SUM(OSRRefP25x_0)</f>
        <v>68.760000000000005</v>
      </c>
      <c r="Q149" s="4"/>
      <c r="R149" s="13">
        <f t="shared" ref="R149:R150" si="81">IF(P$12=0,0,P149/P$12)</f>
        <v>1.6748287368264334E-4</v>
      </c>
      <c r="S149" s="4"/>
      <c r="T149" s="4">
        <f>SUM(OSRRefT25x_0)</f>
        <v>0</v>
      </c>
      <c r="U149" s="4"/>
      <c r="V149" s="13">
        <f t="shared" ref="V149:V150" si="82">IF(T$12=0,0,T149/T$12)</f>
        <v>0</v>
      </c>
      <c r="W149" s="4"/>
      <c r="X149" s="4">
        <f t="shared" ref="X149:X150" si="83">+P149-T149</f>
        <v>68.760000000000005</v>
      </c>
      <c r="Y149" s="4"/>
      <c r="Z149" s="13">
        <f t="shared" ref="Z149:Z150" si="84">IF(T149=0,0,X149/T149)</f>
        <v>0</v>
      </c>
    </row>
    <row r="150" spans="1:26" s="24" customFormat="1" hidden="1" outlineLevel="1" x14ac:dyDescent="0.25">
      <c r="A150" s="44"/>
      <c r="B150" s="11" t="str">
        <f>CONCATENATE("          ", "9150", " - ", "MISC. INCOME")</f>
        <v xml:space="preserve">          9150 - MISC. INCOME</v>
      </c>
      <c r="C150" s="11"/>
      <c r="D150" s="2">
        <f>0</f>
        <v>0</v>
      </c>
      <c r="E150" s="2"/>
      <c r="F150" s="19">
        <f t="shared" si="77"/>
        <v>0</v>
      </c>
      <c r="G150" s="2"/>
      <c r="H150" s="2"/>
      <c r="I150" s="2"/>
      <c r="J150" s="19">
        <f t="shared" si="78"/>
        <v>0</v>
      </c>
      <c r="K150" s="2"/>
      <c r="L150" s="2">
        <f t="shared" si="79"/>
        <v>0</v>
      </c>
      <c r="M150" s="2"/>
      <c r="N150" s="19">
        <f t="shared" si="80"/>
        <v>0</v>
      </c>
      <c r="O150" s="11"/>
      <c r="P150" s="2">
        <f>--68.76</f>
        <v>68.760000000000005</v>
      </c>
      <c r="Q150" s="2"/>
      <c r="R150" s="19">
        <f t="shared" si="81"/>
        <v>1.6748287368264334E-4</v>
      </c>
      <c r="S150" s="2"/>
      <c r="T150" s="2"/>
      <c r="U150" s="2"/>
      <c r="V150" s="19">
        <f t="shared" si="82"/>
        <v>0</v>
      </c>
      <c r="W150" s="2"/>
      <c r="X150" s="2">
        <f t="shared" si="83"/>
        <v>68.760000000000005</v>
      </c>
      <c r="Y150" s="2"/>
      <c r="Z150" s="19">
        <f t="shared" si="84"/>
        <v>0</v>
      </c>
    </row>
    <row r="151" spans="1:26" x14ac:dyDescent="0.25">
      <c r="A151" s="9"/>
      <c r="B151" s="10"/>
      <c r="C151" s="10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O151" s="10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x14ac:dyDescent="0.25">
      <c r="A152" s="10"/>
      <c r="B152" s="29" t="s">
        <v>3</v>
      </c>
      <c r="C152" s="29"/>
      <c r="D152" s="22">
        <f>+D75-D77+D149</f>
        <v>-32855.549999999996</v>
      </c>
      <c r="E152" s="14"/>
      <c r="F152" s="20">
        <f>IF(D$12=0,0,D152/D$12)</f>
        <v>0</v>
      </c>
      <c r="G152" s="14"/>
      <c r="H152" s="22">
        <f>+H75-H77+H149</f>
        <v>-11299.777904160001</v>
      </c>
      <c r="I152" s="14"/>
      <c r="J152" s="20">
        <f>IF(H$12=0,0,H152/H$12)</f>
        <v>-4.2964934996806088</v>
      </c>
      <c r="K152" s="15"/>
      <c r="L152" s="22">
        <f>+D152-H152</f>
        <v>-21555.772095839995</v>
      </c>
      <c r="M152" s="15"/>
      <c r="N152" s="20">
        <f>IF(H152=0,0,L152/H152)</f>
        <v>1.9076279444310371</v>
      </c>
      <c r="O152" s="28"/>
      <c r="P152" s="22">
        <f>+P75-P77+P149</f>
        <v>53426.880000000245</v>
      </c>
      <c r="Q152" s="14"/>
      <c r="R152" s="20">
        <f>IF(P$12=0,0,P152/P$12)</f>
        <v>0.13013506972509867</v>
      </c>
      <c r="S152" s="14"/>
      <c r="T152" s="22">
        <f>+T75-T77+T149</f>
        <v>151338.923491058</v>
      </c>
      <c r="U152" s="14"/>
      <c r="V152" s="20">
        <f>IF(T$12=0,0,T152/T$12)</f>
        <v>0.28457757490768743</v>
      </c>
      <c r="W152" s="15"/>
      <c r="X152" s="22">
        <f>+P152-T152</f>
        <v>-97912.043491057761</v>
      </c>
      <c r="Y152" s="15"/>
      <c r="Z152" s="20">
        <f>IF(T152=0,0,X152/T152)</f>
        <v>-0.64697198336317618</v>
      </c>
    </row>
    <row r="153" spans="1:26" x14ac:dyDescent="0.25">
      <c r="A153" s="9"/>
      <c r="B153" s="10"/>
      <c r="C153" s="9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x14ac:dyDescent="0.25">
      <c r="A154" s="52"/>
      <c r="B154" s="10" t="s">
        <v>14</v>
      </c>
      <c r="C154" s="10"/>
      <c r="D154" s="4">
        <v>13555.59</v>
      </c>
      <c r="E154" s="4"/>
      <c r="F154" s="13">
        <f>IF(D$12=0,0,D154/D$12)</f>
        <v>0</v>
      </c>
      <c r="G154" s="4"/>
      <c r="H154" s="4">
        <v>7509</v>
      </c>
      <c r="I154" s="4"/>
      <c r="J154" s="13">
        <f>IF(H$12=0,0,H154/H$12)</f>
        <v>2.8551330798479087</v>
      </c>
      <c r="K154" s="4"/>
      <c r="L154" s="4">
        <f>+D154-H154</f>
        <v>6046.59</v>
      </c>
      <c r="M154" s="4"/>
      <c r="N154" s="13">
        <f>IF(H154=0,0,L154/H154)</f>
        <v>0.80524570515381544</v>
      </c>
      <c r="O154" s="10"/>
      <c r="P154" s="4">
        <v>62173.090000000004</v>
      </c>
      <c r="Q154" s="4"/>
      <c r="R154" s="13">
        <f>IF(P$12=0,0,P154/P$12)</f>
        <v>0.15143874024039583</v>
      </c>
      <c r="S154" s="4"/>
      <c r="T154" s="4">
        <v>68800</v>
      </c>
      <c r="U154" s="4"/>
      <c r="V154" s="13">
        <f>IF(T$12=0,0,T154/T$12)</f>
        <v>0.12937145779820308</v>
      </c>
      <c r="W154" s="4"/>
      <c r="X154" s="4">
        <f>+P154-T154</f>
        <v>-6626.9099999999962</v>
      </c>
      <c r="Y154" s="4"/>
      <c r="Z154" s="13">
        <f>IF(T154=0,0,X154/T154)</f>
        <v>-9.6321366279069717E-2</v>
      </c>
    </row>
    <row r="155" spans="1:26" x14ac:dyDescent="0.25">
      <c r="A155" s="9"/>
      <c r="B155" s="10"/>
      <c r="C155" s="10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O155" s="10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ht="15.75" thickBot="1" x14ac:dyDescent="0.3">
      <c r="A156" s="10"/>
      <c r="B156" s="29" t="s">
        <v>4</v>
      </c>
      <c r="C156" s="29"/>
      <c r="D156" s="31">
        <f>+D152-D154</f>
        <v>-46411.14</v>
      </c>
      <c r="E156" s="14"/>
      <c r="F156" s="33">
        <f>IF(D$12=0,0,D156/D$12)</f>
        <v>0</v>
      </c>
      <c r="G156" s="14"/>
      <c r="H156" s="31">
        <f>+H152-H154</f>
        <v>-18808.777904160001</v>
      </c>
      <c r="I156" s="14"/>
      <c r="J156" s="33">
        <f>IF(H$12=0,0,H156/H$12)</f>
        <v>-7.151626579528517</v>
      </c>
      <c r="K156" s="15"/>
      <c r="L156" s="31">
        <f>D156-H156</f>
        <v>-27602.362095839999</v>
      </c>
      <c r="M156" s="15"/>
      <c r="N156" s="33">
        <f>IF(H156=0,0,L156/H156)</f>
        <v>1.4675255477249849</v>
      </c>
      <c r="O156" s="28"/>
      <c r="P156" s="31">
        <f>+P152-P154</f>
        <v>-8746.209999999759</v>
      </c>
      <c r="Q156" s="14"/>
      <c r="R156" s="33">
        <f>IF(P$12=0,0,P156/P$12)</f>
        <v>-2.1303670515297145E-2</v>
      </c>
      <c r="S156" s="14"/>
      <c r="T156" s="31">
        <f>+T152-T154</f>
        <v>82538.923491057998</v>
      </c>
      <c r="U156" s="14"/>
      <c r="V156" s="33">
        <f>IF(T$12=0,0,T156/T$12)</f>
        <v>0.15520611710948434</v>
      </c>
      <c r="W156" s="15"/>
      <c r="X156" s="31">
        <f>P156-T156</f>
        <v>-91285.133491057757</v>
      </c>
      <c r="Y156" s="15"/>
      <c r="Z156" s="33">
        <f>IF(T156=0,0,X156/T156)</f>
        <v>-1.105964672545642</v>
      </c>
    </row>
    <row r="157" spans="1:26" ht="15.75" thickTop="1" x14ac:dyDescent="0.25">
      <c r="A157" s="9"/>
      <c r="B157" s="9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x14ac:dyDescent="0.25">
      <c r="A158" s="9"/>
      <c r="B158" s="9"/>
      <c r="C158" s="9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ht="15.75" thickBot="1" x14ac:dyDescent="0.3">
      <c r="A159" s="10"/>
      <c r="B159" s="29" t="s">
        <v>5</v>
      </c>
      <c r="C159" s="29"/>
      <c r="D159" s="34">
        <f>SUM(D156:D158)</f>
        <v>-46411.14</v>
      </c>
      <c r="E159" s="14"/>
      <c r="F159" s="35">
        <f>IF(D$12=0,0,D159/D$12)</f>
        <v>0</v>
      </c>
      <c r="G159" s="14"/>
      <c r="H159" s="34">
        <f>SUM(H156:H158)</f>
        <v>-18808.777904160001</v>
      </c>
      <c r="I159" s="14"/>
      <c r="J159" s="35">
        <f>IF(H$12=0,0,H159/H$12)</f>
        <v>-7.151626579528517</v>
      </c>
      <c r="K159" s="15"/>
      <c r="L159" s="34">
        <f>+D159-H159</f>
        <v>-27602.362095839999</v>
      </c>
      <c r="M159" s="15"/>
      <c r="N159" s="35">
        <f>IF(H159=0,0,L159/H159)</f>
        <v>1.4675255477249849</v>
      </c>
      <c r="O159" s="28"/>
      <c r="P159" s="34">
        <f>SUM(P156:P158)</f>
        <v>-8746.209999999759</v>
      </c>
      <c r="Q159" s="14"/>
      <c r="R159" s="35">
        <f>IF(P$12=0,0,P159/P$12)</f>
        <v>-2.1303670515297145E-2</v>
      </c>
      <c r="S159" s="14"/>
      <c r="T159" s="34">
        <f>SUM(T156:T158)</f>
        <v>82538.923491057998</v>
      </c>
      <c r="U159" s="14"/>
      <c r="V159" s="35">
        <f>IF(T$12=0,0,T159/T$12)</f>
        <v>0.15520611710948434</v>
      </c>
      <c r="W159" s="15"/>
      <c r="X159" s="34">
        <f>+P159-T159</f>
        <v>-91285.133491057757</v>
      </c>
      <c r="Y159" s="15"/>
      <c r="Z159" s="35">
        <f>IF(T159=0,0,X159/T159)</f>
        <v>-1.105964672545642</v>
      </c>
    </row>
    <row r="160" spans="1:26" ht="15.75" thickTop="1" x14ac:dyDescent="0.25">
      <c r="A160" s="9"/>
      <c r="C160" s="9"/>
      <c r="D160" s="17"/>
      <c r="E160" s="17"/>
      <c r="G160" s="17"/>
      <c r="H160" s="17"/>
      <c r="I160" s="17"/>
      <c r="J160" s="43"/>
      <c r="K160" s="17"/>
      <c r="L160" s="17"/>
      <c r="M160" s="17"/>
      <c r="P160" s="17"/>
      <c r="Q160" s="17"/>
      <c r="R160" s="43"/>
      <c r="S160" s="17"/>
      <c r="T160" s="17"/>
      <c r="U160" s="17"/>
      <c r="V160" s="43"/>
      <c r="W160" s="17"/>
      <c r="X160" s="17"/>
    </row>
    <row r="161" spans="1:24" x14ac:dyDescent="0.25">
      <c r="A161" s="9"/>
      <c r="B161" s="55">
        <v>44043.473351851855</v>
      </c>
      <c r="D161" s="17"/>
      <c r="E161" s="17"/>
      <c r="G161" s="17"/>
      <c r="H161" s="17"/>
      <c r="I161" s="17"/>
      <c r="J161" s="43"/>
      <c r="K161" s="17"/>
      <c r="L161" s="17"/>
      <c r="M161" s="17"/>
      <c r="P161" s="17"/>
      <c r="Q161" s="17"/>
      <c r="R161" s="43"/>
      <c r="S161" s="17"/>
      <c r="T161" s="17"/>
      <c r="U161" s="17"/>
      <c r="V161" s="43"/>
      <c r="W161" s="17"/>
      <c r="X161" s="17"/>
    </row>
    <row r="162" spans="1:24" x14ac:dyDescent="0.25">
      <c r="A162" s="9"/>
      <c r="B162" s="62" t="s">
        <v>314</v>
      </c>
      <c r="D162" s="17"/>
      <c r="E162" s="17"/>
      <c r="G162" s="17"/>
      <c r="H162" s="17"/>
      <c r="I162" s="17"/>
      <c r="J162" s="43"/>
      <c r="K162" s="17"/>
      <c r="L162" s="17"/>
      <c r="M162" s="17"/>
      <c r="P162" s="17"/>
      <c r="Q162" s="17"/>
      <c r="R162" s="43"/>
      <c r="S162" s="17"/>
      <c r="T162" s="17"/>
      <c r="U162" s="17"/>
      <c r="V162" s="43"/>
      <c r="W162" s="17"/>
      <c r="X162" s="17"/>
    </row>
    <row r="163" spans="1:24" x14ac:dyDescent="0.25">
      <c r="A163" s="9"/>
      <c r="B163" s="63"/>
      <c r="D163" s="17"/>
      <c r="E163" s="17"/>
      <c r="G163" s="17"/>
      <c r="H163" s="17"/>
      <c r="I163" s="17"/>
      <c r="J163" s="43"/>
      <c r="K163" s="17"/>
      <c r="L163" s="17"/>
      <c r="M163" s="17"/>
      <c r="P163" s="17"/>
      <c r="Q163" s="17"/>
      <c r="R163" s="43"/>
      <c r="S163" s="17"/>
      <c r="T163" s="17"/>
      <c r="U163" s="17"/>
      <c r="V163" s="43"/>
      <c r="W163" s="17"/>
      <c r="X163" s="17"/>
    </row>
    <row r="164" spans="1:24" x14ac:dyDescent="0.25">
      <c r="D164" s="17"/>
      <c r="E164" s="17"/>
      <c r="G164" s="17"/>
      <c r="H164" s="17"/>
      <c r="I164" s="17"/>
      <c r="J164" s="43"/>
      <c r="K164" s="17"/>
      <c r="L164" s="17"/>
      <c r="M164" s="17"/>
      <c r="P164" s="17"/>
      <c r="Q164" s="17"/>
      <c r="R164" s="43"/>
      <c r="S164" s="17"/>
      <c r="T164" s="17"/>
      <c r="U164" s="17"/>
      <c r="V164" s="43"/>
      <c r="W164" s="17"/>
      <c r="X16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6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","314", " - ", "Tech/Supplies")</f>
        <v>Department 314 - Tech/Supplies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10535.519999999999</v>
      </c>
      <c r="E12" s="4"/>
      <c r="F12" s="13"/>
      <c r="G12" s="4"/>
      <c r="H12" s="4">
        <f>SUM(OSRRefH13x_0)</f>
        <v>11258</v>
      </c>
      <c r="I12" s="4"/>
      <c r="J12" s="13"/>
      <c r="K12" s="4"/>
      <c r="L12" s="4">
        <f t="shared" ref="L12:L35" si="0">+D12-H12</f>
        <v>-722.48000000000138</v>
      </c>
      <c r="M12" s="4"/>
      <c r="N12" s="13">
        <f t="shared" ref="N12:N35" si="1">IF(H12=0,0,L12/H12)</f>
        <v>-6.4174809024693677E-2</v>
      </c>
      <c r="O12" s="10"/>
      <c r="P12" s="4">
        <f>SUM(OSRRefP13x_0)</f>
        <v>421668.26999999996</v>
      </c>
      <c r="Q12" s="4"/>
      <c r="R12" s="13"/>
      <c r="S12" s="4"/>
      <c r="T12" s="4">
        <f>SUM(OSRRefT13x_0)</f>
        <v>524897</v>
      </c>
      <c r="U12" s="4"/>
      <c r="V12" s="13"/>
      <c r="W12" s="4"/>
      <c r="X12" s="4">
        <f t="shared" ref="X12:X35" si="2">+P12-T12</f>
        <v>-103228.73000000004</v>
      </c>
      <c r="Y12" s="4"/>
      <c r="Z12" s="13">
        <f t="shared" ref="Z12:Z35" si="3">IF(T12=0,0,X12/T12)</f>
        <v>-0.1966647361291835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10358</v>
      </c>
      <c r="I13" s="2"/>
      <c r="J13" s="19"/>
      <c r="K13" s="2"/>
      <c r="L13" s="2">
        <f t="shared" si="0"/>
        <v>-10358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482896</v>
      </c>
      <c r="U13" s="2"/>
      <c r="V13" s="19"/>
      <c r="W13" s="2"/>
      <c r="X13" s="2">
        <f t="shared" si="2"/>
        <v>-482896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--276.15</f>
        <v>276.14999999999998</v>
      </c>
      <c r="Q14" s="2"/>
      <c r="R14" s="19"/>
      <c r="S14" s="2"/>
      <c r="T14" s="2"/>
      <c r="U14" s="2"/>
      <c r="V14" s="19"/>
      <c r="W14" s="2"/>
      <c r="X14" s="2">
        <f t="shared" si="2"/>
        <v>276.14999999999998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/>
      <c r="U15" s="2"/>
      <c r="V15" s="19"/>
      <c r="W15" s="2"/>
      <c r="X15" s="2">
        <f t="shared" si="2"/>
        <v>42.85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--3099.74</f>
        <v>3099.74</v>
      </c>
      <c r="E16" s="2"/>
      <c r="F16" s="19"/>
      <c r="G16" s="2"/>
      <c r="H16" s="2"/>
      <c r="I16" s="2"/>
      <c r="J16" s="19"/>
      <c r="K16" s="2"/>
      <c r="L16" s="2">
        <f t="shared" si="0"/>
        <v>3099.74</v>
      </c>
      <c r="M16" s="2"/>
      <c r="N16" s="19">
        <f t="shared" si="1"/>
        <v>0</v>
      </c>
      <c r="O16" s="11"/>
      <c r="P16" s="2">
        <f>--55543.29</f>
        <v>55543.29</v>
      </c>
      <c r="Q16" s="2"/>
      <c r="R16" s="19"/>
      <c r="S16" s="2"/>
      <c r="T16" s="2"/>
      <c r="U16" s="2"/>
      <c r="V16" s="19"/>
      <c r="W16" s="2"/>
      <c r="X16" s="2">
        <f t="shared" si="2"/>
        <v>55543.29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--2531.99</f>
        <v>2531.9899999999998</v>
      </c>
      <c r="E17" s="2"/>
      <c r="F17" s="19"/>
      <c r="G17" s="2"/>
      <c r="H17" s="2"/>
      <c r="I17" s="2"/>
      <c r="J17" s="19"/>
      <c r="K17" s="2"/>
      <c r="L17" s="2">
        <f t="shared" si="0"/>
        <v>2531.9899999999998</v>
      </c>
      <c r="M17" s="2"/>
      <c r="N17" s="19">
        <f t="shared" si="1"/>
        <v>0</v>
      </c>
      <c r="O17" s="11"/>
      <c r="P17" s="2">
        <f>--76448.59</f>
        <v>76448.59</v>
      </c>
      <c r="Q17" s="2"/>
      <c r="R17" s="19"/>
      <c r="S17" s="2"/>
      <c r="T17" s="2"/>
      <c r="U17" s="2"/>
      <c r="V17" s="19"/>
      <c r="W17" s="2"/>
      <c r="X17" s="2">
        <f t="shared" si="2"/>
        <v>76448.59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--4073.06</f>
        <v>4073.06</v>
      </c>
      <c r="E18" s="2"/>
      <c r="F18" s="19"/>
      <c r="G18" s="2"/>
      <c r="H18" s="2"/>
      <c r="I18" s="2"/>
      <c r="J18" s="19"/>
      <c r="K18" s="2"/>
      <c r="L18" s="2">
        <f t="shared" si="0"/>
        <v>4073.06</v>
      </c>
      <c r="M18" s="2"/>
      <c r="N18" s="19">
        <f t="shared" si="1"/>
        <v>0</v>
      </c>
      <c r="O18" s="11"/>
      <c r="P18" s="2">
        <f>--271457.41</f>
        <v>271457.40999999997</v>
      </c>
      <c r="Q18" s="2"/>
      <c r="R18" s="19"/>
      <c r="S18" s="2"/>
      <c r="T18" s="2"/>
      <c r="U18" s="2"/>
      <c r="V18" s="19"/>
      <c r="W18" s="2"/>
      <c r="X18" s="2">
        <f t="shared" si="2"/>
        <v>271457.40999999997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--386.59</f>
        <v>386.59</v>
      </c>
      <c r="E19" s="2"/>
      <c r="F19" s="19"/>
      <c r="G19" s="2"/>
      <c r="H19" s="2"/>
      <c r="I19" s="2"/>
      <c r="J19" s="19"/>
      <c r="K19" s="2"/>
      <c r="L19" s="2">
        <f t="shared" si="0"/>
        <v>386.59</v>
      </c>
      <c r="M19" s="2"/>
      <c r="N19" s="19">
        <f t="shared" si="1"/>
        <v>0</v>
      </c>
      <c r="O19" s="11"/>
      <c r="P19" s="2">
        <f>--13083.92</f>
        <v>13083.92</v>
      </c>
      <c r="Q19" s="2"/>
      <c r="R19" s="19"/>
      <c r="S19" s="2"/>
      <c r="T19" s="2"/>
      <c r="U19" s="2"/>
      <c r="V19" s="19"/>
      <c r="W19" s="2"/>
      <c r="X19" s="2">
        <f t="shared" si="2"/>
        <v>13083.92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 t="shared" ref="D20:D21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--20.15</f>
        <v>20.149999999999999</v>
      </c>
      <c r="Q20" s="2"/>
      <c r="R20" s="19"/>
      <c r="S20" s="2"/>
      <c r="T20" s="2"/>
      <c r="U20" s="2"/>
      <c r="V20" s="19"/>
      <c r="W20" s="2"/>
      <c r="X20" s="2">
        <f t="shared" si="2"/>
        <v>20.149999999999999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900</v>
      </c>
      <c r="I21" s="2"/>
      <c r="J21" s="19"/>
      <c r="K21" s="2"/>
      <c r="L21" s="2">
        <f t="shared" si="0"/>
        <v>-900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42001</v>
      </c>
      <c r="U21" s="2"/>
      <c r="V21" s="19"/>
      <c r="W21" s="2"/>
      <c r="X21" s="2">
        <f t="shared" si="2"/>
        <v>-42001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"4125", " - ", "NON-TAXABLE SALES-TEST FORMS")</f>
        <v xml:space="preserve">          4125 - NON-TAXABLE SALES-TEST FORMS</v>
      </c>
      <c r="C22" s="11"/>
      <c r="D22" s="2">
        <f>--185</f>
        <v>185</v>
      </c>
      <c r="E22" s="2"/>
      <c r="F22" s="19"/>
      <c r="G22" s="2"/>
      <c r="H22" s="2"/>
      <c r="I22" s="2"/>
      <c r="J22" s="19"/>
      <c r="K22" s="2"/>
      <c r="L22" s="2">
        <f t="shared" si="0"/>
        <v>185</v>
      </c>
      <c r="M22" s="2"/>
      <c r="N22" s="19">
        <f t="shared" si="1"/>
        <v>0</v>
      </c>
      <c r="O22" s="11"/>
      <c r="P22" s="2">
        <f>--452.61</f>
        <v>452.61</v>
      </c>
      <c r="Q22" s="2"/>
      <c r="R22" s="19"/>
      <c r="S22" s="2"/>
      <c r="T22" s="2"/>
      <c r="U22" s="2"/>
      <c r="V22" s="19"/>
      <c r="W22" s="2"/>
      <c r="X22" s="2">
        <f t="shared" si="2"/>
        <v>452.61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--168.02</f>
        <v>168.02</v>
      </c>
      <c r="E23" s="2"/>
      <c r="F23" s="19"/>
      <c r="G23" s="2"/>
      <c r="H23" s="2"/>
      <c r="I23" s="2"/>
      <c r="J23" s="19"/>
      <c r="K23" s="2"/>
      <c r="L23" s="2">
        <f t="shared" si="0"/>
        <v>168.02</v>
      </c>
      <c r="M23" s="2"/>
      <c r="N23" s="19">
        <f t="shared" si="1"/>
        <v>0</v>
      </c>
      <c r="O23" s="11"/>
      <c r="P23" s="2">
        <f>--3298.95</f>
        <v>3298.95</v>
      </c>
      <c r="Q23" s="2"/>
      <c r="R23" s="19"/>
      <c r="S23" s="2"/>
      <c r="T23" s="2"/>
      <c r="U23" s="2"/>
      <c r="V23" s="19"/>
      <c r="W23" s="2"/>
      <c r="X23" s="2">
        <f t="shared" si="2"/>
        <v>3298.95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>--97.62</f>
        <v>97.62</v>
      </c>
      <c r="E24" s="2"/>
      <c r="F24" s="19"/>
      <c r="G24" s="2"/>
      <c r="H24" s="2"/>
      <c r="I24" s="2"/>
      <c r="J24" s="19"/>
      <c r="K24" s="2"/>
      <c r="L24" s="2">
        <f t="shared" si="0"/>
        <v>97.62</v>
      </c>
      <c r="M24" s="2"/>
      <c r="N24" s="19">
        <f t="shared" si="1"/>
        <v>0</v>
      </c>
      <c r="O24" s="11"/>
      <c r="P24" s="2">
        <f>--6454.88</f>
        <v>6454.88</v>
      </c>
      <c r="Q24" s="2"/>
      <c r="R24" s="19"/>
      <c r="S24" s="2"/>
      <c r="T24" s="2"/>
      <c r="U24" s="2"/>
      <c r="V24" s="19"/>
      <c r="W24" s="2"/>
      <c r="X24" s="2">
        <f t="shared" si="2"/>
        <v>6454.88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"4128", " - ", "NON-TAXABLE SALES-ART/TECH")</f>
        <v xml:space="preserve">          4128 - NON-TAXABLE SALES-ART/TECH</v>
      </c>
      <c r="C25" s="11"/>
      <c r="D25" s="2">
        <f>--0.74</f>
        <v>0.74</v>
      </c>
      <c r="E25" s="2"/>
      <c r="F25" s="19"/>
      <c r="G25" s="2"/>
      <c r="H25" s="2"/>
      <c r="I25" s="2"/>
      <c r="J25" s="19"/>
      <c r="K25" s="2"/>
      <c r="L25" s="2">
        <f t="shared" si="0"/>
        <v>0.74</v>
      </c>
      <c r="M25" s="2"/>
      <c r="N25" s="19">
        <f t="shared" si="1"/>
        <v>0</v>
      </c>
      <c r="O25" s="11"/>
      <c r="P25" s="2">
        <f>--489.27</f>
        <v>489.27</v>
      </c>
      <c r="Q25" s="2"/>
      <c r="R25" s="19"/>
      <c r="S25" s="2"/>
      <c r="T25" s="2"/>
      <c r="U25" s="2"/>
      <c r="V25" s="19"/>
      <c r="W25" s="2"/>
      <c r="X25" s="2">
        <f t="shared" si="2"/>
        <v>489.27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>--64.14</f>
        <v>64.14</v>
      </c>
      <c r="E26" s="2"/>
      <c r="F26" s="19"/>
      <c r="G26" s="2"/>
      <c r="H26" s="2"/>
      <c r="I26" s="2"/>
      <c r="J26" s="19"/>
      <c r="K26" s="2"/>
      <c r="L26" s="2">
        <f t="shared" si="0"/>
        <v>64.14</v>
      </c>
      <c r="M26" s="2"/>
      <c r="N26" s="19">
        <f t="shared" si="1"/>
        <v>0</v>
      </c>
      <c r="O26" s="11"/>
      <c r="P26" s="2">
        <f>--1647.7</f>
        <v>1647.7</v>
      </c>
      <c r="Q26" s="2"/>
      <c r="R26" s="19"/>
      <c r="S26" s="2"/>
      <c r="T26" s="2"/>
      <c r="U26" s="2"/>
      <c r="V26" s="19"/>
      <c r="W26" s="2"/>
      <c r="X26" s="2">
        <f t="shared" si="2"/>
        <v>1647.7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"4133", " - ", "NON-TAXABLE SALES-CANDY")</f>
        <v xml:space="preserve">          4133 - NON-TAXABLE SALES-CANDY</v>
      </c>
      <c r="C27" s="11"/>
      <c r="D27" s="2">
        <f>--13.47</f>
        <v>13.47</v>
      </c>
      <c r="E27" s="2"/>
      <c r="F27" s="19"/>
      <c r="G27" s="2"/>
      <c r="H27" s="2"/>
      <c r="I27" s="2"/>
      <c r="J27" s="19"/>
      <c r="K27" s="2"/>
      <c r="L27" s="2">
        <f t="shared" si="0"/>
        <v>13.47</v>
      </c>
      <c r="M27" s="2"/>
      <c r="N27" s="19">
        <f t="shared" si="1"/>
        <v>0</v>
      </c>
      <c r="O27" s="11"/>
      <c r="P27" s="2">
        <f>--2326.36</f>
        <v>2326.36</v>
      </c>
      <c r="Q27" s="2"/>
      <c r="R27" s="19"/>
      <c r="S27" s="2"/>
      <c r="T27" s="2"/>
      <c r="U27" s="2"/>
      <c r="V27" s="19"/>
      <c r="W27" s="2"/>
      <c r="X27" s="2">
        <f t="shared" si="2"/>
        <v>2326.36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"4135", " - ", "NON-TAXABLE SALES")</f>
        <v xml:space="preserve">          4135 - NON-TAXABLE SALES</v>
      </c>
      <c r="C28" s="11"/>
      <c r="D28" s="2">
        <f t="shared" ref="D28:D31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--50.16</f>
        <v>50.16</v>
      </c>
      <c r="Q28" s="2"/>
      <c r="R28" s="19"/>
      <c r="S28" s="2"/>
      <c r="T28" s="2"/>
      <c r="U28" s="2"/>
      <c r="V28" s="19"/>
      <c r="W28" s="2"/>
      <c r="X28" s="2">
        <f t="shared" si="2"/>
        <v>50.16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"4217", " - ", "NON-TAXABLE SALES-DORM/HOUSEWA")</f>
        <v xml:space="preserve">          4217 - NON-TAXABLE SALES-DORM/HOUSEWA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-2.98</f>
        <v>-2.98</v>
      </c>
      <c r="Q29" s="2"/>
      <c r="R29" s="19"/>
      <c r="S29" s="2"/>
      <c r="T29" s="2"/>
      <c r="U29" s="2"/>
      <c r="V29" s="19"/>
      <c r="W29" s="2"/>
      <c r="X29" s="2">
        <f t="shared" si="2"/>
        <v>-2.98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"4225", " - ", "SALES RETURN TAXABLE-TEST FORM")</f>
        <v xml:space="preserve">          4225 - SALES RETURN TAXABLE-TEST FORM</v>
      </c>
      <c r="C30" s="11"/>
      <c r="D30" s="2">
        <f t="shared" si="6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-170.78</f>
        <v>-170.78</v>
      </c>
      <c r="Q30" s="2"/>
      <c r="R30" s="19"/>
      <c r="S30" s="2"/>
      <c r="T30" s="2"/>
      <c r="U30" s="2"/>
      <c r="V30" s="19"/>
      <c r="W30" s="2"/>
      <c r="X30" s="2">
        <f t="shared" si="2"/>
        <v>-170.78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 t="shared" si="6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-778.59</f>
        <v>-778.59</v>
      </c>
      <c r="Q31" s="2"/>
      <c r="R31" s="19"/>
      <c r="S31" s="2"/>
      <c r="T31" s="2"/>
      <c r="U31" s="2"/>
      <c r="V31" s="19"/>
      <c r="W31" s="2"/>
      <c r="X31" s="2">
        <f t="shared" si="2"/>
        <v>-778.59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-81.87</f>
        <v>-81.87</v>
      </c>
      <c r="E32" s="2"/>
      <c r="F32" s="19"/>
      <c r="G32" s="2"/>
      <c r="H32" s="2"/>
      <c r="I32" s="2"/>
      <c r="J32" s="19"/>
      <c r="K32" s="2"/>
      <c r="L32" s="2">
        <f t="shared" si="0"/>
        <v>-81.87</v>
      </c>
      <c r="M32" s="2"/>
      <c r="N32" s="19">
        <f t="shared" si="1"/>
        <v>0</v>
      </c>
      <c r="O32" s="11"/>
      <c r="P32" s="2">
        <f>-8686.84</f>
        <v>-8686.84</v>
      </c>
      <c r="Q32" s="2"/>
      <c r="R32" s="19"/>
      <c r="S32" s="2"/>
      <c r="T32" s="2"/>
      <c r="U32" s="2"/>
      <c r="V32" s="19"/>
      <c r="W32" s="2"/>
      <c r="X32" s="2">
        <f t="shared" si="2"/>
        <v>-8686.84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"4228", " - ", "SALES RETURN TAXABLE-ART/TECH")</f>
        <v xml:space="preserve">          4228 - SALES RETURN TAXABLE-ART/TECH</v>
      </c>
      <c r="C33" s="11"/>
      <c r="D33" s="2">
        <f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-259.98</f>
        <v>-259.98</v>
      </c>
      <c r="Q33" s="2"/>
      <c r="R33" s="19"/>
      <c r="S33" s="2"/>
      <c r="T33" s="2"/>
      <c r="U33" s="2"/>
      <c r="V33" s="19"/>
      <c r="W33" s="2"/>
      <c r="X33" s="2">
        <f t="shared" si="2"/>
        <v>-259.98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"4326", " - ", "SALES RETURN NON TAXABLE-WRITI")</f>
        <v xml:space="preserve">          4326 - SALES RETURN NON TAXABLE-WRITI</v>
      </c>
      <c r="C34" s="11"/>
      <c r="D34" s="2">
        <f>-2.98</f>
        <v>-2.98</v>
      </c>
      <c r="E34" s="2"/>
      <c r="F34" s="19"/>
      <c r="G34" s="2"/>
      <c r="H34" s="2"/>
      <c r="I34" s="2"/>
      <c r="J34" s="19"/>
      <c r="K34" s="2"/>
      <c r="L34" s="2">
        <f t="shared" si="0"/>
        <v>-2.98</v>
      </c>
      <c r="M34" s="2"/>
      <c r="N34" s="19">
        <f t="shared" si="1"/>
        <v>0</v>
      </c>
      <c r="O34" s="11"/>
      <c r="P34" s="2">
        <f>-2.98</f>
        <v>-2.98</v>
      </c>
      <c r="Q34" s="2"/>
      <c r="R34" s="19"/>
      <c r="S34" s="2"/>
      <c r="T34" s="2"/>
      <c r="U34" s="2"/>
      <c r="V34" s="19"/>
      <c r="W34" s="2"/>
      <c r="X34" s="2">
        <f t="shared" si="2"/>
        <v>-2.98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"4327", " - ", "SALES RETURN NON TAXABLE-SCHOO")</f>
        <v xml:space="preserve">          4327 - SALES RETURN NON TAXABLE-SCHOO</v>
      </c>
      <c r="C35" s="11"/>
      <c r="D35" s="2">
        <f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-21.87</f>
        <v>-21.87</v>
      </c>
      <c r="Q35" s="2"/>
      <c r="R35" s="19"/>
      <c r="S35" s="2"/>
      <c r="T35" s="2"/>
      <c r="U35" s="2"/>
      <c r="V35" s="19"/>
      <c r="W35" s="2"/>
      <c r="X35" s="2">
        <f t="shared" si="2"/>
        <v>-21.87</v>
      </c>
      <c r="Y35" s="2"/>
      <c r="Z35" s="19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8" t="s">
        <v>8</v>
      </c>
      <c r="C37" s="10"/>
      <c r="D37" s="4">
        <f>SUM(OSRRefD16x_0)</f>
        <v>30221.7</v>
      </c>
      <c r="E37" s="4"/>
      <c r="F37" s="13">
        <f t="shared" ref="F37:F53" si="7">IF(D$12=0,0,D37/D$12)</f>
        <v>2.8685532370495244</v>
      </c>
      <c r="G37" s="4"/>
      <c r="H37" s="4">
        <f>SUM(OSRRefH16x_0)</f>
        <v>5742</v>
      </c>
      <c r="I37" s="4"/>
      <c r="J37" s="13">
        <f t="shared" ref="J37:J53" si="8">IF(H$12=0,0,H37/H$12)</f>
        <v>0.51003730680405046</v>
      </c>
      <c r="K37" s="4"/>
      <c r="L37" s="4">
        <f t="shared" ref="L37:L53" si="9">+D37-H37</f>
        <v>24479.7</v>
      </c>
      <c r="M37" s="4"/>
      <c r="N37" s="13">
        <f t="shared" ref="N37:N53" si="10">IF(H37=0,0,L37/H37)</f>
        <v>4.2632706374085689</v>
      </c>
      <c r="O37" s="10"/>
      <c r="P37" s="4">
        <f>SUM(OSRRefP16x_0)</f>
        <v>228545.38999999998</v>
      </c>
      <c r="Q37" s="4"/>
      <c r="R37" s="13">
        <f t="shared" ref="R37:R53" si="11">IF(P$12=0,0,P37/P$12)</f>
        <v>0.54200281657427063</v>
      </c>
      <c r="S37" s="4"/>
      <c r="T37" s="4">
        <f>SUM(OSRRefT16x_0)</f>
        <v>267746</v>
      </c>
      <c r="U37" s="4"/>
      <c r="V37" s="13">
        <f t="shared" ref="V37:V53" si="12">IF(T$12=0,0,T37/T$12)</f>
        <v>0.51009245623427069</v>
      </c>
      <c r="W37" s="4"/>
      <c r="X37" s="4">
        <f t="shared" ref="X37:X53" si="13">+P37-T37</f>
        <v>-39200.610000000015</v>
      </c>
      <c r="Y37" s="4"/>
      <c r="Z37" s="13">
        <f t="shared" ref="Z37:Z53" si="14">IF(T37=0,0,X37/T37)</f>
        <v>-0.14640969426247269</v>
      </c>
    </row>
    <row r="38" spans="1:26" s="24" customFormat="1" hidden="1" outlineLevel="1" x14ac:dyDescent="0.25">
      <c r="A38" s="44"/>
      <c r="B38" s="11" t="str">
        <f>CONCATENATE("          ", "5000", " - ", "PURCHASES @ COST")</f>
        <v xml:space="preserve">          5000 - PURCHASES @ COST</v>
      </c>
      <c r="C38" s="11"/>
      <c r="D38" s="2"/>
      <c r="E38" s="2"/>
      <c r="F38" s="19">
        <f t="shared" si="7"/>
        <v>0</v>
      </c>
      <c r="G38" s="2"/>
      <c r="H38" s="2">
        <v>5742</v>
      </c>
      <c r="I38" s="2"/>
      <c r="J38" s="19">
        <f t="shared" si="8"/>
        <v>0.51003730680405046</v>
      </c>
      <c r="K38" s="2"/>
      <c r="L38" s="2">
        <f t="shared" si="9"/>
        <v>-5742</v>
      </c>
      <c r="M38" s="2"/>
      <c r="N38" s="19">
        <f t="shared" si="10"/>
        <v>-1</v>
      </c>
      <c r="O38" s="11"/>
      <c r="P38" s="2"/>
      <c r="Q38" s="2"/>
      <c r="R38" s="19">
        <f t="shared" si="11"/>
        <v>0</v>
      </c>
      <c r="S38" s="2"/>
      <c r="T38" s="2">
        <v>267746</v>
      </c>
      <c r="U38" s="2"/>
      <c r="V38" s="19">
        <f t="shared" si="12"/>
        <v>0.51009245623427069</v>
      </c>
      <c r="W38" s="2"/>
      <c r="X38" s="2">
        <f t="shared" si="13"/>
        <v>-267746</v>
      </c>
      <c r="Y38" s="2"/>
      <c r="Z38" s="19">
        <f t="shared" si="14"/>
        <v>-1</v>
      </c>
    </row>
    <row r="39" spans="1:26" s="24" customFormat="1" hidden="1" outlineLevel="1" x14ac:dyDescent="0.25">
      <c r="A39" s="44"/>
      <c r="B39" s="11" t="str">
        <f>CONCATENATE("          ", "5017", " - ", "PURCHASES @ COST-DORM/HOUSEWAR")</f>
        <v xml:space="preserve">          5017 - PURCHASES @ COST-DORM/HOUSEWAR</v>
      </c>
      <c r="C39" s="11"/>
      <c r="D39" s="2"/>
      <c r="E39" s="2"/>
      <c r="F39" s="19">
        <f t="shared" si="7"/>
        <v>0</v>
      </c>
      <c r="G39" s="2"/>
      <c r="H39" s="2"/>
      <c r="I39" s="2"/>
      <c r="J39" s="19">
        <f t="shared" si="8"/>
        <v>0</v>
      </c>
      <c r="K39" s="2"/>
      <c r="L39" s="2">
        <f t="shared" si="9"/>
        <v>0</v>
      </c>
      <c r="M39" s="2"/>
      <c r="N39" s="19">
        <f t="shared" si="10"/>
        <v>0</v>
      </c>
      <c r="O39" s="11"/>
      <c r="P39" s="2">
        <v>14.46</v>
      </c>
      <c r="Q39" s="2"/>
      <c r="R39" s="19">
        <f t="shared" si="11"/>
        <v>3.4292359726284367E-5</v>
      </c>
      <c r="S39" s="2"/>
      <c r="T39" s="2"/>
      <c r="U39" s="2"/>
      <c r="V39" s="19">
        <f t="shared" si="12"/>
        <v>0</v>
      </c>
      <c r="W39" s="2"/>
      <c r="X39" s="2">
        <f t="shared" si="13"/>
        <v>14.46</v>
      </c>
      <c r="Y39" s="2"/>
      <c r="Z39" s="19">
        <f t="shared" si="14"/>
        <v>0</v>
      </c>
    </row>
    <row r="40" spans="1:26" s="24" customFormat="1" hidden="1" outlineLevel="1" x14ac:dyDescent="0.25">
      <c r="A40" s="44"/>
      <c r="B40" s="11" t="str">
        <f>CONCATENATE("          ", "5025", " - ", "PURCHASES @ COST-TEST FORMS")</f>
        <v xml:space="preserve">          5025 - PURCHASES @ COST-TEST FORMS</v>
      </c>
      <c r="C40" s="11"/>
      <c r="D40" s="2"/>
      <c r="E40" s="2"/>
      <c r="F40" s="19">
        <f t="shared" si="7"/>
        <v>0</v>
      </c>
      <c r="G40" s="2"/>
      <c r="H40" s="2"/>
      <c r="I40" s="2"/>
      <c r="J40" s="19">
        <f t="shared" si="8"/>
        <v>0</v>
      </c>
      <c r="K40" s="2"/>
      <c r="L40" s="2">
        <f t="shared" si="9"/>
        <v>0</v>
      </c>
      <c r="M40" s="2"/>
      <c r="N40" s="19">
        <f t="shared" si="10"/>
        <v>0</v>
      </c>
      <c r="O40" s="11"/>
      <c r="P40" s="2">
        <v>25706.15</v>
      </c>
      <c r="Q40" s="2"/>
      <c r="R40" s="19">
        <f t="shared" si="11"/>
        <v>6.0962969777166309E-2</v>
      </c>
      <c r="S40" s="2"/>
      <c r="T40" s="2"/>
      <c r="U40" s="2"/>
      <c r="V40" s="19">
        <f t="shared" si="12"/>
        <v>0</v>
      </c>
      <c r="W40" s="2"/>
      <c r="X40" s="2">
        <f t="shared" si="13"/>
        <v>25706.15</v>
      </c>
      <c r="Y40" s="2"/>
      <c r="Z40" s="19">
        <f t="shared" si="14"/>
        <v>0</v>
      </c>
    </row>
    <row r="41" spans="1:26" s="24" customFormat="1" hidden="1" outlineLevel="1" x14ac:dyDescent="0.25">
      <c r="A41" s="44"/>
      <c r="B41" s="11" t="str">
        <f>CONCATENATE("          ", "5026", " - ", "PURCHASES @ COST-WRITING INSTR")</f>
        <v xml:space="preserve">          5026 - PURCHASES @ COST-WRITING INSTR</v>
      </c>
      <c r="C41" s="11"/>
      <c r="D41" s="2"/>
      <c r="E41" s="2"/>
      <c r="F41" s="19">
        <f t="shared" si="7"/>
        <v>0</v>
      </c>
      <c r="G41" s="2"/>
      <c r="H41" s="2"/>
      <c r="I41" s="2"/>
      <c r="J41" s="19">
        <f t="shared" si="8"/>
        <v>0</v>
      </c>
      <c r="K41" s="2"/>
      <c r="L41" s="2">
        <f t="shared" si="9"/>
        <v>0</v>
      </c>
      <c r="M41" s="2"/>
      <c r="N41" s="19">
        <f t="shared" si="10"/>
        <v>0</v>
      </c>
      <c r="O41" s="11"/>
      <c r="P41" s="2">
        <v>39626.85</v>
      </c>
      <c r="Q41" s="2"/>
      <c r="R41" s="19">
        <f t="shared" si="11"/>
        <v>9.3976362034544361E-2</v>
      </c>
      <c r="S41" s="2"/>
      <c r="T41" s="2"/>
      <c r="U41" s="2"/>
      <c r="V41" s="19">
        <f t="shared" si="12"/>
        <v>0</v>
      </c>
      <c r="W41" s="2"/>
      <c r="X41" s="2">
        <f t="shared" si="13"/>
        <v>39626.85</v>
      </c>
      <c r="Y41" s="2"/>
      <c r="Z41" s="19">
        <f t="shared" si="14"/>
        <v>0</v>
      </c>
    </row>
    <row r="42" spans="1:26" s="24" customFormat="1" hidden="1" outlineLevel="1" x14ac:dyDescent="0.25">
      <c r="A42" s="44"/>
      <c r="B42" s="11" t="str">
        <f>CONCATENATE("          ", "5027", " - ", "PURCHASES @ COST-SCHOOL SUPPLI")</f>
        <v xml:space="preserve">          5027 - PURCHASES @ COST-SCHOOL SUPPLI</v>
      </c>
      <c r="C42" s="11"/>
      <c r="D42" s="2">
        <v>11947.58</v>
      </c>
      <c r="E42" s="2"/>
      <c r="F42" s="19">
        <f t="shared" si="7"/>
        <v>1.1340285054748129</v>
      </c>
      <c r="G42" s="2"/>
      <c r="H42" s="2"/>
      <c r="I42" s="2"/>
      <c r="J42" s="19">
        <f t="shared" si="8"/>
        <v>0</v>
      </c>
      <c r="K42" s="2"/>
      <c r="L42" s="2">
        <f t="shared" si="9"/>
        <v>11947.58</v>
      </c>
      <c r="M42" s="2"/>
      <c r="N42" s="19">
        <f t="shared" si="10"/>
        <v>0</v>
      </c>
      <c r="O42" s="11"/>
      <c r="P42" s="2">
        <v>149000.62</v>
      </c>
      <c r="Q42" s="2"/>
      <c r="R42" s="19">
        <f t="shared" si="11"/>
        <v>0.35335981054491011</v>
      </c>
      <c r="S42" s="2"/>
      <c r="T42" s="2"/>
      <c r="U42" s="2"/>
      <c r="V42" s="19">
        <f t="shared" si="12"/>
        <v>0</v>
      </c>
      <c r="W42" s="2"/>
      <c r="X42" s="2">
        <f t="shared" si="13"/>
        <v>149000.62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"5028", " - ", "PURCHASES @ COST-ART/TECH")</f>
        <v xml:space="preserve">          5028 - PURCHASES @ COST-ART/TECH</v>
      </c>
      <c r="C43" s="11"/>
      <c r="D43" s="2">
        <v>-2263.88</v>
      </c>
      <c r="E43" s="2"/>
      <c r="F43" s="19">
        <f t="shared" si="7"/>
        <v>-0.21488070830865494</v>
      </c>
      <c r="G43" s="2"/>
      <c r="H43" s="2"/>
      <c r="I43" s="2"/>
      <c r="J43" s="19">
        <f t="shared" si="8"/>
        <v>0</v>
      </c>
      <c r="K43" s="2"/>
      <c r="L43" s="2">
        <f t="shared" si="9"/>
        <v>-2263.88</v>
      </c>
      <c r="M43" s="2"/>
      <c r="N43" s="19">
        <f t="shared" si="10"/>
        <v>0</v>
      </c>
      <c r="O43" s="11"/>
      <c r="P43" s="2">
        <v>5398.13</v>
      </c>
      <c r="Q43" s="2"/>
      <c r="R43" s="19">
        <f t="shared" si="11"/>
        <v>1.2801840650708673E-2</v>
      </c>
      <c r="S43" s="2"/>
      <c r="T43" s="2"/>
      <c r="U43" s="2"/>
      <c r="V43" s="19">
        <f t="shared" si="12"/>
        <v>0</v>
      </c>
      <c r="W43" s="2"/>
      <c r="X43" s="2">
        <f t="shared" si="13"/>
        <v>5398.13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"5031", " - ", "PURCHASES @ COST-FOOD")</f>
        <v xml:space="preserve">          5031 - PURCHASES @ COST-FOOD</v>
      </c>
      <c r="C44" s="11"/>
      <c r="D44" s="2"/>
      <c r="E44" s="2"/>
      <c r="F44" s="19">
        <f t="shared" si="7"/>
        <v>0</v>
      </c>
      <c r="G44" s="2"/>
      <c r="H44" s="2"/>
      <c r="I44" s="2"/>
      <c r="J44" s="19">
        <f t="shared" si="8"/>
        <v>0</v>
      </c>
      <c r="K44" s="2"/>
      <c r="L44" s="2">
        <f t="shared" si="9"/>
        <v>0</v>
      </c>
      <c r="M44" s="2"/>
      <c r="N44" s="19">
        <f t="shared" si="10"/>
        <v>0</v>
      </c>
      <c r="O44" s="11"/>
      <c r="P44" s="2">
        <v>780.53</v>
      </c>
      <c r="Q44" s="2"/>
      <c r="R44" s="19">
        <f t="shared" si="11"/>
        <v>1.8510522501491518E-3</v>
      </c>
      <c r="S44" s="2"/>
      <c r="T44" s="2"/>
      <c r="U44" s="2"/>
      <c r="V44" s="19">
        <f t="shared" si="12"/>
        <v>0</v>
      </c>
      <c r="W44" s="2"/>
      <c r="X44" s="2">
        <f t="shared" si="13"/>
        <v>780.53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"5033", " - ", "PURCHASES @ COST-CANDY")</f>
        <v xml:space="preserve">          5033 - PURCHASES @ COST-CANDY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1119.08</v>
      </c>
      <c r="Q45" s="2"/>
      <c r="R45" s="19">
        <f t="shared" si="11"/>
        <v>2.6539345727863281E-3</v>
      </c>
      <c r="S45" s="2"/>
      <c r="T45" s="2"/>
      <c r="U45" s="2"/>
      <c r="V45" s="19">
        <f t="shared" si="12"/>
        <v>0</v>
      </c>
      <c r="W45" s="2"/>
      <c r="X45" s="2">
        <f t="shared" si="13"/>
        <v>1119.08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"5035", " - ", "PURCHASES @ COST-HEALTH &amp; BEAU")</f>
        <v xml:space="preserve">          5035 - PURCHASES @ COST-HEALTH &amp; BEAU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36.25</v>
      </c>
      <c r="Q46" s="2"/>
      <c r="R46" s="19">
        <f t="shared" si="11"/>
        <v>8.596805256416377E-5</v>
      </c>
      <c r="S46" s="2"/>
      <c r="T46" s="2"/>
      <c r="U46" s="2"/>
      <c r="V46" s="19">
        <f t="shared" si="12"/>
        <v>0</v>
      </c>
      <c r="W46" s="2"/>
      <c r="X46" s="2">
        <f t="shared" si="13"/>
        <v>36.25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-9684</v>
      </c>
      <c r="E47" s="2"/>
      <c r="F47" s="19">
        <f t="shared" si="7"/>
        <v>-0.9191762722675294</v>
      </c>
      <c r="G47" s="2"/>
      <c r="H47" s="2"/>
      <c r="I47" s="2"/>
      <c r="J47" s="19">
        <f t="shared" si="8"/>
        <v>0</v>
      </c>
      <c r="K47" s="2"/>
      <c r="L47" s="2">
        <f t="shared" si="9"/>
        <v>-9684</v>
      </c>
      <c r="M47" s="2"/>
      <c r="N47" s="19">
        <f t="shared" si="10"/>
        <v>0</v>
      </c>
      <c r="O47" s="11"/>
      <c r="P47" s="2">
        <v>-225111</v>
      </c>
      <c r="Q47" s="2"/>
      <c r="R47" s="19">
        <f t="shared" si="11"/>
        <v>-0.53385804912473023</v>
      </c>
      <c r="S47" s="2"/>
      <c r="T47" s="2"/>
      <c r="U47" s="2"/>
      <c r="V47" s="19">
        <f t="shared" si="12"/>
        <v>0</v>
      </c>
      <c r="W47" s="2"/>
      <c r="X47" s="2">
        <f t="shared" si="13"/>
        <v>-225111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30222</v>
      </c>
      <c r="E48" s="2"/>
      <c r="F48" s="19">
        <f t="shared" si="7"/>
        <v>2.8685817121508954</v>
      </c>
      <c r="G48" s="2"/>
      <c r="H48" s="2"/>
      <c r="I48" s="2"/>
      <c r="J48" s="19">
        <f t="shared" si="8"/>
        <v>0</v>
      </c>
      <c r="K48" s="2"/>
      <c r="L48" s="2">
        <f t="shared" si="9"/>
        <v>30222</v>
      </c>
      <c r="M48" s="2"/>
      <c r="N48" s="19">
        <f t="shared" si="10"/>
        <v>0</v>
      </c>
      <c r="O48" s="11"/>
      <c r="P48" s="2">
        <v>228540</v>
      </c>
      <c r="Q48" s="2"/>
      <c r="R48" s="19">
        <f t="shared" si="11"/>
        <v>0.541990034014179</v>
      </c>
      <c r="S48" s="2"/>
      <c r="T48" s="2"/>
      <c r="U48" s="2"/>
      <c r="V48" s="19">
        <f t="shared" si="12"/>
        <v>0</v>
      </c>
      <c r="W48" s="2"/>
      <c r="X48" s="2">
        <f t="shared" si="13"/>
        <v>228540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"5500", " - ", "FREIGHT-IN")</f>
        <v xml:space="preserve">          5500 - FREIGHT-IN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>
        <v>6</v>
      </c>
      <c r="Q49" s="2"/>
      <c r="R49" s="19">
        <f t="shared" si="11"/>
        <v>1.4229194907171935E-5</v>
      </c>
      <c r="S49" s="2"/>
      <c r="T49" s="2"/>
      <c r="U49" s="2"/>
      <c r="V49" s="19">
        <f t="shared" si="12"/>
        <v>0</v>
      </c>
      <c r="W49" s="2"/>
      <c r="X49" s="2">
        <f t="shared" si="13"/>
        <v>6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"5525", " - ", "FREIGHT-IN-TEST FORMS")</f>
        <v xml:space="preserve">          5525 - FREIGHT-IN-TEST FORMS</v>
      </c>
      <c r="C50" s="11"/>
      <c r="D50" s="2"/>
      <c r="E50" s="2"/>
      <c r="F50" s="19">
        <f t="shared" si="7"/>
        <v>0</v>
      </c>
      <c r="G50" s="2"/>
      <c r="H50" s="2"/>
      <c r="I50" s="2"/>
      <c r="J50" s="19">
        <f t="shared" si="8"/>
        <v>0</v>
      </c>
      <c r="K50" s="2"/>
      <c r="L50" s="2">
        <f t="shared" si="9"/>
        <v>0</v>
      </c>
      <c r="M50" s="2"/>
      <c r="N50" s="19">
        <f t="shared" si="10"/>
        <v>0</v>
      </c>
      <c r="O50" s="11"/>
      <c r="P50" s="2">
        <v>1614.32</v>
      </c>
      <c r="Q50" s="2"/>
      <c r="R50" s="19">
        <f t="shared" si="11"/>
        <v>3.8284123204242997E-3</v>
      </c>
      <c r="S50" s="2"/>
      <c r="T50" s="2"/>
      <c r="U50" s="2"/>
      <c r="V50" s="19">
        <f t="shared" si="12"/>
        <v>0</v>
      </c>
      <c r="W50" s="2"/>
      <c r="X50" s="2">
        <f t="shared" si="13"/>
        <v>1614.32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"5526", " - ", "FREIGHT-IN-WRITING INSTRUMENTS")</f>
        <v xml:space="preserve">          5526 - FREIGHT-IN-WRITING INSTRUMENTS</v>
      </c>
      <c r="C51" s="11"/>
      <c r="D51" s="2"/>
      <c r="E51" s="2"/>
      <c r="F51" s="19">
        <f t="shared" si="7"/>
        <v>0</v>
      </c>
      <c r="G51" s="2"/>
      <c r="H51" s="2"/>
      <c r="I51" s="2"/>
      <c r="J51" s="19">
        <f t="shared" si="8"/>
        <v>0</v>
      </c>
      <c r="K51" s="2"/>
      <c r="L51" s="2">
        <f t="shared" si="9"/>
        <v>0</v>
      </c>
      <c r="M51" s="2"/>
      <c r="N51" s="19">
        <f t="shared" si="10"/>
        <v>0</v>
      </c>
      <c r="O51" s="11"/>
      <c r="P51" s="2">
        <v>274.5</v>
      </c>
      <c r="Q51" s="2"/>
      <c r="R51" s="19">
        <f t="shared" si="11"/>
        <v>6.5098566700311602E-4</v>
      </c>
      <c r="S51" s="2"/>
      <c r="T51" s="2"/>
      <c r="U51" s="2"/>
      <c r="V51" s="19">
        <f t="shared" si="12"/>
        <v>0</v>
      </c>
      <c r="W51" s="2"/>
      <c r="X51" s="2">
        <f t="shared" si="13"/>
        <v>274.5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"5527", " - ", "FREIGHT-IN-SCHOOL SUPPLIES")</f>
        <v xml:space="preserve">          5527 - FREIGHT-IN-SCHOOL SUPPLIES</v>
      </c>
      <c r="C52" s="11"/>
      <c r="D52" s="2"/>
      <c r="E52" s="2"/>
      <c r="F52" s="19">
        <f t="shared" si="7"/>
        <v>0</v>
      </c>
      <c r="G52" s="2"/>
      <c r="H52" s="2"/>
      <c r="I52" s="2"/>
      <c r="J52" s="19">
        <f t="shared" si="8"/>
        <v>0</v>
      </c>
      <c r="K52" s="2"/>
      <c r="L52" s="2">
        <f t="shared" si="9"/>
        <v>0</v>
      </c>
      <c r="M52" s="2"/>
      <c r="N52" s="19">
        <f t="shared" si="10"/>
        <v>0</v>
      </c>
      <c r="O52" s="11"/>
      <c r="P52" s="2">
        <v>1438.72</v>
      </c>
      <c r="Q52" s="2"/>
      <c r="R52" s="19">
        <f t="shared" si="11"/>
        <v>3.4119712161410679E-3</v>
      </c>
      <c r="S52" s="2"/>
      <c r="T52" s="2"/>
      <c r="U52" s="2"/>
      <c r="V52" s="19">
        <f t="shared" si="12"/>
        <v>0</v>
      </c>
      <c r="W52" s="2"/>
      <c r="X52" s="2">
        <f t="shared" si="13"/>
        <v>1438.72</v>
      </c>
      <c r="Y52" s="2"/>
      <c r="Z52" s="19">
        <f t="shared" si="14"/>
        <v>0</v>
      </c>
    </row>
    <row r="53" spans="1:26" s="24" customFormat="1" hidden="1" outlineLevel="1" x14ac:dyDescent="0.25">
      <c r="A53" s="44"/>
      <c r="B53" s="11" t="str">
        <f>CONCATENATE("          ", "5528", " - ", "FREIGHT-IN-ART/TECH")</f>
        <v xml:space="preserve">          5528 - FREIGHT-IN-ART/TECH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100.78</v>
      </c>
      <c r="Q53" s="2"/>
      <c r="R53" s="19">
        <f t="shared" si="11"/>
        <v>2.3900304379079795E-4</v>
      </c>
      <c r="S53" s="2"/>
      <c r="T53" s="2"/>
      <c r="U53" s="2"/>
      <c r="V53" s="19">
        <f t="shared" si="12"/>
        <v>0</v>
      </c>
      <c r="W53" s="2"/>
      <c r="X53" s="2">
        <f t="shared" si="13"/>
        <v>100.78</v>
      </c>
      <c r="Y53" s="2"/>
      <c r="Z53" s="19">
        <f t="shared" si="14"/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9" t="s">
        <v>6</v>
      </c>
      <c r="C55" s="29"/>
      <c r="D55" s="22">
        <f>D12-D37</f>
        <v>-19686.18</v>
      </c>
      <c r="E55" s="14"/>
      <c r="F55" s="20">
        <f>IF(D$12=0,0,D55/D$12)</f>
        <v>-1.8685532370495241</v>
      </c>
      <c r="G55" s="14"/>
      <c r="H55" s="22">
        <f>H12-H37</f>
        <v>5516</v>
      </c>
      <c r="I55" s="14"/>
      <c r="J55" s="20">
        <f>IF(H$12=0,0,H55/H$12)</f>
        <v>0.48996269319594954</v>
      </c>
      <c r="K55" s="15"/>
      <c r="L55" s="22">
        <f>+D55-H55</f>
        <v>-25202.18</v>
      </c>
      <c r="M55" s="15"/>
      <c r="N55" s="20">
        <f>IF(H55=0,0,L55/H55)</f>
        <v>-4.5689231327048585</v>
      </c>
      <c r="O55" s="28"/>
      <c r="P55" s="22">
        <f>P12-P37</f>
        <v>193122.87999999998</v>
      </c>
      <c r="Q55" s="14"/>
      <c r="R55" s="20">
        <f>IF(P$12=0,0,P55/P$12)</f>
        <v>0.45799718342572943</v>
      </c>
      <c r="S55" s="14"/>
      <c r="T55" s="22">
        <f>T12-T37</f>
        <v>257151</v>
      </c>
      <c r="U55" s="14"/>
      <c r="V55" s="20">
        <f>IF(T$12=0,0,T55/T$12)</f>
        <v>0.48990754376572926</v>
      </c>
      <c r="W55" s="15"/>
      <c r="X55" s="22">
        <f>+P55-T55</f>
        <v>-64028.120000000024</v>
      </c>
      <c r="Y55" s="15"/>
      <c r="Z55" s="20">
        <f>IF(T55=0,0,X55/T55)</f>
        <v>-0.24899035974971914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8" t="s">
        <v>9</v>
      </c>
      <c r="C57" s="10"/>
      <c r="D57" s="21">
        <f>SUM(OSRRefD22x_0)</f>
        <v>32173.5</v>
      </c>
      <c r="E57" s="21"/>
      <c r="F57" s="32">
        <f t="shared" ref="F57:F68" si="15">IF(D$12=0,0,D57/D$12)</f>
        <v>3.053812246571598</v>
      </c>
      <c r="G57" s="21"/>
      <c r="H57" s="21">
        <f>SUM(OSRRefH22x_0)</f>
        <v>20021.091636344609</v>
      </c>
      <c r="I57" s="21"/>
      <c r="J57" s="32">
        <f t="shared" ref="J57:J68" si="16">IF(H$12=0,0,H57/H$12)</f>
        <v>1.7783879584601714</v>
      </c>
      <c r="K57" s="4"/>
      <c r="L57" s="21">
        <f t="shared" ref="L57:L68" si="17">+D57-H57</f>
        <v>12152.408363655391</v>
      </c>
      <c r="M57" s="4"/>
      <c r="N57" s="32">
        <f t="shared" ref="N57:N68" si="18">IF(H57=0,0,L57/H57)</f>
        <v>0.60698030778676071</v>
      </c>
      <c r="O57" s="10"/>
      <c r="P57" s="21">
        <f>SUM(OSRRefP22x_0)</f>
        <v>140416.28999999998</v>
      </c>
      <c r="Q57" s="21"/>
      <c r="R57" s="32">
        <f t="shared" ref="R57:R68" si="19">IF(P$12=0,0,P57/P$12)</f>
        <v>0.33300179309199623</v>
      </c>
      <c r="S57" s="21"/>
      <c r="T57" s="21">
        <f>SUM(OSRRefT22x_0)</f>
        <v>131289.48089587997</v>
      </c>
      <c r="U57" s="21"/>
      <c r="V57" s="32">
        <f t="shared" ref="V57:V68" si="20">IF(T$12=0,0,T57/T$12)</f>
        <v>0.25012427370680335</v>
      </c>
      <c r="W57" s="4"/>
      <c r="X57" s="21">
        <f t="shared" ref="X57:X68" si="21">+P57-T57</f>
        <v>9126.8091041200096</v>
      </c>
      <c r="Y57" s="4"/>
      <c r="Z57" s="32">
        <f t="shared" ref="Z57:Z68" si="22">IF(T57=0,0,X57/T57)</f>
        <v>6.9516682081773848E-2</v>
      </c>
    </row>
    <row r="58" spans="1:26" s="26" customFormat="1" outlineLevel="1" collapsed="1" x14ac:dyDescent="0.25">
      <c r="A58" s="25"/>
      <c r="B58" s="12" t="str">
        <f>CONCATENATE("     ","*Benefits                                         ")</f>
        <v xml:space="preserve">     *Benefits                                         </v>
      </c>
      <c r="C58" s="12"/>
      <c r="D58" s="1">
        <f>SUM(OSRRefD22_0x_0)</f>
        <v>2630.68</v>
      </c>
      <c r="E58" s="1"/>
      <c r="F58" s="5">
        <f t="shared" si="15"/>
        <v>0.24969626558537217</v>
      </c>
      <c r="G58" s="1"/>
      <c r="H58" s="1">
        <f>SUM(OSRRefH22_0x_0)</f>
        <v>1793.0240424984609</v>
      </c>
      <c r="I58" s="1"/>
      <c r="J58" s="5">
        <f t="shared" si="16"/>
        <v>0.15926665859819336</v>
      </c>
      <c r="K58" s="1"/>
      <c r="L58" s="1">
        <f t="shared" si="17"/>
        <v>837.65595750153898</v>
      </c>
      <c r="M58" s="1"/>
      <c r="N58" s="5">
        <f t="shared" si="18"/>
        <v>0.46717497236362798</v>
      </c>
      <c r="O58" s="12"/>
      <c r="P58" s="1">
        <f>SUM(OSRRefP22_0x_0)</f>
        <v>18557.940000000002</v>
      </c>
      <c r="Q58" s="1"/>
      <c r="R58" s="5">
        <f t="shared" si="19"/>
        <v>4.4010757555933727E-2</v>
      </c>
      <c r="S58" s="1"/>
      <c r="T58" s="1">
        <f>SUM(OSRRefT22_0x_0)</f>
        <v>20105.667175879997</v>
      </c>
      <c r="U58" s="1"/>
      <c r="V58" s="5">
        <f t="shared" si="20"/>
        <v>3.8304023791105681E-2</v>
      </c>
      <c r="W58" s="1"/>
      <c r="X58" s="1">
        <f t="shared" si="21"/>
        <v>-1547.7271758799943</v>
      </c>
      <c r="Y58" s="1"/>
      <c r="Z58" s="5">
        <f t="shared" si="22"/>
        <v>-7.6979647695389272E-2</v>
      </c>
    </row>
    <row r="59" spans="1:26" s="24" customFormat="1" hidden="1" outlineLevel="2" x14ac:dyDescent="0.25">
      <c r="A59" s="27"/>
      <c r="B59" s="11" t="str">
        <f>CONCATENATE("          ", "6111", " - ", "F.I.C.A.")</f>
        <v xml:space="preserve">          6111 - F.I.C.A.</v>
      </c>
      <c r="C59" s="11"/>
      <c r="D59" s="6">
        <v>318.24</v>
      </c>
      <c r="E59" s="2"/>
      <c r="F59" s="7">
        <f t="shared" si="15"/>
        <v>3.0206387534739629E-2</v>
      </c>
      <c r="G59" s="2"/>
      <c r="H59" s="6">
        <v>457.68057714461503</v>
      </c>
      <c r="I59" s="2"/>
      <c r="J59" s="7">
        <f t="shared" si="16"/>
        <v>4.0653808593410466E-2</v>
      </c>
      <c r="K59" s="2"/>
      <c r="L59" s="6">
        <f t="shared" si="17"/>
        <v>-139.44057714461502</v>
      </c>
      <c r="M59" s="2"/>
      <c r="N59" s="7">
        <f t="shared" si="18"/>
        <v>-0.3046678930850838</v>
      </c>
      <c r="O59" s="11"/>
      <c r="P59" s="6">
        <v>3894.14</v>
      </c>
      <c r="Q59" s="2"/>
      <c r="R59" s="7">
        <f t="shared" si="19"/>
        <v>9.2350795093024199E-3</v>
      </c>
      <c r="S59" s="2"/>
      <c r="T59" s="6">
        <v>3295.2957802799961</v>
      </c>
      <c r="U59" s="2"/>
      <c r="V59" s="7">
        <f t="shared" si="20"/>
        <v>6.2779855481742055E-3</v>
      </c>
      <c r="W59" s="2"/>
      <c r="X59" s="6">
        <f t="shared" si="21"/>
        <v>598.84421972000382</v>
      </c>
      <c r="Y59" s="2"/>
      <c r="Z59" s="7">
        <f t="shared" si="22"/>
        <v>0.18172700104908973</v>
      </c>
    </row>
    <row r="60" spans="1:26" s="24" customFormat="1" hidden="1" outlineLevel="2" x14ac:dyDescent="0.25">
      <c r="A60" s="27"/>
      <c r="B60" s="11" t="str">
        <f>CONCATENATE("          ", "6112", " - ", "COMPENSATION INSURANCE")</f>
        <v xml:space="preserve">          6112 - COMPENSATION INSURANCE</v>
      </c>
      <c r="C60" s="11"/>
      <c r="D60" s="6">
        <v>79.040000000000006</v>
      </c>
      <c r="E60" s="2"/>
      <c r="F60" s="7">
        <f t="shared" si="15"/>
        <v>7.5022400413078819E-3</v>
      </c>
      <c r="G60" s="2"/>
      <c r="H60" s="6">
        <v>113.62774030769201</v>
      </c>
      <c r="I60" s="2"/>
      <c r="J60" s="7">
        <f t="shared" si="16"/>
        <v>1.0093066291321017E-2</v>
      </c>
      <c r="K60" s="2"/>
      <c r="L60" s="6">
        <f t="shared" si="17"/>
        <v>-34.587740307692002</v>
      </c>
      <c r="M60" s="2"/>
      <c r="N60" s="7">
        <f t="shared" si="18"/>
        <v>-0.30439521382746876</v>
      </c>
      <c r="O60" s="11"/>
      <c r="P60" s="6">
        <v>1508.41</v>
      </c>
      <c r="Q60" s="2"/>
      <c r="R60" s="7">
        <f t="shared" si="19"/>
        <v>3.5772433149878699E-3</v>
      </c>
      <c r="S60" s="2"/>
      <c r="T60" s="6">
        <v>1622.490388999996</v>
      </c>
      <c r="U60" s="2"/>
      <c r="V60" s="7">
        <f t="shared" si="20"/>
        <v>3.0910643211906259E-3</v>
      </c>
      <c r="W60" s="2"/>
      <c r="X60" s="6">
        <f t="shared" si="21"/>
        <v>-114.08038899999588</v>
      </c>
      <c r="Y60" s="2"/>
      <c r="Z60" s="7">
        <f t="shared" si="22"/>
        <v>-7.0311904325244146E-2</v>
      </c>
    </row>
    <row r="61" spans="1:26" s="24" customFormat="1" hidden="1" outlineLevel="2" x14ac:dyDescent="0.25">
      <c r="A61" s="27"/>
      <c r="B61" s="11" t="str">
        <f>CONCATENATE("          ", "6113", " - ", "GROUP INSURANCE")</f>
        <v xml:space="preserve">          6113 - GROUP INSURANCE</v>
      </c>
      <c r="C61" s="11"/>
      <c r="D61" s="6">
        <v>1367.58</v>
      </c>
      <c r="E61" s="2"/>
      <c r="F61" s="7">
        <f t="shared" si="15"/>
        <v>0.12980659711148573</v>
      </c>
      <c r="G61" s="2"/>
      <c r="H61" s="6">
        <v>790.8</v>
      </c>
      <c r="I61" s="2"/>
      <c r="J61" s="7">
        <f t="shared" si="16"/>
        <v>7.0243382483567235E-2</v>
      </c>
      <c r="K61" s="2"/>
      <c r="L61" s="6">
        <f t="shared" si="17"/>
        <v>576.78</v>
      </c>
      <c r="M61" s="2"/>
      <c r="N61" s="7">
        <f t="shared" si="18"/>
        <v>0.72936267071320182</v>
      </c>
      <c r="O61" s="11"/>
      <c r="P61" s="6">
        <v>12765.44</v>
      </c>
      <c r="Q61" s="2"/>
      <c r="R61" s="7">
        <f t="shared" si="19"/>
        <v>3.0273655639301487E-2</v>
      </c>
      <c r="S61" s="2"/>
      <c r="T61" s="6">
        <v>9489.6</v>
      </c>
      <c r="U61" s="2"/>
      <c r="V61" s="7">
        <f t="shared" si="20"/>
        <v>1.8078975494239823E-2</v>
      </c>
      <c r="W61" s="2"/>
      <c r="X61" s="6">
        <f t="shared" si="21"/>
        <v>3275.84</v>
      </c>
      <c r="Y61" s="2"/>
      <c r="Z61" s="7">
        <f t="shared" si="22"/>
        <v>0.34520316978587084</v>
      </c>
    </row>
    <row r="62" spans="1:26" s="24" customFormat="1" hidden="1" outlineLevel="2" x14ac:dyDescent="0.25">
      <c r="A62" s="27"/>
      <c r="B62" s="11" t="str">
        <f>CONCATENATE("          ", "6114", " - ", "STATE UNEMPLOYMENT INSURANCE")</f>
        <v xml:space="preserve">          6114 - STATE UNEMPLOYMENT INSURANCE</v>
      </c>
      <c r="C62" s="11"/>
      <c r="D62" s="6">
        <v>-215.17</v>
      </c>
      <c r="E62" s="2"/>
      <c r="F62" s="7">
        <f t="shared" si="15"/>
        <v>-2.0423291873585738E-2</v>
      </c>
      <c r="G62" s="2"/>
      <c r="H62" s="6">
        <v>15.5490592</v>
      </c>
      <c r="I62" s="2"/>
      <c r="J62" s="7">
        <f t="shared" si="16"/>
        <v>1.3811564398649849E-3</v>
      </c>
      <c r="K62" s="2"/>
      <c r="L62" s="6">
        <f t="shared" si="17"/>
        <v>-230.71905919999998</v>
      </c>
      <c r="M62" s="2"/>
      <c r="N62" s="7">
        <f t="shared" si="18"/>
        <v>-14.838136264861605</v>
      </c>
      <c r="O62" s="11"/>
      <c r="P62" s="6">
        <v>0</v>
      </c>
      <c r="Q62" s="2"/>
      <c r="R62" s="7">
        <f t="shared" si="19"/>
        <v>0</v>
      </c>
      <c r="S62" s="2"/>
      <c r="T62" s="6">
        <v>222.0250006</v>
      </c>
      <c r="U62" s="2"/>
      <c r="V62" s="7">
        <f t="shared" si="20"/>
        <v>4.2298774921556041E-4</v>
      </c>
      <c r="W62" s="2"/>
      <c r="X62" s="6">
        <f t="shared" si="21"/>
        <v>-222.0250006</v>
      </c>
      <c r="Y62" s="2"/>
      <c r="Z62" s="7">
        <f t="shared" si="22"/>
        <v>-1</v>
      </c>
    </row>
    <row r="63" spans="1:26" s="24" customFormat="1" hidden="1" outlineLevel="2" x14ac:dyDescent="0.25">
      <c r="A63" s="27"/>
      <c r="B63" s="11" t="str">
        <f>CONCATENATE("          ", "6115", " - ", "P.E.R.S.")</f>
        <v xml:space="preserve">          6115 - P.E.R.S.</v>
      </c>
      <c r="C63" s="11"/>
      <c r="D63" s="6">
        <v>425.19</v>
      </c>
      <c r="E63" s="2"/>
      <c r="F63" s="7">
        <f t="shared" si="15"/>
        <v>4.0357761173629783E-2</v>
      </c>
      <c r="G63" s="2"/>
      <c r="H63" s="6">
        <v>196.01527507692302</v>
      </c>
      <c r="I63" s="2"/>
      <c r="J63" s="7">
        <f t="shared" si="16"/>
        <v>1.7411198709977174E-2</v>
      </c>
      <c r="K63" s="2"/>
      <c r="L63" s="6">
        <f t="shared" si="17"/>
        <v>229.17472492307698</v>
      </c>
      <c r="M63" s="2"/>
      <c r="N63" s="7">
        <f t="shared" si="18"/>
        <v>1.1691676826366775</v>
      </c>
      <c r="O63" s="11"/>
      <c r="P63" s="6">
        <v>3263.92</v>
      </c>
      <c r="Q63" s="2"/>
      <c r="R63" s="7">
        <f t="shared" si="19"/>
        <v>7.7404923069027704E-3</v>
      </c>
      <c r="S63" s="2"/>
      <c r="T63" s="6">
        <v>2548.1985759999998</v>
      </c>
      <c r="U63" s="2"/>
      <c r="V63" s="7">
        <f t="shared" si="20"/>
        <v>4.8546640121776268E-3</v>
      </c>
      <c r="W63" s="2"/>
      <c r="X63" s="6">
        <f t="shared" si="21"/>
        <v>715.7214240000003</v>
      </c>
      <c r="Y63" s="2"/>
      <c r="Z63" s="7">
        <f t="shared" si="22"/>
        <v>0.28087348872296064</v>
      </c>
    </row>
    <row r="64" spans="1:26" s="24" customFormat="1" hidden="1" outlineLevel="2" x14ac:dyDescent="0.25">
      <c r="A64" s="27"/>
      <c r="B64" s="11" t="str">
        <f>CONCATENATE("          ", "6116", " - ", "EDUCATIONAL BENEFITS")</f>
        <v xml:space="preserve">          6116 - EDUCATIONAL BENEFITS</v>
      </c>
      <c r="C64" s="11"/>
      <c r="D64" s="6"/>
      <c r="E64" s="2"/>
      <c r="F64" s="7">
        <f t="shared" si="15"/>
        <v>0</v>
      </c>
      <c r="G64" s="2"/>
      <c r="H64" s="6">
        <v>0</v>
      </c>
      <c r="I64" s="2"/>
      <c r="J64" s="7">
        <f t="shared" si="16"/>
        <v>0</v>
      </c>
      <c r="K64" s="2"/>
      <c r="L64" s="6">
        <f t="shared" si="17"/>
        <v>0</v>
      </c>
      <c r="M64" s="2"/>
      <c r="N64" s="7">
        <f t="shared" si="18"/>
        <v>0</v>
      </c>
      <c r="O64" s="11"/>
      <c r="P64" s="6"/>
      <c r="Q64" s="2"/>
      <c r="R64" s="7">
        <f t="shared" si="19"/>
        <v>0</v>
      </c>
      <c r="S64" s="2"/>
      <c r="T64" s="6">
        <v>0</v>
      </c>
      <c r="U64" s="2"/>
      <c r="V64" s="7">
        <f t="shared" si="20"/>
        <v>0</v>
      </c>
      <c r="W64" s="2"/>
      <c r="X64" s="6">
        <f t="shared" si="21"/>
        <v>0</v>
      </c>
      <c r="Y64" s="2"/>
      <c r="Z64" s="7">
        <f t="shared" si="22"/>
        <v>0</v>
      </c>
    </row>
    <row r="65" spans="1:26" s="24" customFormat="1" hidden="1" outlineLevel="2" x14ac:dyDescent="0.25">
      <c r="A65" s="27"/>
      <c r="B65" s="11" t="str">
        <f>CONCATENATE("          ", "6117", " - ", "RETIREMENT STAFF HOURLY")</f>
        <v xml:space="preserve">          6117 - RETIREMENT STAFF HOURLY</v>
      </c>
      <c r="C65" s="11"/>
      <c r="D65" s="6"/>
      <c r="E65" s="2"/>
      <c r="F65" s="7">
        <f t="shared" si="15"/>
        <v>0</v>
      </c>
      <c r="G65" s="2"/>
      <c r="H65" s="6"/>
      <c r="I65" s="2"/>
      <c r="J65" s="7">
        <f t="shared" si="16"/>
        <v>0</v>
      </c>
      <c r="K65" s="2"/>
      <c r="L65" s="6">
        <f t="shared" si="17"/>
        <v>0</v>
      </c>
      <c r="M65" s="2"/>
      <c r="N65" s="7">
        <f t="shared" si="18"/>
        <v>0</v>
      </c>
      <c r="O65" s="11"/>
      <c r="P65" s="6">
        <v>46.65</v>
      </c>
      <c r="Q65" s="2"/>
      <c r="R65" s="7">
        <f t="shared" si="19"/>
        <v>1.1063199040326179E-4</v>
      </c>
      <c r="S65" s="2"/>
      <c r="T65" s="6"/>
      <c r="U65" s="2"/>
      <c r="V65" s="7">
        <f t="shared" si="20"/>
        <v>0</v>
      </c>
      <c r="W65" s="2"/>
      <c r="X65" s="6">
        <f t="shared" si="21"/>
        <v>46.65</v>
      </c>
      <c r="Y65" s="2"/>
      <c r="Z65" s="7">
        <f t="shared" si="22"/>
        <v>0</v>
      </c>
    </row>
    <row r="66" spans="1:26" s="24" customFormat="1" hidden="1" outlineLevel="2" x14ac:dyDescent="0.25">
      <c r="A66" s="27"/>
      <c r="B66" s="11" t="str">
        <f>CONCATENATE("          ", "6118", " - ", "VACATION")</f>
        <v xml:space="preserve">          6118 - VACATION</v>
      </c>
      <c r="C66" s="11"/>
      <c r="D66" s="6">
        <v>335.92</v>
      </c>
      <c r="E66" s="2"/>
      <c r="F66" s="7">
        <f t="shared" si="15"/>
        <v>3.1884520175558498E-2</v>
      </c>
      <c r="G66" s="2"/>
      <c r="H66" s="6">
        <v>113.962369230769</v>
      </c>
      <c r="I66" s="2"/>
      <c r="J66" s="7">
        <f t="shared" si="16"/>
        <v>1.012278994766113E-2</v>
      </c>
      <c r="K66" s="2"/>
      <c r="L66" s="6">
        <f t="shared" si="17"/>
        <v>221.957630769231</v>
      </c>
      <c r="M66" s="2"/>
      <c r="N66" s="7">
        <f t="shared" si="18"/>
        <v>1.9476396662110116</v>
      </c>
      <c r="O66" s="11"/>
      <c r="P66" s="6">
        <v>2749.48</v>
      </c>
      <c r="Q66" s="2"/>
      <c r="R66" s="7">
        <f t="shared" si="19"/>
        <v>6.5204811355618489E-3</v>
      </c>
      <c r="S66" s="2"/>
      <c r="T66" s="6">
        <v>1481.5108</v>
      </c>
      <c r="U66" s="2"/>
      <c r="V66" s="7">
        <f t="shared" si="20"/>
        <v>2.8224790768474578E-3</v>
      </c>
      <c r="W66" s="2"/>
      <c r="X66" s="6">
        <f t="shared" si="21"/>
        <v>1267.9692</v>
      </c>
      <c r="Y66" s="2"/>
      <c r="Z66" s="7">
        <f t="shared" si="22"/>
        <v>0.85586227248562752</v>
      </c>
    </row>
    <row r="67" spans="1:26" s="24" customFormat="1" hidden="1" outlineLevel="2" x14ac:dyDescent="0.25">
      <c r="A67" s="27"/>
      <c r="B67" s="11" t="str">
        <f>CONCATENATE("          ", "6119", " - ", "SICK LEAVE")</f>
        <v xml:space="preserve">          6119 - SICK LEAVE</v>
      </c>
      <c r="C67" s="11"/>
      <c r="D67" s="6">
        <v>191.88</v>
      </c>
      <c r="E67" s="2"/>
      <c r="F67" s="7">
        <f t="shared" si="15"/>
        <v>1.8212674837122422E-2</v>
      </c>
      <c r="G67" s="2"/>
      <c r="H67" s="6">
        <v>105.389021538462</v>
      </c>
      <c r="I67" s="2"/>
      <c r="J67" s="7">
        <f t="shared" si="16"/>
        <v>9.3612561323913671E-3</v>
      </c>
      <c r="K67" s="2"/>
      <c r="L67" s="6">
        <f t="shared" si="17"/>
        <v>86.490978461537992</v>
      </c>
      <c r="M67" s="2"/>
      <c r="N67" s="7">
        <f t="shared" si="18"/>
        <v>0.82068300093262447</v>
      </c>
      <c r="O67" s="11"/>
      <c r="P67" s="6">
        <v>-6282.95</v>
      </c>
      <c r="Q67" s="2"/>
      <c r="R67" s="7">
        <f t="shared" si="19"/>
        <v>-1.4900220023669319E-2</v>
      </c>
      <c r="S67" s="2"/>
      <c r="T67" s="6">
        <v>1446.5466300000039</v>
      </c>
      <c r="U67" s="2"/>
      <c r="V67" s="7">
        <f t="shared" si="20"/>
        <v>2.7558675892603766E-3</v>
      </c>
      <c r="W67" s="2"/>
      <c r="X67" s="6">
        <f t="shared" si="21"/>
        <v>-7729.4966300000033</v>
      </c>
      <c r="Y67" s="2"/>
      <c r="Z67" s="7">
        <f t="shared" si="22"/>
        <v>-5.3434133886164332</v>
      </c>
    </row>
    <row r="68" spans="1:26" s="24" customFormat="1" hidden="1" outlineLevel="2" x14ac:dyDescent="0.25">
      <c r="A68" s="27"/>
      <c r="B68" s="11" t="str">
        <f>CONCATENATE("          ", "6156", " - ", "EMPLOYEE MEALS")</f>
        <v xml:space="preserve">          6156 - EMPLOYEE MEALS</v>
      </c>
      <c r="C68" s="11"/>
      <c r="D68" s="6">
        <v>128</v>
      </c>
      <c r="E68" s="2"/>
      <c r="F68" s="7">
        <f t="shared" si="15"/>
        <v>1.2149376585113978E-2</v>
      </c>
      <c r="G68" s="2"/>
      <c r="H68" s="6"/>
      <c r="I68" s="2"/>
      <c r="J68" s="7">
        <f t="shared" si="16"/>
        <v>0</v>
      </c>
      <c r="K68" s="2"/>
      <c r="L68" s="6">
        <f t="shared" si="17"/>
        <v>128</v>
      </c>
      <c r="M68" s="2"/>
      <c r="N68" s="7">
        <f t="shared" si="18"/>
        <v>0</v>
      </c>
      <c r="O68" s="11"/>
      <c r="P68" s="6">
        <v>612.85</v>
      </c>
      <c r="Q68" s="2"/>
      <c r="R68" s="7">
        <f t="shared" si="19"/>
        <v>1.4533936831433868E-3</v>
      </c>
      <c r="S68" s="2"/>
      <c r="T68" s="6"/>
      <c r="U68" s="2"/>
      <c r="V68" s="7">
        <f t="shared" si="20"/>
        <v>0</v>
      </c>
      <c r="W68" s="2"/>
      <c r="X68" s="6">
        <f t="shared" si="21"/>
        <v>612.85</v>
      </c>
      <c r="Y68" s="2"/>
      <c r="Z68" s="7">
        <f t="shared" si="22"/>
        <v>0</v>
      </c>
    </row>
    <row r="69" spans="1:26" s="26" customFormat="1" outlineLevel="1" collapsed="1" x14ac:dyDescent="0.25">
      <c r="A69" s="25"/>
      <c r="B69" s="12" t="str">
        <f>CONCATENATE("     ","*Payroll                                          ")</f>
        <v xml:space="preserve">     *Payroll                                          </v>
      </c>
      <c r="C69" s="12"/>
      <c r="D69" s="1">
        <f>SUM(OSRRefD22_1x_0)</f>
        <v>3952</v>
      </c>
      <c r="E69" s="1"/>
      <c r="F69" s="5">
        <f t="shared" ref="F69:F79" si="23">IF(D$12=0,0,D69/D$12)</f>
        <v>0.37511200206539408</v>
      </c>
      <c r="G69" s="1"/>
      <c r="H69" s="1">
        <f>SUM(OSRRefH22_1x_0)</f>
        <v>5798.06759384615</v>
      </c>
      <c r="I69" s="1"/>
      <c r="J69" s="5">
        <f t="shared" ref="J69:J79" si="24">IF(H$12=0,0,H69/H$12)</f>
        <v>0.51501755141642835</v>
      </c>
      <c r="K69" s="1"/>
      <c r="L69" s="1">
        <f t="shared" ref="L69:L79" si="25">+D69-H69</f>
        <v>-1846.06759384615</v>
      </c>
      <c r="M69" s="1"/>
      <c r="N69" s="5">
        <f t="shared" ref="N69:N79" si="26">IF(H69=0,0,L69/H69)</f>
        <v>-0.31839359648126497</v>
      </c>
      <c r="O69" s="12"/>
      <c r="P69" s="1">
        <f>SUM(OSRRefP22_1x_0)</f>
        <v>82930.859999999986</v>
      </c>
      <c r="Q69" s="1"/>
      <c r="R69" s="5">
        <f t="shared" ref="R69:R79" si="27">IF(P$12=0,0,P69/P$12)</f>
        <v>0.1966732284598981</v>
      </c>
      <c r="S69" s="1"/>
      <c r="T69" s="1">
        <f>SUM(OSRRefT22_1x_0)</f>
        <v>83023.813719999976</v>
      </c>
      <c r="U69" s="1"/>
      <c r="V69" s="5">
        <f t="shared" ref="V69:V79" si="28">IF(T$12=0,0,T69/T$12)</f>
        <v>0.15817162932918263</v>
      </c>
      <c r="W69" s="1"/>
      <c r="X69" s="1">
        <f t="shared" ref="X69:X79" si="29">+P69-T69</f>
        <v>-92.953719999990426</v>
      </c>
      <c r="Y69" s="1"/>
      <c r="Z69" s="5">
        <f t="shared" ref="Z69:Z79" si="30">IF(T69=0,0,X69/T69)</f>
        <v>-1.119603109458201E-3</v>
      </c>
    </row>
    <row r="70" spans="1:26" s="24" customFormat="1" hidden="1" outlineLevel="2" x14ac:dyDescent="0.25">
      <c r="A70" s="27"/>
      <c r="B70" s="11" t="str">
        <f>CONCATENATE("          ", "6001", " - ", "ADMINISTRATIVE SALARIES")</f>
        <v xml:space="preserve">          6001 - ADMINISTRATIVE SALARIES</v>
      </c>
      <c r="C70" s="11"/>
      <c r="D70" s="6"/>
      <c r="E70" s="2"/>
      <c r="F70" s="7">
        <f t="shared" si="23"/>
        <v>0</v>
      </c>
      <c r="G70" s="2"/>
      <c r="H70" s="6">
        <v>2096.9075938461501</v>
      </c>
      <c r="I70" s="2"/>
      <c r="J70" s="7">
        <f t="shared" si="24"/>
        <v>0.18625933503696485</v>
      </c>
      <c r="K70" s="2"/>
      <c r="L70" s="6">
        <f t="shared" si="25"/>
        <v>-2096.9075938461501</v>
      </c>
      <c r="M70" s="2"/>
      <c r="N70" s="7">
        <f t="shared" si="26"/>
        <v>-1</v>
      </c>
      <c r="O70" s="11"/>
      <c r="P70" s="6"/>
      <c r="Q70" s="2"/>
      <c r="R70" s="7">
        <f t="shared" si="27"/>
        <v>0</v>
      </c>
      <c r="S70" s="2"/>
      <c r="T70" s="6">
        <v>27259.798719999962</v>
      </c>
      <c r="U70" s="2"/>
      <c r="V70" s="7">
        <f t="shared" si="28"/>
        <v>5.1933615013993149E-2</v>
      </c>
      <c r="W70" s="2"/>
      <c r="X70" s="6">
        <f t="shared" si="29"/>
        <v>-27259.798719999962</v>
      </c>
      <c r="Y70" s="2"/>
      <c r="Z70" s="7">
        <f t="shared" si="30"/>
        <v>-1</v>
      </c>
    </row>
    <row r="71" spans="1:26" s="24" customFormat="1" hidden="1" outlineLevel="2" x14ac:dyDescent="0.25">
      <c r="A71" s="27"/>
      <c r="B71" s="11" t="str">
        <f>CONCATENATE("          ", "6002", " - ", "STAFF SALARIES")</f>
        <v xml:space="preserve">          6002 - STAFF SALARIES</v>
      </c>
      <c r="C71" s="11"/>
      <c r="D71" s="6">
        <v>3952</v>
      </c>
      <c r="E71" s="2"/>
      <c r="F71" s="7">
        <f t="shared" si="23"/>
        <v>0.37511200206539408</v>
      </c>
      <c r="G71" s="2"/>
      <c r="H71" s="6">
        <v>0</v>
      </c>
      <c r="I71" s="2"/>
      <c r="J71" s="7">
        <f t="shared" si="24"/>
        <v>0</v>
      </c>
      <c r="K71" s="2"/>
      <c r="L71" s="6">
        <f t="shared" si="25"/>
        <v>3952</v>
      </c>
      <c r="M71" s="2"/>
      <c r="N71" s="7">
        <f t="shared" si="26"/>
        <v>0</v>
      </c>
      <c r="O71" s="11"/>
      <c r="P71" s="6">
        <v>38729.009999999995</v>
      </c>
      <c r="Q71" s="2"/>
      <c r="R71" s="7">
        <f t="shared" si="27"/>
        <v>9.1847105308635144E-2</v>
      </c>
      <c r="S71" s="2"/>
      <c r="T71" s="6">
        <v>0</v>
      </c>
      <c r="U71" s="2"/>
      <c r="V71" s="7">
        <f t="shared" si="28"/>
        <v>0</v>
      </c>
      <c r="W71" s="2"/>
      <c r="X71" s="6">
        <f t="shared" si="29"/>
        <v>38729.009999999995</v>
      </c>
      <c r="Y71" s="2"/>
      <c r="Z71" s="7">
        <f t="shared" si="30"/>
        <v>0</v>
      </c>
    </row>
    <row r="72" spans="1:26" s="24" customFormat="1" hidden="1" outlineLevel="2" x14ac:dyDescent="0.25">
      <c r="A72" s="27"/>
      <c r="B72" s="11" t="str">
        <f>CONCATENATE("          ", "6003", " - ", "STAFF HOURLY-9 MONTH")</f>
        <v xml:space="preserve">          6003 - STAFF HOURLY-9 MONTH</v>
      </c>
      <c r="C72" s="11"/>
      <c r="D72" s="6"/>
      <c r="E72" s="2"/>
      <c r="F72" s="7">
        <f t="shared" si="23"/>
        <v>0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0</v>
      </c>
      <c r="M72" s="2"/>
      <c r="N72" s="7">
        <f t="shared" si="26"/>
        <v>0</v>
      </c>
      <c r="O72" s="11"/>
      <c r="P72" s="6"/>
      <c r="Q72" s="2"/>
      <c r="R72" s="7">
        <f t="shared" si="27"/>
        <v>0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0</v>
      </c>
      <c r="Y72" s="2"/>
      <c r="Z72" s="7">
        <f t="shared" si="30"/>
        <v>0</v>
      </c>
    </row>
    <row r="73" spans="1:26" s="24" customFormat="1" hidden="1" outlineLevel="2" x14ac:dyDescent="0.25">
      <c r="A73" s="27"/>
      <c r="B73" s="11" t="str">
        <f>CONCATENATE("          ", "6004", " - ", "STAFF HOURLY")</f>
        <v xml:space="preserve">          6004 - STAFF HOURLY</v>
      </c>
      <c r="C73" s="11"/>
      <c r="D73" s="6"/>
      <c r="E73" s="2"/>
      <c r="F73" s="7">
        <f t="shared" si="23"/>
        <v>0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0</v>
      </c>
      <c r="M73" s="2"/>
      <c r="N73" s="7">
        <f t="shared" si="26"/>
        <v>0</v>
      </c>
      <c r="O73" s="11"/>
      <c r="P73" s="6">
        <v>-48</v>
      </c>
      <c r="Q73" s="2"/>
      <c r="R73" s="7">
        <f t="shared" si="27"/>
        <v>-1.1383355925737548E-4</v>
      </c>
      <c r="S73" s="2"/>
      <c r="T73" s="6">
        <v>0</v>
      </c>
      <c r="U73" s="2"/>
      <c r="V73" s="7">
        <f t="shared" si="28"/>
        <v>0</v>
      </c>
      <c r="W73" s="2"/>
      <c r="X73" s="6">
        <f t="shared" si="29"/>
        <v>-48</v>
      </c>
      <c r="Y73" s="2"/>
      <c r="Z73" s="7">
        <f t="shared" si="30"/>
        <v>0</v>
      </c>
    </row>
    <row r="74" spans="1:26" s="24" customFormat="1" hidden="1" outlineLevel="2" x14ac:dyDescent="0.25">
      <c r="A74" s="27"/>
      <c r="B74" s="11" t="str">
        <f>CONCATENATE("          ", "6005", " - ", "TEMPORARY WAGES-HOURLY")</f>
        <v xml:space="preserve">          6005 - TEMPORARY WAGES-HOURLY</v>
      </c>
      <c r="C74" s="11"/>
      <c r="D74" s="6"/>
      <c r="E74" s="2"/>
      <c r="F74" s="7">
        <f t="shared" si="23"/>
        <v>0</v>
      </c>
      <c r="G74" s="2"/>
      <c r="H74" s="6">
        <v>0</v>
      </c>
      <c r="I74" s="2"/>
      <c r="J74" s="7">
        <f t="shared" si="24"/>
        <v>0</v>
      </c>
      <c r="K74" s="2"/>
      <c r="L74" s="6">
        <f t="shared" si="25"/>
        <v>0</v>
      </c>
      <c r="M74" s="2"/>
      <c r="N74" s="7">
        <f t="shared" si="26"/>
        <v>0</v>
      </c>
      <c r="O74" s="11"/>
      <c r="P74" s="6"/>
      <c r="Q74" s="2"/>
      <c r="R74" s="7">
        <f t="shared" si="27"/>
        <v>0</v>
      </c>
      <c r="S74" s="2"/>
      <c r="T74" s="6">
        <v>0</v>
      </c>
      <c r="U74" s="2"/>
      <c r="V74" s="7">
        <f t="shared" si="28"/>
        <v>0</v>
      </c>
      <c r="W74" s="2"/>
      <c r="X74" s="6">
        <f t="shared" si="29"/>
        <v>0</v>
      </c>
      <c r="Y74" s="2"/>
      <c r="Z74" s="7">
        <f t="shared" si="30"/>
        <v>0</v>
      </c>
    </row>
    <row r="75" spans="1:26" s="24" customFormat="1" hidden="1" outlineLevel="2" x14ac:dyDescent="0.25">
      <c r="A75" s="27"/>
      <c r="B75" s="11" t="str">
        <f>CONCATENATE("          ", "6006", " - ", "TEMPORARY PART TIME")</f>
        <v xml:space="preserve">          6006 - TEMPORARY PART TIME</v>
      </c>
      <c r="C75" s="11"/>
      <c r="D75" s="6"/>
      <c r="E75" s="2"/>
      <c r="F75" s="7">
        <f t="shared" si="23"/>
        <v>0</v>
      </c>
      <c r="G75" s="2"/>
      <c r="H75" s="6">
        <v>0</v>
      </c>
      <c r="I75" s="2"/>
      <c r="J75" s="7">
        <f t="shared" si="24"/>
        <v>0</v>
      </c>
      <c r="K75" s="2"/>
      <c r="L75" s="6">
        <f t="shared" si="25"/>
        <v>0</v>
      </c>
      <c r="M75" s="2"/>
      <c r="N75" s="7">
        <f t="shared" si="26"/>
        <v>0</v>
      </c>
      <c r="O75" s="11"/>
      <c r="P75" s="6"/>
      <c r="Q75" s="2"/>
      <c r="R75" s="7">
        <f t="shared" si="27"/>
        <v>0</v>
      </c>
      <c r="S75" s="2"/>
      <c r="T75" s="6">
        <v>0</v>
      </c>
      <c r="U75" s="2"/>
      <c r="V75" s="7">
        <f t="shared" si="28"/>
        <v>0</v>
      </c>
      <c r="W75" s="2"/>
      <c r="X75" s="6">
        <f t="shared" si="29"/>
        <v>0</v>
      </c>
      <c r="Y75" s="2"/>
      <c r="Z75" s="7">
        <f t="shared" si="30"/>
        <v>0</v>
      </c>
    </row>
    <row r="76" spans="1:26" s="24" customFormat="1" hidden="1" outlineLevel="2" x14ac:dyDescent="0.25">
      <c r="A76" s="27"/>
      <c r="B76" s="11" t="str">
        <f>CONCATENATE("          ", "6007", " - ", "STUDENT HOURLY")</f>
        <v xml:space="preserve">          6007 - STUDENT HOURLY</v>
      </c>
      <c r="C76" s="11"/>
      <c r="D76" s="6"/>
      <c r="E76" s="2"/>
      <c r="F76" s="7">
        <f t="shared" si="23"/>
        <v>0</v>
      </c>
      <c r="G76" s="2"/>
      <c r="H76" s="6">
        <v>3701.16</v>
      </c>
      <c r="I76" s="2"/>
      <c r="J76" s="7">
        <f t="shared" si="24"/>
        <v>0.32875821637946345</v>
      </c>
      <c r="K76" s="2"/>
      <c r="L76" s="6">
        <f t="shared" si="25"/>
        <v>-3701.16</v>
      </c>
      <c r="M76" s="2"/>
      <c r="N76" s="7">
        <f t="shared" si="26"/>
        <v>-1</v>
      </c>
      <c r="O76" s="11"/>
      <c r="P76" s="6">
        <v>44249.85</v>
      </c>
      <c r="Q76" s="2"/>
      <c r="R76" s="7">
        <f t="shared" si="27"/>
        <v>0.10493995671052034</v>
      </c>
      <c r="S76" s="2"/>
      <c r="T76" s="6">
        <v>13428.66</v>
      </c>
      <c r="U76" s="2"/>
      <c r="V76" s="7">
        <f t="shared" si="28"/>
        <v>2.5583419223199979E-2</v>
      </c>
      <c r="W76" s="2"/>
      <c r="X76" s="6">
        <f t="shared" si="29"/>
        <v>30821.19</v>
      </c>
      <c r="Y76" s="2"/>
      <c r="Z76" s="7">
        <f t="shared" si="30"/>
        <v>2.2951798615796362</v>
      </c>
    </row>
    <row r="77" spans="1:26" s="24" customFormat="1" hidden="1" outlineLevel="2" x14ac:dyDescent="0.25">
      <c r="A77" s="27"/>
      <c r="B77" s="11" t="str">
        <f>CONCATENATE("          ", "6008", " - ", "STUDENT HOURLY-FICA EXEMPT")</f>
        <v xml:space="preserve">          6008 - STUDENT HOURLY-FICA EXEMPT</v>
      </c>
      <c r="C77" s="11"/>
      <c r="D77" s="6"/>
      <c r="E77" s="2"/>
      <c r="F77" s="7">
        <f t="shared" si="23"/>
        <v>0</v>
      </c>
      <c r="G77" s="2"/>
      <c r="H77" s="6">
        <v>0</v>
      </c>
      <c r="I77" s="2"/>
      <c r="J77" s="7">
        <f t="shared" si="24"/>
        <v>0</v>
      </c>
      <c r="K77" s="2"/>
      <c r="L77" s="6">
        <f t="shared" si="25"/>
        <v>0</v>
      </c>
      <c r="M77" s="2"/>
      <c r="N77" s="7">
        <f t="shared" si="26"/>
        <v>0</v>
      </c>
      <c r="O77" s="11"/>
      <c r="P77" s="6"/>
      <c r="Q77" s="2"/>
      <c r="R77" s="7">
        <f t="shared" si="27"/>
        <v>0</v>
      </c>
      <c r="S77" s="2"/>
      <c r="T77" s="6">
        <v>42335.355000000003</v>
      </c>
      <c r="U77" s="2"/>
      <c r="V77" s="7">
        <f t="shared" si="28"/>
        <v>8.0654595091989481E-2</v>
      </c>
      <c r="W77" s="2"/>
      <c r="X77" s="6">
        <f t="shared" si="29"/>
        <v>-42335.355000000003</v>
      </c>
      <c r="Y77" s="2"/>
      <c r="Z77" s="7">
        <f t="shared" si="30"/>
        <v>-1</v>
      </c>
    </row>
    <row r="78" spans="1:26" s="24" customFormat="1" hidden="1" outlineLevel="2" x14ac:dyDescent="0.25">
      <c r="A78" s="27"/>
      <c r="B78" s="11" t="str">
        <f>CONCATENATE("          ", "6009", " - ", "TEMPORARY-SEASONAL")</f>
        <v xml:space="preserve">          6009 - TEMPORARY-SEASONAL</v>
      </c>
      <c r="C78" s="11"/>
      <c r="D78" s="6"/>
      <c r="E78" s="2"/>
      <c r="F78" s="7">
        <f t="shared" si="23"/>
        <v>0</v>
      </c>
      <c r="G78" s="2"/>
      <c r="H78" s="6">
        <v>0</v>
      </c>
      <c r="I78" s="2"/>
      <c r="J78" s="7">
        <f t="shared" si="24"/>
        <v>0</v>
      </c>
      <c r="K78" s="2"/>
      <c r="L78" s="6">
        <f t="shared" si="25"/>
        <v>0</v>
      </c>
      <c r="M78" s="2"/>
      <c r="N78" s="7">
        <f t="shared" si="26"/>
        <v>0</v>
      </c>
      <c r="O78" s="11"/>
      <c r="P78" s="6"/>
      <c r="Q78" s="2"/>
      <c r="R78" s="7">
        <f t="shared" si="27"/>
        <v>0</v>
      </c>
      <c r="S78" s="2"/>
      <c r="T78" s="6">
        <v>0</v>
      </c>
      <c r="U78" s="2"/>
      <c r="V78" s="7">
        <f t="shared" si="28"/>
        <v>0</v>
      </c>
      <c r="W78" s="2"/>
      <c r="X78" s="6">
        <f t="shared" si="29"/>
        <v>0</v>
      </c>
      <c r="Y78" s="2"/>
      <c r="Z78" s="7">
        <f t="shared" si="30"/>
        <v>0</v>
      </c>
    </row>
    <row r="79" spans="1:26" s="24" customFormat="1" hidden="1" outlineLevel="2" x14ac:dyDescent="0.25">
      <c r="A79" s="27"/>
      <c r="B79" s="11" t="str">
        <f>CONCATENATE("          ", "6010", " - ", "GRATUITY")</f>
        <v xml:space="preserve">          6010 - GRATUITY</v>
      </c>
      <c r="C79" s="11"/>
      <c r="D79" s="6"/>
      <c r="E79" s="2"/>
      <c r="F79" s="7">
        <f t="shared" si="23"/>
        <v>0</v>
      </c>
      <c r="G79" s="2"/>
      <c r="H79" s="6">
        <v>0</v>
      </c>
      <c r="I79" s="2"/>
      <c r="J79" s="7">
        <f t="shared" si="24"/>
        <v>0</v>
      </c>
      <c r="K79" s="2"/>
      <c r="L79" s="6">
        <f t="shared" si="25"/>
        <v>0</v>
      </c>
      <c r="M79" s="2"/>
      <c r="N79" s="7">
        <f t="shared" si="26"/>
        <v>0</v>
      </c>
      <c r="O79" s="11"/>
      <c r="P79" s="6"/>
      <c r="Q79" s="2"/>
      <c r="R79" s="7">
        <f t="shared" si="27"/>
        <v>0</v>
      </c>
      <c r="S79" s="2"/>
      <c r="T79" s="6">
        <v>0</v>
      </c>
      <c r="U79" s="2"/>
      <c r="V79" s="7">
        <f t="shared" si="28"/>
        <v>0</v>
      </c>
      <c r="W79" s="2"/>
      <c r="X79" s="6">
        <f t="shared" si="29"/>
        <v>0</v>
      </c>
      <c r="Y79" s="2"/>
      <c r="Z79" s="7">
        <f t="shared" si="30"/>
        <v>0</v>
      </c>
    </row>
    <row r="80" spans="1:26" s="26" customFormat="1" outlineLevel="1" collapsed="1" x14ac:dyDescent="0.25">
      <c r="A80" s="25"/>
      <c r="B80" s="12" t="str">
        <f>CONCATENATE("     ","Advertising/Promo                                 ")</f>
        <v xml:space="preserve">     Advertising/Promo                                 </v>
      </c>
      <c r="C80" s="12"/>
      <c r="D80" s="1">
        <f>SUM(OSRRefD22_2x_0)</f>
        <v>0</v>
      </c>
      <c r="E80" s="1"/>
      <c r="F80" s="5">
        <f t="shared" ref="F80:F84" si="31">IF(D$12=0,0,D80/D$12)</f>
        <v>0</v>
      </c>
      <c r="G80" s="1"/>
      <c r="H80" s="1">
        <f>SUM(OSRRefH22_2x_0)</f>
        <v>80</v>
      </c>
      <c r="I80" s="1"/>
      <c r="J80" s="5">
        <f t="shared" ref="J80:J84" si="32">IF(H$12=0,0,H80/H$12)</f>
        <v>7.1060579143720024E-3</v>
      </c>
      <c r="K80" s="1"/>
      <c r="L80" s="1">
        <f t="shared" ref="L80:L84" si="33">+D80-H80</f>
        <v>-80</v>
      </c>
      <c r="M80" s="1"/>
      <c r="N80" s="5">
        <f t="shared" ref="N80:N84" si="34">IF(H80=0,0,L80/H80)</f>
        <v>-1</v>
      </c>
      <c r="O80" s="12"/>
      <c r="P80" s="1">
        <f>SUM(OSRRefP22_2x_0)</f>
        <v>1181.76</v>
      </c>
      <c r="Q80" s="1"/>
      <c r="R80" s="5">
        <f t="shared" ref="R80:R84" si="35">IF(P$12=0,0,P80/P$12)</f>
        <v>2.8025822289165845E-3</v>
      </c>
      <c r="S80" s="1"/>
      <c r="T80" s="1">
        <f>SUM(OSRRefT22_2x_0)</f>
        <v>960</v>
      </c>
      <c r="U80" s="1"/>
      <c r="V80" s="5">
        <f t="shared" ref="V80:V84" si="36">IF(T$12=0,0,T80/T$12)</f>
        <v>1.8289302472675592E-3</v>
      </c>
      <c r="W80" s="1"/>
      <c r="X80" s="1">
        <f t="shared" ref="X80:X84" si="37">+P80-T80</f>
        <v>221.76</v>
      </c>
      <c r="Y80" s="1"/>
      <c r="Z80" s="5">
        <f t="shared" ref="Z80:Z84" si="38">IF(T80=0,0,X80/T80)</f>
        <v>0.23099999999999998</v>
      </c>
    </row>
    <row r="81" spans="1:26" s="24" customFormat="1" hidden="1" outlineLevel="2" x14ac:dyDescent="0.25">
      <c r="A81" s="27"/>
      <c r="B81" s="11" t="str">
        <f>CONCATENATE("          ", "6362", " - ", "ADVERTISING EXPENSE")</f>
        <v xml:space="preserve">          6362 - ADVERTISING EXPENSE</v>
      </c>
      <c r="C81" s="11"/>
      <c r="D81" s="6"/>
      <c r="E81" s="2"/>
      <c r="F81" s="7">
        <f t="shared" si="31"/>
        <v>0</v>
      </c>
      <c r="G81" s="2"/>
      <c r="H81" s="6">
        <v>80</v>
      </c>
      <c r="I81" s="2"/>
      <c r="J81" s="7">
        <f t="shared" si="32"/>
        <v>7.1060579143720024E-3</v>
      </c>
      <c r="K81" s="2"/>
      <c r="L81" s="6">
        <f t="shared" si="33"/>
        <v>-80</v>
      </c>
      <c r="M81" s="2"/>
      <c r="N81" s="7">
        <f t="shared" si="34"/>
        <v>-1</v>
      </c>
      <c r="O81" s="11"/>
      <c r="P81" s="6">
        <v>1181.76</v>
      </c>
      <c r="Q81" s="2"/>
      <c r="R81" s="7">
        <f t="shared" si="35"/>
        <v>2.8025822289165845E-3</v>
      </c>
      <c r="S81" s="2"/>
      <c r="T81" s="6">
        <v>960</v>
      </c>
      <c r="U81" s="2"/>
      <c r="V81" s="7">
        <f t="shared" si="36"/>
        <v>1.8289302472675592E-3</v>
      </c>
      <c r="W81" s="2"/>
      <c r="X81" s="6">
        <f t="shared" si="37"/>
        <v>221.76</v>
      </c>
      <c r="Y81" s="2"/>
      <c r="Z81" s="7">
        <f t="shared" si="38"/>
        <v>0.23099999999999998</v>
      </c>
    </row>
    <row r="82" spans="1:26" s="26" customFormat="1" outlineLevel="1" collapsed="1" x14ac:dyDescent="0.25">
      <c r="A82" s="25"/>
      <c r="B82" s="12" t="str">
        <f>CONCATENATE("     ","Discounts and Markdowns                           ")</f>
        <v xml:space="preserve">     Discounts and Markdowns                           </v>
      </c>
      <c r="C82" s="12"/>
      <c r="D82" s="1">
        <f>SUM(OSRRefD22_3x_0)</f>
        <v>4841.82</v>
      </c>
      <c r="E82" s="1"/>
      <c r="F82" s="5">
        <f t="shared" si="31"/>
        <v>0.45957105107294183</v>
      </c>
      <c r="G82" s="1"/>
      <c r="H82" s="1">
        <f>SUM(OSRRefH22_3x_0)</f>
        <v>1250</v>
      </c>
      <c r="I82" s="1"/>
      <c r="J82" s="5">
        <f t="shared" si="32"/>
        <v>0.11103215491206253</v>
      </c>
      <c r="K82" s="1"/>
      <c r="L82" s="1">
        <f t="shared" si="33"/>
        <v>3591.8199999999997</v>
      </c>
      <c r="M82" s="1"/>
      <c r="N82" s="5">
        <f t="shared" si="34"/>
        <v>2.8734559999999996</v>
      </c>
      <c r="O82" s="12"/>
      <c r="P82" s="1">
        <f>SUM(OSRRefP22_3x_0)</f>
        <v>16768.41</v>
      </c>
      <c r="Q82" s="1"/>
      <c r="R82" s="5">
        <f t="shared" si="35"/>
        <v>3.9766829028895161E-2</v>
      </c>
      <c r="S82" s="1"/>
      <c r="T82" s="1">
        <f>SUM(OSRRefT22_3x_0)</f>
        <v>15000</v>
      </c>
      <c r="U82" s="1"/>
      <c r="V82" s="5">
        <f t="shared" si="36"/>
        <v>2.8577035113555613E-2</v>
      </c>
      <c r="W82" s="1"/>
      <c r="X82" s="1">
        <f t="shared" si="37"/>
        <v>1768.4099999999999</v>
      </c>
      <c r="Y82" s="1"/>
      <c r="Z82" s="5">
        <f t="shared" si="38"/>
        <v>0.11789399999999998</v>
      </c>
    </row>
    <row r="83" spans="1:26" s="24" customFormat="1" hidden="1" outlineLevel="2" x14ac:dyDescent="0.25">
      <c r="A83" s="27"/>
      <c r="B83" s="11" t="str">
        <f>CONCATENATE("          ", "6382", " - ", "DISCOUNTS/MARK DOWNS")</f>
        <v xml:space="preserve">          6382 - DISCOUNTS/MARK DOWNS</v>
      </c>
      <c r="C83" s="11"/>
      <c r="D83" s="6">
        <v>4841.82</v>
      </c>
      <c r="E83" s="2"/>
      <c r="F83" s="7">
        <f t="shared" si="31"/>
        <v>0.45957105107294183</v>
      </c>
      <c r="G83" s="2"/>
      <c r="H83" s="6">
        <v>1250</v>
      </c>
      <c r="I83" s="2"/>
      <c r="J83" s="7">
        <f t="shared" si="32"/>
        <v>0.11103215491206253</v>
      </c>
      <c r="K83" s="2"/>
      <c r="L83" s="6">
        <f t="shared" si="33"/>
        <v>3591.8199999999997</v>
      </c>
      <c r="M83" s="2"/>
      <c r="N83" s="7">
        <f t="shared" si="34"/>
        <v>2.8734559999999996</v>
      </c>
      <c r="O83" s="11"/>
      <c r="P83" s="6">
        <v>16768.41</v>
      </c>
      <c r="Q83" s="2"/>
      <c r="R83" s="7">
        <f t="shared" si="35"/>
        <v>3.9766829028895161E-2</v>
      </c>
      <c r="S83" s="2"/>
      <c r="T83" s="6">
        <v>15000</v>
      </c>
      <c r="U83" s="2"/>
      <c r="V83" s="7">
        <f t="shared" si="36"/>
        <v>2.8577035113555613E-2</v>
      </c>
      <c r="W83" s="2"/>
      <c r="X83" s="6">
        <f t="shared" si="37"/>
        <v>1768.4099999999999</v>
      </c>
      <c r="Y83" s="2"/>
      <c r="Z83" s="7">
        <f t="shared" si="38"/>
        <v>0.11789399999999998</v>
      </c>
    </row>
    <row r="84" spans="1:26" s="24" customFormat="1" hidden="1" outlineLevel="2" x14ac:dyDescent="0.25">
      <c r="A84" s="27"/>
      <c r="B84" s="11" t="str">
        <f>CONCATENATE("          ", "9175", " - ", "EARNED DISCOUNTS")</f>
        <v xml:space="preserve">          9175 - EARNED DISCOUNTS</v>
      </c>
      <c r="C84" s="11"/>
      <c r="D84" s="6"/>
      <c r="E84" s="2"/>
      <c r="F84" s="7">
        <f t="shared" si="31"/>
        <v>0</v>
      </c>
      <c r="G84" s="2"/>
      <c r="H84" s="6"/>
      <c r="I84" s="2"/>
      <c r="J84" s="7">
        <f t="shared" si="32"/>
        <v>0</v>
      </c>
      <c r="K84" s="2"/>
      <c r="L84" s="6">
        <f t="shared" si="33"/>
        <v>0</v>
      </c>
      <c r="M84" s="2"/>
      <c r="N84" s="7">
        <f t="shared" si="34"/>
        <v>0</v>
      </c>
      <c r="O84" s="11"/>
      <c r="P84" s="6">
        <v>0</v>
      </c>
      <c r="Q84" s="2"/>
      <c r="R84" s="7">
        <f t="shared" si="35"/>
        <v>0</v>
      </c>
      <c r="S84" s="2"/>
      <c r="T84" s="6"/>
      <c r="U84" s="2"/>
      <c r="V84" s="7">
        <f t="shared" si="36"/>
        <v>0</v>
      </c>
      <c r="W84" s="2"/>
      <c r="X84" s="6">
        <f t="shared" si="37"/>
        <v>0</v>
      </c>
      <c r="Y84" s="2"/>
      <c r="Z84" s="7">
        <f t="shared" si="38"/>
        <v>0</v>
      </c>
    </row>
    <row r="85" spans="1:26" s="26" customFormat="1" outlineLevel="1" collapsed="1" x14ac:dyDescent="0.25">
      <c r="A85" s="25"/>
      <c r="B85" s="12" t="str">
        <f>CONCATENATE("     ","Employees' Appreciation                           ")</f>
        <v xml:space="preserve">     Employees' Appreciation                           </v>
      </c>
      <c r="C85" s="12"/>
      <c r="D85" s="1">
        <f>SUM(OSRRefD22_4x_0)</f>
        <v>0</v>
      </c>
      <c r="E85" s="1"/>
      <c r="F85" s="5">
        <f t="shared" ref="F85:F101" si="39">IF(D$12=0,0,D85/D$12)</f>
        <v>0</v>
      </c>
      <c r="G85" s="1"/>
      <c r="H85" s="1">
        <f>SUM(OSRRefH22_4x_0)</f>
        <v>25</v>
      </c>
      <c r="I85" s="1"/>
      <c r="J85" s="5">
        <f t="shared" ref="J85:J101" si="40">IF(H$12=0,0,H85/H$12)</f>
        <v>2.2206430982412506E-3</v>
      </c>
      <c r="K85" s="1"/>
      <c r="L85" s="1">
        <f t="shared" ref="L85:L101" si="41">+D85-H85</f>
        <v>-25</v>
      </c>
      <c r="M85" s="1"/>
      <c r="N85" s="5">
        <f t="shared" ref="N85:N101" si="42">IF(H85=0,0,L85/H85)</f>
        <v>-1</v>
      </c>
      <c r="O85" s="12"/>
      <c r="P85" s="1">
        <f>SUM(OSRRefP22_4x_0)</f>
        <v>0</v>
      </c>
      <c r="Q85" s="1"/>
      <c r="R85" s="5">
        <f t="shared" ref="R85:R101" si="43">IF(P$12=0,0,P85/P$12)</f>
        <v>0</v>
      </c>
      <c r="S85" s="1"/>
      <c r="T85" s="1">
        <f>SUM(OSRRefT22_4x_0)</f>
        <v>300</v>
      </c>
      <c r="U85" s="1"/>
      <c r="V85" s="5">
        <f t="shared" ref="V85:V101" si="44">IF(T$12=0,0,T85/T$12)</f>
        <v>5.7154070227111219E-4</v>
      </c>
      <c r="W85" s="1"/>
      <c r="X85" s="1">
        <f t="shared" ref="X85:X101" si="45">+P85-T85</f>
        <v>-300</v>
      </c>
      <c r="Y85" s="1"/>
      <c r="Z85" s="5">
        <f t="shared" ref="Z85:Z101" si="46">IF(T85=0,0,X85/T85)</f>
        <v>-1</v>
      </c>
    </row>
    <row r="86" spans="1:26" s="24" customFormat="1" hidden="1" outlineLevel="2" x14ac:dyDescent="0.25">
      <c r="A86" s="27"/>
      <c r="B86" s="11" t="str">
        <f>CONCATENATE("          ", "6277", " - ", "EMPLOYEE APPRECIATION")</f>
        <v xml:space="preserve">          6277 - EMPLOYEE APPRECIATION</v>
      </c>
      <c r="C86" s="11"/>
      <c r="D86" s="6"/>
      <c r="E86" s="2"/>
      <c r="F86" s="7">
        <f t="shared" si="39"/>
        <v>0</v>
      </c>
      <c r="G86" s="2"/>
      <c r="H86" s="6">
        <v>25</v>
      </c>
      <c r="I86" s="2"/>
      <c r="J86" s="7">
        <f t="shared" si="40"/>
        <v>2.2206430982412506E-3</v>
      </c>
      <c r="K86" s="2"/>
      <c r="L86" s="6">
        <f t="shared" si="41"/>
        <v>-25</v>
      </c>
      <c r="M86" s="2"/>
      <c r="N86" s="7">
        <f t="shared" si="42"/>
        <v>-1</v>
      </c>
      <c r="O86" s="11"/>
      <c r="P86" s="6"/>
      <c r="Q86" s="2"/>
      <c r="R86" s="7">
        <f t="shared" si="43"/>
        <v>0</v>
      </c>
      <c r="S86" s="2"/>
      <c r="T86" s="6">
        <v>300</v>
      </c>
      <c r="U86" s="2"/>
      <c r="V86" s="7">
        <f t="shared" si="44"/>
        <v>5.7154070227111219E-4</v>
      </c>
      <c r="W86" s="2"/>
      <c r="X86" s="6">
        <f t="shared" si="45"/>
        <v>-300</v>
      </c>
      <c r="Y86" s="2"/>
      <c r="Z86" s="7">
        <f t="shared" si="46"/>
        <v>-1</v>
      </c>
    </row>
    <row r="87" spans="1:26" s="26" customFormat="1" outlineLevel="1" collapsed="1" x14ac:dyDescent="0.25">
      <c r="A87" s="25"/>
      <c r="B87" s="12" t="str">
        <f>CONCATENATE("     ","Freight out/Postage                               ")</f>
        <v xml:space="preserve">     Freight out/Postage                               </v>
      </c>
      <c r="C87" s="12"/>
      <c r="D87" s="1">
        <f>SUM(OSRRefD22_5x_0)</f>
        <v>0</v>
      </c>
      <c r="E87" s="1"/>
      <c r="F87" s="5">
        <f t="shared" si="39"/>
        <v>0</v>
      </c>
      <c r="G87" s="1"/>
      <c r="H87" s="1">
        <f>SUM(OSRRefH22_5x_0)</f>
        <v>0</v>
      </c>
      <c r="I87" s="1"/>
      <c r="J87" s="5">
        <f t="shared" si="40"/>
        <v>0</v>
      </c>
      <c r="K87" s="1"/>
      <c r="L87" s="1">
        <f t="shared" si="41"/>
        <v>0</v>
      </c>
      <c r="M87" s="1"/>
      <c r="N87" s="5">
        <f t="shared" si="42"/>
        <v>0</v>
      </c>
      <c r="O87" s="12"/>
      <c r="P87" s="1">
        <f>SUM(OSRRefP22_5x_0)</f>
        <v>15.81</v>
      </c>
      <c r="Q87" s="1"/>
      <c r="R87" s="5">
        <f t="shared" si="43"/>
        <v>3.7493928580398048E-5</v>
      </c>
      <c r="S87" s="1"/>
      <c r="T87" s="1">
        <f>SUM(OSRRefT22_5x_0)</f>
        <v>0</v>
      </c>
      <c r="U87" s="1"/>
      <c r="V87" s="5">
        <f t="shared" si="44"/>
        <v>0</v>
      </c>
      <c r="W87" s="1"/>
      <c r="X87" s="1">
        <f t="shared" si="45"/>
        <v>15.81</v>
      </c>
      <c r="Y87" s="1"/>
      <c r="Z87" s="5">
        <f t="shared" si="46"/>
        <v>0</v>
      </c>
    </row>
    <row r="88" spans="1:26" s="24" customFormat="1" hidden="1" outlineLevel="2" x14ac:dyDescent="0.25">
      <c r="A88" s="27"/>
      <c r="B88" s="11" t="str">
        <f>CONCATENATE("          ", "6305", " - ", "FREIGHT OUT")</f>
        <v xml:space="preserve">          6305 - FREIGHT OUT</v>
      </c>
      <c r="C88" s="11"/>
      <c r="D88" s="6"/>
      <c r="E88" s="2"/>
      <c r="F88" s="7">
        <f t="shared" si="39"/>
        <v>0</v>
      </c>
      <c r="G88" s="2"/>
      <c r="H88" s="6"/>
      <c r="I88" s="2"/>
      <c r="J88" s="7">
        <f t="shared" si="40"/>
        <v>0</v>
      </c>
      <c r="K88" s="2"/>
      <c r="L88" s="6">
        <f t="shared" si="41"/>
        <v>0</v>
      </c>
      <c r="M88" s="2"/>
      <c r="N88" s="7">
        <f t="shared" si="42"/>
        <v>0</v>
      </c>
      <c r="O88" s="11"/>
      <c r="P88" s="6">
        <v>15.81</v>
      </c>
      <c r="Q88" s="2"/>
      <c r="R88" s="7">
        <f t="shared" si="43"/>
        <v>3.7493928580398048E-5</v>
      </c>
      <c r="S88" s="2"/>
      <c r="T88" s="6"/>
      <c r="U88" s="2"/>
      <c r="V88" s="7">
        <f t="shared" si="44"/>
        <v>0</v>
      </c>
      <c r="W88" s="2"/>
      <c r="X88" s="6">
        <f t="shared" si="45"/>
        <v>15.81</v>
      </c>
      <c r="Y88" s="2"/>
      <c r="Z88" s="7">
        <f t="shared" si="46"/>
        <v>0</v>
      </c>
    </row>
    <row r="89" spans="1:26" s="26" customFormat="1" outlineLevel="1" collapsed="1" x14ac:dyDescent="0.25">
      <c r="A89" s="25"/>
      <c r="B89" s="12" t="str">
        <f>CONCATENATE("     ","General                                           ")</f>
        <v xml:space="preserve">     General                                           </v>
      </c>
      <c r="C89" s="12"/>
      <c r="D89" s="1">
        <f>SUM(OSRRefD22_6x_0)</f>
        <v>0</v>
      </c>
      <c r="E89" s="1"/>
      <c r="F89" s="5">
        <f t="shared" si="39"/>
        <v>0</v>
      </c>
      <c r="G89" s="1"/>
      <c r="H89" s="1">
        <f>SUM(OSRRefH22_6x_0)</f>
        <v>0</v>
      </c>
      <c r="I89" s="1"/>
      <c r="J89" s="5">
        <f t="shared" si="40"/>
        <v>0</v>
      </c>
      <c r="K89" s="1"/>
      <c r="L89" s="1">
        <f t="shared" si="41"/>
        <v>0</v>
      </c>
      <c r="M89" s="1"/>
      <c r="N89" s="5">
        <f t="shared" si="42"/>
        <v>0</v>
      </c>
      <c r="O89" s="12"/>
      <c r="P89" s="1">
        <f>SUM(OSRRefP22_6x_0)</f>
        <v>0</v>
      </c>
      <c r="Q89" s="1"/>
      <c r="R89" s="5">
        <f t="shared" si="43"/>
        <v>0</v>
      </c>
      <c r="S89" s="1"/>
      <c r="T89" s="1">
        <f>SUM(OSRRefT22_6x_0)</f>
        <v>0</v>
      </c>
      <c r="U89" s="1"/>
      <c r="V89" s="5">
        <f t="shared" si="44"/>
        <v>0</v>
      </c>
      <c r="W89" s="1"/>
      <c r="X89" s="1">
        <f t="shared" si="45"/>
        <v>0</v>
      </c>
      <c r="Y89" s="1"/>
      <c r="Z89" s="5">
        <f t="shared" si="46"/>
        <v>0</v>
      </c>
    </row>
    <row r="90" spans="1:26" s="24" customFormat="1" hidden="1" outlineLevel="2" x14ac:dyDescent="0.25">
      <c r="A90" s="27"/>
      <c r="B90" s="11" t="str">
        <f>CONCATENATE("          ", "6279", " - ", "GENERAL EXPENSE")</f>
        <v xml:space="preserve">          6279 - GENERAL EXPENSE</v>
      </c>
      <c r="C90" s="11"/>
      <c r="D90" s="6"/>
      <c r="E90" s="2"/>
      <c r="F90" s="7">
        <f t="shared" si="39"/>
        <v>0</v>
      </c>
      <c r="G90" s="2"/>
      <c r="H90" s="6">
        <v>0</v>
      </c>
      <c r="I90" s="2"/>
      <c r="J90" s="7">
        <f t="shared" si="40"/>
        <v>0</v>
      </c>
      <c r="K90" s="2"/>
      <c r="L90" s="6">
        <f t="shared" si="41"/>
        <v>0</v>
      </c>
      <c r="M90" s="2"/>
      <c r="N90" s="7">
        <f t="shared" si="42"/>
        <v>0</v>
      </c>
      <c r="O90" s="11"/>
      <c r="P90" s="6"/>
      <c r="Q90" s="2"/>
      <c r="R90" s="7">
        <f t="shared" si="43"/>
        <v>0</v>
      </c>
      <c r="S90" s="2"/>
      <c r="T90" s="6">
        <v>0</v>
      </c>
      <c r="U90" s="2"/>
      <c r="V90" s="7">
        <f t="shared" si="44"/>
        <v>0</v>
      </c>
      <c r="W90" s="2"/>
      <c r="X90" s="6">
        <f t="shared" si="45"/>
        <v>0</v>
      </c>
      <c r="Y90" s="2"/>
      <c r="Z90" s="7">
        <f t="shared" si="46"/>
        <v>0</v>
      </c>
    </row>
    <row r="91" spans="1:26" s="26" customFormat="1" outlineLevel="1" collapsed="1" x14ac:dyDescent="0.25">
      <c r="A91" s="25"/>
      <c r="B91" s="12" t="str">
        <f>CONCATENATE("     ","Inventory Adjustment                              ")</f>
        <v xml:space="preserve">     Inventory Adjustment                              </v>
      </c>
      <c r="C91" s="12"/>
      <c r="D91" s="1">
        <f>SUM(OSRRefD22_7x_0)</f>
        <v>20749</v>
      </c>
      <c r="E91" s="1"/>
      <c r="F91" s="5">
        <f t="shared" si="39"/>
        <v>1.9694329278478901</v>
      </c>
      <c r="G91" s="1"/>
      <c r="H91" s="1">
        <f>SUM(OSRRefH22_7x_0)</f>
        <v>11000</v>
      </c>
      <c r="I91" s="1"/>
      <c r="J91" s="5">
        <f t="shared" si="40"/>
        <v>0.97708296322615029</v>
      </c>
      <c r="K91" s="1"/>
      <c r="L91" s="1">
        <f t="shared" si="41"/>
        <v>9749</v>
      </c>
      <c r="M91" s="1"/>
      <c r="N91" s="5">
        <f t="shared" si="42"/>
        <v>0.88627272727272732</v>
      </c>
      <c r="O91" s="12"/>
      <c r="P91" s="1">
        <f>SUM(OSRRefP22_7x_0)</f>
        <v>20749</v>
      </c>
      <c r="Q91" s="1"/>
      <c r="R91" s="5">
        <f t="shared" si="43"/>
        <v>4.9206927521485082E-2</v>
      </c>
      <c r="S91" s="1"/>
      <c r="T91" s="1">
        <f>SUM(OSRRefT22_7x_0)</f>
        <v>11000</v>
      </c>
      <c r="U91" s="1"/>
      <c r="V91" s="5">
        <f t="shared" si="44"/>
        <v>2.095649241660745E-2</v>
      </c>
      <c r="W91" s="1"/>
      <c r="X91" s="1">
        <f t="shared" si="45"/>
        <v>9749</v>
      </c>
      <c r="Y91" s="1"/>
      <c r="Z91" s="5">
        <f t="shared" si="46"/>
        <v>0.88627272727272732</v>
      </c>
    </row>
    <row r="92" spans="1:26" s="24" customFormat="1" hidden="1" outlineLevel="2" x14ac:dyDescent="0.25">
      <c r="A92" s="27"/>
      <c r="B92" s="11" t="str">
        <f>CONCATENATE("          ", "6408", " - ", "INVENTORY ADJUSTMENT")</f>
        <v xml:space="preserve">          6408 - INVENTORY ADJUSTMENT</v>
      </c>
      <c r="C92" s="11"/>
      <c r="D92" s="6"/>
      <c r="E92" s="2"/>
      <c r="F92" s="7">
        <f t="shared" si="39"/>
        <v>0</v>
      </c>
      <c r="G92" s="2"/>
      <c r="H92" s="6">
        <v>11000</v>
      </c>
      <c r="I92" s="2"/>
      <c r="J92" s="7">
        <f t="shared" si="40"/>
        <v>0.97708296322615029</v>
      </c>
      <c r="K92" s="2"/>
      <c r="L92" s="6">
        <f t="shared" si="41"/>
        <v>-11000</v>
      </c>
      <c r="M92" s="2"/>
      <c r="N92" s="7">
        <f t="shared" si="42"/>
        <v>-1</v>
      </c>
      <c r="O92" s="11"/>
      <c r="P92" s="6"/>
      <c r="Q92" s="2"/>
      <c r="R92" s="7">
        <f t="shared" si="43"/>
        <v>0</v>
      </c>
      <c r="S92" s="2"/>
      <c r="T92" s="6">
        <v>11000</v>
      </c>
      <c r="U92" s="2"/>
      <c r="V92" s="7">
        <f t="shared" si="44"/>
        <v>2.095649241660745E-2</v>
      </c>
      <c r="W92" s="2"/>
      <c r="X92" s="6">
        <f t="shared" si="45"/>
        <v>-11000</v>
      </c>
      <c r="Y92" s="2"/>
      <c r="Z92" s="7">
        <f t="shared" si="46"/>
        <v>-1</v>
      </c>
    </row>
    <row r="93" spans="1:26" s="24" customFormat="1" hidden="1" outlineLevel="2" x14ac:dyDescent="0.25">
      <c r="A93" s="27"/>
      <c r="B93" s="11" t="str">
        <f>CONCATENATE("          ", "7717", " - ", "INV. SHRINKAGE-DORM/HOUSEWARES")</f>
        <v xml:space="preserve">          7717 - INV. SHRINKAGE-DORM/HOUSEWARES</v>
      </c>
      <c r="C93" s="11"/>
      <c r="D93" s="6">
        <v>-150</v>
      </c>
      <c r="E93" s="2"/>
      <c r="F93" s="7">
        <f t="shared" si="39"/>
        <v>-1.4237550685680443E-2</v>
      </c>
      <c r="G93" s="2"/>
      <c r="H93" s="6"/>
      <c r="I93" s="2"/>
      <c r="J93" s="7">
        <f t="shared" si="40"/>
        <v>0</v>
      </c>
      <c r="K93" s="2"/>
      <c r="L93" s="6">
        <f t="shared" si="41"/>
        <v>-150</v>
      </c>
      <c r="M93" s="2"/>
      <c r="N93" s="7">
        <f t="shared" si="42"/>
        <v>0</v>
      </c>
      <c r="O93" s="11"/>
      <c r="P93" s="6">
        <v>-150</v>
      </c>
      <c r="Q93" s="2"/>
      <c r="R93" s="7">
        <f t="shared" si="43"/>
        <v>-3.5572987267929839E-4</v>
      </c>
      <c r="S93" s="2"/>
      <c r="T93" s="6"/>
      <c r="U93" s="2"/>
      <c r="V93" s="7">
        <f t="shared" si="44"/>
        <v>0</v>
      </c>
      <c r="W93" s="2"/>
      <c r="X93" s="6">
        <f t="shared" si="45"/>
        <v>-150</v>
      </c>
      <c r="Y93" s="2"/>
      <c r="Z93" s="7">
        <f t="shared" si="46"/>
        <v>0</v>
      </c>
    </row>
    <row r="94" spans="1:26" s="24" customFormat="1" hidden="1" outlineLevel="2" x14ac:dyDescent="0.25">
      <c r="A94" s="27"/>
      <c r="B94" s="11" t="str">
        <f>CONCATENATE("          ", "7719", " - ", "INV. SHRINKAGE-BOOK RELATED")</f>
        <v xml:space="preserve">          7719 - INV. SHRINKAGE-BOOK RELATED</v>
      </c>
      <c r="C94" s="11"/>
      <c r="D94" s="6">
        <v>-43</v>
      </c>
      <c r="E94" s="2"/>
      <c r="F94" s="7">
        <f t="shared" si="39"/>
        <v>-4.0814311965617269E-3</v>
      </c>
      <c r="G94" s="2"/>
      <c r="H94" s="6"/>
      <c r="I94" s="2"/>
      <c r="J94" s="7">
        <f t="shared" si="40"/>
        <v>0</v>
      </c>
      <c r="K94" s="2"/>
      <c r="L94" s="6">
        <f t="shared" si="41"/>
        <v>-43</v>
      </c>
      <c r="M94" s="2"/>
      <c r="N94" s="7">
        <f t="shared" si="42"/>
        <v>0</v>
      </c>
      <c r="O94" s="11"/>
      <c r="P94" s="6">
        <v>-43</v>
      </c>
      <c r="Q94" s="2"/>
      <c r="R94" s="7">
        <f t="shared" si="43"/>
        <v>-1.0197589683473221E-4</v>
      </c>
      <c r="S94" s="2"/>
      <c r="T94" s="6"/>
      <c r="U94" s="2"/>
      <c r="V94" s="7">
        <f t="shared" si="44"/>
        <v>0</v>
      </c>
      <c r="W94" s="2"/>
      <c r="X94" s="6">
        <f t="shared" si="45"/>
        <v>-43</v>
      </c>
      <c r="Y94" s="2"/>
      <c r="Z94" s="7">
        <f t="shared" si="46"/>
        <v>0</v>
      </c>
    </row>
    <row r="95" spans="1:26" s="24" customFormat="1" hidden="1" outlineLevel="2" x14ac:dyDescent="0.25">
      <c r="A95" s="27"/>
      <c r="B95" s="11" t="str">
        <f>CONCATENATE("          ", "7725", " - ", "INV. SHRINKAGE-TEST FORMS")</f>
        <v xml:space="preserve">          7725 - INV. SHRINKAGE-TEST FORMS</v>
      </c>
      <c r="C95" s="11"/>
      <c r="D95" s="6">
        <v>4307</v>
      </c>
      <c r="E95" s="2"/>
      <c r="F95" s="7">
        <f t="shared" si="39"/>
        <v>0.4088075386881711</v>
      </c>
      <c r="G95" s="2"/>
      <c r="H95" s="6"/>
      <c r="I95" s="2"/>
      <c r="J95" s="7">
        <f t="shared" si="40"/>
        <v>0</v>
      </c>
      <c r="K95" s="2"/>
      <c r="L95" s="6">
        <f t="shared" si="41"/>
        <v>4307</v>
      </c>
      <c r="M95" s="2"/>
      <c r="N95" s="7">
        <f t="shared" si="42"/>
        <v>0</v>
      </c>
      <c r="O95" s="11"/>
      <c r="P95" s="6">
        <v>4307</v>
      </c>
      <c r="Q95" s="2"/>
      <c r="R95" s="7">
        <f t="shared" si="43"/>
        <v>1.0214190410864922E-2</v>
      </c>
      <c r="S95" s="2"/>
      <c r="T95" s="6"/>
      <c r="U95" s="2"/>
      <c r="V95" s="7">
        <f t="shared" si="44"/>
        <v>0</v>
      </c>
      <c r="W95" s="2"/>
      <c r="X95" s="6">
        <f t="shared" si="45"/>
        <v>4307</v>
      </c>
      <c r="Y95" s="2"/>
      <c r="Z95" s="7">
        <f t="shared" si="46"/>
        <v>0</v>
      </c>
    </row>
    <row r="96" spans="1:26" s="24" customFormat="1" hidden="1" outlineLevel="2" x14ac:dyDescent="0.25">
      <c r="A96" s="27"/>
      <c r="B96" s="11" t="str">
        <f>CONCATENATE("          ", "7726", " - ", "INV. SHRINKAGE-WRITING INSTRUM")</f>
        <v xml:space="preserve">          7726 - INV. SHRINKAGE-WRITING INSTRUM</v>
      </c>
      <c r="C96" s="11"/>
      <c r="D96" s="6">
        <v>7931</v>
      </c>
      <c r="E96" s="2"/>
      <c r="F96" s="7">
        <f t="shared" si="39"/>
        <v>0.75278676325421057</v>
      </c>
      <c r="G96" s="2"/>
      <c r="H96" s="6"/>
      <c r="I96" s="2"/>
      <c r="J96" s="7">
        <f t="shared" si="40"/>
        <v>0</v>
      </c>
      <c r="K96" s="2"/>
      <c r="L96" s="6">
        <f t="shared" si="41"/>
        <v>7931</v>
      </c>
      <c r="M96" s="2"/>
      <c r="N96" s="7">
        <f t="shared" si="42"/>
        <v>0</v>
      </c>
      <c r="O96" s="11"/>
      <c r="P96" s="6">
        <v>7931</v>
      </c>
      <c r="Q96" s="2"/>
      <c r="R96" s="7">
        <f t="shared" si="43"/>
        <v>1.880862413479677E-2</v>
      </c>
      <c r="S96" s="2"/>
      <c r="T96" s="6"/>
      <c r="U96" s="2"/>
      <c r="V96" s="7">
        <f t="shared" si="44"/>
        <v>0</v>
      </c>
      <c r="W96" s="2"/>
      <c r="X96" s="6">
        <f t="shared" si="45"/>
        <v>7931</v>
      </c>
      <c r="Y96" s="2"/>
      <c r="Z96" s="7">
        <f t="shared" si="46"/>
        <v>0</v>
      </c>
    </row>
    <row r="97" spans="1:26" s="24" customFormat="1" hidden="1" outlineLevel="2" x14ac:dyDescent="0.25">
      <c r="A97" s="27"/>
      <c r="B97" s="11" t="str">
        <f>CONCATENATE("          ", "7727", " - ", "INV. SHRINKAGE-SCHOOL SUPPLIES")</f>
        <v xml:space="preserve">          7727 - INV. SHRINKAGE-SCHOOL SUPPLIES</v>
      </c>
      <c r="C97" s="11"/>
      <c r="D97" s="6">
        <v>12707</v>
      </c>
      <c r="E97" s="2"/>
      <c r="F97" s="7">
        <f t="shared" si="39"/>
        <v>1.206110377086276</v>
      </c>
      <c r="G97" s="2"/>
      <c r="H97" s="6"/>
      <c r="I97" s="2"/>
      <c r="J97" s="7">
        <f t="shared" si="40"/>
        <v>0</v>
      </c>
      <c r="K97" s="2"/>
      <c r="L97" s="6">
        <f t="shared" si="41"/>
        <v>12707</v>
      </c>
      <c r="M97" s="2"/>
      <c r="N97" s="7">
        <f t="shared" si="42"/>
        <v>0</v>
      </c>
      <c r="O97" s="11"/>
      <c r="P97" s="6">
        <v>12707</v>
      </c>
      <c r="Q97" s="2"/>
      <c r="R97" s="7">
        <f t="shared" si="43"/>
        <v>3.0135063280905629E-2</v>
      </c>
      <c r="S97" s="2"/>
      <c r="T97" s="6"/>
      <c r="U97" s="2"/>
      <c r="V97" s="7">
        <f t="shared" si="44"/>
        <v>0</v>
      </c>
      <c r="W97" s="2"/>
      <c r="X97" s="6">
        <f t="shared" si="45"/>
        <v>12707</v>
      </c>
      <c r="Y97" s="2"/>
      <c r="Z97" s="7">
        <f t="shared" si="46"/>
        <v>0</v>
      </c>
    </row>
    <row r="98" spans="1:26" s="24" customFormat="1" hidden="1" outlineLevel="2" x14ac:dyDescent="0.25">
      <c r="A98" s="27"/>
      <c r="B98" s="11" t="str">
        <f>CONCATENATE("          ", "7728", " - ", "INV. SHRINKAGE-ART/TECH")</f>
        <v xml:space="preserve">          7728 - INV. SHRINKAGE-ART/TECH</v>
      </c>
      <c r="C98" s="11"/>
      <c r="D98" s="6">
        <v>-4554</v>
      </c>
      <c r="E98" s="2"/>
      <c r="F98" s="7">
        <f t="shared" si="39"/>
        <v>-0.43225203881725827</v>
      </c>
      <c r="G98" s="2"/>
      <c r="H98" s="6"/>
      <c r="I98" s="2"/>
      <c r="J98" s="7">
        <f t="shared" si="40"/>
        <v>0</v>
      </c>
      <c r="K98" s="2"/>
      <c r="L98" s="6">
        <f t="shared" si="41"/>
        <v>-4554</v>
      </c>
      <c r="M98" s="2"/>
      <c r="N98" s="7">
        <f t="shared" si="42"/>
        <v>0</v>
      </c>
      <c r="O98" s="11"/>
      <c r="P98" s="6">
        <v>-4554</v>
      </c>
      <c r="Q98" s="2"/>
      <c r="R98" s="7">
        <f t="shared" si="43"/>
        <v>-1.0799958934543498E-2</v>
      </c>
      <c r="S98" s="2"/>
      <c r="T98" s="6"/>
      <c r="U98" s="2"/>
      <c r="V98" s="7">
        <f t="shared" si="44"/>
        <v>0</v>
      </c>
      <c r="W98" s="2"/>
      <c r="X98" s="6">
        <f t="shared" si="45"/>
        <v>-4554</v>
      </c>
      <c r="Y98" s="2"/>
      <c r="Z98" s="7">
        <f t="shared" si="46"/>
        <v>0</v>
      </c>
    </row>
    <row r="99" spans="1:26" s="24" customFormat="1" hidden="1" outlineLevel="2" x14ac:dyDescent="0.25">
      <c r="A99" s="27"/>
      <c r="B99" s="11" t="str">
        <f>CONCATENATE("          ", "7731", " - ", "INV. SHRINKAGE-FOOD")</f>
        <v xml:space="preserve">          7731 - INV. SHRINKAGE-FOOD</v>
      </c>
      <c r="C99" s="11"/>
      <c r="D99" s="6">
        <v>-193</v>
      </c>
      <c r="E99" s="2"/>
      <c r="F99" s="7">
        <f t="shared" si="39"/>
        <v>-1.831898188224217E-2</v>
      </c>
      <c r="G99" s="2"/>
      <c r="H99" s="6"/>
      <c r="I99" s="2"/>
      <c r="J99" s="7">
        <f t="shared" si="40"/>
        <v>0</v>
      </c>
      <c r="K99" s="2"/>
      <c r="L99" s="6">
        <f t="shared" si="41"/>
        <v>-193</v>
      </c>
      <c r="M99" s="2"/>
      <c r="N99" s="7">
        <f t="shared" si="42"/>
        <v>0</v>
      </c>
      <c r="O99" s="11"/>
      <c r="P99" s="6">
        <v>-193</v>
      </c>
      <c r="Q99" s="2"/>
      <c r="R99" s="7">
        <f t="shared" si="43"/>
        <v>-4.577057695140306E-4</v>
      </c>
      <c r="S99" s="2"/>
      <c r="T99" s="6"/>
      <c r="U99" s="2"/>
      <c r="V99" s="7">
        <f t="shared" si="44"/>
        <v>0</v>
      </c>
      <c r="W99" s="2"/>
      <c r="X99" s="6">
        <f t="shared" si="45"/>
        <v>-193</v>
      </c>
      <c r="Y99" s="2"/>
      <c r="Z99" s="7">
        <f t="shared" si="46"/>
        <v>0</v>
      </c>
    </row>
    <row r="100" spans="1:26" s="24" customFormat="1" hidden="1" outlineLevel="2" x14ac:dyDescent="0.25">
      <c r="A100" s="27"/>
      <c r="B100" s="11" t="str">
        <f>CONCATENATE("          ", "7733", " - ", "INV. SHRINKAGE-CANDY")</f>
        <v xml:space="preserve">          7733 - INV. SHRINKAGE-CANDY</v>
      </c>
      <c r="C100" s="11"/>
      <c r="D100" s="6">
        <v>421</v>
      </c>
      <c r="E100" s="2"/>
      <c r="F100" s="7">
        <f t="shared" si="39"/>
        <v>3.9960058924476446E-2</v>
      </c>
      <c r="G100" s="2"/>
      <c r="H100" s="6"/>
      <c r="I100" s="2"/>
      <c r="J100" s="7">
        <f t="shared" si="40"/>
        <v>0</v>
      </c>
      <c r="K100" s="2"/>
      <c r="L100" s="6">
        <f t="shared" si="41"/>
        <v>421</v>
      </c>
      <c r="M100" s="2"/>
      <c r="N100" s="7">
        <f t="shared" si="42"/>
        <v>0</v>
      </c>
      <c r="O100" s="11"/>
      <c r="P100" s="6">
        <v>421</v>
      </c>
      <c r="Q100" s="2"/>
      <c r="R100" s="7">
        <f t="shared" si="43"/>
        <v>9.9841517598656419E-4</v>
      </c>
      <c r="S100" s="2"/>
      <c r="T100" s="6"/>
      <c r="U100" s="2"/>
      <c r="V100" s="7">
        <f t="shared" si="44"/>
        <v>0</v>
      </c>
      <c r="W100" s="2"/>
      <c r="X100" s="6">
        <f t="shared" si="45"/>
        <v>421</v>
      </c>
      <c r="Y100" s="2"/>
      <c r="Z100" s="7">
        <f t="shared" si="46"/>
        <v>0</v>
      </c>
    </row>
    <row r="101" spans="1:26" s="24" customFormat="1" hidden="1" outlineLevel="2" x14ac:dyDescent="0.25">
      <c r="A101" s="27"/>
      <c r="B101" s="11" t="str">
        <f>CONCATENATE("          ", "7735", " - ", "INV. SHRINKAGE-HEALTH/BEAUTY")</f>
        <v xml:space="preserve">          7735 - INV. SHRINKAGE-HEALTH/BEAUTY</v>
      </c>
      <c r="C101" s="11"/>
      <c r="D101" s="6">
        <v>323</v>
      </c>
      <c r="E101" s="2"/>
      <c r="F101" s="7">
        <f t="shared" si="39"/>
        <v>3.0658192476498553E-2</v>
      </c>
      <c r="G101" s="2"/>
      <c r="H101" s="6"/>
      <c r="I101" s="2"/>
      <c r="J101" s="7">
        <f t="shared" si="40"/>
        <v>0</v>
      </c>
      <c r="K101" s="2"/>
      <c r="L101" s="6">
        <f t="shared" si="41"/>
        <v>323</v>
      </c>
      <c r="M101" s="2"/>
      <c r="N101" s="7">
        <f t="shared" si="42"/>
        <v>0</v>
      </c>
      <c r="O101" s="11"/>
      <c r="P101" s="6">
        <v>323</v>
      </c>
      <c r="Q101" s="2"/>
      <c r="R101" s="7">
        <f t="shared" si="43"/>
        <v>7.660049925027559E-4</v>
      </c>
      <c r="S101" s="2"/>
      <c r="T101" s="6"/>
      <c r="U101" s="2"/>
      <c r="V101" s="7">
        <f t="shared" si="44"/>
        <v>0</v>
      </c>
      <c r="W101" s="2"/>
      <c r="X101" s="6">
        <f t="shared" si="45"/>
        <v>323</v>
      </c>
      <c r="Y101" s="2"/>
      <c r="Z101" s="7">
        <f t="shared" si="46"/>
        <v>0</v>
      </c>
    </row>
    <row r="102" spans="1:26" s="26" customFormat="1" outlineLevel="1" collapsed="1" x14ac:dyDescent="0.25">
      <c r="A102" s="25"/>
      <c r="B102" s="12" t="str">
        <f>CONCATENATE("     ","Subscriptions &amp; Dues                              ")</f>
        <v xml:space="preserve">     Subscriptions &amp; Dues                              </v>
      </c>
      <c r="C102" s="12"/>
      <c r="D102" s="1">
        <f>SUM(OSRRefD22_8x_0)</f>
        <v>0</v>
      </c>
      <c r="E102" s="1"/>
      <c r="F102" s="5">
        <f t="shared" ref="F102:F106" si="47">IF(D$12=0,0,D102/D$12)</f>
        <v>0</v>
      </c>
      <c r="G102" s="1"/>
      <c r="H102" s="1">
        <f>SUM(OSRRefH22_8x_0)</f>
        <v>0</v>
      </c>
      <c r="I102" s="1"/>
      <c r="J102" s="5">
        <f t="shared" ref="J102:J106" si="48">IF(H$12=0,0,H102/H$12)</f>
        <v>0</v>
      </c>
      <c r="K102" s="1"/>
      <c r="L102" s="1">
        <f t="shared" ref="L102:L106" si="49">+D102-H102</f>
        <v>0</v>
      </c>
      <c r="M102" s="1"/>
      <c r="N102" s="5">
        <f t="shared" ref="N102:N106" si="50">IF(H102=0,0,L102/H102)</f>
        <v>0</v>
      </c>
      <c r="O102" s="12"/>
      <c r="P102" s="1">
        <f>SUM(OSRRefP22_8x_0)</f>
        <v>120</v>
      </c>
      <c r="Q102" s="1"/>
      <c r="R102" s="5">
        <f t="shared" ref="R102:R106" si="51">IF(P$12=0,0,P102/P$12)</f>
        <v>2.8458389814343873E-4</v>
      </c>
      <c r="S102" s="1"/>
      <c r="T102" s="1">
        <f>SUM(OSRRefT22_8x_0)</f>
        <v>0</v>
      </c>
      <c r="U102" s="1"/>
      <c r="V102" s="5">
        <f t="shared" ref="V102:V106" si="52">IF(T$12=0,0,T102/T$12)</f>
        <v>0</v>
      </c>
      <c r="W102" s="1"/>
      <c r="X102" s="1">
        <f t="shared" ref="X102:X106" si="53">+P102-T102</f>
        <v>120</v>
      </c>
      <c r="Y102" s="1"/>
      <c r="Z102" s="5">
        <f t="shared" ref="Z102:Z106" si="54">IF(T102=0,0,X102/T102)</f>
        <v>0</v>
      </c>
    </row>
    <row r="103" spans="1:26" s="24" customFormat="1" hidden="1" outlineLevel="2" x14ac:dyDescent="0.25">
      <c r="A103" s="27"/>
      <c r="B103" s="11" t="str">
        <f>CONCATENATE("          ", "6258", " - ", "MEMBERSHIP DUES")</f>
        <v xml:space="preserve">          6258 - MEMBERSHIP DUES</v>
      </c>
      <c r="C103" s="11"/>
      <c r="D103" s="6"/>
      <c r="E103" s="2"/>
      <c r="F103" s="7">
        <f t="shared" si="47"/>
        <v>0</v>
      </c>
      <c r="G103" s="2"/>
      <c r="H103" s="6"/>
      <c r="I103" s="2"/>
      <c r="J103" s="7">
        <f t="shared" si="48"/>
        <v>0</v>
      </c>
      <c r="K103" s="2"/>
      <c r="L103" s="6">
        <f t="shared" si="49"/>
        <v>0</v>
      </c>
      <c r="M103" s="2"/>
      <c r="N103" s="7">
        <f t="shared" si="50"/>
        <v>0</v>
      </c>
      <c r="O103" s="11"/>
      <c r="P103" s="6">
        <v>120</v>
      </c>
      <c r="Q103" s="2"/>
      <c r="R103" s="7">
        <f t="shared" si="51"/>
        <v>2.8458389814343873E-4</v>
      </c>
      <c r="S103" s="2"/>
      <c r="T103" s="6"/>
      <c r="U103" s="2"/>
      <c r="V103" s="7">
        <f t="shared" si="52"/>
        <v>0</v>
      </c>
      <c r="W103" s="2"/>
      <c r="X103" s="6">
        <f t="shared" si="53"/>
        <v>120</v>
      </c>
      <c r="Y103" s="2"/>
      <c r="Z103" s="7">
        <f t="shared" si="54"/>
        <v>0</v>
      </c>
    </row>
    <row r="104" spans="1:26" s="26" customFormat="1" outlineLevel="1" collapsed="1" x14ac:dyDescent="0.25">
      <c r="A104" s="25"/>
      <c r="B104" s="12" t="str">
        <f>CONCATENATE("     ","Supplies                                          ")</f>
        <v xml:space="preserve">     Supplies                                          </v>
      </c>
      <c r="C104" s="12"/>
      <c r="D104" s="1">
        <f>SUM(OSRRefD22_9x_0)</f>
        <v>0</v>
      </c>
      <c r="E104" s="1"/>
      <c r="F104" s="5">
        <f t="shared" si="47"/>
        <v>0</v>
      </c>
      <c r="G104" s="1"/>
      <c r="H104" s="1">
        <f>SUM(OSRRefH22_9x_0)</f>
        <v>75</v>
      </c>
      <c r="I104" s="1"/>
      <c r="J104" s="5">
        <f t="shared" si="48"/>
        <v>6.6619292947237519E-3</v>
      </c>
      <c r="K104" s="1"/>
      <c r="L104" s="1">
        <f t="shared" si="49"/>
        <v>-75</v>
      </c>
      <c r="M104" s="1"/>
      <c r="N104" s="5">
        <f t="shared" si="50"/>
        <v>-1</v>
      </c>
      <c r="O104" s="12"/>
      <c r="P104" s="1">
        <f>SUM(OSRRefP22_9x_0)</f>
        <v>355.52</v>
      </c>
      <c r="Q104" s="1"/>
      <c r="R104" s="5">
        <f t="shared" si="51"/>
        <v>8.4312722889962771E-4</v>
      </c>
      <c r="S104" s="1"/>
      <c r="T104" s="1">
        <f>SUM(OSRRefT22_9x_0)</f>
        <v>900</v>
      </c>
      <c r="U104" s="1"/>
      <c r="V104" s="5">
        <f t="shared" si="52"/>
        <v>1.7146221068133367E-3</v>
      </c>
      <c r="W104" s="1"/>
      <c r="X104" s="1">
        <f t="shared" si="53"/>
        <v>-544.48</v>
      </c>
      <c r="Y104" s="1"/>
      <c r="Z104" s="5">
        <f t="shared" si="54"/>
        <v>-0.60497777777777784</v>
      </c>
    </row>
    <row r="105" spans="1:26" s="24" customFormat="1" hidden="1" outlineLevel="2" x14ac:dyDescent="0.25">
      <c r="A105" s="27"/>
      <c r="B105" s="11" t="str">
        <f>CONCATENATE("          ", "6241", " - ", "OFFICE EXPENSE")</f>
        <v xml:space="preserve">          6241 - OFFICE EXPENSE</v>
      </c>
      <c r="C105" s="11"/>
      <c r="D105" s="6"/>
      <c r="E105" s="2"/>
      <c r="F105" s="7">
        <f t="shared" si="47"/>
        <v>0</v>
      </c>
      <c r="G105" s="2"/>
      <c r="H105" s="6">
        <v>75</v>
      </c>
      <c r="I105" s="2"/>
      <c r="J105" s="7">
        <f t="shared" si="48"/>
        <v>6.6619292947237519E-3</v>
      </c>
      <c r="K105" s="2"/>
      <c r="L105" s="6">
        <f t="shared" si="49"/>
        <v>-75</v>
      </c>
      <c r="M105" s="2"/>
      <c r="N105" s="7">
        <f t="shared" si="50"/>
        <v>-1</v>
      </c>
      <c r="O105" s="11"/>
      <c r="P105" s="6">
        <v>252.29</v>
      </c>
      <c r="Q105" s="2"/>
      <c r="R105" s="7">
        <f t="shared" si="51"/>
        <v>5.9831393052173459E-4</v>
      </c>
      <c r="S105" s="2"/>
      <c r="T105" s="6">
        <v>900</v>
      </c>
      <c r="U105" s="2"/>
      <c r="V105" s="7">
        <f t="shared" si="52"/>
        <v>1.7146221068133367E-3</v>
      </c>
      <c r="W105" s="2"/>
      <c r="X105" s="6">
        <f t="shared" si="53"/>
        <v>-647.71</v>
      </c>
      <c r="Y105" s="2"/>
      <c r="Z105" s="7">
        <f t="shared" si="54"/>
        <v>-0.71967777777777786</v>
      </c>
    </row>
    <row r="106" spans="1:26" s="24" customFormat="1" hidden="1" outlineLevel="2" x14ac:dyDescent="0.25">
      <c r="A106" s="27"/>
      <c r="B106" s="11" t="str">
        <f>CONCATENATE("          ", "6247", " - ", "STORE SUPPLIES")</f>
        <v xml:space="preserve">          6247 - STORE SUPPLIES</v>
      </c>
      <c r="C106" s="11"/>
      <c r="D106" s="6"/>
      <c r="E106" s="2"/>
      <c r="F106" s="7">
        <f t="shared" si="47"/>
        <v>0</v>
      </c>
      <c r="G106" s="2"/>
      <c r="H106" s="6"/>
      <c r="I106" s="2"/>
      <c r="J106" s="7">
        <f t="shared" si="48"/>
        <v>0</v>
      </c>
      <c r="K106" s="2"/>
      <c r="L106" s="6">
        <f t="shared" si="49"/>
        <v>0</v>
      </c>
      <c r="M106" s="2"/>
      <c r="N106" s="7">
        <f t="shared" si="50"/>
        <v>0</v>
      </c>
      <c r="O106" s="11"/>
      <c r="P106" s="6">
        <v>103.23</v>
      </c>
      <c r="Q106" s="2"/>
      <c r="R106" s="7">
        <f t="shared" si="51"/>
        <v>2.4481329837789317E-4</v>
      </c>
      <c r="S106" s="2"/>
      <c r="T106" s="6"/>
      <c r="U106" s="2"/>
      <c r="V106" s="7">
        <f t="shared" si="52"/>
        <v>0</v>
      </c>
      <c r="W106" s="2"/>
      <c r="X106" s="6">
        <f t="shared" si="53"/>
        <v>103.23</v>
      </c>
      <c r="Y106" s="2"/>
      <c r="Z106" s="7">
        <f t="shared" si="54"/>
        <v>0</v>
      </c>
    </row>
    <row r="107" spans="1:26" s="26" customFormat="1" outlineLevel="1" collapsed="1" x14ac:dyDescent="0.25">
      <c r="A107" s="25"/>
      <c r="B107" s="12" t="str">
        <f>CONCATENATE("     ","Training                                          ")</f>
        <v xml:space="preserve">     Training                                          </v>
      </c>
      <c r="C107" s="12"/>
      <c r="D107" s="1">
        <f>SUM(OSRRefD22_10x_0)</f>
        <v>0</v>
      </c>
      <c r="E107" s="1"/>
      <c r="F107" s="5">
        <f t="shared" ref="F107:F110" si="55">IF(D$12=0,0,D107/D$12)</f>
        <v>0</v>
      </c>
      <c r="G107" s="1"/>
      <c r="H107" s="1">
        <f>SUM(OSRRefH22_10x_0)</f>
        <v>0</v>
      </c>
      <c r="I107" s="1"/>
      <c r="J107" s="5">
        <f t="shared" ref="J107:J110" si="56">IF(H$12=0,0,H107/H$12)</f>
        <v>0</v>
      </c>
      <c r="K107" s="1"/>
      <c r="L107" s="1">
        <f t="shared" ref="L107:L110" si="57">+D107-H107</f>
        <v>0</v>
      </c>
      <c r="M107" s="1"/>
      <c r="N107" s="5">
        <f t="shared" ref="N107:N110" si="58">IF(H107=0,0,L107/H107)</f>
        <v>0</v>
      </c>
      <c r="O107" s="12"/>
      <c r="P107" s="1">
        <f>SUM(OSRRefP22_10x_0)</f>
        <v>60</v>
      </c>
      <c r="Q107" s="1"/>
      <c r="R107" s="5">
        <f t="shared" ref="R107:R110" si="59">IF(P$12=0,0,P107/P$12)</f>
        <v>1.4229194907171936E-4</v>
      </c>
      <c r="S107" s="1"/>
      <c r="T107" s="1">
        <f>SUM(OSRRefT22_10x_0)</f>
        <v>0</v>
      </c>
      <c r="U107" s="1"/>
      <c r="V107" s="5">
        <f t="shared" ref="V107:V110" si="60">IF(T$12=0,0,T107/T$12)</f>
        <v>0</v>
      </c>
      <c r="W107" s="1"/>
      <c r="X107" s="1">
        <f t="shared" ref="X107:X110" si="61">+P107-T107</f>
        <v>60</v>
      </c>
      <c r="Y107" s="1"/>
      <c r="Z107" s="5">
        <f t="shared" ref="Z107:Z110" si="62">IF(T107=0,0,X107/T107)</f>
        <v>0</v>
      </c>
    </row>
    <row r="108" spans="1:26" s="24" customFormat="1" hidden="1" outlineLevel="2" x14ac:dyDescent="0.25">
      <c r="A108" s="27"/>
      <c r="B108" s="11" t="str">
        <f>CONCATENATE("          ", "6376", " - ", "TRAINING")</f>
        <v xml:space="preserve">          6376 - TRAINING</v>
      </c>
      <c r="C108" s="11"/>
      <c r="D108" s="6"/>
      <c r="E108" s="2"/>
      <c r="F108" s="7">
        <f t="shared" si="55"/>
        <v>0</v>
      </c>
      <c r="G108" s="2"/>
      <c r="H108" s="6"/>
      <c r="I108" s="2"/>
      <c r="J108" s="7">
        <f t="shared" si="56"/>
        <v>0</v>
      </c>
      <c r="K108" s="2"/>
      <c r="L108" s="6">
        <f t="shared" si="57"/>
        <v>0</v>
      </c>
      <c r="M108" s="2"/>
      <c r="N108" s="7">
        <f t="shared" si="58"/>
        <v>0</v>
      </c>
      <c r="O108" s="11"/>
      <c r="P108" s="6">
        <v>60</v>
      </c>
      <c r="Q108" s="2"/>
      <c r="R108" s="7">
        <f t="shared" si="59"/>
        <v>1.4229194907171936E-4</v>
      </c>
      <c r="S108" s="2"/>
      <c r="T108" s="6"/>
      <c r="U108" s="2"/>
      <c r="V108" s="7">
        <f t="shared" si="60"/>
        <v>0</v>
      </c>
      <c r="W108" s="2"/>
      <c r="X108" s="6">
        <f t="shared" si="61"/>
        <v>60</v>
      </c>
      <c r="Y108" s="2"/>
      <c r="Z108" s="7">
        <f t="shared" si="62"/>
        <v>0</v>
      </c>
    </row>
    <row r="109" spans="1:26" s="26" customFormat="1" outlineLevel="1" collapsed="1" x14ac:dyDescent="0.25">
      <c r="A109" s="25"/>
      <c r="B109" s="12" t="str">
        <f>CONCATENATE("     ","Travel                                            ")</f>
        <v xml:space="preserve">     Travel                                            </v>
      </c>
      <c r="C109" s="12"/>
      <c r="D109" s="1">
        <f>SUM(OSRRefD22_11x_0)</f>
        <v>0</v>
      </c>
      <c r="E109" s="1"/>
      <c r="F109" s="5">
        <f t="shared" si="55"/>
        <v>0</v>
      </c>
      <c r="G109" s="1"/>
      <c r="H109" s="1">
        <f>SUM(OSRRefH22_11x_0)</f>
        <v>0</v>
      </c>
      <c r="I109" s="1"/>
      <c r="J109" s="5">
        <f t="shared" si="56"/>
        <v>0</v>
      </c>
      <c r="K109" s="1"/>
      <c r="L109" s="1">
        <f t="shared" si="57"/>
        <v>0</v>
      </c>
      <c r="M109" s="1"/>
      <c r="N109" s="5">
        <f t="shared" si="58"/>
        <v>0</v>
      </c>
      <c r="O109" s="12"/>
      <c r="P109" s="1">
        <f>SUM(OSRRefP22_11x_0)</f>
        <v>-323.01</v>
      </c>
      <c r="Q109" s="1"/>
      <c r="R109" s="5">
        <f t="shared" si="59"/>
        <v>-7.6602870782760109E-4</v>
      </c>
      <c r="S109" s="1"/>
      <c r="T109" s="1">
        <f>SUM(OSRRefT22_11x_0)</f>
        <v>0</v>
      </c>
      <c r="U109" s="1"/>
      <c r="V109" s="5">
        <f t="shared" si="60"/>
        <v>0</v>
      </c>
      <c r="W109" s="1"/>
      <c r="X109" s="1">
        <f t="shared" si="61"/>
        <v>-323.01</v>
      </c>
      <c r="Y109" s="1"/>
      <c r="Z109" s="5">
        <f t="shared" si="62"/>
        <v>0</v>
      </c>
    </row>
    <row r="110" spans="1:26" s="24" customFormat="1" hidden="1" outlineLevel="2" x14ac:dyDescent="0.25">
      <c r="A110" s="27"/>
      <c r="B110" s="11" t="str">
        <f>CONCATENATE("          ", "6292", " - ", "TRAVEL/CONFERENCE")</f>
        <v xml:space="preserve">          6292 - TRAVEL/CONFERENCE</v>
      </c>
      <c r="C110" s="11"/>
      <c r="D110" s="6"/>
      <c r="E110" s="2"/>
      <c r="F110" s="7">
        <f t="shared" si="55"/>
        <v>0</v>
      </c>
      <c r="G110" s="2"/>
      <c r="H110" s="6"/>
      <c r="I110" s="2"/>
      <c r="J110" s="7">
        <f t="shared" si="56"/>
        <v>0</v>
      </c>
      <c r="K110" s="2"/>
      <c r="L110" s="6">
        <f t="shared" si="57"/>
        <v>0</v>
      </c>
      <c r="M110" s="2"/>
      <c r="N110" s="7">
        <f t="shared" si="58"/>
        <v>0</v>
      </c>
      <c r="O110" s="11"/>
      <c r="P110" s="6">
        <v>-323.01</v>
      </c>
      <c r="Q110" s="2"/>
      <c r="R110" s="7">
        <f t="shared" si="59"/>
        <v>-7.6602870782760109E-4</v>
      </c>
      <c r="S110" s="2"/>
      <c r="T110" s="6"/>
      <c r="U110" s="2"/>
      <c r="V110" s="7">
        <f t="shared" si="60"/>
        <v>0</v>
      </c>
      <c r="W110" s="2"/>
      <c r="X110" s="6">
        <f t="shared" si="61"/>
        <v>-323.01</v>
      </c>
      <c r="Y110" s="2"/>
      <c r="Z110" s="7">
        <f t="shared" si="62"/>
        <v>0</v>
      </c>
    </row>
    <row r="111" spans="1:26" s="60" customFormat="1" x14ac:dyDescent="0.25">
      <c r="A111" s="36"/>
      <c r="B111" s="36"/>
      <c r="C111" s="36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6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x14ac:dyDescent="0.25">
      <c r="A112" s="10"/>
      <c r="B112" s="28" t="s">
        <v>0</v>
      </c>
      <c r="C112" s="10"/>
      <c r="D112" s="4">
        <f>SUM(0)</f>
        <v>0</v>
      </c>
      <c r="E112" s="4"/>
      <c r="F112" s="13">
        <f>IF(D$12=0,0,D112/D$12)</f>
        <v>0</v>
      </c>
      <c r="G112" s="4"/>
      <c r="H112" s="4">
        <f>SUM(0)</f>
        <v>0</v>
      </c>
      <c r="I112" s="4"/>
      <c r="J112" s="13">
        <f>IF(H$12=0,0,H112/H$12)</f>
        <v>0</v>
      </c>
      <c r="K112" s="4"/>
      <c r="L112" s="4">
        <f>+D112-H112</f>
        <v>0</v>
      </c>
      <c r="M112" s="4"/>
      <c r="N112" s="13">
        <f>IF(H112=0,0,L112/H112)</f>
        <v>0</v>
      </c>
      <c r="O112" s="10"/>
      <c r="P112" s="4">
        <f>SUM(0)</f>
        <v>0</v>
      </c>
      <c r="Q112" s="4"/>
      <c r="R112" s="13">
        <f>IF(P$12=0,0,P112/P$12)</f>
        <v>0</v>
      </c>
      <c r="S112" s="4"/>
      <c r="T112" s="4">
        <f>SUM(0)</f>
        <v>0</v>
      </c>
      <c r="U112" s="4"/>
      <c r="V112" s="13">
        <f>IF(T$12=0,0,T112/T$12)</f>
        <v>0</v>
      </c>
      <c r="W112" s="4"/>
      <c r="X112" s="4">
        <f>+P112-T112</f>
        <v>0</v>
      </c>
      <c r="Y112" s="4"/>
      <c r="Z112" s="13">
        <f>IF(T112=0,0,X112/T112)</f>
        <v>0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9" t="s">
        <v>3</v>
      </c>
      <c r="C114" s="29"/>
      <c r="D114" s="22">
        <f>+D55-D57+D112</f>
        <v>-51859.68</v>
      </c>
      <c r="E114" s="14"/>
      <c r="F114" s="20">
        <f>IF(D$12=0,0,D114/D$12)</f>
        <v>-4.9223654836211228</v>
      </c>
      <c r="G114" s="14"/>
      <c r="H114" s="22">
        <f>+H55-H57+H112</f>
        <v>-14505.091636344609</v>
      </c>
      <c r="I114" s="14"/>
      <c r="J114" s="20">
        <f>IF(H$12=0,0,H114/H$12)</f>
        <v>-1.2884252652642219</v>
      </c>
      <c r="K114" s="15"/>
      <c r="L114" s="22">
        <f>+D114-H114</f>
        <v>-37354.588363655392</v>
      </c>
      <c r="M114" s="15"/>
      <c r="N114" s="20">
        <f>IF(H114=0,0,L114/H114)</f>
        <v>2.5752742071658519</v>
      </c>
      <c r="O114" s="28"/>
      <c r="P114" s="22">
        <f>+P55-P57+P112</f>
        <v>52706.59</v>
      </c>
      <c r="Q114" s="14"/>
      <c r="R114" s="20">
        <f>IF(P$12=0,0,P114/P$12)</f>
        <v>0.12499539033373321</v>
      </c>
      <c r="S114" s="14"/>
      <c r="T114" s="22">
        <f>+T55-T57+T112</f>
        <v>125861.51910412003</v>
      </c>
      <c r="U114" s="14"/>
      <c r="V114" s="20">
        <f>IF(T$12=0,0,T114/T$12)</f>
        <v>0.23978327005892591</v>
      </c>
      <c r="W114" s="15"/>
      <c r="X114" s="22">
        <f>+P114-T114</f>
        <v>-73154.929104120034</v>
      </c>
      <c r="Y114" s="15"/>
      <c r="Z114" s="20">
        <f>IF(T114=0,0,X114/T114)</f>
        <v>-0.58123348283760967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2"/>
      <c r="B116" s="10" t="s">
        <v>14</v>
      </c>
      <c r="C116" s="10"/>
      <c r="D116" s="4">
        <v>15170.34</v>
      </c>
      <c r="E116" s="4"/>
      <c r="F116" s="13">
        <f>IF(D$12=0,0,D116/D$12)</f>
        <v>1.439923231126703</v>
      </c>
      <c r="G116" s="4"/>
      <c r="H116" s="4">
        <v>8415</v>
      </c>
      <c r="I116" s="4"/>
      <c r="J116" s="13">
        <f>IF(H$12=0,0,H116/H$12)</f>
        <v>0.74746846686800494</v>
      </c>
      <c r="K116" s="4"/>
      <c r="L116" s="4">
        <f>+D116-H116</f>
        <v>6755.34</v>
      </c>
      <c r="M116" s="4"/>
      <c r="N116" s="13">
        <f>IF(H116=0,0,L116/H116)</f>
        <v>0.80277361853832441</v>
      </c>
      <c r="O116" s="10"/>
      <c r="P116" s="4">
        <v>63856.920000000006</v>
      </c>
      <c r="Q116" s="4"/>
      <c r="R116" s="13">
        <f>IF(P$12=0,0,P116/P$12)</f>
        <v>0.15143876014194763</v>
      </c>
      <c r="S116" s="4"/>
      <c r="T116" s="4">
        <v>67906</v>
      </c>
      <c r="U116" s="4"/>
      <c r="V116" s="13">
        <f>IF(T$12=0,0,T116/T$12)</f>
        <v>0.12937014309474049</v>
      </c>
      <c r="W116" s="4"/>
      <c r="X116" s="4">
        <f>+P116-T116</f>
        <v>-4049.0799999999945</v>
      </c>
      <c r="Y116" s="4"/>
      <c r="Z116" s="13">
        <f>IF(T116=0,0,X116/T116)</f>
        <v>-5.9627720672694527E-2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9" t="s">
        <v>4</v>
      </c>
      <c r="C118" s="29"/>
      <c r="D118" s="31">
        <f>+D114-D116</f>
        <v>-67030.02</v>
      </c>
      <c r="E118" s="14"/>
      <c r="F118" s="33">
        <f>IF(D$12=0,0,D118/D$12)</f>
        <v>-6.3622887147478258</v>
      </c>
      <c r="G118" s="14"/>
      <c r="H118" s="31">
        <f>+H114-H116</f>
        <v>-22920.091636344609</v>
      </c>
      <c r="I118" s="14"/>
      <c r="J118" s="33">
        <f>IF(H$12=0,0,H118/H$12)</f>
        <v>-2.0358937321322266</v>
      </c>
      <c r="K118" s="15"/>
      <c r="L118" s="31">
        <f>D118-H118</f>
        <v>-44109.928363655396</v>
      </c>
      <c r="M118" s="15"/>
      <c r="N118" s="33">
        <f>IF(H118=0,0,L118/H118)</f>
        <v>1.9245092499416476</v>
      </c>
      <c r="O118" s="28"/>
      <c r="P118" s="31">
        <f>+P114-P116</f>
        <v>-11150.330000000009</v>
      </c>
      <c r="Q118" s="14"/>
      <c r="R118" s="33">
        <f>IF(P$12=0,0,P118/P$12)</f>
        <v>-2.6443369808214431E-2</v>
      </c>
      <c r="S118" s="14"/>
      <c r="T118" s="31">
        <f>+T114-T116</f>
        <v>57955.519104120031</v>
      </c>
      <c r="U118" s="14"/>
      <c r="V118" s="33">
        <f>IF(T$12=0,0,T118/T$12)</f>
        <v>0.11041312696418541</v>
      </c>
      <c r="W118" s="15"/>
      <c r="X118" s="31">
        <f>P118-T118</f>
        <v>-69105.849104120047</v>
      </c>
      <c r="Y118" s="15"/>
      <c r="Z118" s="33">
        <f>IF(T118=0,0,X118/T118)</f>
        <v>-1.1923946187069412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9" t="s">
        <v>5</v>
      </c>
      <c r="C121" s="29"/>
      <c r="D121" s="34">
        <f>SUM(D118:D120)</f>
        <v>-67030.02</v>
      </c>
      <c r="E121" s="14"/>
      <c r="F121" s="35">
        <f>IF(D$12=0,0,D121/D$12)</f>
        <v>-6.3622887147478258</v>
      </c>
      <c r="G121" s="14"/>
      <c r="H121" s="34">
        <f>SUM(H118:H120)</f>
        <v>-22920.091636344609</v>
      </c>
      <c r="I121" s="14"/>
      <c r="J121" s="35">
        <f>IF(H$12=0,0,H121/H$12)</f>
        <v>-2.0358937321322266</v>
      </c>
      <c r="K121" s="15"/>
      <c r="L121" s="34">
        <f>+D121-H121</f>
        <v>-44109.928363655396</v>
      </c>
      <c r="M121" s="15"/>
      <c r="N121" s="35">
        <f>IF(H121=0,0,L121/H121)</f>
        <v>1.9245092499416476</v>
      </c>
      <c r="O121" s="28"/>
      <c r="P121" s="34">
        <f>SUM(P118:P120)</f>
        <v>-11150.330000000009</v>
      </c>
      <c r="Q121" s="14"/>
      <c r="R121" s="35">
        <f>IF(P$12=0,0,P121/P$12)</f>
        <v>-2.6443369808214431E-2</v>
      </c>
      <c r="S121" s="14"/>
      <c r="T121" s="34">
        <f>SUM(T118:T120)</f>
        <v>57955.519104120031</v>
      </c>
      <c r="U121" s="14"/>
      <c r="V121" s="35">
        <f>IF(T$12=0,0,T121/T$12)</f>
        <v>0.11041312696418541</v>
      </c>
      <c r="W121" s="15"/>
      <c r="X121" s="34">
        <f>+P121-T121</f>
        <v>-69105.849104120047</v>
      </c>
      <c r="Y121" s="15"/>
      <c r="Z121" s="35">
        <f>IF(T121=0,0,X121/T121)</f>
        <v>-1.1923946187069412</v>
      </c>
    </row>
    <row r="122" spans="1:26" ht="15.75" thickTop="1" x14ac:dyDescent="0.25">
      <c r="A122" s="9"/>
      <c r="C122" s="9"/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A123" s="9"/>
      <c r="B123" s="55">
        <v>44043.473434293985</v>
      </c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A124" s="9"/>
      <c r="B124" s="62" t="s">
        <v>314</v>
      </c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25">
      <c r="A125" s="9"/>
      <c r="B125" s="63"/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81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304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168787.31000000003</v>
      </c>
      <c r="E12" s="4"/>
      <c r="F12" s="13"/>
      <c r="G12" s="4"/>
      <c r="H12" s="4">
        <f>SUM(OSRRefH13x_0)</f>
        <v>301324.15129000001</v>
      </c>
      <c r="I12" s="4"/>
      <c r="J12" s="13"/>
      <c r="K12" s="4"/>
      <c r="L12" s="4">
        <f t="shared" ref="L12:L42" si="0">+D12-H12</f>
        <v>-132536.84128999998</v>
      </c>
      <c r="M12" s="4"/>
      <c r="N12" s="13">
        <f t="shared" ref="N12:N42" si="1">IF(H12=0,0,L12/H12)</f>
        <v>-0.43984805307704672</v>
      </c>
      <c r="O12" s="10"/>
      <c r="P12" s="4">
        <f>SUM(OSRRefP13x_0)</f>
        <v>2936241.2100000004</v>
      </c>
      <c r="Q12" s="4"/>
      <c r="R12" s="13"/>
      <c r="S12" s="4"/>
      <c r="T12" s="4">
        <f>SUM(OSRRefT13x_0)</f>
        <v>3997560.9999900004</v>
      </c>
      <c r="U12" s="4"/>
      <c r="V12" s="13"/>
      <c r="W12" s="4"/>
      <c r="X12" s="4">
        <f t="shared" ref="X12:X42" si="2">+P12-T12</f>
        <v>-1061319.78999</v>
      </c>
      <c r="Y12" s="4"/>
      <c r="Z12" s="13">
        <f t="shared" ref="Z12:Z42" si="3">IF(T12=0,0,X12/T12)</f>
        <v>-0.26549183114220265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301324.15129000001</v>
      </c>
      <c r="I13" s="2"/>
      <c r="J13" s="19"/>
      <c r="K13" s="2"/>
      <c r="L13" s="2">
        <f t="shared" si="0"/>
        <v>-301324.15129000001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3997560.9999900004</v>
      </c>
      <c r="U13" s="2"/>
      <c r="V13" s="19"/>
      <c r="W13" s="2"/>
      <c r="X13" s="2">
        <f t="shared" si="2"/>
        <v>-3997560.9999900004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--229.51</f>
        <v>229.51</v>
      </c>
      <c r="Q15" s="2"/>
      <c r="R15" s="19"/>
      <c r="S15" s="2"/>
      <c r="T15" s="2"/>
      <c r="U15" s="2"/>
      <c r="V15" s="19"/>
      <c r="W15" s="2"/>
      <c r="X15" s="2">
        <f t="shared" si="2"/>
        <v>229.51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/>
      <c r="U16" s="2"/>
      <c r="V16" s="19"/>
      <c r="W16" s="2"/>
      <c r="X16" s="2">
        <f t="shared" si="2"/>
        <v>161.59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--46364.3</f>
        <v>46364.3</v>
      </c>
      <c r="E17" s="2"/>
      <c r="F17" s="19"/>
      <c r="G17" s="2"/>
      <c r="H17" s="2"/>
      <c r="I17" s="2"/>
      <c r="J17" s="19"/>
      <c r="K17" s="2"/>
      <c r="L17" s="2">
        <f t="shared" si="0"/>
        <v>46364.3</v>
      </c>
      <c r="M17" s="2"/>
      <c r="N17" s="19">
        <f t="shared" si="1"/>
        <v>0</v>
      </c>
      <c r="O17" s="11"/>
      <c r="P17" s="2">
        <f>--1941274.42</f>
        <v>1941274.42</v>
      </c>
      <c r="Q17" s="2"/>
      <c r="R17" s="19"/>
      <c r="S17" s="2"/>
      <c r="T17" s="2"/>
      <c r="U17" s="2"/>
      <c r="V17" s="19"/>
      <c r="W17" s="2"/>
      <c r="X17" s="2">
        <f t="shared" si="2"/>
        <v>1941274.42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--29345.98</f>
        <v>29345.98</v>
      </c>
      <c r="E18" s="2"/>
      <c r="F18" s="19"/>
      <c r="G18" s="2"/>
      <c r="H18" s="2"/>
      <c r="I18" s="2"/>
      <c r="J18" s="19"/>
      <c r="K18" s="2"/>
      <c r="L18" s="2">
        <f t="shared" si="0"/>
        <v>29345.98</v>
      </c>
      <c r="M18" s="2"/>
      <c r="N18" s="19">
        <f t="shared" si="1"/>
        <v>0</v>
      </c>
      <c r="O18" s="11"/>
      <c r="P18" s="2">
        <f>--380463.99</f>
        <v>380463.99</v>
      </c>
      <c r="Q18" s="2"/>
      <c r="R18" s="19"/>
      <c r="S18" s="2"/>
      <c r="T18" s="2"/>
      <c r="U18" s="2"/>
      <c r="V18" s="19"/>
      <c r="W18" s="2"/>
      <c r="X18" s="2">
        <f t="shared" si="2"/>
        <v>380463.99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--2752.94</f>
        <v>2752.94</v>
      </c>
      <c r="E19" s="2"/>
      <c r="F19" s="19"/>
      <c r="G19" s="2"/>
      <c r="H19" s="2"/>
      <c r="I19" s="2"/>
      <c r="J19" s="19"/>
      <c r="K19" s="2"/>
      <c r="L19" s="2">
        <f t="shared" si="0"/>
        <v>2752.94</v>
      </c>
      <c r="M19" s="2"/>
      <c r="N19" s="19">
        <f t="shared" si="1"/>
        <v>0</v>
      </c>
      <c r="O19" s="11"/>
      <c r="P19" s="2">
        <f>--208367.78</f>
        <v>208367.78</v>
      </c>
      <c r="Q19" s="2"/>
      <c r="R19" s="19"/>
      <c r="S19" s="2"/>
      <c r="T19" s="2"/>
      <c r="U19" s="2"/>
      <c r="V19" s="19"/>
      <c r="W19" s="2"/>
      <c r="X19" s="2">
        <f t="shared" si="2"/>
        <v>208367.78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--54.96</f>
        <v>54.96</v>
      </c>
      <c r="E20" s="2"/>
      <c r="F20" s="19"/>
      <c r="G20" s="2"/>
      <c r="H20" s="2"/>
      <c r="I20" s="2"/>
      <c r="J20" s="19"/>
      <c r="K20" s="2"/>
      <c r="L20" s="2">
        <f t="shared" si="0"/>
        <v>54.96</v>
      </c>
      <c r="M20" s="2"/>
      <c r="N20" s="19">
        <f t="shared" si="1"/>
        <v>0</v>
      </c>
      <c r="O20" s="11"/>
      <c r="P20" s="2">
        <f>--76402.42</f>
        <v>76402.42</v>
      </c>
      <c r="Q20" s="2"/>
      <c r="R20" s="19"/>
      <c r="S20" s="2"/>
      <c r="T20" s="2"/>
      <c r="U20" s="2"/>
      <c r="V20" s="19"/>
      <c r="W20" s="2"/>
      <c r="X20" s="2">
        <f t="shared" si="2"/>
        <v>76402.42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--2524.8</f>
        <v>2524.8000000000002</v>
      </c>
      <c r="E21" s="2"/>
      <c r="F21" s="19"/>
      <c r="G21" s="2"/>
      <c r="H21" s="2"/>
      <c r="I21" s="2"/>
      <c r="J21" s="19"/>
      <c r="K21" s="2"/>
      <c r="L21" s="2">
        <f t="shared" si="0"/>
        <v>2524.8000000000002</v>
      </c>
      <c r="M21" s="2"/>
      <c r="N21" s="19">
        <f t="shared" si="1"/>
        <v>0</v>
      </c>
      <c r="O21" s="11"/>
      <c r="P21" s="2">
        <f>--73365.88</f>
        <v>73365.88</v>
      </c>
      <c r="Q21" s="2"/>
      <c r="R21" s="19"/>
      <c r="S21" s="2"/>
      <c r="T21" s="2"/>
      <c r="U21" s="2"/>
      <c r="V21" s="19"/>
      <c r="W21" s="2"/>
      <c r="X21" s="2">
        <f t="shared" si="2"/>
        <v>73365.88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--26263.53</f>
        <v>26263.53</v>
      </c>
      <c r="E22" s="2"/>
      <c r="F22" s="19"/>
      <c r="G22" s="2"/>
      <c r="H22" s="2"/>
      <c r="I22" s="2"/>
      <c r="J22" s="19"/>
      <c r="K22" s="2"/>
      <c r="L22" s="2">
        <f t="shared" si="0"/>
        <v>26263.53</v>
      </c>
      <c r="M22" s="2"/>
      <c r="N22" s="19">
        <f t="shared" si="1"/>
        <v>0</v>
      </c>
      <c r="O22" s="11"/>
      <c r="P22" s="2">
        <f>--123103.09</f>
        <v>123103.09</v>
      </c>
      <c r="Q22" s="2"/>
      <c r="R22" s="19"/>
      <c r="S22" s="2"/>
      <c r="T22" s="2"/>
      <c r="U22" s="2"/>
      <c r="V22" s="19"/>
      <c r="W22" s="2"/>
      <c r="X22" s="2">
        <f t="shared" si="2"/>
        <v>123103.09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ref="D23:D25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--123</f>
        <v>123</v>
      </c>
      <c r="Q25" s="2"/>
      <c r="R25" s="19"/>
      <c r="S25" s="2"/>
      <c r="T25" s="2"/>
      <c r="U25" s="2"/>
      <c r="V25" s="19"/>
      <c r="W25" s="2"/>
      <c r="X25" s="2">
        <f t="shared" si="2"/>
        <v>123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--40740.37</f>
        <v>40740.370000000003</v>
      </c>
      <c r="E26" s="2"/>
      <c r="F26" s="19"/>
      <c r="G26" s="2"/>
      <c r="H26" s="2"/>
      <c r="I26" s="2"/>
      <c r="J26" s="19"/>
      <c r="K26" s="2"/>
      <c r="L26" s="2">
        <f t="shared" si="0"/>
        <v>40740.370000000003</v>
      </c>
      <c r="M26" s="2"/>
      <c r="N26" s="19">
        <f t="shared" si="1"/>
        <v>0</v>
      </c>
      <c r="O26" s="11"/>
      <c r="P26" s="2">
        <f>--176221.13</f>
        <v>176221.13</v>
      </c>
      <c r="Q26" s="2"/>
      <c r="R26" s="19"/>
      <c r="S26" s="2"/>
      <c r="T26" s="2"/>
      <c r="U26" s="2"/>
      <c r="V26" s="19"/>
      <c r="W26" s="2"/>
      <c r="X26" s="2">
        <f t="shared" si="2"/>
        <v>176221.13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--6534.64</f>
        <v>6534.64</v>
      </c>
      <c r="E27" s="2"/>
      <c r="F27" s="19"/>
      <c r="G27" s="2"/>
      <c r="H27" s="2"/>
      <c r="I27" s="2"/>
      <c r="J27" s="19"/>
      <c r="K27" s="2"/>
      <c r="L27" s="2">
        <f t="shared" si="0"/>
        <v>6534.64</v>
      </c>
      <c r="M27" s="2"/>
      <c r="N27" s="19">
        <f t="shared" si="1"/>
        <v>0</v>
      </c>
      <c r="O27" s="11"/>
      <c r="P27" s="2">
        <f>--22573.35</f>
        <v>22573.35</v>
      </c>
      <c r="Q27" s="2"/>
      <c r="R27" s="19"/>
      <c r="S27" s="2"/>
      <c r="T27" s="2"/>
      <c r="U27" s="2"/>
      <c r="V27" s="19"/>
      <c r="W27" s="2"/>
      <c r="X27" s="2">
        <f t="shared" si="2"/>
        <v>22573.35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--1018.52</f>
        <v>1018.52</v>
      </c>
      <c r="E28" s="2"/>
      <c r="F28" s="19"/>
      <c r="G28" s="2"/>
      <c r="H28" s="2"/>
      <c r="I28" s="2"/>
      <c r="J28" s="19"/>
      <c r="K28" s="2"/>
      <c r="L28" s="2">
        <f t="shared" si="0"/>
        <v>1018.52</v>
      </c>
      <c r="M28" s="2"/>
      <c r="N28" s="19">
        <f t="shared" si="1"/>
        <v>0</v>
      </c>
      <c r="O28" s="11"/>
      <c r="P28" s="2">
        <f>--7426.72</f>
        <v>7426.72</v>
      </c>
      <c r="Q28" s="2"/>
      <c r="R28" s="19"/>
      <c r="S28" s="2"/>
      <c r="T28" s="2"/>
      <c r="U28" s="2"/>
      <c r="V28" s="19"/>
      <c r="W28" s="2"/>
      <c r="X28" s="2">
        <f t="shared" si="2"/>
        <v>7426.72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"4143", " - ", "NON-TAXABLE SALES-CARDS")</f>
        <v xml:space="preserve">          4143 - NON-TAXABLE SALES-CARDS</v>
      </c>
      <c r="C29" s="11"/>
      <c r="D29" s="2">
        <f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--19.98</f>
        <v>19.98</v>
      </c>
      <c r="Q29" s="2"/>
      <c r="R29" s="19"/>
      <c r="S29" s="2"/>
      <c r="T29" s="2"/>
      <c r="U29" s="2"/>
      <c r="V29" s="19"/>
      <c r="W29" s="2"/>
      <c r="X29" s="2">
        <f t="shared" si="2"/>
        <v>19.98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"4144", " - ", "NON-TAXABLE SALES-ACCESSORIES")</f>
        <v xml:space="preserve">          4144 - NON-TAXABLE SALES-ACCESSORIES</v>
      </c>
      <c r="C30" s="11"/>
      <c r="D30" s="2">
        <f>--386.9</f>
        <v>386.9</v>
      </c>
      <c r="E30" s="2"/>
      <c r="F30" s="19"/>
      <c r="G30" s="2"/>
      <c r="H30" s="2"/>
      <c r="I30" s="2"/>
      <c r="J30" s="19"/>
      <c r="K30" s="2"/>
      <c r="L30" s="2">
        <f t="shared" si="0"/>
        <v>386.9</v>
      </c>
      <c r="M30" s="2"/>
      <c r="N30" s="19">
        <f t="shared" si="1"/>
        <v>0</v>
      </c>
      <c r="O30" s="11"/>
      <c r="P30" s="2">
        <f>--3710.92</f>
        <v>3710.92</v>
      </c>
      <c r="Q30" s="2"/>
      <c r="R30" s="19"/>
      <c r="S30" s="2"/>
      <c r="T30" s="2"/>
      <c r="U30" s="2"/>
      <c r="V30" s="19"/>
      <c r="W30" s="2"/>
      <c r="X30" s="2">
        <f t="shared" si="2"/>
        <v>3710.92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"4145", " - ", "NON-TAXABLE SALES-SPECIAL ORDE")</f>
        <v xml:space="preserve">          4145 - NON-TAXABLE SALES-SPECIAL ORDE</v>
      </c>
      <c r="C31" s="11"/>
      <c r="D31" s="2">
        <f>--19379.5</f>
        <v>19379.5</v>
      </c>
      <c r="E31" s="2"/>
      <c r="F31" s="19"/>
      <c r="G31" s="2"/>
      <c r="H31" s="2"/>
      <c r="I31" s="2"/>
      <c r="J31" s="19"/>
      <c r="K31" s="2"/>
      <c r="L31" s="2">
        <f t="shared" si="0"/>
        <v>19379.5</v>
      </c>
      <c r="M31" s="2"/>
      <c r="N31" s="19">
        <f t="shared" si="1"/>
        <v>0</v>
      </c>
      <c r="O31" s="11"/>
      <c r="P31" s="2">
        <f>--27208.18</f>
        <v>27208.18</v>
      </c>
      <c r="Q31" s="2"/>
      <c r="R31" s="19"/>
      <c r="S31" s="2"/>
      <c r="T31" s="2"/>
      <c r="U31" s="2"/>
      <c r="V31" s="19"/>
      <c r="W31" s="2"/>
      <c r="X31" s="2">
        <f t="shared" si="2"/>
        <v>27208.18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"4226", " - ", "SALES RETURN TAXABLE-WRITING I")</f>
        <v xml:space="preserve">          4226 - SALES RETURN TAXABLE-WRITING I</v>
      </c>
      <c r="C32" s="11"/>
      <c r="D32" s="2">
        <f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-134.8</f>
        <v>-134.80000000000001</v>
      </c>
      <c r="Q32" s="2"/>
      <c r="R32" s="19"/>
      <c r="S32" s="2"/>
      <c r="T32" s="2"/>
      <c r="U32" s="2"/>
      <c r="V32" s="19"/>
      <c r="W32" s="2"/>
      <c r="X32" s="2">
        <f t="shared" si="2"/>
        <v>-134.80000000000001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"4240", " - ", "SALES RETURN TAXABLE-LOGO CLOT")</f>
        <v xml:space="preserve">          4240 - SALES RETURN TAXABLE-LOGO CLOT</v>
      </c>
      <c r="C33" s="11"/>
      <c r="D33" s="2">
        <f>-2702.34</f>
        <v>-2702.34</v>
      </c>
      <c r="E33" s="2"/>
      <c r="F33" s="19"/>
      <c r="G33" s="2"/>
      <c r="H33" s="2"/>
      <c r="I33" s="2"/>
      <c r="J33" s="19"/>
      <c r="K33" s="2"/>
      <c r="L33" s="2">
        <f t="shared" si="0"/>
        <v>-2702.34</v>
      </c>
      <c r="M33" s="2"/>
      <c r="N33" s="19">
        <f t="shared" si="1"/>
        <v>0</v>
      </c>
      <c r="O33" s="11"/>
      <c r="P33" s="2">
        <f>-80387.11</f>
        <v>-80387.11</v>
      </c>
      <c r="Q33" s="2"/>
      <c r="R33" s="19"/>
      <c r="S33" s="2"/>
      <c r="T33" s="2"/>
      <c r="U33" s="2"/>
      <c r="V33" s="19"/>
      <c r="W33" s="2"/>
      <c r="X33" s="2">
        <f t="shared" si="2"/>
        <v>-80387.11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"4241", " - ", "SALES RETURN TAXABLE-LOGO GIFT")</f>
        <v xml:space="preserve">          4241 - SALES RETURN TAXABLE-LOGO GIFT</v>
      </c>
      <c r="C34" s="11"/>
      <c r="D34" s="2">
        <f>-525.51</f>
        <v>-525.51</v>
      </c>
      <c r="E34" s="2"/>
      <c r="F34" s="19"/>
      <c r="G34" s="2"/>
      <c r="H34" s="2"/>
      <c r="I34" s="2"/>
      <c r="J34" s="19"/>
      <c r="K34" s="2"/>
      <c r="L34" s="2">
        <f t="shared" si="0"/>
        <v>-525.51</v>
      </c>
      <c r="M34" s="2"/>
      <c r="N34" s="19">
        <f t="shared" si="1"/>
        <v>0</v>
      </c>
      <c r="O34" s="11"/>
      <c r="P34" s="2">
        <f>-6931.38</f>
        <v>-6931.38</v>
      </c>
      <c r="Q34" s="2"/>
      <c r="R34" s="19"/>
      <c r="S34" s="2"/>
      <c r="T34" s="2"/>
      <c r="U34" s="2"/>
      <c r="V34" s="19"/>
      <c r="W34" s="2"/>
      <c r="X34" s="2">
        <f t="shared" si="2"/>
        <v>-6931.38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"4242", " - ", "SALES RETURN TAXABLE-EVERYDAY")</f>
        <v xml:space="preserve">          4242 - SALES RETURN TAXABLE-EVERYDAY</v>
      </c>
      <c r="C35" s="11"/>
      <c r="D35" s="2">
        <f>-51.44</f>
        <v>-51.44</v>
      </c>
      <c r="E35" s="2"/>
      <c r="F35" s="19"/>
      <c r="G35" s="2"/>
      <c r="H35" s="2"/>
      <c r="I35" s="2"/>
      <c r="J35" s="19"/>
      <c r="K35" s="2"/>
      <c r="L35" s="2">
        <f t="shared" si="0"/>
        <v>-51.44</v>
      </c>
      <c r="M35" s="2"/>
      <c r="N35" s="19">
        <f t="shared" si="1"/>
        <v>0</v>
      </c>
      <c r="O35" s="11"/>
      <c r="P35" s="2">
        <f>-4005.15</f>
        <v>-4005.15</v>
      </c>
      <c r="Q35" s="2"/>
      <c r="R35" s="19"/>
      <c r="S35" s="2"/>
      <c r="T35" s="2"/>
      <c r="U35" s="2"/>
      <c r="V35" s="19"/>
      <c r="W35" s="2"/>
      <c r="X35" s="2">
        <f t="shared" si="2"/>
        <v>-4005.15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"4243", " - ", "SALES RETURN TAXABLE-CARDS")</f>
        <v xml:space="preserve">          4243 - SALES RETURN TAXABLE-CARDS</v>
      </c>
      <c r="C36" s="11"/>
      <c r="D36" s="2">
        <f>-19.99</f>
        <v>-19.989999999999998</v>
      </c>
      <c r="E36" s="2"/>
      <c r="F36" s="19"/>
      <c r="G36" s="2"/>
      <c r="H36" s="2"/>
      <c r="I36" s="2"/>
      <c r="J36" s="19"/>
      <c r="K36" s="2"/>
      <c r="L36" s="2">
        <f t="shared" si="0"/>
        <v>-19.989999999999998</v>
      </c>
      <c r="M36" s="2"/>
      <c r="N36" s="19">
        <f t="shared" si="1"/>
        <v>0</v>
      </c>
      <c r="O36" s="11"/>
      <c r="P36" s="2">
        <f>-3026.3</f>
        <v>-3026.3</v>
      </c>
      <c r="Q36" s="2"/>
      <c r="R36" s="19"/>
      <c r="S36" s="2"/>
      <c r="T36" s="2"/>
      <c r="U36" s="2"/>
      <c r="V36" s="19"/>
      <c r="W36" s="2"/>
      <c r="X36" s="2">
        <f t="shared" si="2"/>
        <v>-3026.3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"4244", " - ", "SALES RETURN TAXABLE-ACCESSORI")</f>
        <v xml:space="preserve">          4244 - SALES RETURN TAXABLE-ACCESSORI</v>
      </c>
      <c r="C37" s="11"/>
      <c r="D37" s="2">
        <f>0</f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-2726.41</f>
        <v>-2726.41</v>
      </c>
      <c r="Q37" s="2"/>
      <c r="R37" s="19"/>
      <c r="S37" s="2"/>
      <c r="T37" s="2"/>
      <c r="U37" s="2"/>
      <c r="V37" s="19"/>
      <c r="W37" s="2"/>
      <c r="X37" s="2">
        <f t="shared" si="2"/>
        <v>-2726.41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"4245", " - ", "SALES RETURN TAXABLE-SPECIAL O")</f>
        <v xml:space="preserve">          4245 - SALES RETURN TAXABLE-SPECIAL O</v>
      </c>
      <c r="C38" s="11"/>
      <c r="D38" s="2">
        <f>-2187.5</f>
        <v>-2187.5</v>
      </c>
      <c r="E38" s="2"/>
      <c r="F38" s="19"/>
      <c r="G38" s="2"/>
      <c r="H38" s="2"/>
      <c r="I38" s="2"/>
      <c r="J38" s="19"/>
      <c r="K38" s="2"/>
      <c r="L38" s="2">
        <f t="shared" si="0"/>
        <v>-2187.5</v>
      </c>
      <c r="M38" s="2"/>
      <c r="N38" s="19">
        <f t="shared" si="1"/>
        <v>0</v>
      </c>
      <c r="O38" s="11"/>
      <c r="P38" s="2">
        <f>-4097.53</f>
        <v>-4097.53</v>
      </c>
      <c r="Q38" s="2"/>
      <c r="R38" s="19"/>
      <c r="S38" s="2"/>
      <c r="T38" s="2"/>
      <c r="U38" s="2"/>
      <c r="V38" s="19"/>
      <c r="W38" s="2"/>
      <c r="X38" s="2">
        <f t="shared" si="2"/>
        <v>-4097.53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"4295", " - ", "SALES RETURN TAXABLE-CUSTOMER")</f>
        <v xml:space="preserve">          4295 - SALES RETURN TAXABLE-CUSTOMER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--0.99</f>
        <v>0.99</v>
      </c>
      <c r="Q39" s="2"/>
      <c r="R39" s="19"/>
      <c r="S39" s="2"/>
      <c r="T39" s="2"/>
      <c r="U39" s="2"/>
      <c r="V39" s="19"/>
      <c r="W39" s="2"/>
      <c r="X39" s="2">
        <f t="shared" si="2"/>
        <v>0.99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"4340", " - ", "SALES RETURN NON TAXABLE-LOGO")</f>
        <v xml:space="preserve">          4340 - SALES RETURN NON TAXABLE-LOGO</v>
      </c>
      <c r="C40" s="11"/>
      <c r="D40" s="2">
        <f>-1045.65</f>
        <v>-1045.6500000000001</v>
      </c>
      <c r="E40" s="2"/>
      <c r="F40" s="19"/>
      <c r="G40" s="2"/>
      <c r="H40" s="2"/>
      <c r="I40" s="2"/>
      <c r="J40" s="19"/>
      <c r="K40" s="2"/>
      <c r="L40" s="2">
        <f t="shared" si="0"/>
        <v>-1045.6500000000001</v>
      </c>
      <c r="M40" s="2"/>
      <c r="N40" s="19">
        <f t="shared" si="1"/>
        <v>0</v>
      </c>
      <c r="O40" s="11"/>
      <c r="P40" s="2">
        <f>-2664.48</f>
        <v>-2664.48</v>
      </c>
      <c r="Q40" s="2"/>
      <c r="R40" s="19"/>
      <c r="S40" s="2"/>
      <c r="T40" s="2"/>
      <c r="U40" s="2"/>
      <c r="V40" s="19"/>
      <c r="W40" s="2"/>
      <c r="X40" s="2">
        <f t="shared" si="2"/>
        <v>-2664.48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"4341", " - ", "SALES RETURN NON TAXABLE-LOGO")</f>
        <v xml:space="preserve">          4341 - SALES RETURN NON TAXABLE-LOGO</v>
      </c>
      <c r="C41" s="11"/>
      <c r="D41" s="2">
        <f>-9.9</f>
        <v>-9.9</v>
      </c>
      <c r="E41" s="2"/>
      <c r="F41" s="19"/>
      <c r="G41" s="2"/>
      <c r="H41" s="2"/>
      <c r="I41" s="2"/>
      <c r="J41" s="19"/>
      <c r="K41" s="2"/>
      <c r="L41" s="2">
        <f t="shared" si="0"/>
        <v>-9.9</v>
      </c>
      <c r="M41" s="2"/>
      <c r="N41" s="19">
        <f t="shared" si="1"/>
        <v>0</v>
      </c>
      <c r="O41" s="11"/>
      <c r="P41" s="2">
        <f>-295.35</f>
        <v>-295.35000000000002</v>
      </c>
      <c r="Q41" s="2"/>
      <c r="R41" s="19"/>
      <c r="S41" s="2"/>
      <c r="T41" s="2"/>
      <c r="U41" s="2"/>
      <c r="V41" s="19"/>
      <c r="W41" s="2"/>
      <c r="X41" s="2">
        <f t="shared" si="2"/>
        <v>-295.35000000000002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"4342", " - ", "SALES RETURN NON TAXABLE-EVERY")</f>
        <v xml:space="preserve">          4342 - SALES RETURN NON TAXABLE-EVERY</v>
      </c>
      <c r="C42" s="11"/>
      <c r="D42" s="2">
        <f>-36.8</f>
        <v>-36.799999999999997</v>
      </c>
      <c r="E42" s="2"/>
      <c r="F42" s="19"/>
      <c r="G42" s="2"/>
      <c r="H42" s="2"/>
      <c r="I42" s="2"/>
      <c r="J42" s="19"/>
      <c r="K42" s="2"/>
      <c r="L42" s="2">
        <f t="shared" si="0"/>
        <v>-36.799999999999997</v>
      </c>
      <c r="M42" s="2"/>
      <c r="N42" s="19">
        <f t="shared" si="1"/>
        <v>0</v>
      </c>
      <c r="O42" s="11"/>
      <c r="P42" s="2">
        <f>-146.6</f>
        <v>-146.6</v>
      </c>
      <c r="Q42" s="2"/>
      <c r="R42" s="19"/>
      <c r="S42" s="2"/>
      <c r="T42" s="2"/>
      <c r="U42" s="2"/>
      <c r="V42" s="19"/>
      <c r="W42" s="2"/>
      <c r="X42" s="2">
        <f t="shared" si="2"/>
        <v>-146.6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8" t="s">
        <v>8</v>
      </c>
      <c r="C44" s="10"/>
      <c r="D44" s="4">
        <f>SUM(OSRRefD16x_0)</f>
        <v>129021.32999999999</v>
      </c>
      <c r="E44" s="4"/>
      <c r="F44" s="13">
        <f t="shared" ref="F44:F67" si="6">IF(D$12=0,0,D44/D$12)</f>
        <v>0.76440183802917394</v>
      </c>
      <c r="G44" s="4"/>
      <c r="H44" s="4">
        <f>SUM(OSRRefH16x_0)</f>
        <v>141894.69071</v>
      </c>
      <c r="I44" s="4"/>
      <c r="J44" s="13">
        <f t="shared" ref="J44:J67" si="7">IF(H$12=0,0,H44/H$12)</f>
        <v>0.47090380941100829</v>
      </c>
      <c r="K44" s="4"/>
      <c r="L44" s="4">
        <f t="shared" ref="L44:L67" si="8">+D44-H44</f>
        <v>-12873.360710000008</v>
      </c>
      <c r="M44" s="4"/>
      <c r="N44" s="13">
        <f t="shared" ref="N44:N67" si="9">IF(H44=0,0,L44/H44)</f>
        <v>-9.0724752600576067E-2</v>
      </c>
      <c r="O44" s="10"/>
      <c r="P44" s="4">
        <f>SUM(OSRRefP16x_0)</f>
        <v>1413606.5799999998</v>
      </c>
      <c r="Q44" s="4"/>
      <c r="R44" s="13">
        <f t="shared" ref="R44:R67" si="10">IF(P$12=0,0,P44/P$12)</f>
        <v>0.4814340780946943</v>
      </c>
      <c r="S44" s="4"/>
      <c r="T44" s="4">
        <f>SUM(OSRRefT16x_0)</f>
        <v>1812304.0000099998</v>
      </c>
      <c r="U44" s="4"/>
      <c r="V44" s="13">
        <f t="shared" ref="V44:V67" si="11">IF(T$12=0,0,T44/T$12)</f>
        <v>0.45335243164883116</v>
      </c>
      <c r="W44" s="4"/>
      <c r="X44" s="4">
        <f t="shared" ref="X44:X67" si="12">+P44-T44</f>
        <v>-398697.42001</v>
      </c>
      <c r="Y44" s="4"/>
      <c r="Z44" s="13">
        <f t="shared" ref="Z44:Z67" si="13">IF(T44=0,0,X44/T44)</f>
        <v>-0.21999478012949267</v>
      </c>
    </row>
    <row r="45" spans="1:26" s="24" customFormat="1" hidden="1" outlineLevel="1" x14ac:dyDescent="0.25">
      <c r="A45" s="44"/>
      <c r="B45" s="11" t="str">
        <f>CONCATENATE("          ", "5000", " - ", "PURCHASES @ COST")</f>
        <v xml:space="preserve">          5000 - PURCHASES @ COST</v>
      </c>
      <c r="C45" s="11"/>
      <c r="D45" s="2"/>
      <c r="E45" s="2"/>
      <c r="F45" s="19">
        <f t="shared" si="6"/>
        <v>0</v>
      </c>
      <c r="G45" s="2"/>
      <c r="H45" s="2">
        <v>141894.69071</v>
      </c>
      <c r="I45" s="2"/>
      <c r="J45" s="19">
        <f t="shared" si="7"/>
        <v>0.47090380941100829</v>
      </c>
      <c r="K45" s="2"/>
      <c r="L45" s="2">
        <f t="shared" si="8"/>
        <v>-141894.69071</v>
      </c>
      <c r="M45" s="2"/>
      <c r="N45" s="19">
        <f t="shared" si="9"/>
        <v>-1</v>
      </c>
      <c r="O45" s="11"/>
      <c r="P45" s="2">
        <v>0</v>
      </c>
      <c r="Q45" s="2"/>
      <c r="R45" s="19">
        <f t="shared" si="10"/>
        <v>0</v>
      </c>
      <c r="S45" s="2"/>
      <c r="T45" s="2">
        <v>1812304.0000099998</v>
      </c>
      <c r="U45" s="2"/>
      <c r="V45" s="19">
        <f t="shared" si="11"/>
        <v>0.45335243164883116</v>
      </c>
      <c r="W45" s="2"/>
      <c r="X45" s="2">
        <f t="shared" si="12"/>
        <v>-1812304.0000099998</v>
      </c>
      <c r="Y45" s="2"/>
      <c r="Z45" s="19">
        <f t="shared" si="13"/>
        <v>-1</v>
      </c>
    </row>
    <row r="46" spans="1:26" s="24" customFormat="1" hidden="1" outlineLevel="1" x14ac:dyDescent="0.25">
      <c r="A46" s="44"/>
      <c r="B46" s="11" t="str">
        <f>CONCATENATE("          ", "5025", " - ", "PURCHASES @ COST-TEST FORMS")</f>
        <v xml:space="preserve">          5025 - PURCHASES @ COST-TEST FORMS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6.06</v>
      </c>
      <c r="Q46" s="2"/>
      <c r="R46" s="19">
        <f t="shared" si="10"/>
        <v>2.0638631388188981E-6</v>
      </c>
      <c r="S46" s="2"/>
      <c r="T46" s="2"/>
      <c r="U46" s="2"/>
      <c r="V46" s="19">
        <f t="shared" si="11"/>
        <v>0</v>
      </c>
      <c r="W46" s="2"/>
      <c r="X46" s="2">
        <f t="shared" si="12"/>
        <v>6.06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"5026", " - ", "PURCHASES @ COST-WRITING INSTR")</f>
        <v xml:space="preserve">          5026 - PURCHASES @ COST-WRITING INSTR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1193.81</v>
      </c>
      <c r="Q47" s="2"/>
      <c r="R47" s="19">
        <f t="shared" si="10"/>
        <v>4.0657763263257239E-4</v>
      </c>
      <c r="S47" s="2"/>
      <c r="T47" s="2"/>
      <c r="U47" s="2"/>
      <c r="V47" s="19">
        <f t="shared" si="11"/>
        <v>0</v>
      </c>
      <c r="W47" s="2"/>
      <c r="X47" s="2">
        <f t="shared" si="12"/>
        <v>1193.81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"5027", " - ", "PURCHASES @ COST-SCHOOL SUPPLI")</f>
        <v xml:space="preserve">          5027 - PURCHASES @ COST-SCHOOL SUPPLI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305.64999999999998</v>
      </c>
      <c r="Q48" s="2"/>
      <c r="R48" s="19">
        <f t="shared" si="10"/>
        <v>1.0409567134983435E-4</v>
      </c>
      <c r="S48" s="2"/>
      <c r="T48" s="2"/>
      <c r="U48" s="2"/>
      <c r="V48" s="19">
        <f t="shared" si="11"/>
        <v>0</v>
      </c>
      <c r="W48" s="2"/>
      <c r="X48" s="2">
        <f t="shared" si="12"/>
        <v>305.64999999999998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"5037", " - ", "PURCHASES @ COST-WATER")</f>
        <v xml:space="preserve">          5037 - PURCHASES @ COST-WATER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29.76</v>
      </c>
      <c r="Q49" s="2"/>
      <c r="R49" s="19">
        <f t="shared" si="10"/>
        <v>1.0135407097566073E-5</v>
      </c>
      <c r="S49" s="2"/>
      <c r="T49" s="2"/>
      <c r="U49" s="2"/>
      <c r="V49" s="19">
        <f t="shared" si="11"/>
        <v>0</v>
      </c>
      <c r="W49" s="2"/>
      <c r="X49" s="2">
        <f t="shared" si="12"/>
        <v>29.76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"5040", " - ", "PURCHASES @ COST-LOGO CLOTHING")</f>
        <v xml:space="preserve">          5040 - PURCHASES @ COST-LOGO CLOTHING</v>
      </c>
      <c r="C50" s="11"/>
      <c r="D50" s="2">
        <v>6472.18</v>
      </c>
      <c r="E50" s="2"/>
      <c r="F50" s="19">
        <f t="shared" si="6"/>
        <v>3.8345181281697061E-2</v>
      </c>
      <c r="G50" s="2"/>
      <c r="H50" s="2"/>
      <c r="I50" s="2"/>
      <c r="J50" s="19">
        <f t="shared" si="7"/>
        <v>0</v>
      </c>
      <c r="K50" s="2"/>
      <c r="L50" s="2">
        <f t="shared" si="8"/>
        <v>6472.18</v>
      </c>
      <c r="M50" s="2"/>
      <c r="N50" s="19">
        <f t="shared" si="9"/>
        <v>0</v>
      </c>
      <c r="O50" s="11"/>
      <c r="P50" s="2">
        <v>982941.51</v>
      </c>
      <c r="Q50" s="2"/>
      <c r="R50" s="19">
        <f t="shared" si="10"/>
        <v>0.334761839951153</v>
      </c>
      <c r="S50" s="2"/>
      <c r="T50" s="2"/>
      <c r="U50" s="2"/>
      <c r="V50" s="19">
        <f t="shared" si="11"/>
        <v>0</v>
      </c>
      <c r="W50" s="2"/>
      <c r="X50" s="2">
        <f t="shared" si="12"/>
        <v>982941.51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"5041", " - ", "PURCHASES @ COST-LOGO GIFTS")</f>
        <v xml:space="preserve">          5041 - PURCHASES @ COST-LOGO GIFTS</v>
      </c>
      <c r="C51" s="11"/>
      <c r="D51" s="2">
        <v>13093.79</v>
      </c>
      <c r="E51" s="2"/>
      <c r="F51" s="19">
        <f t="shared" si="6"/>
        <v>7.7575677934555623E-2</v>
      </c>
      <c r="G51" s="2"/>
      <c r="H51" s="2"/>
      <c r="I51" s="2"/>
      <c r="J51" s="19">
        <f t="shared" si="7"/>
        <v>0</v>
      </c>
      <c r="K51" s="2"/>
      <c r="L51" s="2">
        <f t="shared" si="8"/>
        <v>13093.79</v>
      </c>
      <c r="M51" s="2"/>
      <c r="N51" s="19">
        <f t="shared" si="9"/>
        <v>0</v>
      </c>
      <c r="O51" s="11"/>
      <c r="P51" s="2">
        <v>162844.62999999998</v>
      </c>
      <c r="Q51" s="2"/>
      <c r="R51" s="19">
        <f t="shared" si="10"/>
        <v>5.5460235843498684E-2</v>
      </c>
      <c r="S51" s="2"/>
      <c r="T51" s="2"/>
      <c r="U51" s="2"/>
      <c r="V51" s="19">
        <f t="shared" si="11"/>
        <v>0</v>
      </c>
      <c r="W51" s="2"/>
      <c r="X51" s="2">
        <f t="shared" si="12"/>
        <v>162844.62999999998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"5042", " - ", "PURCHASES @ COST-EVERYDAY GIFT")</f>
        <v xml:space="preserve">          5042 - PURCHASES @ COST-EVERYDAY GIFT</v>
      </c>
      <c r="C52" s="11"/>
      <c r="D52" s="2">
        <v>-836.65</v>
      </c>
      <c r="E52" s="2"/>
      <c r="F52" s="19">
        <f t="shared" si="6"/>
        <v>-4.9568299891739479E-3</v>
      </c>
      <c r="G52" s="2"/>
      <c r="H52" s="2"/>
      <c r="I52" s="2"/>
      <c r="J52" s="19">
        <f t="shared" si="7"/>
        <v>0</v>
      </c>
      <c r="K52" s="2"/>
      <c r="L52" s="2">
        <f t="shared" si="8"/>
        <v>-836.65</v>
      </c>
      <c r="M52" s="2"/>
      <c r="N52" s="19">
        <f t="shared" si="9"/>
        <v>0</v>
      </c>
      <c r="O52" s="11"/>
      <c r="P52" s="2">
        <v>125778.54999999999</v>
      </c>
      <c r="Q52" s="2"/>
      <c r="R52" s="19">
        <f t="shared" si="10"/>
        <v>4.2836586303480147E-2</v>
      </c>
      <c r="S52" s="2"/>
      <c r="T52" s="2"/>
      <c r="U52" s="2"/>
      <c r="V52" s="19">
        <f t="shared" si="11"/>
        <v>0</v>
      </c>
      <c r="W52" s="2"/>
      <c r="X52" s="2">
        <f t="shared" si="12"/>
        <v>125778.54999999999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"5043", " - ", "PURCHASES @ COST-CARDS")</f>
        <v xml:space="preserve">          5043 - PURCHASES @ COST-CARDS</v>
      </c>
      <c r="C53" s="11"/>
      <c r="D53" s="2">
        <v>0</v>
      </c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30914.659999999996</v>
      </c>
      <c r="Q53" s="2"/>
      <c r="R53" s="19">
        <f t="shared" si="10"/>
        <v>1.0528651356950334E-2</v>
      </c>
      <c r="S53" s="2"/>
      <c r="T53" s="2"/>
      <c r="U53" s="2"/>
      <c r="V53" s="19">
        <f t="shared" si="11"/>
        <v>0</v>
      </c>
      <c r="W53" s="2"/>
      <c r="X53" s="2">
        <f t="shared" si="12"/>
        <v>30914.659999999996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"5044", " - ", "PURCHASES @ COST-ACCESSORIES")</f>
        <v xml:space="preserve">          5044 - PURCHASES @ COST-ACCESSORIES</v>
      </c>
      <c r="C54" s="11"/>
      <c r="D54" s="2">
        <v>0</v>
      </c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37869.03</v>
      </c>
      <c r="Q54" s="2"/>
      <c r="R54" s="19">
        <f t="shared" si="10"/>
        <v>1.2897111405912048E-2</v>
      </c>
      <c r="S54" s="2"/>
      <c r="T54" s="2"/>
      <c r="U54" s="2"/>
      <c r="V54" s="19">
        <f t="shared" si="11"/>
        <v>0</v>
      </c>
      <c r="W54" s="2"/>
      <c r="X54" s="2">
        <f t="shared" si="12"/>
        <v>37869.03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"5045", " - ", "PURCHASES @ COST-SPECIAL ORDER")</f>
        <v xml:space="preserve">          5045 - PURCHASES @ COST-SPECIAL ORDER</v>
      </c>
      <c r="C55" s="11"/>
      <c r="D55" s="2">
        <v>52772.409999999996</v>
      </c>
      <c r="E55" s="2"/>
      <c r="F55" s="19">
        <f t="shared" si="6"/>
        <v>0.31265626545028763</v>
      </c>
      <c r="G55" s="2"/>
      <c r="H55" s="2"/>
      <c r="I55" s="2"/>
      <c r="J55" s="19">
        <f t="shared" si="7"/>
        <v>0</v>
      </c>
      <c r="K55" s="2"/>
      <c r="L55" s="2">
        <f t="shared" si="8"/>
        <v>52772.409999999996</v>
      </c>
      <c r="M55" s="2"/>
      <c r="N55" s="19">
        <f t="shared" si="9"/>
        <v>0</v>
      </c>
      <c r="O55" s="11"/>
      <c r="P55" s="2">
        <v>131614.81</v>
      </c>
      <c r="Q55" s="2"/>
      <c r="R55" s="19">
        <f t="shared" si="10"/>
        <v>4.4824249980470771E-2</v>
      </c>
      <c r="S55" s="2"/>
      <c r="T55" s="2"/>
      <c r="U55" s="2"/>
      <c r="V55" s="19">
        <f t="shared" si="11"/>
        <v>0</v>
      </c>
      <c r="W55" s="2"/>
      <c r="X55" s="2">
        <f t="shared" si="12"/>
        <v>131614.81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"5083", " - ", "PURCHASES @ COST-COMPUTER EQUI")</f>
        <v xml:space="preserve">          5083 - PURCHASES @ COST-COMPUTER EQUI</v>
      </c>
      <c r="C56" s="11"/>
      <c r="D56" s="2"/>
      <c r="E56" s="2"/>
      <c r="F56" s="19">
        <f t="shared" si="6"/>
        <v>0</v>
      </c>
      <c r="G56" s="2"/>
      <c r="H56" s="2"/>
      <c r="I56" s="2"/>
      <c r="J56" s="19">
        <f t="shared" si="7"/>
        <v>0</v>
      </c>
      <c r="K56" s="2"/>
      <c r="L56" s="2">
        <f t="shared" si="8"/>
        <v>0</v>
      </c>
      <c r="M56" s="2"/>
      <c r="N56" s="19">
        <f t="shared" si="9"/>
        <v>0</v>
      </c>
      <c r="O56" s="11"/>
      <c r="P56" s="2">
        <v>90.35</v>
      </c>
      <c r="Q56" s="2"/>
      <c r="R56" s="19">
        <f t="shared" si="10"/>
        <v>3.0770632771004524E-5</v>
      </c>
      <c r="S56" s="2"/>
      <c r="T56" s="2"/>
      <c r="U56" s="2"/>
      <c r="V56" s="19">
        <f t="shared" si="11"/>
        <v>0</v>
      </c>
      <c r="W56" s="2"/>
      <c r="X56" s="2">
        <f t="shared" si="12"/>
        <v>90.35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"5092", " - ", "PURCHASES @ COST-GRAD MERCH")</f>
        <v xml:space="preserve">          5092 - PURCHASES @ COST-GRAD MERCH</v>
      </c>
      <c r="C57" s="11"/>
      <c r="D57" s="2"/>
      <c r="E57" s="2"/>
      <c r="F57" s="19">
        <f t="shared" si="6"/>
        <v>0</v>
      </c>
      <c r="G57" s="2"/>
      <c r="H57" s="2"/>
      <c r="I57" s="2"/>
      <c r="J57" s="19">
        <f t="shared" si="7"/>
        <v>0</v>
      </c>
      <c r="K57" s="2"/>
      <c r="L57" s="2">
        <f t="shared" si="8"/>
        <v>0</v>
      </c>
      <c r="M57" s="2"/>
      <c r="N57" s="19">
        <f t="shared" si="9"/>
        <v>0</v>
      </c>
      <c r="O57" s="11"/>
      <c r="P57" s="2">
        <v>-60.35</v>
      </c>
      <c r="Q57" s="2"/>
      <c r="R57" s="19">
        <f t="shared" si="10"/>
        <v>-2.0553488519425824E-5</v>
      </c>
      <c r="S57" s="2"/>
      <c r="T57" s="2"/>
      <c r="U57" s="2"/>
      <c r="V57" s="19">
        <f t="shared" si="11"/>
        <v>0</v>
      </c>
      <c r="W57" s="2"/>
      <c r="X57" s="2">
        <f t="shared" si="12"/>
        <v>-60.35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"5095", " - ", "PURCHASES @ COST-CUSTOMER SERV")</f>
        <v xml:space="preserve">          5095 - PURCHASES @ COST-CUSTOMER SERV</v>
      </c>
      <c r="C58" s="11"/>
      <c r="D58" s="2">
        <v>-18.989999999999998</v>
      </c>
      <c r="E58" s="2"/>
      <c r="F58" s="19">
        <f t="shared" si="6"/>
        <v>-1.1250845812993877E-4</v>
      </c>
      <c r="G58" s="2"/>
      <c r="H58" s="2"/>
      <c r="I58" s="2"/>
      <c r="J58" s="19">
        <f t="shared" si="7"/>
        <v>0</v>
      </c>
      <c r="K58" s="2"/>
      <c r="L58" s="2">
        <f t="shared" si="8"/>
        <v>-18.989999999999998</v>
      </c>
      <c r="M58" s="2"/>
      <c r="N58" s="19">
        <f t="shared" si="9"/>
        <v>0</v>
      </c>
      <c r="O58" s="11"/>
      <c r="P58" s="2">
        <v>-30.84</v>
      </c>
      <c r="Q58" s="2"/>
      <c r="R58" s="19">
        <f t="shared" si="10"/>
        <v>-1.0503224290622907E-5</v>
      </c>
      <c r="S58" s="2"/>
      <c r="T58" s="2"/>
      <c r="U58" s="2"/>
      <c r="V58" s="19">
        <f t="shared" si="11"/>
        <v>0</v>
      </c>
      <c r="W58" s="2"/>
      <c r="X58" s="2">
        <f t="shared" si="12"/>
        <v>-30.84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"5200", " - ", "PURCHASES OFFSET")</f>
        <v xml:space="preserve">          5200 - PURCHASES OFFSET</v>
      </c>
      <c r="C59" s="11"/>
      <c r="D59" s="2">
        <v>-110337</v>
      </c>
      <c r="E59" s="2"/>
      <c r="F59" s="19">
        <f t="shared" si="6"/>
        <v>-0.65370435727662213</v>
      </c>
      <c r="G59" s="2"/>
      <c r="H59" s="2"/>
      <c r="I59" s="2"/>
      <c r="J59" s="19">
        <f t="shared" si="7"/>
        <v>0</v>
      </c>
      <c r="K59" s="2"/>
      <c r="L59" s="2">
        <f t="shared" si="8"/>
        <v>-110337</v>
      </c>
      <c r="M59" s="2"/>
      <c r="N59" s="19">
        <f t="shared" si="9"/>
        <v>0</v>
      </c>
      <c r="O59" s="11"/>
      <c r="P59" s="2">
        <v>-1518671</v>
      </c>
      <c r="Q59" s="2"/>
      <c r="R59" s="19">
        <f t="shared" si="10"/>
        <v>-0.51721602258964272</v>
      </c>
      <c r="S59" s="2"/>
      <c r="T59" s="2"/>
      <c r="U59" s="2"/>
      <c r="V59" s="19">
        <f t="shared" si="11"/>
        <v>0</v>
      </c>
      <c r="W59" s="2"/>
      <c r="X59" s="2">
        <f t="shared" si="12"/>
        <v>-1518671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"5300", " - ", "COG$ OFFSET")</f>
        <v xml:space="preserve">          5300 - COG$ OFFSET</v>
      </c>
      <c r="C60" s="11"/>
      <c r="D60" s="2">
        <v>167142</v>
      </c>
      <c r="E60" s="2"/>
      <c r="F60" s="19">
        <f t="shared" si="6"/>
        <v>0.9902521700239193</v>
      </c>
      <c r="G60" s="2"/>
      <c r="H60" s="2"/>
      <c r="I60" s="2"/>
      <c r="J60" s="19">
        <f t="shared" si="7"/>
        <v>0</v>
      </c>
      <c r="K60" s="2"/>
      <c r="L60" s="2">
        <f t="shared" si="8"/>
        <v>167142</v>
      </c>
      <c r="M60" s="2"/>
      <c r="N60" s="19">
        <f t="shared" si="9"/>
        <v>0</v>
      </c>
      <c r="O60" s="11"/>
      <c r="P60" s="2">
        <v>1413573</v>
      </c>
      <c r="Q60" s="2"/>
      <c r="R60" s="19">
        <f t="shared" si="10"/>
        <v>0.48142264170456206</v>
      </c>
      <c r="S60" s="2"/>
      <c r="T60" s="2"/>
      <c r="U60" s="2"/>
      <c r="V60" s="19">
        <f t="shared" si="11"/>
        <v>0</v>
      </c>
      <c r="W60" s="2"/>
      <c r="X60" s="2">
        <f t="shared" si="12"/>
        <v>1413573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"5500", " - ", "FREIGHT-IN")</f>
        <v xml:space="preserve">          5500 - FREIGHT-IN</v>
      </c>
      <c r="C61" s="11"/>
      <c r="D61" s="2"/>
      <c r="E61" s="2"/>
      <c r="F61" s="19">
        <f t="shared" si="6"/>
        <v>0</v>
      </c>
      <c r="G61" s="2"/>
      <c r="H61" s="2"/>
      <c r="I61" s="2"/>
      <c r="J61" s="19">
        <f t="shared" si="7"/>
        <v>0</v>
      </c>
      <c r="K61" s="2"/>
      <c r="L61" s="2">
        <f t="shared" si="8"/>
        <v>0</v>
      </c>
      <c r="M61" s="2"/>
      <c r="N61" s="19">
        <f t="shared" si="9"/>
        <v>0</v>
      </c>
      <c r="O61" s="11"/>
      <c r="P61" s="2">
        <v>29.23</v>
      </c>
      <c r="Q61" s="2"/>
      <c r="R61" s="19">
        <f t="shared" si="10"/>
        <v>9.9549042157881835E-6</v>
      </c>
      <c r="S61" s="2"/>
      <c r="T61" s="2"/>
      <c r="U61" s="2"/>
      <c r="V61" s="19">
        <f t="shared" si="11"/>
        <v>0</v>
      </c>
      <c r="W61" s="2"/>
      <c r="X61" s="2">
        <f t="shared" si="12"/>
        <v>29.23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"5540", " - ", "FREIGHT-IN-LOGO CLOTHING")</f>
        <v xml:space="preserve">          5540 - FREIGHT-IN-LOGO CLOTHING</v>
      </c>
      <c r="C62" s="11"/>
      <c r="D62" s="2">
        <v>29.98</v>
      </c>
      <c r="E62" s="2"/>
      <c r="F62" s="19">
        <f t="shared" si="6"/>
        <v>1.7761998813773378E-4</v>
      </c>
      <c r="G62" s="2"/>
      <c r="H62" s="2"/>
      <c r="I62" s="2"/>
      <c r="J62" s="19">
        <f t="shared" si="7"/>
        <v>0</v>
      </c>
      <c r="K62" s="2"/>
      <c r="L62" s="2">
        <f t="shared" si="8"/>
        <v>29.98</v>
      </c>
      <c r="M62" s="2"/>
      <c r="N62" s="19">
        <f t="shared" si="9"/>
        <v>0</v>
      </c>
      <c r="O62" s="11"/>
      <c r="P62" s="2">
        <v>32548.979999999996</v>
      </c>
      <c r="Q62" s="2"/>
      <c r="R62" s="19">
        <f t="shared" si="10"/>
        <v>1.1085254130058338E-2</v>
      </c>
      <c r="S62" s="2"/>
      <c r="T62" s="2"/>
      <c r="U62" s="2"/>
      <c r="V62" s="19">
        <f t="shared" si="11"/>
        <v>0</v>
      </c>
      <c r="W62" s="2"/>
      <c r="X62" s="2">
        <f t="shared" si="12"/>
        <v>32548.979999999996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"5541", " - ", "FREIGHT-IN-LOGO GIFTS")</f>
        <v xml:space="preserve">          5541 - FREIGHT-IN-LOGO GIFTS</v>
      </c>
      <c r="C63" s="11"/>
      <c r="D63" s="2">
        <v>348.31</v>
      </c>
      <c r="E63" s="2"/>
      <c r="F63" s="19">
        <f t="shared" si="6"/>
        <v>2.063603004277987E-3</v>
      </c>
      <c r="G63" s="2"/>
      <c r="H63" s="2"/>
      <c r="I63" s="2"/>
      <c r="J63" s="19">
        <f t="shared" si="7"/>
        <v>0</v>
      </c>
      <c r="K63" s="2"/>
      <c r="L63" s="2">
        <f t="shared" si="8"/>
        <v>348.31</v>
      </c>
      <c r="M63" s="2"/>
      <c r="N63" s="19">
        <f t="shared" si="9"/>
        <v>0</v>
      </c>
      <c r="O63" s="11"/>
      <c r="P63" s="2">
        <v>5574.41</v>
      </c>
      <c r="Q63" s="2"/>
      <c r="R63" s="19">
        <f t="shared" si="10"/>
        <v>1.8984850362480945E-3</v>
      </c>
      <c r="S63" s="2"/>
      <c r="T63" s="2"/>
      <c r="U63" s="2"/>
      <c r="V63" s="19">
        <f t="shared" si="11"/>
        <v>0</v>
      </c>
      <c r="W63" s="2"/>
      <c r="X63" s="2">
        <f t="shared" si="12"/>
        <v>5574.41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"5542", " - ", "FREIGHT-IN-EVERYDAY GIFTS")</f>
        <v xml:space="preserve">          5542 - FREIGHT-IN-EVERYDAY GIFTS</v>
      </c>
      <c r="C64" s="11"/>
      <c r="D64" s="2"/>
      <c r="E64" s="2"/>
      <c r="F64" s="19">
        <f t="shared" si="6"/>
        <v>0</v>
      </c>
      <c r="G64" s="2"/>
      <c r="H64" s="2"/>
      <c r="I64" s="2"/>
      <c r="J64" s="19">
        <f t="shared" si="7"/>
        <v>0</v>
      </c>
      <c r="K64" s="2"/>
      <c r="L64" s="2">
        <f t="shared" si="8"/>
        <v>0</v>
      </c>
      <c r="M64" s="2"/>
      <c r="N64" s="19">
        <f t="shared" si="9"/>
        <v>0</v>
      </c>
      <c r="O64" s="11"/>
      <c r="P64" s="2">
        <v>2223.5100000000002</v>
      </c>
      <c r="Q64" s="2"/>
      <c r="R64" s="19">
        <f t="shared" si="10"/>
        <v>7.5726408049425883E-4</v>
      </c>
      <c r="S64" s="2"/>
      <c r="T64" s="2"/>
      <c r="U64" s="2"/>
      <c r="V64" s="19">
        <f t="shared" si="11"/>
        <v>0</v>
      </c>
      <c r="W64" s="2"/>
      <c r="X64" s="2">
        <f t="shared" si="12"/>
        <v>2223.5100000000002</v>
      </c>
      <c r="Y64" s="2"/>
      <c r="Z64" s="19">
        <f t="shared" si="13"/>
        <v>0</v>
      </c>
    </row>
    <row r="65" spans="1:26" s="24" customFormat="1" hidden="1" outlineLevel="1" x14ac:dyDescent="0.25">
      <c r="A65" s="44"/>
      <c r="B65" s="11" t="str">
        <f>CONCATENATE("          ", "5543", " - ", "FREIGHT-IN-CARDS")</f>
        <v xml:space="preserve">          5543 - FREIGHT-IN-CARDS</v>
      </c>
      <c r="C65" s="11"/>
      <c r="D65" s="2"/>
      <c r="E65" s="2"/>
      <c r="F65" s="19">
        <f t="shared" si="6"/>
        <v>0</v>
      </c>
      <c r="G65" s="2"/>
      <c r="H65" s="2"/>
      <c r="I65" s="2"/>
      <c r="J65" s="19">
        <f t="shared" si="7"/>
        <v>0</v>
      </c>
      <c r="K65" s="2"/>
      <c r="L65" s="2">
        <f t="shared" si="8"/>
        <v>0</v>
      </c>
      <c r="M65" s="2"/>
      <c r="N65" s="19">
        <f t="shared" si="9"/>
        <v>0</v>
      </c>
      <c r="O65" s="11"/>
      <c r="P65" s="2">
        <v>2926.76</v>
      </c>
      <c r="Q65" s="2"/>
      <c r="R65" s="19">
        <f t="shared" si="10"/>
        <v>9.967709703250162E-4</v>
      </c>
      <c r="S65" s="2"/>
      <c r="T65" s="2"/>
      <c r="U65" s="2"/>
      <c r="V65" s="19">
        <f t="shared" si="11"/>
        <v>0</v>
      </c>
      <c r="W65" s="2"/>
      <c r="X65" s="2">
        <f t="shared" si="12"/>
        <v>2926.76</v>
      </c>
      <c r="Y65" s="2"/>
      <c r="Z65" s="19">
        <f t="shared" si="13"/>
        <v>0</v>
      </c>
    </row>
    <row r="66" spans="1:26" s="24" customFormat="1" hidden="1" outlineLevel="1" x14ac:dyDescent="0.25">
      <c r="A66" s="44"/>
      <c r="B66" s="11" t="str">
        <f>CONCATENATE("          ", "5544", " - ", "FREIGHT-IN-ACCESSORIES")</f>
        <v xml:space="preserve">          5544 - FREIGHT-IN-ACCESSORIES</v>
      </c>
      <c r="C66" s="11"/>
      <c r="D66" s="2"/>
      <c r="E66" s="2"/>
      <c r="F66" s="19">
        <f t="shared" si="6"/>
        <v>0</v>
      </c>
      <c r="G66" s="2"/>
      <c r="H66" s="2"/>
      <c r="I66" s="2"/>
      <c r="J66" s="19">
        <f t="shared" si="7"/>
        <v>0</v>
      </c>
      <c r="K66" s="2"/>
      <c r="L66" s="2">
        <f t="shared" si="8"/>
        <v>0</v>
      </c>
      <c r="M66" s="2"/>
      <c r="N66" s="19">
        <f t="shared" si="9"/>
        <v>0</v>
      </c>
      <c r="O66" s="11"/>
      <c r="P66" s="2">
        <v>483.44</v>
      </c>
      <c r="Q66" s="2"/>
      <c r="R66" s="19">
        <f t="shared" si="10"/>
        <v>1.6464587389944027E-4</v>
      </c>
      <c r="S66" s="2"/>
      <c r="T66" s="2"/>
      <c r="U66" s="2"/>
      <c r="V66" s="19">
        <f t="shared" si="11"/>
        <v>0</v>
      </c>
      <c r="W66" s="2"/>
      <c r="X66" s="2">
        <f t="shared" si="12"/>
        <v>483.44</v>
      </c>
      <c r="Y66" s="2"/>
      <c r="Z66" s="19">
        <f t="shared" si="13"/>
        <v>0</v>
      </c>
    </row>
    <row r="67" spans="1:26" s="24" customFormat="1" hidden="1" outlineLevel="1" x14ac:dyDescent="0.25">
      <c r="A67" s="44"/>
      <c r="B67" s="11" t="str">
        <f>CONCATENATE("          ", "5545", " - ", "FREIGHT-IN-SPECIAL ORDERS")</f>
        <v xml:space="preserve">          5545 - FREIGHT-IN-SPECIAL ORDERS</v>
      </c>
      <c r="C67" s="11"/>
      <c r="D67" s="2">
        <v>355.3</v>
      </c>
      <c r="E67" s="2"/>
      <c r="F67" s="19">
        <f t="shared" si="6"/>
        <v>2.1050160702247105E-3</v>
      </c>
      <c r="G67" s="2"/>
      <c r="H67" s="2"/>
      <c r="I67" s="2"/>
      <c r="J67" s="19">
        <f t="shared" si="7"/>
        <v>0</v>
      </c>
      <c r="K67" s="2"/>
      <c r="L67" s="2">
        <f t="shared" si="8"/>
        <v>355.3</v>
      </c>
      <c r="M67" s="2"/>
      <c r="N67" s="19">
        <f t="shared" si="9"/>
        <v>0</v>
      </c>
      <c r="O67" s="11"/>
      <c r="P67" s="2">
        <v>1420.62</v>
      </c>
      <c r="Q67" s="2"/>
      <c r="R67" s="19">
        <f t="shared" si="10"/>
        <v>4.8382264888925788E-4</v>
      </c>
      <c r="S67" s="2"/>
      <c r="T67" s="2"/>
      <c r="U67" s="2"/>
      <c r="V67" s="19">
        <f t="shared" si="11"/>
        <v>0</v>
      </c>
      <c r="W67" s="2"/>
      <c r="X67" s="2">
        <f t="shared" si="12"/>
        <v>1420.62</v>
      </c>
      <c r="Y67" s="2"/>
      <c r="Z67" s="19">
        <f t="shared" si="13"/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6</v>
      </c>
      <c r="C69" s="29"/>
      <c r="D69" s="22">
        <f>D12-D44</f>
        <v>39765.98000000004</v>
      </c>
      <c r="E69" s="14"/>
      <c r="F69" s="20">
        <f>IF(D$12=0,0,D69/D$12)</f>
        <v>0.23559816197082609</v>
      </c>
      <c r="G69" s="14"/>
      <c r="H69" s="22">
        <f>H12-H44</f>
        <v>159429.46058000001</v>
      </c>
      <c r="I69" s="14"/>
      <c r="J69" s="20">
        <f>IF(H$12=0,0,H69/H$12)</f>
        <v>0.52909619058899171</v>
      </c>
      <c r="K69" s="15"/>
      <c r="L69" s="22">
        <f>+D69-H69</f>
        <v>-119663.48057999997</v>
      </c>
      <c r="M69" s="15"/>
      <c r="N69" s="20">
        <f>IF(H69=0,0,L69/H69)</f>
        <v>-0.75057320111770753</v>
      </c>
      <c r="O69" s="28"/>
      <c r="P69" s="22">
        <f>P12-P44</f>
        <v>1522634.6300000006</v>
      </c>
      <c r="Q69" s="14"/>
      <c r="R69" s="20">
        <f>IF(P$12=0,0,P69/P$12)</f>
        <v>0.5185659219053057</v>
      </c>
      <c r="S69" s="14"/>
      <c r="T69" s="22">
        <f>T12-T44</f>
        <v>2185256.9999800008</v>
      </c>
      <c r="U69" s="14"/>
      <c r="V69" s="20">
        <f>IF(T$12=0,0,T69/T$12)</f>
        <v>0.5466475683511689</v>
      </c>
      <c r="W69" s="15"/>
      <c r="X69" s="22">
        <f>+P69-T69</f>
        <v>-662622.36998000019</v>
      </c>
      <c r="Y69" s="15"/>
      <c r="Z69" s="20">
        <f>IF(T69=0,0,X69/T69)</f>
        <v>-0.30322400064892341</v>
      </c>
    </row>
    <row r="70" spans="1:26" x14ac:dyDescent="0.25">
      <c r="A70" s="9"/>
      <c r="B70" s="10"/>
      <c r="C70" s="9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9</v>
      </c>
      <c r="C71" s="10"/>
      <c r="D71" s="21">
        <f>SUM(OSRRefD22x_0)</f>
        <v>168860.42</v>
      </c>
      <c r="E71" s="21"/>
      <c r="F71" s="32">
        <f t="shared" ref="F71:F81" si="14">IF(D$12=0,0,D71/D$12)</f>
        <v>1.000433148676876</v>
      </c>
      <c r="G71" s="21"/>
      <c r="H71" s="21">
        <f>SUM(OSRRefH22x_0)</f>
        <v>99898.840899875009</v>
      </c>
      <c r="I71" s="21"/>
      <c r="J71" s="32">
        <f t="shared" ref="J71:J81" si="15">IF(H$12=0,0,H71/H$12)</f>
        <v>0.33153280436432886</v>
      </c>
      <c r="K71" s="4"/>
      <c r="L71" s="21">
        <f t="shared" ref="L71:L81" si="16">+D71-H71</f>
        <v>68961.579100125004</v>
      </c>
      <c r="M71" s="4"/>
      <c r="N71" s="32">
        <f t="shared" ref="N71:N81" si="17">IF(H71=0,0,L71/H71)</f>
        <v>0.69031410653946124</v>
      </c>
      <c r="O71" s="10"/>
      <c r="P71" s="21">
        <f>SUM(OSRRefP22x_0)</f>
        <v>1168483.29</v>
      </c>
      <c r="Q71" s="21"/>
      <c r="R71" s="32">
        <f t="shared" ref="R71:R81" si="18">IF(P$12=0,0,P71/P$12)</f>
        <v>0.39795207764964236</v>
      </c>
      <c r="S71" s="21"/>
      <c r="T71" s="21">
        <f>SUM(OSRRefT22x_0)</f>
        <v>1059613.1582502751</v>
      </c>
      <c r="U71" s="21"/>
      <c r="V71" s="32">
        <f t="shared" ref="V71:V81" si="19">IF(T$12=0,0,T71/T$12)</f>
        <v>0.26506491289386847</v>
      </c>
      <c r="W71" s="4"/>
      <c r="X71" s="21">
        <f t="shared" ref="X71:X81" si="20">+P71-T71</f>
        <v>108870.13174972497</v>
      </c>
      <c r="Y71" s="4"/>
      <c r="Z71" s="32">
        <f t="shared" ref="Z71:Z81" si="21">IF(T71=0,0,X71/T71)</f>
        <v>0.10274516780208803</v>
      </c>
    </row>
    <row r="72" spans="1:26" s="26" customFormat="1" outlineLevel="1" collapsed="1" x14ac:dyDescent="0.25">
      <c r="A72" s="25"/>
      <c r="B72" s="12" t="str">
        <f>CONCATENATE("     ","*Benefits                                         ")</f>
        <v xml:space="preserve">     *Benefits                                         </v>
      </c>
      <c r="C72" s="12"/>
      <c r="D72" s="1">
        <f>SUM(OSRRefD22_0x_0)</f>
        <v>7012.3900000000012</v>
      </c>
      <c r="E72" s="1"/>
      <c r="F72" s="5">
        <f t="shared" si="14"/>
        <v>4.1545718099304976E-2</v>
      </c>
      <c r="G72" s="1"/>
      <c r="H72" s="1">
        <f>SUM(OSRRefH22_0x_0)</f>
        <v>7342.4772748749992</v>
      </c>
      <c r="I72" s="1"/>
      <c r="J72" s="5">
        <f t="shared" si="15"/>
        <v>2.4367370632062152E-2</v>
      </c>
      <c r="K72" s="1"/>
      <c r="L72" s="1">
        <f t="shared" si="16"/>
        <v>-330.087274874998</v>
      </c>
      <c r="M72" s="1"/>
      <c r="N72" s="5">
        <f t="shared" si="17"/>
        <v>-4.4955845625088094E-2</v>
      </c>
      <c r="O72" s="12"/>
      <c r="P72" s="1">
        <f>SUM(OSRRefP22_0x_0)</f>
        <v>107564.56000000001</v>
      </c>
      <c r="Q72" s="1"/>
      <c r="R72" s="5">
        <f t="shared" si="18"/>
        <v>3.6633420862586419E-2</v>
      </c>
      <c r="S72" s="1"/>
      <c r="T72" s="1">
        <f>SUM(OSRRefT22_0x_0)</f>
        <v>78590.696125275004</v>
      </c>
      <c r="U72" s="1"/>
      <c r="V72" s="5">
        <f t="shared" si="19"/>
        <v>1.9659661509973603E-2</v>
      </c>
      <c r="W72" s="1"/>
      <c r="X72" s="1">
        <f t="shared" si="20"/>
        <v>28973.863874725008</v>
      </c>
      <c r="Y72" s="1"/>
      <c r="Z72" s="5">
        <f t="shared" si="21"/>
        <v>0.36866786150538916</v>
      </c>
    </row>
    <row r="73" spans="1:26" s="24" customFormat="1" hidden="1" outlineLevel="2" x14ac:dyDescent="0.25">
      <c r="A73" s="27"/>
      <c r="B73" s="11" t="str">
        <f>CONCATENATE("          ", "6111", " - ", "F.I.C.A.")</f>
        <v xml:space="preserve">          6111 - F.I.C.A.</v>
      </c>
      <c r="C73" s="11"/>
      <c r="D73" s="6">
        <v>1325.15</v>
      </c>
      <c r="E73" s="2"/>
      <c r="F73" s="7">
        <f t="shared" si="14"/>
        <v>7.8510049126323533E-3</v>
      </c>
      <c r="G73" s="2"/>
      <c r="H73" s="6">
        <v>2358.9253248749992</v>
      </c>
      <c r="I73" s="2"/>
      <c r="J73" s="7">
        <f t="shared" si="15"/>
        <v>7.8285305534793494E-3</v>
      </c>
      <c r="K73" s="2"/>
      <c r="L73" s="6">
        <f t="shared" si="16"/>
        <v>-1033.7753248749991</v>
      </c>
      <c r="M73" s="2"/>
      <c r="N73" s="7">
        <f t="shared" si="17"/>
        <v>-0.43823995358131118</v>
      </c>
      <c r="O73" s="11"/>
      <c r="P73" s="6">
        <v>20108.550000000003</v>
      </c>
      <c r="Q73" s="2"/>
      <c r="R73" s="7">
        <f t="shared" si="18"/>
        <v>6.8483985346694323E-3</v>
      </c>
      <c r="S73" s="2"/>
      <c r="T73" s="6">
        <v>16857.800149274997</v>
      </c>
      <c r="U73" s="2"/>
      <c r="V73" s="7">
        <f t="shared" si="19"/>
        <v>4.2170213661072752E-3</v>
      </c>
      <c r="W73" s="2"/>
      <c r="X73" s="6">
        <f t="shared" si="20"/>
        <v>3250.7498507250057</v>
      </c>
      <c r="Y73" s="2"/>
      <c r="Z73" s="7">
        <f t="shared" si="21"/>
        <v>0.19283357389100442</v>
      </c>
    </row>
    <row r="74" spans="1:26" s="24" customFormat="1" hidden="1" outlineLevel="2" x14ac:dyDescent="0.25">
      <c r="A74" s="27"/>
      <c r="B74" s="11" t="str">
        <f>CONCATENATE("          ", "6112", " - ", "COMPENSATION INSURANCE")</f>
        <v xml:space="preserve">          6112 - COMPENSATION INSURANCE</v>
      </c>
      <c r="C74" s="11"/>
      <c r="D74" s="6">
        <v>328.94</v>
      </c>
      <c r="E74" s="2"/>
      <c r="F74" s="7">
        <f t="shared" si="14"/>
        <v>1.9488431920622465E-3</v>
      </c>
      <c r="G74" s="2"/>
      <c r="H74" s="6">
        <v>585.64721249999991</v>
      </c>
      <c r="I74" s="2"/>
      <c r="J74" s="7">
        <f t="shared" si="15"/>
        <v>1.9435787340403459E-3</v>
      </c>
      <c r="K74" s="2"/>
      <c r="L74" s="6">
        <f t="shared" si="16"/>
        <v>-256.70721249999991</v>
      </c>
      <c r="M74" s="2"/>
      <c r="N74" s="7">
        <f t="shared" si="17"/>
        <v>-0.43833080226604842</v>
      </c>
      <c r="O74" s="11"/>
      <c r="P74" s="6">
        <v>6646.31</v>
      </c>
      <c r="Q74" s="2"/>
      <c r="R74" s="7">
        <f t="shared" si="18"/>
        <v>2.2635436003570018E-3</v>
      </c>
      <c r="S74" s="2"/>
      <c r="T74" s="6">
        <v>7499.4562274999989</v>
      </c>
      <c r="U74" s="2"/>
      <c r="V74" s="7">
        <f t="shared" si="19"/>
        <v>1.8760079527288659E-3</v>
      </c>
      <c r="W74" s="2"/>
      <c r="X74" s="6">
        <f t="shared" si="20"/>
        <v>-853.14622749999853</v>
      </c>
      <c r="Y74" s="2"/>
      <c r="Z74" s="7">
        <f t="shared" si="21"/>
        <v>-0.11376107835279696</v>
      </c>
    </row>
    <row r="75" spans="1:26" s="24" customFormat="1" hidden="1" outlineLevel="2" x14ac:dyDescent="0.25">
      <c r="A75" s="27"/>
      <c r="B75" s="11" t="str">
        <f>CONCATENATE("          ", "6113", " - ", "GROUP INSURANCE")</f>
        <v xml:space="preserve">          6113 - GROUP INSURANCE</v>
      </c>
      <c r="C75" s="11"/>
      <c r="D75" s="6">
        <v>3471.02</v>
      </c>
      <c r="E75" s="2"/>
      <c r="F75" s="7">
        <f t="shared" si="14"/>
        <v>2.0564460681315434E-2</v>
      </c>
      <c r="G75" s="2"/>
      <c r="H75" s="6">
        <v>2863.75</v>
      </c>
      <c r="I75" s="2"/>
      <c r="J75" s="7">
        <f t="shared" si="15"/>
        <v>9.5038847292524958E-3</v>
      </c>
      <c r="K75" s="2"/>
      <c r="L75" s="6">
        <f t="shared" si="16"/>
        <v>607.27</v>
      </c>
      <c r="M75" s="2"/>
      <c r="N75" s="7">
        <f t="shared" si="17"/>
        <v>0.212054124836316</v>
      </c>
      <c r="O75" s="11"/>
      <c r="P75" s="6">
        <v>36852.74</v>
      </c>
      <c r="Q75" s="2"/>
      <c r="R75" s="7">
        <f t="shared" si="18"/>
        <v>1.2550992021530817E-2</v>
      </c>
      <c r="S75" s="2"/>
      <c r="T75" s="6">
        <v>34365</v>
      </c>
      <c r="U75" s="2"/>
      <c r="V75" s="7">
        <f t="shared" si="19"/>
        <v>8.5964917108421763E-3</v>
      </c>
      <c r="W75" s="2"/>
      <c r="X75" s="6">
        <f t="shared" si="20"/>
        <v>2487.739999999998</v>
      </c>
      <c r="Y75" s="2"/>
      <c r="Z75" s="7">
        <f t="shared" si="21"/>
        <v>7.2391677578931987E-2</v>
      </c>
    </row>
    <row r="76" spans="1:26" s="24" customFormat="1" hidden="1" outlineLevel="2" x14ac:dyDescent="0.25">
      <c r="A76" s="27"/>
      <c r="B76" s="11" t="str">
        <f>CONCATENATE("          ", "6114", " - ", "STATE UNEMPLOYMENT INSURANCE")</f>
        <v xml:space="preserve">          6114 - STATE UNEMPLOYMENT INSURANCE</v>
      </c>
      <c r="C76" s="11"/>
      <c r="D76" s="6">
        <v>-973.98</v>
      </c>
      <c r="E76" s="2"/>
      <c r="F76" s="7">
        <f t="shared" si="14"/>
        <v>-5.7704575065506986E-3</v>
      </c>
      <c r="G76" s="2"/>
      <c r="H76" s="6">
        <v>80.141197500000004</v>
      </c>
      <c r="I76" s="2"/>
      <c r="J76" s="7">
        <f t="shared" si="15"/>
        <v>2.6596340571078422E-4</v>
      </c>
      <c r="K76" s="2"/>
      <c r="L76" s="6">
        <f t="shared" si="16"/>
        <v>-1054.1211975000001</v>
      </c>
      <c r="M76" s="2"/>
      <c r="N76" s="7">
        <f t="shared" si="17"/>
        <v>-13.153299805633676</v>
      </c>
      <c r="O76" s="11"/>
      <c r="P76" s="6">
        <v>0</v>
      </c>
      <c r="Q76" s="2"/>
      <c r="R76" s="7">
        <f t="shared" si="18"/>
        <v>0</v>
      </c>
      <c r="S76" s="2"/>
      <c r="T76" s="6">
        <v>1026.2413784999999</v>
      </c>
      <c r="U76" s="2"/>
      <c r="V76" s="7">
        <f t="shared" si="19"/>
        <v>2.5671687774184485E-4</v>
      </c>
      <c r="W76" s="2"/>
      <c r="X76" s="6">
        <f t="shared" si="20"/>
        <v>-1026.2413784999999</v>
      </c>
      <c r="Y76" s="2"/>
      <c r="Z76" s="7">
        <f t="shared" si="21"/>
        <v>-1</v>
      </c>
    </row>
    <row r="77" spans="1:26" s="24" customFormat="1" hidden="1" outlineLevel="2" x14ac:dyDescent="0.25">
      <c r="A77" s="27"/>
      <c r="B77" s="11" t="str">
        <f>CONCATENATE("          ", "6115", " - ", "P.E.R.S.")</f>
        <v xml:space="preserve">          6115 - P.E.R.S.</v>
      </c>
      <c r="C77" s="11"/>
      <c r="D77" s="6">
        <v>1019.1</v>
      </c>
      <c r="E77" s="2"/>
      <c r="F77" s="7">
        <f t="shared" si="14"/>
        <v>6.0377761811595898E-3</v>
      </c>
      <c r="G77" s="2"/>
      <c r="H77" s="6">
        <v>782.03906500000005</v>
      </c>
      <c r="I77" s="2"/>
      <c r="J77" s="7">
        <f t="shared" si="15"/>
        <v>2.5953414674927634E-3</v>
      </c>
      <c r="K77" s="2"/>
      <c r="L77" s="6">
        <f t="shared" si="16"/>
        <v>237.06093499999997</v>
      </c>
      <c r="M77" s="2"/>
      <c r="N77" s="7">
        <f t="shared" si="17"/>
        <v>0.30313183267897231</v>
      </c>
      <c r="O77" s="11"/>
      <c r="P77" s="6">
        <v>12196.85</v>
      </c>
      <c r="Q77" s="2"/>
      <c r="R77" s="7">
        <f t="shared" si="18"/>
        <v>4.1538991954955902E-3</v>
      </c>
      <c r="S77" s="2"/>
      <c r="T77" s="6">
        <v>10166.507845</v>
      </c>
      <c r="U77" s="2"/>
      <c r="V77" s="7">
        <f t="shared" si="19"/>
        <v>2.5431776638368824E-3</v>
      </c>
      <c r="W77" s="2"/>
      <c r="X77" s="6">
        <f t="shared" si="20"/>
        <v>2030.3421550000003</v>
      </c>
      <c r="Y77" s="2"/>
      <c r="Z77" s="7">
        <f t="shared" si="21"/>
        <v>0.19970890555094045</v>
      </c>
    </row>
    <row r="78" spans="1:26" s="24" customFormat="1" hidden="1" outlineLevel="2" x14ac:dyDescent="0.25">
      <c r="A78" s="27"/>
      <c r="B78" s="11" t="str">
        <f>CONCATENATE("          ", "6116", " - ", "EDUCATIONAL BENEFITS")</f>
        <v xml:space="preserve">          6116 - EDUCATIONAL BENEFITS</v>
      </c>
      <c r="C78" s="11"/>
      <c r="D78" s="6"/>
      <c r="E78" s="2"/>
      <c r="F78" s="7">
        <f t="shared" si="14"/>
        <v>0</v>
      </c>
      <c r="G78" s="2"/>
      <c r="H78" s="6">
        <v>0</v>
      </c>
      <c r="I78" s="2"/>
      <c r="J78" s="7">
        <f t="shared" si="15"/>
        <v>0</v>
      </c>
      <c r="K78" s="2"/>
      <c r="L78" s="6">
        <f t="shared" si="16"/>
        <v>0</v>
      </c>
      <c r="M78" s="2"/>
      <c r="N78" s="7">
        <f t="shared" si="17"/>
        <v>0</v>
      </c>
      <c r="O78" s="11"/>
      <c r="P78" s="6"/>
      <c r="Q78" s="2"/>
      <c r="R78" s="7">
        <f t="shared" si="18"/>
        <v>0</v>
      </c>
      <c r="S78" s="2"/>
      <c r="T78" s="6">
        <v>0</v>
      </c>
      <c r="U78" s="2"/>
      <c r="V78" s="7">
        <f t="shared" si="19"/>
        <v>0</v>
      </c>
      <c r="W78" s="2"/>
      <c r="X78" s="6">
        <f t="shared" si="20"/>
        <v>0</v>
      </c>
      <c r="Y78" s="2"/>
      <c r="Z78" s="7">
        <f t="shared" si="21"/>
        <v>0</v>
      </c>
    </row>
    <row r="79" spans="1:26" s="24" customFormat="1" hidden="1" outlineLevel="2" x14ac:dyDescent="0.25">
      <c r="A79" s="27"/>
      <c r="B79" s="11" t="str">
        <f>CONCATENATE("          ", "6118", " - ", "VACATION")</f>
        <v xml:space="preserve">          6118 - VACATION</v>
      </c>
      <c r="C79" s="11"/>
      <c r="D79" s="6">
        <v>1000.72</v>
      </c>
      <c r="E79" s="2"/>
      <c r="F79" s="7">
        <f t="shared" si="14"/>
        <v>5.9288817387989643E-3</v>
      </c>
      <c r="G79" s="2"/>
      <c r="H79" s="6">
        <v>272.80432499999989</v>
      </c>
      <c r="I79" s="2"/>
      <c r="J79" s="7">
        <f t="shared" si="15"/>
        <v>9.0535167470677752E-4</v>
      </c>
      <c r="K79" s="2"/>
      <c r="L79" s="6">
        <f t="shared" si="16"/>
        <v>727.91567500000019</v>
      </c>
      <c r="M79" s="2"/>
      <c r="N79" s="7">
        <f t="shared" si="17"/>
        <v>2.6682702886033809</v>
      </c>
      <c r="O79" s="11"/>
      <c r="P79" s="6">
        <v>13643.9</v>
      </c>
      <c r="Q79" s="2"/>
      <c r="R79" s="7">
        <f t="shared" si="18"/>
        <v>4.6467231484704887E-3</v>
      </c>
      <c r="S79" s="2"/>
      <c r="T79" s="6">
        <v>3546.4562249999999</v>
      </c>
      <c r="U79" s="2"/>
      <c r="V79" s="7">
        <f t="shared" si="19"/>
        <v>8.8715499901286584E-4</v>
      </c>
      <c r="W79" s="2"/>
      <c r="X79" s="6">
        <f t="shared" si="20"/>
        <v>10097.443775</v>
      </c>
      <c r="Y79" s="2"/>
      <c r="Z79" s="7">
        <f t="shared" si="21"/>
        <v>2.8471925591017269</v>
      </c>
    </row>
    <row r="80" spans="1:26" s="24" customFormat="1" hidden="1" outlineLevel="2" x14ac:dyDescent="0.25">
      <c r="A80" s="27"/>
      <c r="B80" s="11" t="str">
        <f>CONCATENATE("          ", "6119", " - ", "SICK LEAVE")</f>
        <v xml:space="preserve">          6119 - SICK LEAVE</v>
      </c>
      <c r="C80" s="11"/>
      <c r="D80" s="6">
        <v>705.44</v>
      </c>
      <c r="E80" s="2"/>
      <c r="F80" s="7">
        <f t="shared" si="14"/>
        <v>4.1794611218106377E-3</v>
      </c>
      <c r="G80" s="2"/>
      <c r="H80" s="6">
        <v>399.17014999999998</v>
      </c>
      <c r="I80" s="2"/>
      <c r="J80" s="7">
        <f t="shared" si="15"/>
        <v>1.3247200673796344E-3</v>
      </c>
      <c r="K80" s="2"/>
      <c r="L80" s="6">
        <f t="shared" si="16"/>
        <v>306.26985000000008</v>
      </c>
      <c r="M80" s="2"/>
      <c r="N80" s="7">
        <f t="shared" si="17"/>
        <v>0.76726641508639881</v>
      </c>
      <c r="O80" s="11"/>
      <c r="P80" s="6">
        <v>15363.430000000002</v>
      </c>
      <c r="Q80" s="2"/>
      <c r="R80" s="7">
        <f t="shared" si="18"/>
        <v>5.2323460169677273E-3</v>
      </c>
      <c r="S80" s="2"/>
      <c r="T80" s="6">
        <v>5129.2343000000001</v>
      </c>
      <c r="U80" s="2"/>
      <c r="V80" s="7">
        <f t="shared" si="19"/>
        <v>1.283090939703692E-3</v>
      </c>
      <c r="W80" s="2"/>
      <c r="X80" s="6">
        <f t="shared" si="20"/>
        <v>10234.195700000002</v>
      </c>
      <c r="Y80" s="2"/>
      <c r="Z80" s="7">
        <f t="shared" si="21"/>
        <v>1.9952677342113232</v>
      </c>
    </row>
    <row r="81" spans="1:26" s="24" customFormat="1" hidden="1" outlineLevel="2" x14ac:dyDescent="0.25">
      <c r="A81" s="27"/>
      <c r="B81" s="11" t="str">
        <f>CONCATENATE("          ", "6156", " - ", "EMPLOYEE MEALS")</f>
        <v xml:space="preserve">          6156 - EMPLOYEE MEALS</v>
      </c>
      <c r="C81" s="11"/>
      <c r="D81" s="6">
        <v>136</v>
      </c>
      <c r="E81" s="2"/>
      <c r="F81" s="7">
        <f t="shared" si="14"/>
        <v>8.0574777807644409E-4</v>
      </c>
      <c r="G81" s="2"/>
      <c r="H81" s="6"/>
      <c r="I81" s="2"/>
      <c r="J81" s="7">
        <f t="shared" si="15"/>
        <v>0</v>
      </c>
      <c r="K81" s="2"/>
      <c r="L81" s="6">
        <f t="shared" si="16"/>
        <v>136</v>
      </c>
      <c r="M81" s="2"/>
      <c r="N81" s="7">
        <f t="shared" si="17"/>
        <v>0</v>
      </c>
      <c r="O81" s="11"/>
      <c r="P81" s="6">
        <v>2752.78</v>
      </c>
      <c r="Q81" s="2"/>
      <c r="R81" s="7">
        <f t="shared" si="18"/>
        <v>9.3751834509536085E-4</v>
      </c>
      <c r="S81" s="2"/>
      <c r="T81" s="6"/>
      <c r="U81" s="2"/>
      <c r="V81" s="7">
        <f t="shared" si="19"/>
        <v>0</v>
      </c>
      <c r="W81" s="2"/>
      <c r="X81" s="6">
        <f t="shared" si="20"/>
        <v>2752.78</v>
      </c>
      <c r="Y81" s="2"/>
      <c r="Z81" s="7">
        <f t="shared" si="21"/>
        <v>0</v>
      </c>
    </row>
    <row r="82" spans="1:26" s="26" customFormat="1" outlineLevel="1" collapsed="1" x14ac:dyDescent="0.25">
      <c r="A82" s="25"/>
      <c r="B82" s="12" t="str">
        <f>CONCATENATE("     ","*Payroll                                          ")</f>
        <v xml:space="preserve">     *Payroll                                          </v>
      </c>
      <c r="C82" s="12"/>
      <c r="D82" s="1">
        <f>SUM(OSRRefD22_1x_0)</f>
        <v>16915.45</v>
      </c>
      <c r="E82" s="1"/>
      <c r="F82" s="5">
        <f t="shared" ref="F82:F92" si="22">IF(D$12=0,0,D82/D$12)</f>
        <v>0.10021754597546462</v>
      </c>
      <c r="G82" s="1"/>
      <c r="H82" s="1">
        <f>SUM(OSRRefH22_1x_0)</f>
        <v>30368.863625000002</v>
      </c>
      <c r="I82" s="1"/>
      <c r="J82" s="5">
        <f t="shared" ref="J82:J92" si="23">IF(H$12=0,0,H82/H$12)</f>
        <v>0.10078469812322624</v>
      </c>
      <c r="K82" s="1"/>
      <c r="L82" s="1">
        <f t="shared" ref="L82:L92" si="24">+D82-H82</f>
        <v>-13453.413625000001</v>
      </c>
      <c r="M82" s="1"/>
      <c r="N82" s="5">
        <f t="shared" ref="N82:N92" si="25">IF(H82=0,0,L82/H82)</f>
        <v>-0.44300023178756659</v>
      </c>
      <c r="O82" s="12"/>
      <c r="P82" s="1">
        <f>SUM(OSRRefP22_1x_0)</f>
        <v>370565.67000000004</v>
      </c>
      <c r="Q82" s="1"/>
      <c r="R82" s="5">
        <f t="shared" ref="R82:R92" si="26">IF(P$12=0,0,P82/P$12)</f>
        <v>0.1262040968357637</v>
      </c>
      <c r="S82" s="1"/>
      <c r="T82" s="1">
        <f>SUM(OSRRefT22_1x_0)</f>
        <v>388797.46212499996</v>
      </c>
      <c r="U82" s="1"/>
      <c r="V82" s="5">
        <f t="shared" ref="V82:V92" si="27">IF(T$12=0,0,T82/T$12)</f>
        <v>9.7258669004918877E-2</v>
      </c>
      <c r="W82" s="1"/>
      <c r="X82" s="1">
        <f t="shared" ref="X82:X92" si="28">+P82-T82</f>
        <v>-18231.79212499992</v>
      </c>
      <c r="Y82" s="1"/>
      <c r="Z82" s="5">
        <f t="shared" ref="Z82:Z92" si="29">IF(T82=0,0,X82/T82)</f>
        <v>-4.6892775547846363E-2</v>
      </c>
    </row>
    <row r="83" spans="1:26" s="24" customFormat="1" hidden="1" outlineLevel="2" x14ac:dyDescent="0.25">
      <c r="A83" s="27"/>
      <c r="B83" s="11" t="str">
        <f>CONCATENATE("          ", "6001", " - ", "ADMINISTRATIVE SALARIES")</f>
        <v xml:space="preserve">          6001 - ADMINISTRATIVE SALARIES</v>
      </c>
      <c r="C83" s="11"/>
      <c r="D83" s="6"/>
      <c r="E83" s="2"/>
      <c r="F83" s="7">
        <f t="shared" si="22"/>
        <v>0</v>
      </c>
      <c r="G83" s="2"/>
      <c r="H83" s="6">
        <v>0</v>
      </c>
      <c r="I83" s="2"/>
      <c r="J83" s="7">
        <f t="shared" si="23"/>
        <v>0</v>
      </c>
      <c r="K83" s="2"/>
      <c r="L83" s="6">
        <f t="shared" si="24"/>
        <v>0</v>
      </c>
      <c r="M83" s="2"/>
      <c r="N83" s="7">
        <f t="shared" si="25"/>
        <v>0</v>
      </c>
      <c r="O83" s="11"/>
      <c r="P83" s="6"/>
      <c r="Q83" s="2"/>
      <c r="R83" s="7">
        <f t="shared" si="26"/>
        <v>0</v>
      </c>
      <c r="S83" s="2"/>
      <c r="T83" s="6">
        <v>0</v>
      </c>
      <c r="U83" s="2"/>
      <c r="V83" s="7">
        <f t="shared" si="27"/>
        <v>0</v>
      </c>
      <c r="W83" s="2"/>
      <c r="X83" s="6">
        <f t="shared" si="28"/>
        <v>0</v>
      </c>
      <c r="Y83" s="2"/>
      <c r="Z83" s="7">
        <f t="shared" si="29"/>
        <v>0</v>
      </c>
    </row>
    <row r="84" spans="1:26" s="24" customFormat="1" hidden="1" outlineLevel="2" x14ac:dyDescent="0.25">
      <c r="A84" s="27"/>
      <c r="B84" s="11" t="str">
        <f>CONCATENATE("          ", "6002", " - ", "STAFF SALARIES")</f>
        <v xml:space="preserve">          6002 - STAFF SALARIES</v>
      </c>
      <c r="C84" s="11"/>
      <c r="D84" s="6">
        <v>11219.63</v>
      </c>
      <c r="E84" s="2"/>
      <c r="F84" s="7">
        <f t="shared" si="22"/>
        <v>6.6471999583380986E-2</v>
      </c>
      <c r="G84" s="2"/>
      <c r="H84" s="6">
        <v>8638.8036250000005</v>
      </c>
      <c r="I84" s="2"/>
      <c r="J84" s="7">
        <f t="shared" si="23"/>
        <v>2.8669469699047965E-2</v>
      </c>
      <c r="K84" s="2"/>
      <c r="L84" s="6">
        <f t="shared" si="24"/>
        <v>2580.8263749999987</v>
      </c>
      <c r="M84" s="2"/>
      <c r="N84" s="7">
        <f t="shared" si="25"/>
        <v>0.29874812381789712</v>
      </c>
      <c r="O84" s="11"/>
      <c r="P84" s="6">
        <v>117156.65</v>
      </c>
      <c r="Q84" s="2"/>
      <c r="R84" s="7">
        <f t="shared" si="26"/>
        <v>3.990021310272393E-2</v>
      </c>
      <c r="S84" s="2"/>
      <c r="T84" s="6">
        <v>112304.44712500001</v>
      </c>
      <c r="U84" s="2"/>
      <c r="V84" s="7">
        <f t="shared" si="27"/>
        <v>2.8093241635407423E-2</v>
      </c>
      <c r="W84" s="2"/>
      <c r="X84" s="6">
        <f t="shared" si="28"/>
        <v>4852.2028749999881</v>
      </c>
      <c r="Y84" s="2"/>
      <c r="Z84" s="7">
        <f t="shared" si="29"/>
        <v>4.3205794598670376E-2</v>
      </c>
    </row>
    <row r="85" spans="1:26" s="24" customFormat="1" hidden="1" outlineLevel="2" x14ac:dyDescent="0.25">
      <c r="A85" s="27"/>
      <c r="B85" s="11" t="str">
        <f>CONCATENATE("          ", "6003", " - ", "STAFF HOURLY-9 MONTH")</f>
        <v xml:space="preserve">          6003 - STAFF HOURLY-9 MONTH</v>
      </c>
      <c r="C85" s="11"/>
      <c r="D85" s="6"/>
      <c r="E85" s="2"/>
      <c r="F85" s="7">
        <f t="shared" si="22"/>
        <v>0</v>
      </c>
      <c r="G85" s="2"/>
      <c r="H85" s="6">
        <v>0</v>
      </c>
      <c r="I85" s="2"/>
      <c r="J85" s="7">
        <f t="shared" si="23"/>
        <v>0</v>
      </c>
      <c r="K85" s="2"/>
      <c r="L85" s="6">
        <f t="shared" si="24"/>
        <v>0</v>
      </c>
      <c r="M85" s="2"/>
      <c r="N85" s="7">
        <f t="shared" si="25"/>
        <v>0</v>
      </c>
      <c r="O85" s="11"/>
      <c r="P85" s="6"/>
      <c r="Q85" s="2"/>
      <c r="R85" s="7">
        <f t="shared" si="26"/>
        <v>0</v>
      </c>
      <c r="S85" s="2"/>
      <c r="T85" s="6">
        <v>0</v>
      </c>
      <c r="U85" s="2"/>
      <c r="V85" s="7">
        <f t="shared" si="27"/>
        <v>0</v>
      </c>
      <c r="W85" s="2"/>
      <c r="X85" s="6">
        <f t="shared" si="28"/>
        <v>0</v>
      </c>
      <c r="Y85" s="2"/>
      <c r="Z85" s="7">
        <f t="shared" si="29"/>
        <v>0</v>
      </c>
    </row>
    <row r="86" spans="1:26" s="24" customFormat="1" hidden="1" outlineLevel="2" x14ac:dyDescent="0.25">
      <c r="A86" s="27"/>
      <c r="B86" s="11" t="str">
        <f>CONCATENATE("          ", "6004", " - ", "STAFF HOURLY")</f>
        <v xml:space="preserve">          6004 - STAFF HOURLY</v>
      </c>
      <c r="C86" s="11"/>
      <c r="D86" s="6">
        <v>3738.92</v>
      </c>
      <c r="E86" s="2"/>
      <c r="F86" s="7">
        <f t="shared" si="22"/>
        <v>2.2151665311805725E-2</v>
      </c>
      <c r="G86" s="2"/>
      <c r="H86" s="6">
        <v>3733.75</v>
      </c>
      <c r="I86" s="2"/>
      <c r="J86" s="7">
        <f t="shared" si="23"/>
        <v>1.2391140849531735E-2</v>
      </c>
      <c r="K86" s="2"/>
      <c r="L86" s="6">
        <f t="shared" si="24"/>
        <v>5.1700000000000728</v>
      </c>
      <c r="M86" s="2"/>
      <c r="N86" s="7">
        <f t="shared" si="25"/>
        <v>1.3846668898560624E-3</v>
      </c>
      <c r="O86" s="11"/>
      <c r="P86" s="6">
        <v>20401.43</v>
      </c>
      <c r="Q86" s="2"/>
      <c r="R86" s="7">
        <f t="shared" si="26"/>
        <v>6.9481451082828438E-3</v>
      </c>
      <c r="S86" s="2"/>
      <c r="T86" s="6">
        <v>48538.75</v>
      </c>
      <c r="U86" s="2"/>
      <c r="V86" s="7">
        <f t="shared" si="27"/>
        <v>1.2142091140103032E-2</v>
      </c>
      <c r="W86" s="2"/>
      <c r="X86" s="6">
        <f t="shared" si="28"/>
        <v>-28137.32</v>
      </c>
      <c r="Y86" s="2"/>
      <c r="Z86" s="7">
        <f t="shared" si="29"/>
        <v>-0.5796877752311298</v>
      </c>
    </row>
    <row r="87" spans="1:26" s="24" customFormat="1" hidden="1" outlineLevel="2" x14ac:dyDescent="0.25">
      <c r="A87" s="27"/>
      <c r="B87" s="11" t="str">
        <f>CONCATENATE("          ", "6005", " - ", "TEMPORARY WAGES-HOURLY")</f>
        <v xml:space="preserve">          6005 - TEMPORARY WAGES-HOURLY</v>
      </c>
      <c r="C87" s="11"/>
      <c r="D87" s="6">
        <v>1104.68</v>
      </c>
      <c r="E87" s="2"/>
      <c r="F87" s="7">
        <f t="shared" si="22"/>
        <v>6.5448048197462236E-3</v>
      </c>
      <c r="G87" s="2"/>
      <c r="H87" s="6">
        <v>0</v>
      </c>
      <c r="I87" s="2"/>
      <c r="J87" s="7">
        <f t="shared" si="23"/>
        <v>0</v>
      </c>
      <c r="K87" s="2"/>
      <c r="L87" s="6">
        <f t="shared" si="24"/>
        <v>1104.68</v>
      </c>
      <c r="M87" s="2"/>
      <c r="N87" s="7">
        <f t="shared" si="25"/>
        <v>0</v>
      </c>
      <c r="O87" s="11"/>
      <c r="P87" s="6">
        <v>43395.79</v>
      </c>
      <c r="Q87" s="2"/>
      <c r="R87" s="7">
        <f t="shared" si="26"/>
        <v>1.4779368211373886E-2</v>
      </c>
      <c r="S87" s="2"/>
      <c r="T87" s="6">
        <v>0</v>
      </c>
      <c r="U87" s="2"/>
      <c r="V87" s="7">
        <f t="shared" si="27"/>
        <v>0</v>
      </c>
      <c r="W87" s="2"/>
      <c r="X87" s="6">
        <f t="shared" si="28"/>
        <v>43395.79</v>
      </c>
      <c r="Y87" s="2"/>
      <c r="Z87" s="7">
        <f t="shared" si="29"/>
        <v>0</v>
      </c>
    </row>
    <row r="88" spans="1:26" s="24" customFormat="1" hidden="1" outlineLevel="2" x14ac:dyDescent="0.25">
      <c r="A88" s="27"/>
      <c r="B88" s="11" t="str">
        <f>CONCATENATE("          ", "6006", " - ", "TEMPORARY PART TIME")</f>
        <v xml:space="preserve">          6006 - TEMPORARY PART TIME</v>
      </c>
      <c r="C88" s="11"/>
      <c r="D88" s="6"/>
      <c r="E88" s="2"/>
      <c r="F88" s="7">
        <f t="shared" si="22"/>
        <v>0</v>
      </c>
      <c r="G88" s="2"/>
      <c r="H88" s="6">
        <v>0</v>
      </c>
      <c r="I88" s="2"/>
      <c r="J88" s="7">
        <f t="shared" si="23"/>
        <v>0</v>
      </c>
      <c r="K88" s="2"/>
      <c r="L88" s="6">
        <f t="shared" si="24"/>
        <v>0</v>
      </c>
      <c r="M88" s="2"/>
      <c r="N88" s="7">
        <f t="shared" si="25"/>
        <v>0</v>
      </c>
      <c r="O88" s="11"/>
      <c r="P88" s="6">
        <v>1227.45</v>
      </c>
      <c r="Q88" s="2"/>
      <c r="R88" s="7">
        <f t="shared" si="26"/>
        <v>4.1803445705334267E-4</v>
      </c>
      <c r="S88" s="2"/>
      <c r="T88" s="6">
        <v>0</v>
      </c>
      <c r="U88" s="2"/>
      <c r="V88" s="7">
        <f t="shared" si="27"/>
        <v>0</v>
      </c>
      <c r="W88" s="2"/>
      <c r="X88" s="6">
        <f t="shared" si="28"/>
        <v>1227.45</v>
      </c>
      <c r="Y88" s="2"/>
      <c r="Z88" s="7">
        <f t="shared" si="29"/>
        <v>0</v>
      </c>
    </row>
    <row r="89" spans="1:26" s="24" customFormat="1" hidden="1" outlineLevel="2" x14ac:dyDescent="0.25">
      <c r="A89" s="27"/>
      <c r="B89" s="11" t="str">
        <f>CONCATENATE("          ", "6007", " - ", "STUDENT HOURLY")</f>
        <v xml:space="preserve">          6007 - STUDENT HOURLY</v>
      </c>
      <c r="C89" s="11"/>
      <c r="D89" s="6">
        <v>852.22</v>
      </c>
      <c r="E89" s="2"/>
      <c r="F89" s="7">
        <f t="shared" si="22"/>
        <v>5.0490762605316705E-3</v>
      </c>
      <c r="G89" s="2"/>
      <c r="H89" s="6">
        <v>17996.310000000001</v>
      </c>
      <c r="I89" s="2"/>
      <c r="J89" s="7">
        <f t="shared" si="23"/>
        <v>5.9724087574646534E-2</v>
      </c>
      <c r="K89" s="2"/>
      <c r="L89" s="6">
        <f t="shared" si="24"/>
        <v>-17144.09</v>
      </c>
      <c r="M89" s="2"/>
      <c r="N89" s="7">
        <f t="shared" si="25"/>
        <v>-0.95264473661545057</v>
      </c>
      <c r="O89" s="11"/>
      <c r="P89" s="6">
        <v>188189.35</v>
      </c>
      <c r="Q89" s="2"/>
      <c r="R89" s="7">
        <f t="shared" si="26"/>
        <v>6.4091924518694429E-2</v>
      </c>
      <c r="S89" s="2"/>
      <c r="T89" s="6">
        <v>53523.06</v>
      </c>
      <c r="U89" s="2"/>
      <c r="V89" s="7">
        <f t="shared" si="27"/>
        <v>1.3388928899429898E-2</v>
      </c>
      <c r="W89" s="2"/>
      <c r="X89" s="6">
        <f t="shared" si="28"/>
        <v>134666.29</v>
      </c>
      <c r="Y89" s="2"/>
      <c r="Z89" s="7">
        <f t="shared" si="29"/>
        <v>2.5160424310568197</v>
      </c>
    </row>
    <row r="90" spans="1:26" s="24" customFormat="1" hidden="1" outlineLevel="2" x14ac:dyDescent="0.25">
      <c r="A90" s="27"/>
      <c r="B90" s="11" t="str">
        <f>CONCATENATE("          ", "6008", " - ", "STUDENT HOURLY-FICA EXEMPT")</f>
        <v xml:space="preserve">          6008 - STUDENT HOURLY-FICA EXEMPT</v>
      </c>
      <c r="C90" s="11"/>
      <c r="D90" s="6"/>
      <c r="E90" s="2"/>
      <c r="F90" s="7">
        <f t="shared" si="22"/>
        <v>0</v>
      </c>
      <c r="G90" s="2"/>
      <c r="H90" s="6">
        <v>0</v>
      </c>
      <c r="I90" s="2"/>
      <c r="J90" s="7">
        <f t="shared" si="23"/>
        <v>0</v>
      </c>
      <c r="K90" s="2"/>
      <c r="L90" s="6">
        <f t="shared" si="24"/>
        <v>0</v>
      </c>
      <c r="M90" s="2"/>
      <c r="N90" s="7">
        <f t="shared" si="25"/>
        <v>0</v>
      </c>
      <c r="O90" s="11"/>
      <c r="P90" s="6">
        <v>195</v>
      </c>
      <c r="Q90" s="2"/>
      <c r="R90" s="7">
        <f t="shared" si="26"/>
        <v>6.6411437635261565E-5</v>
      </c>
      <c r="S90" s="2"/>
      <c r="T90" s="6">
        <v>174431.20499999999</v>
      </c>
      <c r="U90" s="2"/>
      <c r="V90" s="7">
        <f t="shared" si="27"/>
        <v>4.3634407329978531E-2</v>
      </c>
      <c r="W90" s="2"/>
      <c r="X90" s="6">
        <f t="shared" si="28"/>
        <v>-174236.20499999999</v>
      </c>
      <c r="Y90" s="2"/>
      <c r="Z90" s="7">
        <f t="shared" si="29"/>
        <v>-0.99888208076072171</v>
      </c>
    </row>
    <row r="91" spans="1:26" s="24" customFormat="1" hidden="1" outlineLevel="2" x14ac:dyDescent="0.25">
      <c r="A91" s="27"/>
      <c r="B91" s="11" t="str">
        <f>CONCATENATE("          ", "6009", " - ", "TEMPORARY-SEASONAL")</f>
        <v xml:space="preserve">          6009 - TEMPORARY-SEASONAL</v>
      </c>
      <c r="C91" s="11"/>
      <c r="D91" s="6"/>
      <c r="E91" s="2"/>
      <c r="F91" s="7">
        <f t="shared" si="22"/>
        <v>0</v>
      </c>
      <c r="G91" s="2"/>
      <c r="H91" s="6">
        <v>0</v>
      </c>
      <c r="I91" s="2"/>
      <c r="J91" s="7">
        <f t="shared" si="23"/>
        <v>0</v>
      </c>
      <c r="K91" s="2"/>
      <c r="L91" s="6">
        <f t="shared" si="24"/>
        <v>0</v>
      </c>
      <c r="M91" s="2"/>
      <c r="N91" s="7">
        <f t="shared" si="25"/>
        <v>0</v>
      </c>
      <c r="O91" s="11"/>
      <c r="P91" s="6"/>
      <c r="Q91" s="2"/>
      <c r="R91" s="7">
        <f t="shared" si="26"/>
        <v>0</v>
      </c>
      <c r="S91" s="2"/>
      <c r="T91" s="6">
        <v>0</v>
      </c>
      <c r="U91" s="2"/>
      <c r="V91" s="7">
        <f t="shared" si="27"/>
        <v>0</v>
      </c>
      <c r="W91" s="2"/>
      <c r="X91" s="6">
        <f t="shared" si="28"/>
        <v>0</v>
      </c>
      <c r="Y91" s="2"/>
      <c r="Z91" s="7">
        <f t="shared" si="29"/>
        <v>0</v>
      </c>
    </row>
    <row r="92" spans="1:26" s="24" customFormat="1" hidden="1" outlineLevel="2" x14ac:dyDescent="0.25">
      <c r="A92" s="27"/>
      <c r="B92" s="11" t="str">
        <f>CONCATENATE("          ", "6010", " - ", "GRATUITY")</f>
        <v xml:space="preserve">          6010 - GRATUITY</v>
      </c>
      <c r="C92" s="11"/>
      <c r="D92" s="6"/>
      <c r="E92" s="2"/>
      <c r="F92" s="7">
        <f t="shared" si="22"/>
        <v>0</v>
      </c>
      <c r="G92" s="2"/>
      <c r="H92" s="6">
        <v>0</v>
      </c>
      <c r="I92" s="2"/>
      <c r="J92" s="7">
        <f t="shared" si="23"/>
        <v>0</v>
      </c>
      <c r="K92" s="2"/>
      <c r="L92" s="6">
        <f t="shared" si="24"/>
        <v>0</v>
      </c>
      <c r="M92" s="2"/>
      <c r="N92" s="7">
        <f t="shared" si="25"/>
        <v>0</v>
      </c>
      <c r="O92" s="11"/>
      <c r="P92" s="6"/>
      <c r="Q92" s="2"/>
      <c r="R92" s="7">
        <f t="shared" si="26"/>
        <v>0</v>
      </c>
      <c r="S92" s="2"/>
      <c r="T92" s="6">
        <v>0</v>
      </c>
      <c r="U92" s="2"/>
      <c r="V92" s="7">
        <f t="shared" si="27"/>
        <v>0</v>
      </c>
      <c r="W92" s="2"/>
      <c r="X92" s="6">
        <f t="shared" si="28"/>
        <v>0</v>
      </c>
      <c r="Y92" s="2"/>
      <c r="Z92" s="7">
        <f t="shared" si="29"/>
        <v>0</v>
      </c>
    </row>
    <row r="93" spans="1:26" s="26" customFormat="1" outlineLevel="1" collapsed="1" x14ac:dyDescent="0.25">
      <c r="A93" s="25"/>
      <c r="B93" s="12" t="str">
        <f>CONCATENATE("     ","Advertising/Promo                                 ")</f>
        <v xml:space="preserve">     Advertising/Promo                                 </v>
      </c>
      <c r="C93" s="12"/>
      <c r="D93" s="1">
        <f>SUM(OSRRefD22_2x_0)</f>
        <v>0</v>
      </c>
      <c r="E93" s="1"/>
      <c r="F93" s="5">
        <f t="shared" ref="F93:F97" si="30">IF(D$12=0,0,D93/D$12)</f>
        <v>0</v>
      </c>
      <c r="G93" s="1"/>
      <c r="H93" s="1">
        <f>SUM(OSRRefH22_2x_0)</f>
        <v>1800</v>
      </c>
      <c r="I93" s="1"/>
      <c r="J93" s="5">
        <f t="shared" ref="J93:J97" si="31">IF(H$12=0,0,H93/H$12)</f>
        <v>5.9736333523018751E-3</v>
      </c>
      <c r="K93" s="1"/>
      <c r="L93" s="1">
        <f t="shared" ref="L93:L97" si="32">+D93-H93</f>
        <v>-1800</v>
      </c>
      <c r="M93" s="1"/>
      <c r="N93" s="5">
        <f t="shared" ref="N93:N97" si="33">IF(H93=0,0,L93/H93)</f>
        <v>-1</v>
      </c>
      <c r="O93" s="12"/>
      <c r="P93" s="1">
        <f>SUM(OSRRefP22_2x_0)</f>
        <v>22853.68</v>
      </c>
      <c r="Q93" s="1"/>
      <c r="R93" s="5">
        <f t="shared" ref="R93:R97" si="34">IF(P$12=0,0,P93/P$12)</f>
        <v>7.7833115079806395E-3</v>
      </c>
      <c r="S93" s="1"/>
      <c r="T93" s="1">
        <f>SUM(OSRRefT22_2x_0)</f>
        <v>15000</v>
      </c>
      <c r="U93" s="1"/>
      <c r="V93" s="5">
        <f t="shared" ref="V93:V97" si="35">IF(T$12=0,0,T93/T$12)</f>
        <v>3.7522879575915217E-3</v>
      </c>
      <c r="W93" s="1"/>
      <c r="X93" s="1">
        <f t="shared" ref="X93:X97" si="36">+P93-T93</f>
        <v>7853.68</v>
      </c>
      <c r="Y93" s="1"/>
      <c r="Z93" s="5">
        <f t="shared" ref="Z93:Z97" si="37">IF(T93=0,0,X93/T93)</f>
        <v>0.52357866666666664</v>
      </c>
    </row>
    <row r="94" spans="1:26" s="24" customFormat="1" hidden="1" outlineLevel="2" x14ac:dyDescent="0.25">
      <c r="A94" s="27"/>
      <c r="B94" s="11" t="str">
        <f>CONCATENATE("          ", "6362", " - ", "ADVERTISING EXPENSE")</f>
        <v xml:space="preserve">          6362 - ADVERTISING EXPENSE</v>
      </c>
      <c r="C94" s="11"/>
      <c r="D94" s="6"/>
      <c r="E94" s="2"/>
      <c r="F94" s="7">
        <f t="shared" si="30"/>
        <v>0</v>
      </c>
      <c r="G94" s="2"/>
      <c r="H94" s="6">
        <v>1800</v>
      </c>
      <c r="I94" s="2"/>
      <c r="J94" s="7">
        <f t="shared" si="31"/>
        <v>5.9736333523018751E-3</v>
      </c>
      <c r="K94" s="2"/>
      <c r="L94" s="6">
        <f t="shared" si="32"/>
        <v>-1800</v>
      </c>
      <c r="M94" s="2"/>
      <c r="N94" s="7">
        <f t="shared" si="33"/>
        <v>-1</v>
      </c>
      <c r="O94" s="11"/>
      <c r="P94" s="6">
        <v>22853.68</v>
      </c>
      <c r="Q94" s="2"/>
      <c r="R94" s="7">
        <f t="shared" si="34"/>
        <v>7.7833115079806395E-3</v>
      </c>
      <c r="S94" s="2"/>
      <c r="T94" s="6">
        <v>15000</v>
      </c>
      <c r="U94" s="2"/>
      <c r="V94" s="7">
        <f t="shared" si="35"/>
        <v>3.7522879575915217E-3</v>
      </c>
      <c r="W94" s="2"/>
      <c r="X94" s="6">
        <f t="shared" si="36"/>
        <v>7853.68</v>
      </c>
      <c r="Y94" s="2"/>
      <c r="Z94" s="7">
        <f t="shared" si="37"/>
        <v>0.52357866666666664</v>
      </c>
    </row>
    <row r="95" spans="1:26" s="26" customFormat="1" outlineLevel="1" collapsed="1" x14ac:dyDescent="0.25">
      <c r="A95" s="25"/>
      <c r="B95" s="12" t="str">
        <f>CONCATENATE("     ","Bad Debts/Over/Short                              ")</f>
        <v xml:space="preserve">     Bad Debts/Over/Short                              </v>
      </c>
      <c r="C95" s="12"/>
      <c r="D95" s="1">
        <f>SUM(OSRRefD22_3x_0)</f>
        <v>0</v>
      </c>
      <c r="E95" s="1"/>
      <c r="F95" s="5">
        <f t="shared" si="30"/>
        <v>0</v>
      </c>
      <c r="G95" s="1"/>
      <c r="H95" s="1">
        <f>SUM(OSRRefH22_3x_0)</f>
        <v>10</v>
      </c>
      <c r="I95" s="1"/>
      <c r="J95" s="5">
        <f t="shared" si="31"/>
        <v>3.3186851957232637E-5</v>
      </c>
      <c r="K95" s="1"/>
      <c r="L95" s="1">
        <f t="shared" si="32"/>
        <v>-10</v>
      </c>
      <c r="M95" s="1"/>
      <c r="N95" s="5">
        <f t="shared" si="33"/>
        <v>-1</v>
      </c>
      <c r="O95" s="12"/>
      <c r="P95" s="1">
        <f>SUM(OSRRefP22_3x_0)</f>
        <v>44.45</v>
      </c>
      <c r="Q95" s="1"/>
      <c r="R95" s="5">
        <f t="shared" si="34"/>
        <v>1.5138402066089113E-5</v>
      </c>
      <c r="S95" s="1"/>
      <c r="T95" s="1">
        <f>SUM(OSRRefT22_3x_0)</f>
        <v>120</v>
      </c>
      <c r="U95" s="1"/>
      <c r="V95" s="5">
        <f t="shared" si="35"/>
        <v>3.0018303660732176E-5</v>
      </c>
      <c r="W95" s="1"/>
      <c r="X95" s="1">
        <f t="shared" si="36"/>
        <v>-75.55</v>
      </c>
      <c r="Y95" s="1"/>
      <c r="Z95" s="5">
        <f t="shared" si="37"/>
        <v>-0.62958333333333327</v>
      </c>
    </row>
    <row r="96" spans="1:26" s="24" customFormat="1" hidden="1" outlineLevel="2" x14ac:dyDescent="0.25">
      <c r="A96" s="27"/>
      <c r="B96" s="11" t="str">
        <f>CONCATENATE("          ", "6272", " - ", "CASH (OVER/SHORT)")</f>
        <v xml:space="preserve">          6272 - CASH (OVER/SHORT)</v>
      </c>
      <c r="C96" s="11"/>
      <c r="D96" s="6"/>
      <c r="E96" s="2"/>
      <c r="F96" s="7">
        <f t="shared" si="30"/>
        <v>0</v>
      </c>
      <c r="G96" s="2"/>
      <c r="H96" s="6"/>
      <c r="I96" s="2"/>
      <c r="J96" s="7">
        <f t="shared" si="31"/>
        <v>0</v>
      </c>
      <c r="K96" s="2"/>
      <c r="L96" s="6">
        <f t="shared" si="32"/>
        <v>0</v>
      </c>
      <c r="M96" s="2"/>
      <c r="N96" s="7">
        <f t="shared" si="33"/>
        <v>0</v>
      </c>
      <c r="O96" s="11"/>
      <c r="P96" s="6">
        <v>44.45</v>
      </c>
      <c r="Q96" s="2"/>
      <c r="R96" s="7">
        <f t="shared" si="34"/>
        <v>1.5138402066089113E-5</v>
      </c>
      <c r="S96" s="2"/>
      <c r="T96" s="6"/>
      <c r="U96" s="2"/>
      <c r="V96" s="7">
        <f t="shared" si="35"/>
        <v>0</v>
      </c>
      <c r="W96" s="2"/>
      <c r="X96" s="6">
        <f t="shared" si="36"/>
        <v>44.45</v>
      </c>
      <c r="Y96" s="2"/>
      <c r="Z96" s="7">
        <f t="shared" si="37"/>
        <v>0</v>
      </c>
    </row>
    <row r="97" spans="1:26" s="24" customFormat="1" hidden="1" outlineLevel="2" x14ac:dyDescent="0.25">
      <c r="A97" s="27"/>
      <c r="B97" s="11" t="str">
        <f>CONCATENATE("          ", "6342", " - ", "BAD DEBT")</f>
        <v xml:space="preserve">          6342 - BAD DEBT</v>
      </c>
      <c r="C97" s="11"/>
      <c r="D97" s="6"/>
      <c r="E97" s="2"/>
      <c r="F97" s="7">
        <f t="shared" si="30"/>
        <v>0</v>
      </c>
      <c r="G97" s="2"/>
      <c r="H97" s="6">
        <v>10</v>
      </c>
      <c r="I97" s="2"/>
      <c r="J97" s="7">
        <f t="shared" si="31"/>
        <v>3.3186851957232637E-5</v>
      </c>
      <c r="K97" s="2"/>
      <c r="L97" s="6">
        <f t="shared" si="32"/>
        <v>-10</v>
      </c>
      <c r="M97" s="2"/>
      <c r="N97" s="7">
        <f t="shared" si="33"/>
        <v>-1</v>
      </c>
      <c r="O97" s="11"/>
      <c r="P97" s="6"/>
      <c r="Q97" s="2"/>
      <c r="R97" s="7">
        <f t="shared" si="34"/>
        <v>0</v>
      </c>
      <c r="S97" s="2"/>
      <c r="T97" s="6">
        <v>120</v>
      </c>
      <c r="U97" s="2"/>
      <c r="V97" s="7">
        <f t="shared" si="35"/>
        <v>3.0018303660732176E-5</v>
      </c>
      <c r="W97" s="2"/>
      <c r="X97" s="6">
        <f t="shared" si="36"/>
        <v>-120</v>
      </c>
      <c r="Y97" s="2"/>
      <c r="Z97" s="7">
        <f t="shared" si="37"/>
        <v>-1</v>
      </c>
    </row>
    <row r="98" spans="1:26" s="26" customFormat="1" outlineLevel="1" collapsed="1" x14ac:dyDescent="0.25">
      <c r="A98" s="25"/>
      <c r="B98" s="12" t="str">
        <f>CONCATENATE("     ","Bank/card Fees                                    ")</f>
        <v xml:space="preserve">     Bank/card Fees                                    </v>
      </c>
      <c r="C98" s="12"/>
      <c r="D98" s="1">
        <f>SUM(OSRRefD22_4x_0)</f>
        <v>5</v>
      </c>
      <c r="E98" s="1"/>
      <c r="F98" s="5">
        <f t="shared" ref="F98:F102" si="38">IF(D$12=0,0,D98/D$12)</f>
        <v>2.9623080076339857E-5</v>
      </c>
      <c r="G98" s="1"/>
      <c r="H98" s="1">
        <f>SUM(OSRRefH22_4x_0)</f>
        <v>900</v>
      </c>
      <c r="I98" s="1"/>
      <c r="J98" s="5">
        <f t="shared" ref="J98:J102" si="39">IF(H$12=0,0,H98/H$12)</f>
        <v>2.9868166761509375E-3</v>
      </c>
      <c r="K98" s="1"/>
      <c r="L98" s="1">
        <f t="shared" ref="L98:L102" si="40">+D98-H98</f>
        <v>-895</v>
      </c>
      <c r="M98" s="1"/>
      <c r="N98" s="5">
        <f t="shared" ref="N98:N102" si="41">IF(H98=0,0,L98/H98)</f>
        <v>-0.99444444444444446</v>
      </c>
      <c r="O98" s="12"/>
      <c r="P98" s="1">
        <f>SUM(OSRRefP22_4x_0)</f>
        <v>6184.92</v>
      </c>
      <c r="Q98" s="1"/>
      <c r="R98" s="5">
        <f t="shared" ref="R98:R102" si="42">IF(P$12=0,0,P98/P$12)</f>
        <v>2.1064073274824719E-3</v>
      </c>
      <c r="S98" s="1"/>
      <c r="T98" s="1">
        <f>SUM(OSRRefT22_4x_0)</f>
        <v>8885</v>
      </c>
      <c r="U98" s="1"/>
      <c r="V98" s="5">
        <f t="shared" ref="V98:V102" si="43">IF(T$12=0,0,T98/T$12)</f>
        <v>2.2226052335467114E-3</v>
      </c>
      <c r="W98" s="1"/>
      <c r="X98" s="1">
        <f t="shared" ref="X98:X102" si="44">+P98-T98</f>
        <v>-2700.08</v>
      </c>
      <c r="Y98" s="1"/>
      <c r="Z98" s="5">
        <f t="shared" ref="Z98:Z102" si="45">IF(T98=0,0,X98/T98)</f>
        <v>-0.30389195272931907</v>
      </c>
    </row>
    <row r="99" spans="1:26" s="24" customFormat="1" hidden="1" outlineLevel="2" x14ac:dyDescent="0.25">
      <c r="A99" s="27"/>
      <c r="B99" s="11" t="str">
        <f>CONCATENATE("          ", "6381", " - ", "BANK/CREDIT CARD FEES")</f>
        <v xml:space="preserve">          6381 - BANK/CREDIT CARD FEES</v>
      </c>
      <c r="C99" s="11"/>
      <c r="D99" s="6">
        <v>5</v>
      </c>
      <c r="E99" s="2"/>
      <c r="F99" s="7">
        <f t="shared" si="38"/>
        <v>2.9623080076339857E-5</v>
      </c>
      <c r="G99" s="2"/>
      <c r="H99" s="6">
        <v>900</v>
      </c>
      <c r="I99" s="2"/>
      <c r="J99" s="7">
        <f t="shared" si="39"/>
        <v>2.9868166761509375E-3</v>
      </c>
      <c r="K99" s="2"/>
      <c r="L99" s="6">
        <f t="shared" si="40"/>
        <v>-895</v>
      </c>
      <c r="M99" s="2"/>
      <c r="N99" s="7">
        <f t="shared" si="41"/>
        <v>-0.99444444444444446</v>
      </c>
      <c r="O99" s="11"/>
      <c r="P99" s="6">
        <v>6184.92</v>
      </c>
      <c r="Q99" s="2"/>
      <c r="R99" s="7">
        <f t="shared" si="42"/>
        <v>2.1064073274824719E-3</v>
      </c>
      <c r="S99" s="2"/>
      <c r="T99" s="6">
        <v>8885</v>
      </c>
      <c r="U99" s="2"/>
      <c r="V99" s="7">
        <f t="shared" si="43"/>
        <v>2.2226052335467114E-3</v>
      </c>
      <c r="W99" s="2"/>
      <c r="X99" s="6">
        <f t="shared" si="44"/>
        <v>-2700.08</v>
      </c>
      <c r="Y99" s="2"/>
      <c r="Z99" s="7">
        <f t="shared" si="45"/>
        <v>-0.30389195272931907</v>
      </c>
    </row>
    <row r="100" spans="1:26" s="26" customFormat="1" outlineLevel="1" collapsed="1" x14ac:dyDescent="0.25">
      <c r="A100" s="25"/>
      <c r="B100" s="12" t="str">
        <f>CONCATENATE("     ","Discounts and Markdowns                           ")</f>
        <v xml:space="preserve">     Discounts and Markdowns                           </v>
      </c>
      <c r="C100" s="12"/>
      <c r="D100" s="1">
        <f>SUM(OSRRefD22_5x_0)</f>
        <v>34738.369999999995</v>
      </c>
      <c r="E100" s="1"/>
      <c r="F100" s="5">
        <f t="shared" si="38"/>
        <v>0.20581150324630443</v>
      </c>
      <c r="G100" s="1"/>
      <c r="H100" s="1">
        <f>SUM(OSRRefH22_5x_0)</f>
        <v>37000</v>
      </c>
      <c r="I100" s="1"/>
      <c r="J100" s="5">
        <f t="shared" si="39"/>
        <v>0.12279135224176076</v>
      </c>
      <c r="K100" s="1"/>
      <c r="L100" s="1">
        <f t="shared" si="40"/>
        <v>-2261.6300000000047</v>
      </c>
      <c r="M100" s="1"/>
      <c r="N100" s="5">
        <f t="shared" si="41"/>
        <v>-6.1125135135135261E-2</v>
      </c>
      <c r="O100" s="12"/>
      <c r="P100" s="1">
        <f>SUM(OSRRefP22_5x_0)</f>
        <v>362101.23</v>
      </c>
      <c r="Q100" s="1"/>
      <c r="R100" s="5">
        <f t="shared" si="42"/>
        <v>0.12332135001946926</v>
      </c>
      <c r="S100" s="1"/>
      <c r="T100" s="1">
        <f>SUM(OSRRefT22_5x_0)</f>
        <v>308000</v>
      </c>
      <c r="U100" s="1"/>
      <c r="V100" s="5">
        <f t="shared" si="43"/>
        <v>7.7046979395879248E-2</v>
      </c>
      <c r="W100" s="1"/>
      <c r="X100" s="1">
        <f t="shared" si="44"/>
        <v>54101.229999999981</v>
      </c>
      <c r="Y100" s="1"/>
      <c r="Z100" s="5">
        <f t="shared" si="45"/>
        <v>0.1756533441558441</v>
      </c>
    </row>
    <row r="101" spans="1:26" s="24" customFormat="1" hidden="1" outlineLevel="2" x14ac:dyDescent="0.25">
      <c r="A101" s="27"/>
      <c r="B101" s="11" t="str">
        <f>CONCATENATE("          ", "6382", " - ", "DISCOUNTS/MARK DOWNS")</f>
        <v xml:space="preserve">          6382 - DISCOUNTS/MARK DOWNS</v>
      </c>
      <c r="C101" s="11"/>
      <c r="D101" s="6">
        <v>34738.369999999995</v>
      </c>
      <c r="E101" s="2"/>
      <c r="F101" s="7">
        <f t="shared" si="38"/>
        <v>0.20581150324630443</v>
      </c>
      <c r="G101" s="2"/>
      <c r="H101" s="6">
        <v>37000</v>
      </c>
      <c r="I101" s="2"/>
      <c r="J101" s="7">
        <f t="shared" si="39"/>
        <v>0.12279135224176076</v>
      </c>
      <c r="K101" s="2"/>
      <c r="L101" s="6">
        <f t="shared" si="40"/>
        <v>-2261.6300000000047</v>
      </c>
      <c r="M101" s="2"/>
      <c r="N101" s="7">
        <f t="shared" si="41"/>
        <v>-6.1125135135135261E-2</v>
      </c>
      <c r="O101" s="11"/>
      <c r="P101" s="6">
        <v>362120.62</v>
      </c>
      <c r="Q101" s="2"/>
      <c r="R101" s="7">
        <f t="shared" si="42"/>
        <v>0.12332795370037053</v>
      </c>
      <c r="S101" s="2"/>
      <c r="T101" s="6">
        <v>308000</v>
      </c>
      <c r="U101" s="2"/>
      <c r="V101" s="7">
        <f t="shared" si="43"/>
        <v>7.7046979395879248E-2</v>
      </c>
      <c r="W101" s="2"/>
      <c r="X101" s="6">
        <f t="shared" si="44"/>
        <v>54120.619999999995</v>
      </c>
      <c r="Y101" s="2"/>
      <c r="Z101" s="7">
        <f t="shared" si="45"/>
        <v>0.17571629870129868</v>
      </c>
    </row>
    <row r="102" spans="1:26" s="24" customFormat="1" hidden="1" outlineLevel="2" x14ac:dyDescent="0.25">
      <c r="A102" s="27"/>
      <c r="B102" s="11" t="str">
        <f>CONCATENATE("          ", "9175", " - ", "EARNED DISCOUNTS")</f>
        <v xml:space="preserve">          9175 - EARNED DISCOUNTS</v>
      </c>
      <c r="C102" s="11"/>
      <c r="D102" s="6"/>
      <c r="E102" s="2"/>
      <c r="F102" s="7">
        <f t="shared" si="38"/>
        <v>0</v>
      </c>
      <c r="G102" s="2"/>
      <c r="H102" s="6"/>
      <c r="I102" s="2"/>
      <c r="J102" s="7">
        <f t="shared" si="39"/>
        <v>0</v>
      </c>
      <c r="K102" s="2"/>
      <c r="L102" s="6">
        <f t="shared" si="40"/>
        <v>0</v>
      </c>
      <c r="M102" s="2"/>
      <c r="N102" s="7">
        <f t="shared" si="41"/>
        <v>0</v>
      </c>
      <c r="O102" s="11"/>
      <c r="P102" s="6">
        <v>-19.39</v>
      </c>
      <c r="Q102" s="2"/>
      <c r="R102" s="7">
        <f t="shared" si="42"/>
        <v>-6.6036809012703687E-6</v>
      </c>
      <c r="S102" s="2"/>
      <c r="T102" s="6"/>
      <c r="U102" s="2"/>
      <c r="V102" s="7">
        <f t="shared" si="43"/>
        <v>0</v>
      </c>
      <c r="W102" s="2"/>
      <c r="X102" s="6">
        <f t="shared" si="44"/>
        <v>-19.39</v>
      </c>
      <c r="Y102" s="2"/>
      <c r="Z102" s="7">
        <f t="shared" si="45"/>
        <v>0</v>
      </c>
    </row>
    <row r="103" spans="1:26" s="26" customFormat="1" outlineLevel="1" collapsed="1" x14ac:dyDescent="0.25">
      <c r="A103" s="25"/>
      <c r="B103" s="12" t="str">
        <f>CONCATENATE("     ","Donations                                         ")</f>
        <v xml:space="preserve">     Donations                                         </v>
      </c>
      <c r="C103" s="12"/>
      <c r="D103" s="1">
        <f>SUM(OSRRefD22_6x_0)</f>
        <v>0</v>
      </c>
      <c r="E103" s="1"/>
      <c r="F103" s="5">
        <f t="shared" ref="F103:F109" si="46">IF(D$12=0,0,D103/D$12)</f>
        <v>0</v>
      </c>
      <c r="G103" s="1"/>
      <c r="H103" s="1">
        <f>SUM(OSRRefH22_6x_0)</f>
        <v>25</v>
      </c>
      <c r="I103" s="1"/>
      <c r="J103" s="5">
        <f t="shared" ref="J103:J109" si="47">IF(H$12=0,0,H103/H$12)</f>
        <v>8.2967129893081595E-5</v>
      </c>
      <c r="K103" s="1"/>
      <c r="L103" s="1">
        <f t="shared" ref="L103:L109" si="48">+D103-H103</f>
        <v>-25</v>
      </c>
      <c r="M103" s="1"/>
      <c r="N103" s="5">
        <f t="shared" ref="N103:N109" si="49">IF(H103=0,0,L103/H103)</f>
        <v>-1</v>
      </c>
      <c r="O103" s="12"/>
      <c r="P103" s="1">
        <f>SUM(OSRRefP22_6x_0)</f>
        <v>0</v>
      </c>
      <c r="Q103" s="1"/>
      <c r="R103" s="5">
        <f t="shared" ref="R103:R109" si="50">IF(P$12=0,0,P103/P$12)</f>
        <v>0</v>
      </c>
      <c r="S103" s="1"/>
      <c r="T103" s="1">
        <f>SUM(OSRRefT22_6x_0)</f>
        <v>400</v>
      </c>
      <c r="U103" s="1"/>
      <c r="V103" s="5">
        <f t="shared" ref="V103:V109" si="51">IF(T$12=0,0,T103/T$12)</f>
        <v>1.0006101220244059E-4</v>
      </c>
      <c r="W103" s="1"/>
      <c r="X103" s="1">
        <f t="shared" ref="X103:X109" si="52">+P103-T103</f>
        <v>-400</v>
      </c>
      <c r="Y103" s="1"/>
      <c r="Z103" s="5">
        <f t="shared" ref="Z103:Z109" si="53">IF(T103=0,0,X103/T103)</f>
        <v>-1</v>
      </c>
    </row>
    <row r="104" spans="1:26" s="24" customFormat="1" hidden="1" outlineLevel="2" x14ac:dyDescent="0.25">
      <c r="A104" s="27"/>
      <c r="B104" s="11" t="str">
        <f>CONCATENATE("          ", "6395", " - ", "DONATION-OFF CAMPUS")</f>
        <v xml:space="preserve">          6395 - DONATION-OFF CAMPUS</v>
      </c>
      <c r="C104" s="11"/>
      <c r="D104" s="6"/>
      <c r="E104" s="2"/>
      <c r="F104" s="7">
        <f t="shared" si="46"/>
        <v>0</v>
      </c>
      <c r="G104" s="2"/>
      <c r="H104" s="6">
        <v>25</v>
      </c>
      <c r="I104" s="2"/>
      <c r="J104" s="7">
        <f t="shared" si="47"/>
        <v>8.2967129893081595E-5</v>
      </c>
      <c r="K104" s="2"/>
      <c r="L104" s="6">
        <f t="shared" si="48"/>
        <v>-25</v>
      </c>
      <c r="M104" s="2"/>
      <c r="N104" s="7">
        <f t="shared" si="49"/>
        <v>-1</v>
      </c>
      <c r="O104" s="11"/>
      <c r="P104" s="6"/>
      <c r="Q104" s="2"/>
      <c r="R104" s="7">
        <f t="shared" si="50"/>
        <v>0</v>
      </c>
      <c r="S104" s="2"/>
      <c r="T104" s="6">
        <v>400</v>
      </c>
      <c r="U104" s="2"/>
      <c r="V104" s="7">
        <f t="shared" si="51"/>
        <v>1.0006101220244059E-4</v>
      </c>
      <c r="W104" s="2"/>
      <c r="X104" s="6">
        <f t="shared" si="52"/>
        <v>-400</v>
      </c>
      <c r="Y104" s="2"/>
      <c r="Z104" s="7">
        <f t="shared" si="53"/>
        <v>-1</v>
      </c>
    </row>
    <row r="105" spans="1:26" s="26" customFormat="1" outlineLevel="1" collapsed="1" x14ac:dyDescent="0.25">
      <c r="A105" s="25"/>
      <c r="B105" s="12" t="str">
        <f>CONCATENATE("     ","Employees' Appreciation                           ")</f>
        <v xml:space="preserve">     Employees' Appreciation                           </v>
      </c>
      <c r="C105" s="12"/>
      <c r="D105" s="1">
        <f>SUM(OSRRefD22_7x_0)</f>
        <v>0</v>
      </c>
      <c r="E105" s="1"/>
      <c r="F105" s="5">
        <f t="shared" si="46"/>
        <v>0</v>
      </c>
      <c r="G105" s="1"/>
      <c r="H105" s="1">
        <f>SUM(OSRRefH22_7x_0)</f>
        <v>350</v>
      </c>
      <c r="I105" s="1"/>
      <c r="J105" s="5">
        <f t="shared" si="47"/>
        <v>1.1615398185031423E-3</v>
      </c>
      <c r="K105" s="1"/>
      <c r="L105" s="1">
        <f t="shared" si="48"/>
        <v>-350</v>
      </c>
      <c r="M105" s="1"/>
      <c r="N105" s="5">
        <f t="shared" si="49"/>
        <v>-1</v>
      </c>
      <c r="O105" s="12"/>
      <c r="P105" s="1">
        <f>SUM(OSRRefP22_7x_0)</f>
        <v>376.37</v>
      </c>
      <c r="Q105" s="1"/>
      <c r="R105" s="5">
        <f t="shared" si="50"/>
        <v>1.281808860655559E-4</v>
      </c>
      <c r="S105" s="1"/>
      <c r="T105" s="1">
        <f>SUM(OSRRefT22_7x_0)</f>
        <v>2775</v>
      </c>
      <c r="U105" s="1"/>
      <c r="V105" s="5">
        <f t="shared" si="51"/>
        <v>6.9417327215443156E-4</v>
      </c>
      <c r="W105" s="1"/>
      <c r="X105" s="1">
        <f t="shared" si="52"/>
        <v>-2398.63</v>
      </c>
      <c r="Y105" s="1"/>
      <c r="Z105" s="5">
        <f t="shared" si="53"/>
        <v>-0.86437117117117124</v>
      </c>
    </row>
    <row r="106" spans="1:26" s="24" customFormat="1" hidden="1" outlineLevel="2" x14ac:dyDescent="0.25">
      <c r="A106" s="27"/>
      <c r="B106" s="11" t="str">
        <f>CONCATENATE("          ", "6277", " - ", "EMPLOYEE APPRECIATION")</f>
        <v xml:space="preserve">          6277 - EMPLOYEE APPRECIATION</v>
      </c>
      <c r="C106" s="11"/>
      <c r="D106" s="6"/>
      <c r="E106" s="2"/>
      <c r="F106" s="7">
        <f t="shared" si="46"/>
        <v>0</v>
      </c>
      <c r="G106" s="2"/>
      <c r="H106" s="6">
        <v>350</v>
      </c>
      <c r="I106" s="2"/>
      <c r="J106" s="7">
        <f t="shared" si="47"/>
        <v>1.1615398185031423E-3</v>
      </c>
      <c r="K106" s="2"/>
      <c r="L106" s="6">
        <f t="shared" si="48"/>
        <v>-350</v>
      </c>
      <c r="M106" s="2"/>
      <c r="N106" s="7">
        <f t="shared" si="49"/>
        <v>-1</v>
      </c>
      <c r="O106" s="11"/>
      <c r="P106" s="6">
        <v>376.37</v>
      </c>
      <c r="Q106" s="2"/>
      <c r="R106" s="7">
        <f t="shared" si="50"/>
        <v>1.281808860655559E-4</v>
      </c>
      <c r="S106" s="2"/>
      <c r="T106" s="6">
        <v>2775</v>
      </c>
      <c r="U106" s="2"/>
      <c r="V106" s="7">
        <f t="shared" si="51"/>
        <v>6.9417327215443156E-4</v>
      </c>
      <c r="W106" s="2"/>
      <c r="X106" s="6">
        <f t="shared" si="52"/>
        <v>-2398.63</v>
      </c>
      <c r="Y106" s="2"/>
      <c r="Z106" s="7">
        <f t="shared" si="53"/>
        <v>-0.86437117117117124</v>
      </c>
    </row>
    <row r="107" spans="1:26" s="26" customFormat="1" outlineLevel="1" collapsed="1" x14ac:dyDescent="0.25">
      <c r="A107" s="25"/>
      <c r="B107" s="12" t="str">
        <f>CONCATENATE("     ","Freight out/Postage                               ")</f>
        <v xml:space="preserve">     Freight out/Postage                               </v>
      </c>
      <c r="C107" s="12"/>
      <c r="D107" s="1">
        <f>SUM(OSRRefD22_8x_0)</f>
        <v>34.229999999999997</v>
      </c>
      <c r="E107" s="1"/>
      <c r="F107" s="5">
        <f t="shared" si="46"/>
        <v>2.0279960620262264E-4</v>
      </c>
      <c r="G107" s="1"/>
      <c r="H107" s="1">
        <f>SUM(OSRRefH22_8x_0)</f>
        <v>50</v>
      </c>
      <c r="I107" s="1"/>
      <c r="J107" s="5">
        <f t="shared" si="47"/>
        <v>1.6593425978616319E-4</v>
      </c>
      <c r="K107" s="1"/>
      <c r="L107" s="1">
        <f t="shared" si="48"/>
        <v>-15.770000000000003</v>
      </c>
      <c r="M107" s="1"/>
      <c r="N107" s="5">
        <f t="shared" si="49"/>
        <v>-0.31540000000000007</v>
      </c>
      <c r="O107" s="12"/>
      <c r="P107" s="1">
        <f>SUM(OSRRefP22_8x_0)</f>
        <v>163.83000000000001</v>
      </c>
      <c r="Q107" s="1"/>
      <c r="R107" s="5">
        <f t="shared" si="50"/>
        <v>5.5795824757871302E-5</v>
      </c>
      <c r="S107" s="1"/>
      <c r="T107" s="1">
        <f>SUM(OSRRefT22_8x_0)</f>
        <v>600</v>
      </c>
      <c r="U107" s="1"/>
      <c r="V107" s="5">
        <f t="shared" si="51"/>
        <v>1.5009151830366088E-4</v>
      </c>
      <c r="W107" s="1"/>
      <c r="X107" s="1">
        <f t="shared" si="52"/>
        <v>-436.16999999999996</v>
      </c>
      <c r="Y107" s="1"/>
      <c r="Z107" s="5">
        <f t="shared" si="53"/>
        <v>-0.72694999999999999</v>
      </c>
    </row>
    <row r="108" spans="1:26" s="24" customFormat="1" hidden="1" outlineLevel="2" x14ac:dyDescent="0.25">
      <c r="A108" s="27"/>
      <c r="B108" s="11" t="str">
        <f>CONCATENATE("          ", "6305", " - ", "FREIGHT OUT")</f>
        <v xml:space="preserve">          6305 - FREIGHT OUT</v>
      </c>
      <c r="C108" s="11"/>
      <c r="D108" s="6">
        <v>34.229999999999997</v>
      </c>
      <c r="E108" s="2"/>
      <c r="F108" s="7">
        <f t="shared" si="46"/>
        <v>2.0279960620262264E-4</v>
      </c>
      <c r="G108" s="2"/>
      <c r="H108" s="6">
        <v>50</v>
      </c>
      <c r="I108" s="2"/>
      <c r="J108" s="7">
        <f t="shared" si="47"/>
        <v>1.6593425978616319E-4</v>
      </c>
      <c r="K108" s="2"/>
      <c r="L108" s="6">
        <f t="shared" si="48"/>
        <v>-15.770000000000003</v>
      </c>
      <c r="M108" s="2"/>
      <c r="N108" s="7">
        <f t="shared" si="49"/>
        <v>-0.31540000000000007</v>
      </c>
      <c r="O108" s="11"/>
      <c r="P108" s="6">
        <v>163.33000000000001</v>
      </c>
      <c r="Q108" s="2"/>
      <c r="R108" s="7">
        <f t="shared" si="50"/>
        <v>5.5625539020344991E-5</v>
      </c>
      <c r="S108" s="2"/>
      <c r="T108" s="6">
        <v>600</v>
      </c>
      <c r="U108" s="2"/>
      <c r="V108" s="7">
        <f t="shared" si="51"/>
        <v>1.5009151830366088E-4</v>
      </c>
      <c r="W108" s="2"/>
      <c r="X108" s="6">
        <f t="shared" si="52"/>
        <v>-436.66999999999996</v>
      </c>
      <c r="Y108" s="2"/>
      <c r="Z108" s="7">
        <f t="shared" si="53"/>
        <v>-0.72778333333333323</v>
      </c>
    </row>
    <row r="109" spans="1:26" s="24" customFormat="1" hidden="1" outlineLevel="2" x14ac:dyDescent="0.25">
      <c r="A109" s="27"/>
      <c r="B109" s="11" t="str">
        <f>CONCATENATE("          ", "6307", " - ", "POSTAGE")</f>
        <v xml:space="preserve">          6307 - POSTAGE</v>
      </c>
      <c r="C109" s="11"/>
      <c r="D109" s="6"/>
      <c r="E109" s="2"/>
      <c r="F109" s="7">
        <f t="shared" si="46"/>
        <v>0</v>
      </c>
      <c r="G109" s="2"/>
      <c r="H109" s="6"/>
      <c r="I109" s="2"/>
      <c r="J109" s="7">
        <f t="shared" si="47"/>
        <v>0</v>
      </c>
      <c r="K109" s="2"/>
      <c r="L109" s="6">
        <f t="shared" si="48"/>
        <v>0</v>
      </c>
      <c r="M109" s="2"/>
      <c r="N109" s="7">
        <f t="shared" si="49"/>
        <v>0</v>
      </c>
      <c r="O109" s="11"/>
      <c r="P109" s="6">
        <v>0.5</v>
      </c>
      <c r="Q109" s="2"/>
      <c r="R109" s="7">
        <f t="shared" si="50"/>
        <v>1.7028573752631172E-7</v>
      </c>
      <c r="S109" s="2"/>
      <c r="T109" s="6"/>
      <c r="U109" s="2"/>
      <c r="V109" s="7">
        <f t="shared" si="51"/>
        <v>0</v>
      </c>
      <c r="W109" s="2"/>
      <c r="X109" s="6">
        <f t="shared" si="52"/>
        <v>0.5</v>
      </c>
      <c r="Y109" s="2"/>
      <c r="Z109" s="7">
        <f t="shared" si="53"/>
        <v>0</v>
      </c>
    </row>
    <row r="110" spans="1:26" s="26" customFormat="1" outlineLevel="1" collapsed="1" x14ac:dyDescent="0.25">
      <c r="A110" s="25"/>
      <c r="B110" s="12" t="str">
        <f>CONCATENATE("     ","General                                           ")</f>
        <v xml:space="preserve">     General                                           </v>
      </c>
      <c r="C110" s="12"/>
      <c r="D110" s="1">
        <f>SUM(OSRRefD22_9x_0)</f>
        <v>0</v>
      </c>
      <c r="E110" s="1"/>
      <c r="F110" s="5">
        <f t="shared" ref="F110:F127" si="54">IF(D$12=0,0,D110/D$12)</f>
        <v>0</v>
      </c>
      <c r="G110" s="1"/>
      <c r="H110" s="1">
        <f>SUM(OSRRefH22_9x_0)</f>
        <v>500</v>
      </c>
      <c r="I110" s="1"/>
      <c r="J110" s="5">
        <f t="shared" ref="J110:J127" si="55">IF(H$12=0,0,H110/H$12)</f>
        <v>1.6593425978616318E-3</v>
      </c>
      <c r="K110" s="1"/>
      <c r="L110" s="1">
        <f t="shared" ref="L110:L127" si="56">+D110-H110</f>
        <v>-500</v>
      </c>
      <c r="M110" s="1"/>
      <c r="N110" s="5">
        <f t="shared" ref="N110:N127" si="57">IF(H110=0,0,L110/H110)</f>
        <v>-1</v>
      </c>
      <c r="O110" s="12"/>
      <c r="P110" s="1">
        <f>SUM(OSRRefP22_9x_0)</f>
        <v>1392.43</v>
      </c>
      <c r="Q110" s="1"/>
      <c r="R110" s="5">
        <f t="shared" ref="R110:R127" si="58">IF(P$12=0,0,P110/P$12)</f>
        <v>4.742219390075245E-4</v>
      </c>
      <c r="S110" s="1"/>
      <c r="T110" s="1">
        <f>SUM(OSRRefT22_9x_0)</f>
        <v>2485</v>
      </c>
      <c r="U110" s="1"/>
      <c r="V110" s="5">
        <f t="shared" ref="V110:V127" si="59">IF(T$12=0,0,T110/T$12)</f>
        <v>6.2162903830766212E-4</v>
      </c>
      <c r="W110" s="1"/>
      <c r="X110" s="1">
        <f t="shared" ref="X110:X127" si="60">+P110-T110</f>
        <v>-1092.57</v>
      </c>
      <c r="Y110" s="1"/>
      <c r="Z110" s="5">
        <f t="shared" ref="Z110:Z127" si="61">IF(T110=0,0,X110/T110)</f>
        <v>-0.4396659959758551</v>
      </c>
    </row>
    <row r="111" spans="1:26" s="24" customFormat="1" hidden="1" outlineLevel="2" x14ac:dyDescent="0.25">
      <c r="A111" s="27"/>
      <c r="B111" s="11" t="str">
        <f>CONCATENATE("          ", "6279", " - ", "GENERAL EXPENSE")</f>
        <v xml:space="preserve">          6279 - GENERAL EXPENSE</v>
      </c>
      <c r="C111" s="11"/>
      <c r="D111" s="6"/>
      <c r="E111" s="2"/>
      <c r="F111" s="7">
        <f t="shared" si="54"/>
        <v>0</v>
      </c>
      <c r="G111" s="2"/>
      <c r="H111" s="6">
        <v>500</v>
      </c>
      <c r="I111" s="2"/>
      <c r="J111" s="7">
        <f t="shared" si="55"/>
        <v>1.6593425978616318E-3</v>
      </c>
      <c r="K111" s="2"/>
      <c r="L111" s="6">
        <f t="shared" si="56"/>
        <v>-500</v>
      </c>
      <c r="M111" s="2"/>
      <c r="N111" s="7">
        <f t="shared" si="57"/>
        <v>-1</v>
      </c>
      <c r="O111" s="11"/>
      <c r="P111" s="6">
        <v>1392.43</v>
      </c>
      <c r="Q111" s="2"/>
      <c r="R111" s="7">
        <f t="shared" si="58"/>
        <v>4.742219390075245E-4</v>
      </c>
      <c r="S111" s="2"/>
      <c r="T111" s="6">
        <v>2485</v>
      </c>
      <c r="U111" s="2"/>
      <c r="V111" s="7">
        <f t="shared" si="59"/>
        <v>6.2162903830766212E-4</v>
      </c>
      <c r="W111" s="2"/>
      <c r="X111" s="6">
        <f t="shared" si="60"/>
        <v>-1092.57</v>
      </c>
      <c r="Y111" s="2"/>
      <c r="Z111" s="7">
        <f t="shared" si="61"/>
        <v>-0.4396659959758551</v>
      </c>
    </row>
    <row r="112" spans="1:26" s="26" customFormat="1" outlineLevel="1" collapsed="1" x14ac:dyDescent="0.25">
      <c r="A112" s="25"/>
      <c r="B112" s="12" t="str">
        <f>CONCATENATE("     ","Insurance                                         ")</f>
        <v xml:space="preserve">     Insurance                                         </v>
      </c>
      <c r="C112" s="12"/>
      <c r="D112" s="1">
        <f>SUM(OSRRefD22_10x_0)</f>
        <v>161.18</v>
      </c>
      <c r="E112" s="1"/>
      <c r="F112" s="5">
        <f t="shared" si="54"/>
        <v>9.5492960934089174E-4</v>
      </c>
      <c r="G112" s="1"/>
      <c r="H112" s="1">
        <f>SUM(OSRRefH22_10x_0)</f>
        <v>155</v>
      </c>
      <c r="I112" s="1"/>
      <c r="J112" s="5">
        <f t="shared" si="55"/>
        <v>5.1439620533710591E-4</v>
      </c>
      <c r="K112" s="1"/>
      <c r="L112" s="1">
        <f t="shared" si="56"/>
        <v>6.1800000000000068</v>
      </c>
      <c r="M112" s="1"/>
      <c r="N112" s="5">
        <f t="shared" si="57"/>
        <v>3.9870967741935527E-2</v>
      </c>
      <c r="O112" s="12"/>
      <c r="P112" s="1">
        <f>SUM(OSRRefP22_10x_0)</f>
        <v>1934.16</v>
      </c>
      <c r="Q112" s="1"/>
      <c r="R112" s="5">
        <f t="shared" si="58"/>
        <v>6.5871972418778222E-4</v>
      </c>
      <c r="S112" s="1"/>
      <c r="T112" s="1">
        <f>SUM(OSRRefT22_10x_0)</f>
        <v>1860</v>
      </c>
      <c r="U112" s="1"/>
      <c r="V112" s="5">
        <f t="shared" si="59"/>
        <v>4.652837067413487E-4</v>
      </c>
      <c r="W112" s="1"/>
      <c r="X112" s="1">
        <f t="shared" si="60"/>
        <v>74.160000000000082</v>
      </c>
      <c r="Y112" s="1"/>
      <c r="Z112" s="5">
        <f t="shared" si="61"/>
        <v>3.9870967741935527E-2</v>
      </c>
    </row>
    <row r="113" spans="1:26" s="24" customFormat="1" hidden="1" outlineLevel="2" x14ac:dyDescent="0.25">
      <c r="A113" s="27"/>
      <c r="B113" s="11" t="str">
        <f>CONCATENATE("          ", "6314", " - ", "LIABILITY INSURANCE")</f>
        <v xml:space="preserve">          6314 - LIABILITY INSURANCE</v>
      </c>
      <c r="C113" s="11"/>
      <c r="D113" s="6">
        <v>161.18</v>
      </c>
      <c r="E113" s="2"/>
      <c r="F113" s="7">
        <f t="shared" si="54"/>
        <v>9.5492960934089174E-4</v>
      </c>
      <c r="G113" s="2"/>
      <c r="H113" s="6">
        <v>155</v>
      </c>
      <c r="I113" s="2"/>
      <c r="J113" s="7">
        <f t="shared" si="55"/>
        <v>5.1439620533710591E-4</v>
      </c>
      <c r="K113" s="2"/>
      <c r="L113" s="6">
        <f t="shared" si="56"/>
        <v>6.1800000000000068</v>
      </c>
      <c r="M113" s="2"/>
      <c r="N113" s="7">
        <f t="shared" si="57"/>
        <v>3.9870967741935527E-2</v>
      </c>
      <c r="O113" s="11"/>
      <c r="P113" s="6">
        <v>1934.16</v>
      </c>
      <c r="Q113" s="2"/>
      <c r="R113" s="7">
        <f t="shared" si="58"/>
        <v>6.5871972418778222E-4</v>
      </c>
      <c r="S113" s="2"/>
      <c r="T113" s="6">
        <v>1860</v>
      </c>
      <c r="U113" s="2"/>
      <c r="V113" s="7">
        <f t="shared" si="59"/>
        <v>4.652837067413487E-4</v>
      </c>
      <c r="W113" s="2"/>
      <c r="X113" s="6">
        <f t="shared" si="60"/>
        <v>74.160000000000082</v>
      </c>
      <c r="Y113" s="2"/>
      <c r="Z113" s="7">
        <f t="shared" si="61"/>
        <v>3.9870967741935527E-2</v>
      </c>
    </row>
    <row r="114" spans="1:26" s="26" customFormat="1" outlineLevel="1" collapsed="1" x14ac:dyDescent="0.25">
      <c r="A114" s="25"/>
      <c r="B114" s="12" t="str">
        <f>CONCATENATE("     ","Inventory Adjustment                              ")</f>
        <v xml:space="preserve">     Inventory Adjustment                              </v>
      </c>
      <c r="C114" s="12"/>
      <c r="D114" s="1">
        <f>SUM(OSRRefD22_11x_0)</f>
        <v>102388</v>
      </c>
      <c r="E114" s="1"/>
      <c r="F114" s="5">
        <f t="shared" si="54"/>
        <v>0.60660958457125702</v>
      </c>
      <c r="G114" s="1"/>
      <c r="H114" s="1">
        <f>SUM(OSRRefH22_11x_0)</f>
        <v>3150</v>
      </c>
      <c r="I114" s="1"/>
      <c r="J114" s="5">
        <f t="shared" si="55"/>
        <v>1.045385836652828E-2</v>
      </c>
      <c r="K114" s="1"/>
      <c r="L114" s="1">
        <f t="shared" si="56"/>
        <v>99238</v>
      </c>
      <c r="M114" s="1"/>
      <c r="N114" s="5">
        <f t="shared" si="57"/>
        <v>31.504126984126984</v>
      </c>
      <c r="O114" s="12"/>
      <c r="P114" s="1">
        <f>SUM(OSRRefP22_11x_0)</f>
        <v>137938</v>
      </c>
      <c r="Q114" s="1"/>
      <c r="R114" s="5">
        <f t="shared" si="58"/>
        <v>4.6977748125808773E-2</v>
      </c>
      <c r="S114" s="1"/>
      <c r="T114" s="1">
        <f>SUM(OSRRefT22_11x_0)</f>
        <v>38700</v>
      </c>
      <c r="U114" s="1"/>
      <c r="V114" s="5">
        <f t="shared" si="59"/>
        <v>9.6809029305861254E-3</v>
      </c>
      <c r="W114" s="1"/>
      <c r="X114" s="1">
        <f t="shared" si="60"/>
        <v>99238</v>
      </c>
      <c r="Y114" s="1"/>
      <c r="Z114" s="5">
        <f t="shared" si="61"/>
        <v>2.5642894056847547</v>
      </c>
    </row>
    <row r="115" spans="1:26" s="24" customFormat="1" hidden="1" outlineLevel="2" x14ac:dyDescent="0.25">
      <c r="A115" s="27"/>
      <c r="B115" s="11" t="str">
        <f>CONCATENATE("          ", "6408", " - ", "INVENTORY ADJUSTMENT")</f>
        <v xml:space="preserve">          6408 - INVENTORY ADJUSTMENT</v>
      </c>
      <c r="C115" s="11"/>
      <c r="D115" s="6">
        <v>-35550</v>
      </c>
      <c r="E115" s="2"/>
      <c r="F115" s="7">
        <f t="shared" si="54"/>
        <v>-0.2106200993427764</v>
      </c>
      <c r="G115" s="2"/>
      <c r="H115" s="6">
        <v>3150</v>
      </c>
      <c r="I115" s="2"/>
      <c r="J115" s="7">
        <f t="shared" si="55"/>
        <v>1.045385836652828E-2</v>
      </c>
      <c r="K115" s="2"/>
      <c r="L115" s="6">
        <f t="shared" si="56"/>
        <v>-38700</v>
      </c>
      <c r="M115" s="2"/>
      <c r="N115" s="7">
        <f t="shared" si="57"/>
        <v>-12.285714285714286</v>
      </c>
      <c r="O115" s="11"/>
      <c r="P115" s="6">
        <v>0</v>
      </c>
      <c r="Q115" s="2"/>
      <c r="R115" s="7">
        <f t="shared" si="58"/>
        <v>0</v>
      </c>
      <c r="S115" s="2"/>
      <c r="T115" s="6">
        <v>38700</v>
      </c>
      <c r="U115" s="2"/>
      <c r="V115" s="7">
        <f t="shared" si="59"/>
        <v>9.6809029305861254E-3</v>
      </c>
      <c r="W115" s="2"/>
      <c r="X115" s="6">
        <f t="shared" si="60"/>
        <v>-38700</v>
      </c>
      <c r="Y115" s="2"/>
      <c r="Z115" s="7">
        <f t="shared" si="61"/>
        <v>-1</v>
      </c>
    </row>
    <row r="116" spans="1:26" s="24" customFormat="1" hidden="1" outlineLevel="2" x14ac:dyDescent="0.25">
      <c r="A116" s="27"/>
      <c r="B116" s="11" t="str">
        <f>CONCATENATE("          ", "7726", " - ", "INV. SHRINKAGE-WRITING INSTRUM")</f>
        <v xml:space="preserve">          7726 - INV. SHRINKAGE-WRITING INSTRUM</v>
      </c>
      <c r="C116" s="11"/>
      <c r="D116" s="6">
        <v>2342</v>
      </c>
      <c r="E116" s="2"/>
      <c r="F116" s="7">
        <f t="shared" si="54"/>
        <v>1.387545070775759E-2</v>
      </c>
      <c r="G116" s="2"/>
      <c r="H116" s="6"/>
      <c r="I116" s="2"/>
      <c r="J116" s="7">
        <f t="shared" si="55"/>
        <v>0</v>
      </c>
      <c r="K116" s="2"/>
      <c r="L116" s="6">
        <f t="shared" si="56"/>
        <v>2342</v>
      </c>
      <c r="M116" s="2"/>
      <c r="N116" s="7">
        <f t="shared" si="57"/>
        <v>0</v>
      </c>
      <c r="O116" s="11"/>
      <c r="P116" s="6">
        <v>2342</v>
      </c>
      <c r="Q116" s="2"/>
      <c r="R116" s="7">
        <f t="shared" si="58"/>
        <v>7.9761839457324413E-4</v>
      </c>
      <c r="S116" s="2"/>
      <c r="T116" s="6"/>
      <c r="U116" s="2"/>
      <c r="V116" s="7">
        <f t="shared" si="59"/>
        <v>0</v>
      </c>
      <c r="W116" s="2"/>
      <c r="X116" s="6">
        <f t="shared" si="60"/>
        <v>2342</v>
      </c>
      <c r="Y116" s="2"/>
      <c r="Z116" s="7">
        <f t="shared" si="61"/>
        <v>0</v>
      </c>
    </row>
    <row r="117" spans="1:26" s="24" customFormat="1" hidden="1" outlineLevel="2" x14ac:dyDescent="0.25">
      <c r="A117" s="27"/>
      <c r="B117" s="11" t="str">
        <f>CONCATENATE("          ", "7727", " - ", "INV. SHRINKAGE-SCHOOL SUPPLIES")</f>
        <v xml:space="preserve">          7727 - INV. SHRINKAGE-SCHOOL SUPPLIES</v>
      </c>
      <c r="C117" s="11"/>
      <c r="D117" s="6">
        <v>384</v>
      </c>
      <c r="E117" s="2"/>
      <c r="F117" s="7">
        <f t="shared" si="54"/>
        <v>2.2750525498629009E-3</v>
      </c>
      <c r="G117" s="2"/>
      <c r="H117" s="6"/>
      <c r="I117" s="2"/>
      <c r="J117" s="7">
        <f t="shared" si="55"/>
        <v>0</v>
      </c>
      <c r="K117" s="2"/>
      <c r="L117" s="6">
        <f t="shared" si="56"/>
        <v>384</v>
      </c>
      <c r="M117" s="2"/>
      <c r="N117" s="7">
        <f t="shared" si="57"/>
        <v>0</v>
      </c>
      <c r="O117" s="11"/>
      <c r="P117" s="6">
        <v>384</v>
      </c>
      <c r="Q117" s="2"/>
      <c r="R117" s="7">
        <f t="shared" si="58"/>
        <v>1.3077944642020739E-4</v>
      </c>
      <c r="S117" s="2"/>
      <c r="T117" s="6"/>
      <c r="U117" s="2"/>
      <c r="V117" s="7">
        <f t="shared" si="59"/>
        <v>0</v>
      </c>
      <c r="W117" s="2"/>
      <c r="X117" s="6">
        <f t="shared" si="60"/>
        <v>384</v>
      </c>
      <c r="Y117" s="2"/>
      <c r="Z117" s="7">
        <f t="shared" si="61"/>
        <v>0</v>
      </c>
    </row>
    <row r="118" spans="1:26" s="24" customFormat="1" hidden="1" outlineLevel="2" x14ac:dyDescent="0.25">
      <c r="A118" s="27"/>
      <c r="B118" s="11" t="str">
        <f>CONCATENATE("          ", "7737", " - ", "INV. SHRINKAGE-WATER")</f>
        <v xml:space="preserve">          7737 - INV. SHRINKAGE-WATER</v>
      </c>
      <c r="C118" s="11"/>
      <c r="D118" s="6">
        <v>-69</v>
      </c>
      <c r="E118" s="2"/>
      <c r="F118" s="7">
        <f t="shared" si="54"/>
        <v>-4.0879850505349001E-4</v>
      </c>
      <c r="G118" s="2"/>
      <c r="H118" s="6"/>
      <c r="I118" s="2"/>
      <c r="J118" s="7">
        <f t="shared" si="55"/>
        <v>0</v>
      </c>
      <c r="K118" s="2"/>
      <c r="L118" s="6">
        <f t="shared" si="56"/>
        <v>-69</v>
      </c>
      <c r="M118" s="2"/>
      <c r="N118" s="7">
        <f t="shared" si="57"/>
        <v>0</v>
      </c>
      <c r="O118" s="11"/>
      <c r="P118" s="6">
        <v>-69</v>
      </c>
      <c r="Q118" s="2"/>
      <c r="R118" s="7">
        <f t="shared" si="58"/>
        <v>-2.3499431778631017E-5</v>
      </c>
      <c r="S118" s="2"/>
      <c r="T118" s="6"/>
      <c r="U118" s="2"/>
      <c r="V118" s="7">
        <f t="shared" si="59"/>
        <v>0</v>
      </c>
      <c r="W118" s="2"/>
      <c r="X118" s="6">
        <f t="shared" si="60"/>
        <v>-69</v>
      </c>
      <c r="Y118" s="2"/>
      <c r="Z118" s="7">
        <f t="shared" si="61"/>
        <v>0</v>
      </c>
    </row>
    <row r="119" spans="1:26" s="24" customFormat="1" hidden="1" outlineLevel="2" x14ac:dyDescent="0.25">
      <c r="A119" s="27"/>
      <c r="B119" s="11" t="str">
        <f>CONCATENATE("          ", "7740", " - ", "INV. SHRINKAGE-LOGO CLOTHING")</f>
        <v xml:space="preserve">          7740 - INV. SHRINKAGE-LOGO CLOTHING</v>
      </c>
      <c r="C119" s="11"/>
      <c r="D119" s="6">
        <v>62007.000000000007</v>
      </c>
      <c r="E119" s="2"/>
      <c r="F119" s="7">
        <f t="shared" si="54"/>
        <v>0.36736766525872117</v>
      </c>
      <c r="G119" s="2"/>
      <c r="H119" s="6"/>
      <c r="I119" s="2"/>
      <c r="J119" s="7">
        <f t="shared" si="55"/>
        <v>0</v>
      </c>
      <c r="K119" s="2"/>
      <c r="L119" s="6">
        <f t="shared" si="56"/>
        <v>62007.000000000007</v>
      </c>
      <c r="M119" s="2"/>
      <c r="N119" s="7">
        <f t="shared" si="57"/>
        <v>0</v>
      </c>
      <c r="O119" s="11"/>
      <c r="P119" s="6">
        <v>62007.000000000007</v>
      </c>
      <c r="Q119" s="2"/>
      <c r="R119" s="7">
        <f t="shared" si="58"/>
        <v>2.1117815453588023E-2</v>
      </c>
      <c r="S119" s="2"/>
      <c r="T119" s="6"/>
      <c r="U119" s="2"/>
      <c r="V119" s="7">
        <f t="shared" si="59"/>
        <v>0</v>
      </c>
      <c r="W119" s="2"/>
      <c r="X119" s="6">
        <f t="shared" si="60"/>
        <v>62007.000000000007</v>
      </c>
      <c r="Y119" s="2"/>
      <c r="Z119" s="7">
        <f t="shared" si="61"/>
        <v>0</v>
      </c>
    </row>
    <row r="120" spans="1:26" s="24" customFormat="1" hidden="1" outlineLevel="2" x14ac:dyDescent="0.25">
      <c r="A120" s="27"/>
      <c r="B120" s="11" t="str">
        <f>CONCATENATE("          ", "7741", " - ", "INV. SHRINKAGE-LOGO GIFTS")</f>
        <v xml:space="preserve">          7741 - INV. SHRINKAGE-LOGO GIFTS</v>
      </c>
      <c r="C120" s="11"/>
      <c r="D120" s="6">
        <v>31201</v>
      </c>
      <c r="E120" s="2"/>
      <c r="F120" s="7">
        <f t="shared" si="54"/>
        <v>0.18485394429237598</v>
      </c>
      <c r="G120" s="2"/>
      <c r="H120" s="6"/>
      <c r="I120" s="2"/>
      <c r="J120" s="7">
        <f t="shared" si="55"/>
        <v>0</v>
      </c>
      <c r="K120" s="2"/>
      <c r="L120" s="6">
        <f t="shared" si="56"/>
        <v>31201</v>
      </c>
      <c r="M120" s="2"/>
      <c r="N120" s="7">
        <f t="shared" si="57"/>
        <v>0</v>
      </c>
      <c r="O120" s="11"/>
      <c r="P120" s="6">
        <v>31201</v>
      </c>
      <c r="Q120" s="2"/>
      <c r="R120" s="7">
        <f t="shared" si="58"/>
        <v>1.0626170593116904E-2</v>
      </c>
      <c r="S120" s="2"/>
      <c r="T120" s="6"/>
      <c r="U120" s="2"/>
      <c r="V120" s="7">
        <f t="shared" si="59"/>
        <v>0</v>
      </c>
      <c r="W120" s="2"/>
      <c r="X120" s="6">
        <f t="shared" si="60"/>
        <v>31201</v>
      </c>
      <c r="Y120" s="2"/>
      <c r="Z120" s="7">
        <f t="shared" si="61"/>
        <v>0</v>
      </c>
    </row>
    <row r="121" spans="1:26" s="24" customFormat="1" hidden="1" outlineLevel="2" x14ac:dyDescent="0.25">
      <c r="A121" s="27"/>
      <c r="B121" s="11" t="str">
        <f>CONCATENATE("          ", "7742", " - ", "INV. SHRINKAGE-EVERYDAY GIFTS")</f>
        <v xml:space="preserve">          7742 - INV. SHRINKAGE-EVERYDAY GIFTS</v>
      </c>
      <c r="C121" s="11"/>
      <c r="D121" s="6">
        <v>26750</v>
      </c>
      <c r="E121" s="2"/>
      <c r="F121" s="7">
        <f t="shared" si="54"/>
        <v>0.15848347840841823</v>
      </c>
      <c r="G121" s="2"/>
      <c r="H121" s="6"/>
      <c r="I121" s="2"/>
      <c r="J121" s="7">
        <f t="shared" si="55"/>
        <v>0</v>
      </c>
      <c r="K121" s="2"/>
      <c r="L121" s="6">
        <f t="shared" si="56"/>
        <v>26750</v>
      </c>
      <c r="M121" s="2"/>
      <c r="N121" s="7">
        <f t="shared" si="57"/>
        <v>0</v>
      </c>
      <c r="O121" s="11"/>
      <c r="P121" s="6">
        <v>26750</v>
      </c>
      <c r="Q121" s="2"/>
      <c r="R121" s="7">
        <f t="shared" si="58"/>
        <v>9.1102869576576775E-3</v>
      </c>
      <c r="S121" s="2"/>
      <c r="T121" s="6"/>
      <c r="U121" s="2"/>
      <c r="V121" s="7">
        <f t="shared" si="59"/>
        <v>0</v>
      </c>
      <c r="W121" s="2"/>
      <c r="X121" s="6">
        <f t="shared" si="60"/>
        <v>26750</v>
      </c>
      <c r="Y121" s="2"/>
      <c r="Z121" s="7">
        <f t="shared" si="61"/>
        <v>0</v>
      </c>
    </row>
    <row r="122" spans="1:26" s="24" customFormat="1" hidden="1" outlineLevel="2" x14ac:dyDescent="0.25">
      <c r="A122" s="27"/>
      <c r="B122" s="11" t="str">
        <f>CONCATENATE("          ", "7743", " - ", "INV. SHRINKAGE-CARDS")</f>
        <v xml:space="preserve">          7743 - INV. SHRINKAGE-CARDS</v>
      </c>
      <c r="C122" s="11"/>
      <c r="D122" s="6">
        <v>-12818</v>
      </c>
      <c r="E122" s="2"/>
      <c r="F122" s="7">
        <f t="shared" si="54"/>
        <v>-7.5941728083704862E-2</v>
      </c>
      <c r="G122" s="2"/>
      <c r="H122" s="6"/>
      <c r="I122" s="2"/>
      <c r="J122" s="7">
        <f t="shared" si="55"/>
        <v>0</v>
      </c>
      <c r="K122" s="2"/>
      <c r="L122" s="6">
        <f t="shared" si="56"/>
        <v>-12818</v>
      </c>
      <c r="M122" s="2"/>
      <c r="N122" s="7">
        <f t="shared" si="57"/>
        <v>0</v>
      </c>
      <c r="O122" s="11"/>
      <c r="P122" s="6">
        <v>-12818</v>
      </c>
      <c r="Q122" s="2"/>
      <c r="R122" s="7">
        <f t="shared" si="58"/>
        <v>-4.3654451672245275E-3</v>
      </c>
      <c r="S122" s="2"/>
      <c r="T122" s="6"/>
      <c r="U122" s="2"/>
      <c r="V122" s="7">
        <f t="shared" si="59"/>
        <v>0</v>
      </c>
      <c r="W122" s="2"/>
      <c r="X122" s="6">
        <f t="shared" si="60"/>
        <v>-12818</v>
      </c>
      <c r="Y122" s="2"/>
      <c r="Z122" s="7">
        <f t="shared" si="61"/>
        <v>0</v>
      </c>
    </row>
    <row r="123" spans="1:26" s="24" customFormat="1" hidden="1" outlineLevel="2" x14ac:dyDescent="0.25">
      <c r="A123" s="27"/>
      <c r="B123" s="11" t="str">
        <f>CONCATENATE("          ", "7744", " - ", "INV. SHRINKAGE-ACCESSORIES")</f>
        <v xml:space="preserve">          7744 - INV. SHRINKAGE-ACCESSORIES</v>
      </c>
      <c r="C123" s="11"/>
      <c r="D123" s="6">
        <v>-16600</v>
      </c>
      <c r="E123" s="2"/>
      <c r="F123" s="7">
        <f t="shared" si="54"/>
        <v>-9.8348625853448321E-2</v>
      </c>
      <c r="G123" s="2"/>
      <c r="H123" s="6"/>
      <c r="I123" s="2"/>
      <c r="J123" s="7">
        <f t="shared" si="55"/>
        <v>0</v>
      </c>
      <c r="K123" s="2"/>
      <c r="L123" s="6">
        <f t="shared" si="56"/>
        <v>-16600</v>
      </c>
      <c r="M123" s="2"/>
      <c r="N123" s="7">
        <f t="shared" si="57"/>
        <v>0</v>
      </c>
      <c r="O123" s="11"/>
      <c r="P123" s="6">
        <v>-16600</v>
      </c>
      <c r="Q123" s="2"/>
      <c r="R123" s="7">
        <f t="shared" si="58"/>
        <v>-5.653486485873549E-3</v>
      </c>
      <c r="S123" s="2"/>
      <c r="T123" s="6"/>
      <c r="U123" s="2"/>
      <c r="V123" s="7">
        <f t="shared" si="59"/>
        <v>0</v>
      </c>
      <c r="W123" s="2"/>
      <c r="X123" s="6">
        <f t="shared" si="60"/>
        <v>-16600</v>
      </c>
      <c r="Y123" s="2"/>
      <c r="Z123" s="7">
        <f t="shared" si="61"/>
        <v>0</v>
      </c>
    </row>
    <row r="124" spans="1:26" s="24" customFormat="1" hidden="1" outlineLevel="2" x14ac:dyDescent="0.25">
      <c r="A124" s="27"/>
      <c r="B124" s="11" t="str">
        <f>CONCATENATE("          ", "7745", " - ", "INV. SHRINKAGE-SPECIAL ORDERS")</f>
        <v xml:space="preserve">          7745 - INV. SHRINKAGE-SPECIAL ORDERS</v>
      </c>
      <c r="C124" s="11"/>
      <c r="D124" s="6">
        <v>44531</v>
      </c>
      <c r="E124" s="2"/>
      <c r="F124" s="7">
        <f t="shared" si="54"/>
        <v>0.26382907577589804</v>
      </c>
      <c r="G124" s="2"/>
      <c r="H124" s="6"/>
      <c r="I124" s="2"/>
      <c r="J124" s="7">
        <f t="shared" si="55"/>
        <v>0</v>
      </c>
      <c r="K124" s="2"/>
      <c r="L124" s="6">
        <f t="shared" si="56"/>
        <v>44531</v>
      </c>
      <c r="M124" s="2"/>
      <c r="N124" s="7">
        <f t="shared" si="57"/>
        <v>0</v>
      </c>
      <c r="O124" s="11"/>
      <c r="P124" s="6">
        <v>44531</v>
      </c>
      <c r="Q124" s="2"/>
      <c r="R124" s="7">
        <f t="shared" si="58"/>
        <v>1.5165988355568375E-2</v>
      </c>
      <c r="S124" s="2"/>
      <c r="T124" s="6"/>
      <c r="U124" s="2"/>
      <c r="V124" s="7">
        <f t="shared" si="59"/>
        <v>0</v>
      </c>
      <c r="W124" s="2"/>
      <c r="X124" s="6">
        <f t="shared" si="60"/>
        <v>44531</v>
      </c>
      <c r="Y124" s="2"/>
      <c r="Z124" s="7">
        <f t="shared" si="61"/>
        <v>0</v>
      </c>
    </row>
    <row r="125" spans="1:26" s="24" customFormat="1" hidden="1" outlineLevel="2" x14ac:dyDescent="0.25">
      <c r="A125" s="27"/>
      <c r="B125" s="11" t="str">
        <f>CONCATENATE("          ", "7783", " - ", "INV. SHRINKAGE-COMPUTER EQUIPM")</f>
        <v xml:space="preserve">          7783 - INV. SHRINKAGE-COMPUTER EQUIPM</v>
      </c>
      <c r="C125" s="11"/>
      <c r="D125" s="6">
        <v>176</v>
      </c>
      <c r="E125" s="2"/>
      <c r="F125" s="7">
        <f t="shared" si="54"/>
        <v>1.0427324186871631E-3</v>
      </c>
      <c r="G125" s="2"/>
      <c r="H125" s="6"/>
      <c r="I125" s="2"/>
      <c r="J125" s="7">
        <f t="shared" si="55"/>
        <v>0</v>
      </c>
      <c r="K125" s="2"/>
      <c r="L125" s="6">
        <f t="shared" si="56"/>
        <v>176</v>
      </c>
      <c r="M125" s="2"/>
      <c r="N125" s="7">
        <f t="shared" si="57"/>
        <v>0</v>
      </c>
      <c r="O125" s="11"/>
      <c r="P125" s="6">
        <v>176</v>
      </c>
      <c r="Q125" s="2"/>
      <c r="R125" s="7">
        <f t="shared" si="58"/>
        <v>5.9940579609261728E-5</v>
      </c>
      <c r="S125" s="2"/>
      <c r="T125" s="6"/>
      <c r="U125" s="2"/>
      <c r="V125" s="7">
        <f t="shared" si="59"/>
        <v>0</v>
      </c>
      <c r="W125" s="2"/>
      <c r="X125" s="6">
        <f t="shared" si="60"/>
        <v>176</v>
      </c>
      <c r="Y125" s="2"/>
      <c r="Z125" s="7">
        <f t="shared" si="61"/>
        <v>0</v>
      </c>
    </row>
    <row r="126" spans="1:26" s="24" customFormat="1" hidden="1" outlineLevel="2" x14ac:dyDescent="0.25">
      <c r="A126" s="27"/>
      <c r="B126" s="11" t="str">
        <f>CONCATENATE("          ", "7792", " - ", "INV. SHRINKAGE-GRAD MERCH")</f>
        <v xml:space="preserve">          7792 - INV. SHRINKAGE-GRAD MERCH</v>
      </c>
      <c r="C126" s="11"/>
      <c r="D126" s="6">
        <v>40</v>
      </c>
      <c r="E126" s="2"/>
      <c r="F126" s="7">
        <f t="shared" si="54"/>
        <v>2.3698464061071886E-4</v>
      </c>
      <c r="G126" s="2"/>
      <c r="H126" s="6"/>
      <c r="I126" s="2"/>
      <c r="J126" s="7">
        <f t="shared" si="55"/>
        <v>0</v>
      </c>
      <c r="K126" s="2"/>
      <c r="L126" s="6">
        <f t="shared" si="56"/>
        <v>40</v>
      </c>
      <c r="M126" s="2"/>
      <c r="N126" s="7">
        <f t="shared" si="57"/>
        <v>0</v>
      </c>
      <c r="O126" s="11"/>
      <c r="P126" s="6">
        <v>40</v>
      </c>
      <c r="Q126" s="2"/>
      <c r="R126" s="7">
        <f t="shared" si="58"/>
        <v>1.3622859002104937E-5</v>
      </c>
      <c r="S126" s="2"/>
      <c r="T126" s="6"/>
      <c r="U126" s="2"/>
      <c r="V126" s="7">
        <f t="shared" si="59"/>
        <v>0</v>
      </c>
      <c r="W126" s="2"/>
      <c r="X126" s="6">
        <f t="shared" si="60"/>
        <v>40</v>
      </c>
      <c r="Y126" s="2"/>
      <c r="Z126" s="7">
        <f t="shared" si="61"/>
        <v>0</v>
      </c>
    </row>
    <row r="127" spans="1:26" s="24" customFormat="1" hidden="1" outlineLevel="2" x14ac:dyDescent="0.25">
      <c r="A127" s="27"/>
      <c r="B127" s="11" t="str">
        <f>CONCATENATE("          ", "7795", " - ", "INV. SHRINKAGE-CUSTOMER SERVIC")</f>
        <v xml:space="preserve">          7795 - INV. SHRINKAGE-CUSTOMER SERVIC</v>
      </c>
      <c r="C127" s="11"/>
      <c r="D127" s="6">
        <v>-6</v>
      </c>
      <c r="E127" s="2"/>
      <c r="F127" s="7">
        <f t="shared" si="54"/>
        <v>-3.5547696091607827E-5</v>
      </c>
      <c r="G127" s="2"/>
      <c r="H127" s="6"/>
      <c r="I127" s="2"/>
      <c r="J127" s="7">
        <f t="shared" si="55"/>
        <v>0</v>
      </c>
      <c r="K127" s="2"/>
      <c r="L127" s="6">
        <f t="shared" si="56"/>
        <v>-6</v>
      </c>
      <c r="M127" s="2"/>
      <c r="N127" s="7">
        <f t="shared" si="57"/>
        <v>0</v>
      </c>
      <c r="O127" s="11"/>
      <c r="P127" s="6">
        <v>-6</v>
      </c>
      <c r="Q127" s="2"/>
      <c r="R127" s="7">
        <f t="shared" si="58"/>
        <v>-2.0434288503157405E-6</v>
      </c>
      <c r="S127" s="2"/>
      <c r="T127" s="6"/>
      <c r="U127" s="2"/>
      <c r="V127" s="7">
        <f t="shared" si="59"/>
        <v>0</v>
      </c>
      <c r="W127" s="2"/>
      <c r="X127" s="6">
        <f t="shared" si="60"/>
        <v>-6</v>
      </c>
      <c r="Y127" s="2"/>
      <c r="Z127" s="7">
        <f t="shared" si="61"/>
        <v>0</v>
      </c>
    </row>
    <row r="128" spans="1:26" s="26" customFormat="1" outlineLevel="1" collapsed="1" x14ac:dyDescent="0.25">
      <c r="A128" s="25"/>
      <c r="B128" s="12" t="str">
        <f>CONCATENATE("     ","Professional Services                             ")</f>
        <v xml:space="preserve">     Professional Services                             </v>
      </c>
      <c r="C128" s="12"/>
      <c r="D128" s="1">
        <f>SUM(OSRRefD22_12x_0)</f>
        <v>383.95</v>
      </c>
      <c r="E128" s="1"/>
      <c r="F128" s="5">
        <f t="shared" ref="F128:F134" si="62">IF(D$12=0,0,D128/D$12)</f>
        <v>2.2747563190621376E-3</v>
      </c>
      <c r="G128" s="1"/>
      <c r="H128" s="1">
        <f>SUM(OSRRefH22_12x_0)</f>
        <v>0</v>
      </c>
      <c r="I128" s="1"/>
      <c r="J128" s="5">
        <f t="shared" ref="J128:J134" si="63">IF(H$12=0,0,H128/H$12)</f>
        <v>0</v>
      </c>
      <c r="K128" s="1"/>
      <c r="L128" s="1">
        <f t="shared" ref="L128:L134" si="64">+D128-H128</f>
        <v>383.95</v>
      </c>
      <c r="M128" s="1"/>
      <c r="N128" s="5">
        <f t="shared" ref="N128:N134" si="65">IF(H128=0,0,L128/H128)</f>
        <v>0</v>
      </c>
      <c r="O128" s="12"/>
      <c r="P128" s="1">
        <f>SUM(OSRRefP22_12x_0)</f>
        <v>4063.95</v>
      </c>
      <c r="Q128" s="1"/>
      <c r="R128" s="5">
        <f t="shared" ref="R128:R134" si="66">IF(P$12=0,0,P128/P$12)</f>
        <v>1.384065446040109E-3</v>
      </c>
      <c r="S128" s="1"/>
      <c r="T128" s="1">
        <f>SUM(OSRRefT22_12x_0)</f>
        <v>3150</v>
      </c>
      <c r="U128" s="1"/>
      <c r="V128" s="5">
        <f t="shared" ref="V128:V134" si="67">IF(T$12=0,0,T128/T$12)</f>
        <v>7.879804710942196E-4</v>
      </c>
      <c r="W128" s="1"/>
      <c r="X128" s="1">
        <f t="shared" ref="X128:X134" si="68">+P128-T128</f>
        <v>913.94999999999982</v>
      </c>
      <c r="Y128" s="1"/>
      <c r="Z128" s="5">
        <f t="shared" ref="Z128:Z134" si="69">IF(T128=0,0,X128/T128)</f>
        <v>0.29014285714285709</v>
      </c>
    </row>
    <row r="129" spans="1:26" s="24" customFormat="1" hidden="1" outlineLevel="2" x14ac:dyDescent="0.25">
      <c r="A129" s="27"/>
      <c r="B129" s="11" t="str">
        <f>CONCATENATE("          ", "6336", " - ", "PROFESSIONAL SERVICES")</f>
        <v xml:space="preserve">          6336 - PROFESSIONAL SERVICES</v>
      </c>
      <c r="C129" s="11"/>
      <c r="D129" s="6">
        <v>383.95</v>
      </c>
      <c r="E129" s="2"/>
      <c r="F129" s="7">
        <f t="shared" si="62"/>
        <v>2.2747563190621376E-3</v>
      </c>
      <c r="G129" s="2"/>
      <c r="H129" s="6">
        <v>0</v>
      </c>
      <c r="I129" s="2"/>
      <c r="J129" s="7">
        <f t="shared" si="63"/>
        <v>0</v>
      </c>
      <c r="K129" s="2"/>
      <c r="L129" s="6">
        <f t="shared" si="64"/>
        <v>383.95</v>
      </c>
      <c r="M129" s="2"/>
      <c r="N129" s="7">
        <f t="shared" si="65"/>
        <v>0</v>
      </c>
      <c r="O129" s="11"/>
      <c r="P129" s="6">
        <v>4063.95</v>
      </c>
      <c r="Q129" s="2"/>
      <c r="R129" s="7">
        <f t="shared" si="66"/>
        <v>1.384065446040109E-3</v>
      </c>
      <c r="S129" s="2"/>
      <c r="T129" s="6">
        <v>3150</v>
      </c>
      <c r="U129" s="2"/>
      <c r="V129" s="7">
        <f t="shared" si="67"/>
        <v>7.879804710942196E-4</v>
      </c>
      <c r="W129" s="2"/>
      <c r="X129" s="6">
        <f t="shared" si="68"/>
        <v>913.94999999999982</v>
      </c>
      <c r="Y129" s="2"/>
      <c r="Z129" s="7">
        <f t="shared" si="69"/>
        <v>0.29014285714285709</v>
      </c>
    </row>
    <row r="130" spans="1:26" s="26" customFormat="1" outlineLevel="1" collapsed="1" x14ac:dyDescent="0.25">
      <c r="A130" s="25"/>
      <c r="B130" s="12" t="str">
        <f>CONCATENATE("     ","Rent                                              ")</f>
        <v xml:space="preserve">     Rent                                              </v>
      </c>
      <c r="C130" s="12"/>
      <c r="D130" s="1">
        <f>SUM(OSRRefD22_13x_0)</f>
        <v>6900</v>
      </c>
      <c r="E130" s="1"/>
      <c r="F130" s="5">
        <f t="shared" si="62"/>
        <v>4.0879850505349001E-2</v>
      </c>
      <c r="G130" s="1"/>
      <c r="H130" s="1">
        <f>SUM(OSRRefH22_13x_0)</f>
        <v>7200</v>
      </c>
      <c r="I130" s="1"/>
      <c r="J130" s="5">
        <f t="shared" si="63"/>
        <v>2.38945334092075E-2</v>
      </c>
      <c r="K130" s="1"/>
      <c r="L130" s="1">
        <f t="shared" si="64"/>
        <v>-300</v>
      </c>
      <c r="M130" s="1"/>
      <c r="N130" s="5">
        <f t="shared" si="65"/>
        <v>-4.1666666666666664E-2</v>
      </c>
      <c r="O130" s="12"/>
      <c r="P130" s="1">
        <f>SUM(OSRRefP22_13x_0)</f>
        <v>82800</v>
      </c>
      <c r="Q130" s="1"/>
      <c r="R130" s="5">
        <f t="shared" si="66"/>
        <v>2.8199318134357221E-2</v>
      </c>
      <c r="S130" s="1"/>
      <c r="T130" s="1">
        <f>SUM(OSRRefT22_13x_0)</f>
        <v>86400</v>
      </c>
      <c r="U130" s="1"/>
      <c r="V130" s="5">
        <f t="shared" si="67"/>
        <v>2.1613178635727166E-2</v>
      </c>
      <c r="W130" s="1"/>
      <c r="X130" s="1">
        <f t="shared" si="68"/>
        <v>-3600</v>
      </c>
      <c r="Y130" s="1"/>
      <c r="Z130" s="5">
        <f t="shared" si="69"/>
        <v>-4.1666666666666664E-2</v>
      </c>
    </row>
    <row r="131" spans="1:26" s="24" customFormat="1" hidden="1" outlineLevel="2" x14ac:dyDescent="0.25">
      <c r="A131" s="27"/>
      <c r="B131" s="11" t="str">
        <f>CONCATENATE("          ", "6273", " - ", "RENT")</f>
        <v xml:space="preserve">          6273 - RENT</v>
      </c>
      <c r="C131" s="11"/>
      <c r="D131" s="6">
        <v>6900</v>
      </c>
      <c r="E131" s="2"/>
      <c r="F131" s="7">
        <f t="shared" si="62"/>
        <v>4.0879850505349001E-2</v>
      </c>
      <c r="G131" s="2"/>
      <c r="H131" s="6">
        <v>7200</v>
      </c>
      <c r="I131" s="2"/>
      <c r="J131" s="7">
        <f t="shared" si="63"/>
        <v>2.38945334092075E-2</v>
      </c>
      <c r="K131" s="2"/>
      <c r="L131" s="6">
        <f t="shared" si="64"/>
        <v>-300</v>
      </c>
      <c r="M131" s="2"/>
      <c r="N131" s="7">
        <f t="shared" si="65"/>
        <v>-4.1666666666666664E-2</v>
      </c>
      <c r="O131" s="11"/>
      <c r="P131" s="6">
        <v>82800</v>
      </c>
      <c r="Q131" s="2"/>
      <c r="R131" s="7">
        <f t="shared" si="66"/>
        <v>2.8199318134357221E-2</v>
      </c>
      <c r="S131" s="2"/>
      <c r="T131" s="6">
        <v>86400</v>
      </c>
      <c r="U131" s="2"/>
      <c r="V131" s="7">
        <f t="shared" si="67"/>
        <v>2.1613178635727166E-2</v>
      </c>
      <c r="W131" s="2"/>
      <c r="X131" s="6">
        <f t="shared" si="68"/>
        <v>-3600</v>
      </c>
      <c r="Y131" s="2"/>
      <c r="Z131" s="7">
        <f t="shared" si="69"/>
        <v>-4.1666666666666664E-2</v>
      </c>
    </row>
    <row r="132" spans="1:26" s="26" customFormat="1" outlineLevel="1" collapsed="1" x14ac:dyDescent="0.25">
      <c r="A132" s="25"/>
      <c r="B132" s="12" t="str">
        <f>CONCATENATE("     ","Repair and Maintenance                            ")</f>
        <v xml:space="preserve">     Repair and Maintenance                            </v>
      </c>
      <c r="C132" s="12"/>
      <c r="D132" s="1">
        <f>SUM(OSRRefD22_14x_0)</f>
        <v>48.23</v>
      </c>
      <c r="E132" s="1"/>
      <c r="F132" s="5">
        <f t="shared" si="62"/>
        <v>2.8574423041637423E-4</v>
      </c>
      <c r="G132" s="1"/>
      <c r="H132" s="1">
        <f>SUM(OSRRefH22_14x_0)</f>
        <v>200</v>
      </c>
      <c r="I132" s="1"/>
      <c r="J132" s="5">
        <f t="shared" si="63"/>
        <v>6.6373703914465276E-4</v>
      </c>
      <c r="K132" s="1"/>
      <c r="L132" s="1">
        <f t="shared" si="64"/>
        <v>-151.77000000000001</v>
      </c>
      <c r="M132" s="1"/>
      <c r="N132" s="5">
        <f t="shared" si="65"/>
        <v>-0.75885000000000002</v>
      </c>
      <c r="O132" s="12"/>
      <c r="P132" s="1">
        <f>SUM(OSRRefP22_14x_0)</f>
        <v>681.99</v>
      </c>
      <c r="Q132" s="1"/>
      <c r="R132" s="5">
        <f t="shared" si="66"/>
        <v>2.3226634027113867E-4</v>
      </c>
      <c r="S132" s="1"/>
      <c r="T132" s="1">
        <f>SUM(OSRRefT22_14x_0)</f>
        <v>2200</v>
      </c>
      <c r="U132" s="1"/>
      <c r="V132" s="5">
        <f t="shared" si="67"/>
        <v>5.5033556711342317E-4</v>
      </c>
      <c r="W132" s="1"/>
      <c r="X132" s="1">
        <f t="shared" si="68"/>
        <v>-1518.01</v>
      </c>
      <c r="Y132" s="1"/>
      <c r="Z132" s="5">
        <f t="shared" si="69"/>
        <v>-0.69000454545454548</v>
      </c>
    </row>
    <row r="133" spans="1:26" s="24" customFormat="1" hidden="1" outlineLevel="2" x14ac:dyDescent="0.25">
      <c r="A133" s="27"/>
      <c r="B133" s="11" t="str">
        <f>CONCATENATE("          ", "6373", " - ", "MAINTENANCE CONTRACTS")</f>
        <v xml:space="preserve">          6373 - MAINTENANCE CONTRACTS</v>
      </c>
      <c r="C133" s="11"/>
      <c r="D133" s="6">
        <v>48.23</v>
      </c>
      <c r="E133" s="2"/>
      <c r="F133" s="7">
        <f t="shared" si="62"/>
        <v>2.8574423041637423E-4</v>
      </c>
      <c r="G133" s="2"/>
      <c r="H133" s="6">
        <v>0</v>
      </c>
      <c r="I133" s="2"/>
      <c r="J133" s="7">
        <f t="shared" si="63"/>
        <v>0</v>
      </c>
      <c r="K133" s="2"/>
      <c r="L133" s="6">
        <f t="shared" si="64"/>
        <v>48.23</v>
      </c>
      <c r="M133" s="2"/>
      <c r="N133" s="7">
        <f t="shared" si="65"/>
        <v>0</v>
      </c>
      <c r="O133" s="11"/>
      <c r="P133" s="6">
        <v>499.46</v>
      </c>
      <c r="Q133" s="2"/>
      <c r="R133" s="7">
        <f t="shared" si="66"/>
        <v>1.701018289297833E-4</v>
      </c>
      <c r="S133" s="2"/>
      <c r="T133" s="6">
        <v>75</v>
      </c>
      <c r="U133" s="2"/>
      <c r="V133" s="7">
        <f t="shared" si="67"/>
        <v>1.876143978795761E-5</v>
      </c>
      <c r="W133" s="2"/>
      <c r="X133" s="6">
        <f t="shared" si="68"/>
        <v>424.46</v>
      </c>
      <c r="Y133" s="2"/>
      <c r="Z133" s="7">
        <f t="shared" si="69"/>
        <v>5.659466666666666</v>
      </c>
    </row>
    <row r="134" spans="1:26" s="24" customFormat="1" hidden="1" outlineLevel="2" x14ac:dyDescent="0.25">
      <c r="A134" s="27"/>
      <c r="B134" s="11" t="str">
        <f>CONCATENATE("          ", "6375", " - ", "OUTSIDE REPAIRS &amp; MAINTENANCE")</f>
        <v xml:space="preserve">          6375 - OUTSIDE REPAIRS &amp; MAINTENANCE</v>
      </c>
      <c r="C134" s="11"/>
      <c r="D134" s="6"/>
      <c r="E134" s="2"/>
      <c r="F134" s="7">
        <f t="shared" si="62"/>
        <v>0</v>
      </c>
      <c r="G134" s="2"/>
      <c r="H134" s="6">
        <v>200</v>
      </c>
      <c r="I134" s="2"/>
      <c r="J134" s="7">
        <f t="shared" si="63"/>
        <v>6.6373703914465276E-4</v>
      </c>
      <c r="K134" s="2"/>
      <c r="L134" s="6">
        <f t="shared" si="64"/>
        <v>-200</v>
      </c>
      <c r="M134" s="2"/>
      <c r="N134" s="7">
        <f t="shared" si="65"/>
        <v>-1</v>
      </c>
      <c r="O134" s="11"/>
      <c r="P134" s="6">
        <v>182.53</v>
      </c>
      <c r="Q134" s="2"/>
      <c r="R134" s="7">
        <f t="shared" si="66"/>
        <v>6.2164511341355363E-5</v>
      </c>
      <c r="S134" s="2"/>
      <c r="T134" s="6">
        <v>2125</v>
      </c>
      <c r="U134" s="2"/>
      <c r="V134" s="7">
        <f t="shared" si="67"/>
        <v>5.3157412732546554E-4</v>
      </c>
      <c r="W134" s="2"/>
      <c r="X134" s="6">
        <f t="shared" si="68"/>
        <v>-1942.47</v>
      </c>
      <c r="Y134" s="2"/>
      <c r="Z134" s="7">
        <f t="shared" si="69"/>
        <v>-0.91410352941176476</v>
      </c>
    </row>
    <row r="135" spans="1:26" s="26" customFormat="1" outlineLevel="1" collapsed="1" x14ac:dyDescent="0.25">
      <c r="A135" s="25"/>
      <c r="B135" s="12" t="str">
        <f>CONCATENATE("     ","Royalty &amp; Commissions                             ")</f>
        <v xml:space="preserve">     Royalty &amp; Commissions                             </v>
      </c>
      <c r="C135" s="12"/>
      <c r="D135" s="1">
        <f>SUM(OSRRefD22_15x_0)</f>
        <v>0</v>
      </c>
      <c r="E135" s="1"/>
      <c r="F135" s="5">
        <f t="shared" ref="F135:F138" si="70">IF(D$12=0,0,D135/D$12)</f>
        <v>0</v>
      </c>
      <c r="G135" s="1"/>
      <c r="H135" s="1">
        <f>SUM(OSRRefH22_15x_0)</f>
        <v>5485</v>
      </c>
      <c r="I135" s="1"/>
      <c r="J135" s="5">
        <f t="shared" ref="J135:J138" si="71">IF(H$12=0,0,H135/H$12)</f>
        <v>1.8202988298542101E-2</v>
      </c>
      <c r="K135" s="1"/>
      <c r="L135" s="1">
        <f t="shared" ref="L135:L138" si="72">+D135-H135</f>
        <v>-5485</v>
      </c>
      <c r="M135" s="1"/>
      <c r="N135" s="5">
        <f t="shared" ref="N135:N138" si="73">IF(H135=0,0,L135/H135)</f>
        <v>-1</v>
      </c>
      <c r="O135" s="12"/>
      <c r="P135" s="1">
        <f>SUM(OSRRefP22_15x_0)</f>
        <v>40841.660000000003</v>
      </c>
      <c r="Q135" s="1"/>
      <c r="R135" s="5">
        <f t="shared" ref="R135:R138" si="74">IF(P$12=0,0,P135/P$12)</f>
        <v>1.390950438979773E-2</v>
      </c>
      <c r="S135" s="1"/>
      <c r="T135" s="1">
        <f>SUM(OSRRefT22_15x_0)</f>
        <v>65820</v>
      </c>
      <c r="U135" s="1"/>
      <c r="V135" s="5">
        <f t="shared" ref="V135:V138" si="75">IF(T$12=0,0,T135/T$12)</f>
        <v>1.6465039557911596E-2</v>
      </c>
      <c r="W135" s="1"/>
      <c r="X135" s="1">
        <f t="shared" ref="X135:X138" si="76">+P135-T135</f>
        <v>-24978.339999999997</v>
      </c>
      <c r="Y135" s="1"/>
      <c r="Z135" s="5">
        <f t="shared" ref="Z135:Z138" si="77">IF(T135=0,0,X135/T135)</f>
        <v>-0.37949468246733509</v>
      </c>
    </row>
    <row r="136" spans="1:26" s="24" customFormat="1" hidden="1" outlineLevel="2" x14ac:dyDescent="0.25">
      <c r="A136" s="27"/>
      <c r="B136" s="11" t="str">
        <f>CONCATENATE("          ", "6252", " - ", "ROYALTY DUE CSTV")</f>
        <v xml:space="preserve">          6252 - ROYALTY DUE CSTV</v>
      </c>
      <c r="C136" s="11"/>
      <c r="D136" s="6"/>
      <c r="E136" s="2"/>
      <c r="F136" s="7">
        <f t="shared" si="70"/>
        <v>0</v>
      </c>
      <c r="G136" s="2"/>
      <c r="H136" s="6">
        <v>1085</v>
      </c>
      <c r="I136" s="2"/>
      <c r="J136" s="7">
        <f t="shared" si="71"/>
        <v>3.6007734373597411E-3</v>
      </c>
      <c r="K136" s="2"/>
      <c r="L136" s="6">
        <f t="shared" si="72"/>
        <v>-1085</v>
      </c>
      <c r="M136" s="2"/>
      <c r="N136" s="7">
        <f t="shared" si="73"/>
        <v>-1</v>
      </c>
      <c r="O136" s="11"/>
      <c r="P136" s="6"/>
      <c r="Q136" s="2"/>
      <c r="R136" s="7">
        <f t="shared" si="74"/>
        <v>0</v>
      </c>
      <c r="S136" s="2"/>
      <c r="T136" s="6">
        <v>13020</v>
      </c>
      <c r="U136" s="2"/>
      <c r="V136" s="7">
        <f t="shared" si="75"/>
        <v>3.256985947189441E-3</v>
      </c>
      <c r="W136" s="2"/>
      <c r="X136" s="6">
        <f t="shared" si="76"/>
        <v>-13020</v>
      </c>
      <c r="Y136" s="2"/>
      <c r="Z136" s="7">
        <f t="shared" si="77"/>
        <v>-1</v>
      </c>
    </row>
    <row r="137" spans="1:26" s="24" customFormat="1" hidden="1" outlineLevel="2" x14ac:dyDescent="0.25">
      <c r="A137" s="27"/>
      <c r="B137" s="11" t="str">
        <f>CONCATENATE("          ", "6253", " - ", "ROYALTY DUE ATHLETICS-LRG")</f>
        <v xml:space="preserve">          6253 - ROYALTY DUE ATHLETICS-LRG</v>
      </c>
      <c r="C137" s="11"/>
      <c r="D137" s="6"/>
      <c r="E137" s="2"/>
      <c r="F137" s="7">
        <f t="shared" si="70"/>
        <v>0</v>
      </c>
      <c r="G137" s="2"/>
      <c r="H137" s="6">
        <v>3700</v>
      </c>
      <c r="I137" s="2"/>
      <c r="J137" s="7">
        <f t="shared" si="71"/>
        <v>1.2279135224176075E-2</v>
      </c>
      <c r="K137" s="2"/>
      <c r="L137" s="6">
        <f t="shared" si="72"/>
        <v>-3700</v>
      </c>
      <c r="M137" s="2"/>
      <c r="N137" s="7">
        <f t="shared" si="73"/>
        <v>-1</v>
      </c>
      <c r="O137" s="11"/>
      <c r="P137" s="6">
        <v>32870.44</v>
      </c>
      <c r="Q137" s="2"/>
      <c r="R137" s="7">
        <f t="shared" si="74"/>
        <v>1.1194734236428756E-2</v>
      </c>
      <c r="S137" s="2"/>
      <c r="T137" s="6">
        <v>44400</v>
      </c>
      <c r="U137" s="2"/>
      <c r="V137" s="7">
        <f t="shared" si="75"/>
        <v>1.1106772354470905E-2</v>
      </c>
      <c r="W137" s="2"/>
      <c r="X137" s="6">
        <f t="shared" si="76"/>
        <v>-11529.559999999998</v>
      </c>
      <c r="Y137" s="2"/>
      <c r="Z137" s="7">
        <f t="shared" si="77"/>
        <v>-0.25967477477477474</v>
      </c>
    </row>
    <row r="138" spans="1:26" s="24" customFormat="1" hidden="1" outlineLevel="2" x14ac:dyDescent="0.25">
      <c r="A138" s="27"/>
      <c r="B138" s="11" t="str">
        <f>CONCATENATE("          ", "6254", " - ", "ROYALTY &amp; COMMISSIONS")</f>
        <v xml:space="preserve">          6254 - ROYALTY &amp; COMMISSIONS</v>
      </c>
      <c r="C138" s="11"/>
      <c r="D138" s="6"/>
      <c r="E138" s="2"/>
      <c r="F138" s="7">
        <f t="shared" si="70"/>
        <v>0</v>
      </c>
      <c r="G138" s="2"/>
      <c r="H138" s="6">
        <v>700</v>
      </c>
      <c r="I138" s="2"/>
      <c r="J138" s="7">
        <f t="shared" si="71"/>
        <v>2.3230796370062846E-3</v>
      </c>
      <c r="K138" s="2"/>
      <c r="L138" s="6">
        <f t="shared" si="72"/>
        <v>-700</v>
      </c>
      <c r="M138" s="2"/>
      <c r="N138" s="7">
        <f t="shared" si="73"/>
        <v>-1</v>
      </c>
      <c r="O138" s="11"/>
      <c r="P138" s="6">
        <v>7971.22</v>
      </c>
      <c r="Q138" s="2"/>
      <c r="R138" s="7">
        <f t="shared" si="74"/>
        <v>2.7147701533689729E-3</v>
      </c>
      <c r="S138" s="2"/>
      <c r="T138" s="6">
        <v>8400</v>
      </c>
      <c r="U138" s="2"/>
      <c r="V138" s="7">
        <f t="shared" si="75"/>
        <v>2.1012812562512524E-3</v>
      </c>
      <c r="W138" s="2"/>
      <c r="X138" s="6">
        <f t="shared" si="76"/>
        <v>-428.77999999999975</v>
      </c>
      <c r="Y138" s="2"/>
      <c r="Z138" s="7">
        <f t="shared" si="77"/>
        <v>-5.1045238095238067E-2</v>
      </c>
    </row>
    <row r="139" spans="1:26" s="26" customFormat="1" outlineLevel="1" collapsed="1" x14ac:dyDescent="0.25">
      <c r="A139" s="25"/>
      <c r="B139" s="12" t="str">
        <f>CONCATENATE("     ","Services                                          ")</f>
        <v xml:space="preserve">     Services                                          </v>
      </c>
      <c r="C139" s="12"/>
      <c r="D139" s="1">
        <f>SUM(OSRRefD22_16x_0)</f>
        <v>189.45</v>
      </c>
      <c r="E139" s="1"/>
      <c r="F139" s="5">
        <f t="shared" ref="F139:F142" si="78">IF(D$12=0,0,D139/D$12)</f>
        <v>1.1224185040925171E-3</v>
      </c>
      <c r="G139" s="1"/>
      <c r="H139" s="1">
        <f>SUM(OSRRefH22_16x_0)</f>
        <v>242.5</v>
      </c>
      <c r="I139" s="1"/>
      <c r="J139" s="5">
        <f t="shared" ref="J139:J142" si="79">IF(H$12=0,0,H139/H$12)</f>
        <v>8.0478115996289142E-4</v>
      </c>
      <c r="K139" s="1"/>
      <c r="L139" s="1">
        <f t="shared" ref="L139:L142" si="80">+D139-H139</f>
        <v>-53.050000000000011</v>
      </c>
      <c r="M139" s="1"/>
      <c r="N139" s="5">
        <f t="shared" ref="N139:N142" si="81">IF(H139=0,0,L139/H139)</f>
        <v>-0.21876288659793819</v>
      </c>
      <c r="O139" s="12"/>
      <c r="P139" s="1">
        <f>SUM(OSRRefP22_16x_0)</f>
        <v>3138.98</v>
      </c>
      <c r="Q139" s="1"/>
      <c r="R139" s="5">
        <f t="shared" ref="R139:R142" si="82">IF(P$12=0,0,P139/P$12)</f>
        <v>1.0690470487606839E-3</v>
      </c>
      <c r="S139" s="1"/>
      <c r="T139" s="1">
        <f>SUM(OSRRefT22_16x_0)</f>
        <v>3175</v>
      </c>
      <c r="U139" s="1"/>
      <c r="V139" s="5">
        <f t="shared" ref="V139:V142" si="83">IF(T$12=0,0,T139/T$12)</f>
        <v>7.9423428435687214E-4</v>
      </c>
      <c r="W139" s="1"/>
      <c r="X139" s="1">
        <f t="shared" ref="X139:X142" si="84">+P139-T139</f>
        <v>-36.019999999999982</v>
      </c>
      <c r="Y139" s="1"/>
      <c r="Z139" s="5">
        <f t="shared" ref="Z139:Z142" si="85">IF(T139=0,0,X139/T139)</f>
        <v>-1.1344881889763774E-2</v>
      </c>
    </row>
    <row r="140" spans="1:26" s="24" customFormat="1" hidden="1" outlineLevel="2" x14ac:dyDescent="0.25">
      <c r="A140" s="27"/>
      <c r="B140" s="11" t="str">
        <f>CONCATENATE("          ", "6283", " - ", "PLANT SERVICE")</f>
        <v xml:space="preserve">          6283 - PLANT SERVICE</v>
      </c>
      <c r="C140" s="11"/>
      <c r="D140" s="6"/>
      <c r="E140" s="2"/>
      <c r="F140" s="7">
        <f t="shared" si="78"/>
        <v>0</v>
      </c>
      <c r="G140" s="2"/>
      <c r="H140" s="6">
        <v>60</v>
      </c>
      <c r="I140" s="2"/>
      <c r="J140" s="7">
        <f t="shared" si="79"/>
        <v>1.9912111174339583E-4</v>
      </c>
      <c r="K140" s="2"/>
      <c r="L140" s="6">
        <f t="shared" si="80"/>
        <v>-60</v>
      </c>
      <c r="M140" s="2"/>
      <c r="N140" s="7">
        <f t="shared" si="81"/>
        <v>-1</v>
      </c>
      <c r="O140" s="11"/>
      <c r="P140" s="6">
        <v>178.65</v>
      </c>
      <c r="Q140" s="2"/>
      <c r="R140" s="7">
        <f t="shared" si="82"/>
        <v>6.0843094018151181E-5</v>
      </c>
      <c r="S140" s="2"/>
      <c r="T140" s="6">
        <v>720</v>
      </c>
      <c r="U140" s="2"/>
      <c r="V140" s="7">
        <f t="shared" si="83"/>
        <v>1.8010982196439305E-4</v>
      </c>
      <c r="W140" s="2"/>
      <c r="X140" s="6">
        <f t="shared" si="84"/>
        <v>-541.35</v>
      </c>
      <c r="Y140" s="2"/>
      <c r="Z140" s="7">
        <f t="shared" si="85"/>
        <v>-0.75187500000000007</v>
      </c>
    </row>
    <row r="141" spans="1:26" s="24" customFormat="1" hidden="1" outlineLevel="2" x14ac:dyDescent="0.25">
      <c r="A141" s="27"/>
      <c r="B141" s="11" t="str">
        <f>CONCATENATE("          ", "6284", " - ", "TRASH REMOVAL EXPENSE")</f>
        <v xml:space="preserve">          6284 - TRASH REMOVAL EXPENSE</v>
      </c>
      <c r="C141" s="11"/>
      <c r="D141" s="6">
        <v>134.82</v>
      </c>
      <c r="E141" s="2"/>
      <c r="F141" s="7">
        <f t="shared" si="78"/>
        <v>7.9875673117842788E-4</v>
      </c>
      <c r="G141" s="2"/>
      <c r="H141" s="6">
        <v>62.5</v>
      </c>
      <c r="I141" s="2"/>
      <c r="J141" s="7">
        <f t="shared" si="79"/>
        <v>2.0741782473270397E-4</v>
      </c>
      <c r="K141" s="2"/>
      <c r="L141" s="6">
        <f t="shared" si="80"/>
        <v>72.319999999999993</v>
      </c>
      <c r="M141" s="2"/>
      <c r="N141" s="7">
        <f t="shared" si="81"/>
        <v>1.1571199999999999</v>
      </c>
      <c r="O141" s="11"/>
      <c r="P141" s="6">
        <v>1617.84</v>
      </c>
      <c r="Q141" s="2"/>
      <c r="R141" s="7">
        <f t="shared" si="82"/>
        <v>5.5099015519913632E-4</v>
      </c>
      <c r="S141" s="2"/>
      <c r="T141" s="6">
        <v>750</v>
      </c>
      <c r="U141" s="2"/>
      <c r="V141" s="7">
        <f t="shared" si="83"/>
        <v>1.8761439787957608E-4</v>
      </c>
      <c r="W141" s="2"/>
      <c r="X141" s="6">
        <f t="shared" si="84"/>
        <v>867.83999999999992</v>
      </c>
      <c r="Y141" s="2"/>
      <c r="Z141" s="7">
        <f t="shared" si="85"/>
        <v>1.1571199999999999</v>
      </c>
    </row>
    <row r="142" spans="1:26" s="24" customFormat="1" hidden="1" outlineLevel="2" x14ac:dyDescent="0.25">
      <c r="A142" s="27"/>
      <c r="B142" s="11" t="str">
        <f>CONCATENATE("          ", "6285", " - ", "JANITORIAL SERVICES")</f>
        <v xml:space="preserve">          6285 - JANITORIAL SERVICES</v>
      </c>
      <c r="C142" s="11"/>
      <c r="D142" s="6">
        <v>54.63</v>
      </c>
      <c r="E142" s="2"/>
      <c r="F142" s="7">
        <f t="shared" si="78"/>
        <v>3.2366177291408927E-4</v>
      </c>
      <c r="G142" s="2"/>
      <c r="H142" s="6">
        <v>120</v>
      </c>
      <c r="I142" s="2"/>
      <c r="J142" s="7">
        <f t="shared" si="79"/>
        <v>3.9824222348679167E-4</v>
      </c>
      <c r="K142" s="2"/>
      <c r="L142" s="6">
        <f t="shared" si="80"/>
        <v>-65.37</v>
      </c>
      <c r="M142" s="2"/>
      <c r="N142" s="7">
        <f t="shared" si="81"/>
        <v>-0.54475000000000007</v>
      </c>
      <c r="O142" s="11"/>
      <c r="P142" s="6">
        <v>1342.49</v>
      </c>
      <c r="Q142" s="2"/>
      <c r="R142" s="7">
        <f t="shared" si="82"/>
        <v>4.5721379954339643E-4</v>
      </c>
      <c r="S142" s="2"/>
      <c r="T142" s="6">
        <v>1705</v>
      </c>
      <c r="U142" s="2"/>
      <c r="V142" s="7">
        <f t="shared" si="83"/>
        <v>4.26510064512903E-4</v>
      </c>
      <c r="W142" s="2"/>
      <c r="X142" s="6">
        <f t="shared" si="84"/>
        <v>-362.51</v>
      </c>
      <c r="Y142" s="2"/>
      <c r="Z142" s="7">
        <f t="shared" si="85"/>
        <v>-0.21261583577712609</v>
      </c>
    </row>
    <row r="143" spans="1:26" s="26" customFormat="1" outlineLevel="1" collapsed="1" x14ac:dyDescent="0.25">
      <c r="A143" s="25"/>
      <c r="B143" s="12" t="str">
        <f>CONCATENATE("     ","Subscriptions &amp; Dues                              ")</f>
        <v xml:space="preserve">     Subscriptions &amp; Dues                              </v>
      </c>
      <c r="C143" s="12"/>
      <c r="D143" s="1">
        <f>SUM(OSRRefD22_17x_0)</f>
        <v>119.97</v>
      </c>
      <c r="E143" s="1"/>
      <c r="F143" s="5">
        <f t="shared" ref="F143:F145" si="86">IF(D$12=0,0,D143/D$12)</f>
        <v>7.107761833516985E-4</v>
      </c>
      <c r="G143" s="1"/>
      <c r="H143" s="1">
        <f>SUM(OSRRefH22_17x_0)</f>
        <v>515</v>
      </c>
      <c r="I143" s="1"/>
      <c r="J143" s="5">
        <f t="shared" ref="J143:J145" si="87">IF(H$12=0,0,H143/H$12)</f>
        <v>1.7091228757974807E-3</v>
      </c>
      <c r="K143" s="1"/>
      <c r="L143" s="1">
        <f t="shared" ref="L143:L145" si="88">+D143-H143</f>
        <v>-395.03</v>
      </c>
      <c r="M143" s="1"/>
      <c r="N143" s="5">
        <f t="shared" ref="N143:N145" si="89">IF(H143=0,0,L143/H143)</f>
        <v>-0.76704854368932029</v>
      </c>
      <c r="O143" s="12"/>
      <c r="P143" s="1">
        <f>SUM(OSRRefP22_17x_0)</f>
        <v>767.95999999999992</v>
      </c>
      <c r="Q143" s="1"/>
      <c r="R143" s="5">
        <f t="shared" ref="R143:R145" si="90">IF(P$12=0,0,P143/P$12)</f>
        <v>2.6154526998141268E-4</v>
      </c>
      <c r="S143" s="1"/>
      <c r="T143" s="1">
        <f>SUM(OSRRefT22_17x_0)</f>
        <v>7825</v>
      </c>
      <c r="U143" s="1"/>
      <c r="V143" s="5">
        <f t="shared" ref="V143:V145" si="91">IF(T$12=0,0,T143/T$12)</f>
        <v>1.9574435512102438E-3</v>
      </c>
      <c r="W143" s="1"/>
      <c r="X143" s="1">
        <f t="shared" ref="X143:X145" si="92">+P143-T143</f>
        <v>-7057.04</v>
      </c>
      <c r="Y143" s="1"/>
      <c r="Z143" s="5">
        <f t="shared" ref="Z143:Z145" si="93">IF(T143=0,0,X143/T143)</f>
        <v>-0.90185814696485622</v>
      </c>
    </row>
    <row r="144" spans="1:26" s="24" customFormat="1" hidden="1" outlineLevel="2" x14ac:dyDescent="0.25">
      <c r="A144" s="27"/>
      <c r="B144" s="11" t="str">
        <f>CONCATENATE("          ", "6258", " - ", "MEMBERSHIP DUES")</f>
        <v xml:space="preserve">          6258 - MEMBERSHIP DUES</v>
      </c>
      <c r="C144" s="11"/>
      <c r="D144" s="6">
        <v>119.97</v>
      </c>
      <c r="E144" s="2"/>
      <c r="F144" s="7">
        <f t="shared" si="86"/>
        <v>7.107761833516985E-4</v>
      </c>
      <c r="G144" s="2"/>
      <c r="H144" s="6">
        <v>200</v>
      </c>
      <c r="I144" s="2"/>
      <c r="J144" s="7">
        <f t="shared" si="87"/>
        <v>6.6373703914465276E-4</v>
      </c>
      <c r="K144" s="2"/>
      <c r="L144" s="6">
        <f t="shared" si="88"/>
        <v>-80.03</v>
      </c>
      <c r="M144" s="2"/>
      <c r="N144" s="7">
        <f t="shared" si="89"/>
        <v>-0.40015000000000001</v>
      </c>
      <c r="O144" s="11"/>
      <c r="P144" s="6">
        <v>232.9</v>
      </c>
      <c r="Q144" s="2"/>
      <c r="R144" s="7">
        <f t="shared" si="90"/>
        <v>7.9319096539755998E-5</v>
      </c>
      <c r="S144" s="2"/>
      <c r="T144" s="6">
        <v>2095</v>
      </c>
      <c r="U144" s="2"/>
      <c r="V144" s="7">
        <f t="shared" si="91"/>
        <v>5.2406955141028251E-4</v>
      </c>
      <c r="W144" s="2"/>
      <c r="X144" s="6">
        <f t="shared" si="92"/>
        <v>-1862.1</v>
      </c>
      <c r="Y144" s="2"/>
      <c r="Z144" s="7">
        <f t="shared" si="93"/>
        <v>-0.88883054892601432</v>
      </c>
    </row>
    <row r="145" spans="1:26" s="24" customFormat="1" hidden="1" outlineLevel="2" x14ac:dyDescent="0.25">
      <c r="A145" s="27"/>
      <c r="B145" s="11" t="str">
        <f>CONCATENATE("          ", "6275", " - ", "SUBSCRIPTIONS")</f>
        <v xml:space="preserve">          6275 - SUBSCRIPTIONS</v>
      </c>
      <c r="C145" s="11"/>
      <c r="D145" s="6"/>
      <c r="E145" s="2"/>
      <c r="F145" s="7">
        <f t="shared" si="86"/>
        <v>0</v>
      </c>
      <c r="G145" s="2"/>
      <c r="H145" s="6">
        <v>315</v>
      </c>
      <c r="I145" s="2"/>
      <c r="J145" s="7">
        <f t="shared" si="87"/>
        <v>1.045385836652828E-3</v>
      </c>
      <c r="K145" s="2"/>
      <c r="L145" s="6">
        <f t="shared" si="88"/>
        <v>-315</v>
      </c>
      <c r="M145" s="2"/>
      <c r="N145" s="7">
        <f t="shared" si="89"/>
        <v>-1</v>
      </c>
      <c r="O145" s="11"/>
      <c r="P145" s="6">
        <v>535.05999999999995</v>
      </c>
      <c r="Q145" s="2"/>
      <c r="R145" s="7">
        <f t="shared" si="90"/>
        <v>1.8222617344165667E-4</v>
      </c>
      <c r="S145" s="2"/>
      <c r="T145" s="6">
        <v>5730</v>
      </c>
      <c r="U145" s="2"/>
      <c r="V145" s="7">
        <f t="shared" si="91"/>
        <v>1.4333739997999613E-3</v>
      </c>
      <c r="W145" s="2"/>
      <c r="X145" s="6">
        <f t="shared" si="92"/>
        <v>-5194.9400000000005</v>
      </c>
      <c r="Y145" s="2"/>
      <c r="Z145" s="7">
        <f t="shared" si="93"/>
        <v>-0.90662129144851666</v>
      </c>
    </row>
    <row r="146" spans="1:26" s="26" customFormat="1" outlineLevel="1" collapsed="1" x14ac:dyDescent="0.25">
      <c r="A146" s="25"/>
      <c r="B146" s="12" t="str">
        <f>CONCATENATE("     ","Supplies                                          ")</f>
        <v xml:space="preserve">     Supplies                                          </v>
      </c>
      <c r="C146" s="12"/>
      <c r="D146" s="1">
        <f>SUM(OSRRefD22_18x_0)</f>
        <v>162.72</v>
      </c>
      <c r="E146" s="1"/>
      <c r="F146" s="5">
        <f t="shared" ref="F146:F152" si="94">IF(D$12=0,0,D146/D$12)</f>
        <v>9.6405351800440432E-4</v>
      </c>
      <c r="G146" s="1"/>
      <c r="H146" s="1">
        <f>SUM(OSRRefH22_18x_0)</f>
        <v>3625</v>
      </c>
      <c r="I146" s="1"/>
      <c r="J146" s="5">
        <f t="shared" ref="J146:J152" si="95">IF(H$12=0,0,H146/H$12)</f>
        <v>1.2030233834496831E-2</v>
      </c>
      <c r="K146" s="1"/>
      <c r="L146" s="1">
        <f t="shared" ref="L146:L152" si="96">+D146-H146</f>
        <v>-3462.28</v>
      </c>
      <c r="M146" s="1"/>
      <c r="N146" s="5">
        <f t="shared" ref="N146:N152" si="97">IF(H146=0,0,L146/H146)</f>
        <v>-0.95511172413793111</v>
      </c>
      <c r="O146" s="12"/>
      <c r="P146" s="1">
        <f>SUM(OSRRefP22_18x_0)</f>
        <v>7598.6299999999992</v>
      </c>
      <c r="Q146" s="1"/>
      <c r="R146" s="5">
        <f t="shared" ref="R146:R152" si="98">IF(P$12=0,0,P146/P$12)</f>
        <v>2.5878766274791158E-3</v>
      </c>
      <c r="S146" s="1"/>
      <c r="T146" s="1">
        <f>SUM(OSRRefT22_18x_0)</f>
        <v>18990</v>
      </c>
      <c r="U146" s="1"/>
      <c r="V146" s="5">
        <f t="shared" ref="V146:V152" si="99">IF(T$12=0,0,T146/T$12)</f>
        <v>4.7503965543108668E-3</v>
      </c>
      <c r="W146" s="1"/>
      <c r="X146" s="1">
        <f t="shared" ref="X146:X152" si="100">+P146-T146</f>
        <v>-11391.37</v>
      </c>
      <c r="Y146" s="1"/>
      <c r="Z146" s="5">
        <f t="shared" ref="Z146:Z152" si="101">IF(T146=0,0,X146/T146)</f>
        <v>-0.59986150605581889</v>
      </c>
    </row>
    <row r="147" spans="1:26" s="24" customFormat="1" hidden="1" outlineLevel="2" x14ac:dyDescent="0.25">
      <c r="A147" s="27"/>
      <c r="B147" s="11" t="str">
        <f>CONCATENATE("          ", "6234", " - ", "EXPENDABLE SUPPLIES &amp; EQUIPMEN")</f>
        <v xml:space="preserve">          6234 - EXPENDABLE SUPPLIES &amp; EQUIPMEN</v>
      </c>
      <c r="C147" s="11"/>
      <c r="D147" s="6"/>
      <c r="E147" s="2"/>
      <c r="F147" s="7">
        <f t="shared" si="94"/>
        <v>0</v>
      </c>
      <c r="G147" s="2"/>
      <c r="H147" s="6">
        <v>1200</v>
      </c>
      <c r="I147" s="2"/>
      <c r="J147" s="7">
        <f t="shared" si="95"/>
        <v>3.9824222348679161E-3</v>
      </c>
      <c r="K147" s="2"/>
      <c r="L147" s="6">
        <f t="shared" si="96"/>
        <v>-1200</v>
      </c>
      <c r="M147" s="2"/>
      <c r="N147" s="7">
        <f t="shared" si="97"/>
        <v>-1</v>
      </c>
      <c r="O147" s="11"/>
      <c r="P147" s="6">
        <v>976.24</v>
      </c>
      <c r="Q147" s="2"/>
      <c r="R147" s="7">
        <f t="shared" si="98"/>
        <v>3.324794968053731E-4</v>
      </c>
      <c r="S147" s="2"/>
      <c r="T147" s="6">
        <v>8450</v>
      </c>
      <c r="U147" s="2"/>
      <c r="V147" s="7">
        <f t="shared" si="99"/>
        <v>2.1137888827765573E-3</v>
      </c>
      <c r="W147" s="2"/>
      <c r="X147" s="6">
        <f t="shared" si="100"/>
        <v>-7473.76</v>
      </c>
      <c r="Y147" s="2"/>
      <c r="Z147" s="7">
        <f t="shared" si="101"/>
        <v>-0.88446863905325446</v>
      </c>
    </row>
    <row r="148" spans="1:26" s="24" customFormat="1" hidden="1" outlineLevel="2" x14ac:dyDescent="0.25">
      <c r="A148" s="27"/>
      <c r="B148" s="11" t="str">
        <f>CONCATENATE("          ", "6237", " - ", "JANITORIAL SUPPLIES")</f>
        <v xml:space="preserve">          6237 - JANITORIAL SUPPLIES</v>
      </c>
      <c r="C148" s="11"/>
      <c r="D148" s="6"/>
      <c r="E148" s="2"/>
      <c r="F148" s="7">
        <f t="shared" si="94"/>
        <v>0</v>
      </c>
      <c r="G148" s="2"/>
      <c r="H148" s="6">
        <v>225</v>
      </c>
      <c r="I148" s="2"/>
      <c r="J148" s="7">
        <f t="shared" si="95"/>
        <v>7.4670416903773438E-4</v>
      </c>
      <c r="K148" s="2"/>
      <c r="L148" s="6">
        <f t="shared" si="96"/>
        <v>-225</v>
      </c>
      <c r="M148" s="2"/>
      <c r="N148" s="7">
        <f t="shared" si="97"/>
        <v>-1</v>
      </c>
      <c r="O148" s="11"/>
      <c r="P148" s="6">
        <v>670.42</v>
      </c>
      <c r="Q148" s="2"/>
      <c r="R148" s="7">
        <f t="shared" si="98"/>
        <v>2.2832592830477979E-4</v>
      </c>
      <c r="S148" s="2"/>
      <c r="T148" s="6">
        <v>715</v>
      </c>
      <c r="U148" s="2"/>
      <c r="V148" s="7">
        <f t="shared" si="99"/>
        <v>1.7885905931186254E-4</v>
      </c>
      <c r="W148" s="2"/>
      <c r="X148" s="6">
        <f t="shared" si="100"/>
        <v>-44.580000000000041</v>
      </c>
      <c r="Y148" s="2"/>
      <c r="Z148" s="7">
        <f t="shared" si="101"/>
        <v>-6.2349650349650405E-2</v>
      </c>
    </row>
    <row r="149" spans="1:26" s="24" customFormat="1" hidden="1" outlineLevel="2" x14ac:dyDescent="0.25">
      <c r="A149" s="27"/>
      <c r="B149" s="11" t="str">
        <f>CONCATENATE("          ", "6241", " - ", "OFFICE EXPENSE")</f>
        <v xml:space="preserve">          6241 - OFFICE EXPENSE</v>
      </c>
      <c r="C149" s="11"/>
      <c r="D149" s="6">
        <v>3.96</v>
      </c>
      <c r="E149" s="2"/>
      <c r="F149" s="7">
        <f t="shared" si="94"/>
        <v>2.3461479420461166E-5</v>
      </c>
      <c r="G149" s="2"/>
      <c r="H149" s="6">
        <v>1700</v>
      </c>
      <c r="I149" s="2"/>
      <c r="J149" s="7">
        <f t="shared" si="95"/>
        <v>5.6417648327295481E-3</v>
      </c>
      <c r="K149" s="2"/>
      <c r="L149" s="6">
        <f t="shared" si="96"/>
        <v>-1696.04</v>
      </c>
      <c r="M149" s="2"/>
      <c r="N149" s="7">
        <f t="shared" si="97"/>
        <v>-0.99767058823529409</v>
      </c>
      <c r="O149" s="11"/>
      <c r="P149" s="6">
        <v>5060.78</v>
      </c>
      <c r="Q149" s="2"/>
      <c r="R149" s="7">
        <f t="shared" si="98"/>
        <v>1.7235573095168155E-3</v>
      </c>
      <c r="S149" s="2"/>
      <c r="T149" s="6">
        <v>6025</v>
      </c>
      <c r="U149" s="2"/>
      <c r="V149" s="7">
        <f t="shared" si="99"/>
        <v>1.5071689962992613E-3</v>
      </c>
      <c r="W149" s="2"/>
      <c r="X149" s="6">
        <f t="shared" si="100"/>
        <v>-964.22000000000025</v>
      </c>
      <c r="Y149" s="2"/>
      <c r="Z149" s="7">
        <f t="shared" si="101"/>
        <v>-0.16003651452282161</v>
      </c>
    </row>
    <row r="150" spans="1:26" s="24" customFormat="1" hidden="1" outlineLevel="2" x14ac:dyDescent="0.25">
      <c r="A150" s="27"/>
      <c r="B150" s="11" t="str">
        <f>CONCATENATE("          ", "6245", " - ", "PRINTING")</f>
        <v xml:space="preserve">          6245 - PRINTING</v>
      </c>
      <c r="C150" s="11"/>
      <c r="D150" s="6">
        <v>158.76</v>
      </c>
      <c r="E150" s="2"/>
      <c r="F150" s="7">
        <f t="shared" si="94"/>
        <v>9.4059203858394308E-4</v>
      </c>
      <c r="G150" s="2"/>
      <c r="H150" s="6"/>
      <c r="I150" s="2"/>
      <c r="J150" s="7">
        <f t="shared" si="95"/>
        <v>0</v>
      </c>
      <c r="K150" s="2"/>
      <c r="L150" s="6">
        <f t="shared" si="96"/>
        <v>158.76</v>
      </c>
      <c r="M150" s="2"/>
      <c r="N150" s="7">
        <f t="shared" si="97"/>
        <v>0</v>
      </c>
      <c r="O150" s="11"/>
      <c r="P150" s="6">
        <v>-348.17</v>
      </c>
      <c r="Q150" s="2"/>
      <c r="R150" s="7">
        <f t="shared" si="98"/>
        <v>-1.1857677046907191E-4</v>
      </c>
      <c r="S150" s="2"/>
      <c r="T150" s="6"/>
      <c r="U150" s="2"/>
      <c r="V150" s="7">
        <f t="shared" si="99"/>
        <v>0</v>
      </c>
      <c r="W150" s="2"/>
      <c r="X150" s="6">
        <f t="shared" si="100"/>
        <v>-348.17</v>
      </c>
      <c r="Y150" s="2"/>
      <c r="Z150" s="7">
        <f t="shared" si="101"/>
        <v>0</v>
      </c>
    </row>
    <row r="151" spans="1:26" s="24" customFormat="1" hidden="1" outlineLevel="2" x14ac:dyDescent="0.25">
      <c r="A151" s="27"/>
      <c r="B151" s="11" t="str">
        <f>CONCATENATE("          ", "6247", " - ", "STORE SUPPLIES")</f>
        <v xml:space="preserve">          6247 - STORE SUPPLIES</v>
      </c>
      <c r="C151" s="11"/>
      <c r="D151" s="6"/>
      <c r="E151" s="2"/>
      <c r="F151" s="7">
        <f t="shared" si="94"/>
        <v>0</v>
      </c>
      <c r="G151" s="2"/>
      <c r="H151" s="6">
        <v>500</v>
      </c>
      <c r="I151" s="2"/>
      <c r="J151" s="7">
        <f t="shared" si="95"/>
        <v>1.6593425978616318E-3</v>
      </c>
      <c r="K151" s="2"/>
      <c r="L151" s="6">
        <f t="shared" si="96"/>
        <v>-500</v>
      </c>
      <c r="M151" s="2"/>
      <c r="N151" s="7">
        <f t="shared" si="97"/>
        <v>-1</v>
      </c>
      <c r="O151" s="11"/>
      <c r="P151" s="6">
        <v>1239.3599999999999</v>
      </c>
      <c r="Q151" s="2"/>
      <c r="R151" s="7">
        <f t="shared" si="98"/>
        <v>4.2209066332121937E-4</v>
      </c>
      <c r="S151" s="2"/>
      <c r="T151" s="6">
        <v>3300</v>
      </c>
      <c r="U151" s="2"/>
      <c r="V151" s="7">
        <f t="shared" si="99"/>
        <v>8.2550335067013475E-4</v>
      </c>
      <c r="W151" s="2"/>
      <c r="X151" s="6">
        <f t="shared" si="100"/>
        <v>-2060.6400000000003</v>
      </c>
      <c r="Y151" s="2"/>
      <c r="Z151" s="7">
        <f t="shared" si="101"/>
        <v>-0.62443636363636379</v>
      </c>
    </row>
    <row r="152" spans="1:26" s="24" customFormat="1" hidden="1" outlineLevel="2" x14ac:dyDescent="0.25">
      <c r="A152" s="27"/>
      <c r="B152" s="11" t="str">
        <f>CONCATENATE("          ", "6248", " - ", "UNIFORMS")</f>
        <v xml:space="preserve">          6248 - UNIFORMS</v>
      </c>
      <c r="C152" s="11"/>
      <c r="D152" s="6"/>
      <c r="E152" s="2"/>
      <c r="F152" s="7">
        <f t="shared" si="94"/>
        <v>0</v>
      </c>
      <c r="G152" s="2"/>
      <c r="H152" s="6">
        <v>0</v>
      </c>
      <c r="I152" s="2"/>
      <c r="J152" s="7">
        <f t="shared" si="95"/>
        <v>0</v>
      </c>
      <c r="K152" s="2"/>
      <c r="L152" s="6">
        <f t="shared" si="96"/>
        <v>0</v>
      </c>
      <c r="M152" s="2"/>
      <c r="N152" s="7">
        <f t="shared" si="97"/>
        <v>0</v>
      </c>
      <c r="O152" s="11"/>
      <c r="P152" s="6"/>
      <c r="Q152" s="2"/>
      <c r="R152" s="7">
        <f t="shared" si="98"/>
        <v>0</v>
      </c>
      <c r="S152" s="2"/>
      <c r="T152" s="6">
        <v>500</v>
      </c>
      <c r="U152" s="2"/>
      <c r="V152" s="7">
        <f t="shared" si="99"/>
        <v>1.2507626525305073E-4</v>
      </c>
      <c r="W152" s="2"/>
      <c r="X152" s="6">
        <f t="shared" si="100"/>
        <v>-500</v>
      </c>
      <c r="Y152" s="2"/>
      <c r="Z152" s="7">
        <f t="shared" si="101"/>
        <v>-1</v>
      </c>
    </row>
    <row r="153" spans="1:26" s="26" customFormat="1" outlineLevel="1" collapsed="1" x14ac:dyDescent="0.25">
      <c r="A153" s="25"/>
      <c r="B153" s="12" t="str">
        <f>CONCATENATE("     ","Telephone/Data Lines                              ")</f>
        <v xml:space="preserve">     Telephone/Data Lines                              </v>
      </c>
      <c r="C153" s="12"/>
      <c r="D153" s="1">
        <f>SUM(OSRRefD22_19x_0)</f>
        <v>-226.32</v>
      </c>
      <c r="E153" s="1"/>
      <c r="F153" s="5">
        <f t="shared" ref="F153:F155" si="102">IF(D$12=0,0,D153/D$12)</f>
        <v>-1.3408590965754473E-3</v>
      </c>
      <c r="G153" s="1"/>
      <c r="H153" s="1">
        <f>SUM(OSRRefH22_19x_0)</f>
        <v>750</v>
      </c>
      <c r="I153" s="1"/>
      <c r="J153" s="5">
        <f t="shared" ref="J153:J155" si="103">IF(H$12=0,0,H153/H$12)</f>
        <v>2.4890138967924476E-3</v>
      </c>
      <c r="K153" s="1"/>
      <c r="L153" s="1">
        <f t="shared" ref="L153:L155" si="104">+D153-H153</f>
        <v>-976.31999999999994</v>
      </c>
      <c r="M153" s="1"/>
      <c r="N153" s="5">
        <f t="shared" ref="N153:N155" si="105">IF(H153=0,0,L153/H153)</f>
        <v>-1.3017599999999998</v>
      </c>
      <c r="O153" s="12"/>
      <c r="P153" s="1">
        <f>SUM(OSRRefP22_19x_0)</f>
        <v>8605.7199999999993</v>
      </c>
      <c r="Q153" s="1"/>
      <c r="R153" s="5">
        <f t="shared" ref="R153:R155" si="106">IF(P$12=0,0,P153/P$12)</f>
        <v>2.9308627542898621E-3</v>
      </c>
      <c r="S153" s="1"/>
      <c r="T153" s="1">
        <f>SUM(OSRRefT22_19x_0)</f>
        <v>13275</v>
      </c>
      <c r="U153" s="1"/>
      <c r="V153" s="5">
        <f t="shared" ref="V153:V155" si="107">IF(T$12=0,0,T153/T$12)</f>
        <v>3.3207748424684967E-3</v>
      </c>
      <c r="W153" s="1"/>
      <c r="X153" s="1">
        <f t="shared" ref="X153:X155" si="108">+P153-T153</f>
        <v>-4669.2800000000007</v>
      </c>
      <c r="Y153" s="1"/>
      <c r="Z153" s="5">
        <f t="shared" ref="Z153:Z155" si="109">IF(T153=0,0,X153/T153)</f>
        <v>-0.35173483992467047</v>
      </c>
    </row>
    <row r="154" spans="1:26" s="24" customFormat="1" hidden="1" outlineLevel="2" x14ac:dyDescent="0.25">
      <c r="A154" s="27"/>
      <c r="B154" s="11" t="str">
        <f>CONCATENATE("          ", "6303", " - ", "DATA PHONE LINES")</f>
        <v xml:space="preserve">          6303 - DATA PHONE LINES</v>
      </c>
      <c r="C154" s="11"/>
      <c r="D154" s="6"/>
      <c r="E154" s="2"/>
      <c r="F154" s="7">
        <f t="shared" si="102"/>
        <v>0</v>
      </c>
      <c r="G154" s="2"/>
      <c r="H154" s="6">
        <v>450</v>
      </c>
      <c r="I154" s="2"/>
      <c r="J154" s="7">
        <f t="shared" si="103"/>
        <v>1.4934083380754688E-3</v>
      </c>
      <c r="K154" s="2"/>
      <c r="L154" s="6">
        <f t="shared" si="104"/>
        <v>-450</v>
      </c>
      <c r="M154" s="2"/>
      <c r="N154" s="7">
        <f t="shared" si="105"/>
        <v>-1</v>
      </c>
      <c r="O154" s="11"/>
      <c r="P154" s="6"/>
      <c r="Q154" s="2"/>
      <c r="R154" s="7">
        <f t="shared" si="106"/>
        <v>0</v>
      </c>
      <c r="S154" s="2"/>
      <c r="T154" s="6">
        <v>6725</v>
      </c>
      <c r="U154" s="2"/>
      <c r="V154" s="7">
        <f t="shared" si="107"/>
        <v>1.6822757676535323E-3</v>
      </c>
      <c r="W154" s="2"/>
      <c r="X154" s="6">
        <f t="shared" si="108"/>
        <v>-6725</v>
      </c>
      <c r="Y154" s="2"/>
      <c r="Z154" s="7">
        <f t="shared" si="109"/>
        <v>-1</v>
      </c>
    </row>
    <row r="155" spans="1:26" s="24" customFormat="1" hidden="1" outlineLevel="2" x14ac:dyDescent="0.25">
      <c r="A155" s="27"/>
      <c r="B155" s="11" t="str">
        <f>CONCATENATE("          ", "6309", " - ", "TELEPHONE")</f>
        <v xml:space="preserve">          6309 - TELEPHONE</v>
      </c>
      <c r="C155" s="11"/>
      <c r="D155" s="6">
        <v>-226.32</v>
      </c>
      <c r="E155" s="2"/>
      <c r="F155" s="7">
        <f t="shared" si="102"/>
        <v>-1.3408590965754473E-3</v>
      </c>
      <c r="G155" s="2"/>
      <c r="H155" s="6">
        <v>300</v>
      </c>
      <c r="I155" s="2"/>
      <c r="J155" s="7">
        <f t="shared" si="103"/>
        <v>9.9560555871697903E-4</v>
      </c>
      <c r="K155" s="2"/>
      <c r="L155" s="6">
        <f t="shared" si="104"/>
        <v>-526.31999999999994</v>
      </c>
      <c r="M155" s="2"/>
      <c r="N155" s="7">
        <f t="shared" si="105"/>
        <v>-1.7543999999999997</v>
      </c>
      <c r="O155" s="11"/>
      <c r="P155" s="6">
        <v>8605.7199999999993</v>
      </c>
      <c r="Q155" s="2"/>
      <c r="R155" s="7">
        <f t="shared" si="106"/>
        <v>2.9308627542898621E-3</v>
      </c>
      <c r="S155" s="2"/>
      <c r="T155" s="6">
        <v>6550</v>
      </c>
      <c r="U155" s="2"/>
      <c r="V155" s="7">
        <f t="shared" si="107"/>
        <v>1.6384990748149644E-3</v>
      </c>
      <c r="W155" s="2"/>
      <c r="X155" s="6">
        <f t="shared" si="108"/>
        <v>2055.7199999999993</v>
      </c>
      <c r="Y155" s="2"/>
      <c r="Z155" s="7">
        <f t="shared" si="109"/>
        <v>0.31385038167938922</v>
      </c>
    </row>
    <row r="156" spans="1:26" s="26" customFormat="1" outlineLevel="1" collapsed="1" x14ac:dyDescent="0.25">
      <c r="A156" s="25"/>
      <c r="B156" s="12" t="str">
        <f>CONCATENATE("     ","Training                                          ")</f>
        <v xml:space="preserve">     Training                                          </v>
      </c>
      <c r="C156" s="12"/>
      <c r="D156" s="1">
        <f>SUM(OSRRefD22_20x_0)</f>
        <v>0</v>
      </c>
      <c r="E156" s="1"/>
      <c r="F156" s="5">
        <f t="shared" ref="F156:F160" si="110">IF(D$12=0,0,D156/D$12)</f>
        <v>0</v>
      </c>
      <c r="G156" s="1"/>
      <c r="H156" s="1">
        <f>SUM(OSRRefH22_20x_0)</f>
        <v>0</v>
      </c>
      <c r="I156" s="1"/>
      <c r="J156" s="5">
        <f t="shared" ref="J156:J160" si="111">IF(H$12=0,0,H156/H$12)</f>
        <v>0</v>
      </c>
      <c r="K156" s="1"/>
      <c r="L156" s="1">
        <f t="shared" ref="L156:L160" si="112">+D156-H156</f>
        <v>0</v>
      </c>
      <c r="M156" s="1"/>
      <c r="N156" s="5">
        <f t="shared" ref="N156:N160" si="113">IF(H156=0,0,L156/H156)</f>
        <v>0</v>
      </c>
      <c r="O156" s="12"/>
      <c r="P156" s="1">
        <f>SUM(OSRRefP22_20x_0)</f>
        <v>5264.54</v>
      </c>
      <c r="Q156" s="1"/>
      <c r="R156" s="5">
        <f t="shared" ref="R156:R160" si="114">IF(P$12=0,0,P156/P$12)</f>
        <v>1.7929521532735382E-3</v>
      </c>
      <c r="S156" s="1"/>
      <c r="T156" s="1">
        <f>SUM(OSRRefT22_20x_0)</f>
        <v>7200</v>
      </c>
      <c r="U156" s="1"/>
      <c r="V156" s="5">
        <f t="shared" ref="V156:V160" si="115">IF(T$12=0,0,T156/T$12)</f>
        <v>1.8010982196439305E-3</v>
      </c>
      <c r="W156" s="1"/>
      <c r="X156" s="1">
        <f t="shared" ref="X156:X160" si="116">+P156-T156</f>
        <v>-1935.46</v>
      </c>
      <c r="Y156" s="1"/>
      <c r="Z156" s="5">
        <f t="shared" ref="Z156:Z160" si="117">IF(T156=0,0,X156/T156)</f>
        <v>-0.26881388888888891</v>
      </c>
    </row>
    <row r="157" spans="1:26" s="24" customFormat="1" hidden="1" outlineLevel="2" x14ac:dyDescent="0.25">
      <c r="A157" s="27"/>
      <c r="B157" s="11" t="str">
        <f>CONCATENATE("          ", "6376", " - ", "TRAINING")</f>
        <v xml:space="preserve">          6376 - TRAINING</v>
      </c>
      <c r="C157" s="11"/>
      <c r="D157" s="6"/>
      <c r="E157" s="2"/>
      <c r="F157" s="7">
        <f t="shared" si="110"/>
        <v>0</v>
      </c>
      <c r="G157" s="2"/>
      <c r="H157" s="6">
        <v>0</v>
      </c>
      <c r="I157" s="2"/>
      <c r="J157" s="7">
        <f t="shared" si="111"/>
        <v>0</v>
      </c>
      <c r="K157" s="2"/>
      <c r="L157" s="6">
        <f t="shared" si="112"/>
        <v>0</v>
      </c>
      <c r="M157" s="2"/>
      <c r="N157" s="7">
        <f t="shared" si="113"/>
        <v>0</v>
      </c>
      <c r="O157" s="11"/>
      <c r="P157" s="6">
        <v>5264.54</v>
      </c>
      <c r="Q157" s="2"/>
      <c r="R157" s="7">
        <f t="shared" si="114"/>
        <v>1.7929521532735382E-3</v>
      </c>
      <c r="S157" s="2"/>
      <c r="T157" s="6">
        <v>7200</v>
      </c>
      <c r="U157" s="2"/>
      <c r="V157" s="7">
        <f t="shared" si="115"/>
        <v>1.8010982196439305E-3</v>
      </c>
      <c r="W157" s="2"/>
      <c r="X157" s="6">
        <f t="shared" si="116"/>
        <v>-1935.46</v>
      </c>
      <c r="Y157" s="2"/>
      <c r="Z157" s="7">
        <f t="shared" si="117"/>
        <v>-0.26881388888888891</v>
      </c>
    </row>
    <row r="158" spans="1:26" s="26" customFormat="1" outlineLevel="1" collapsed="1" x14ac:dyDescent="0.25">
      <c r="A158" s="25"/>
      <c r="B158" s="12" t="str">
        <f>CONCATENATE("     ","Travel                                            ")</f>
        <v xml:space="preserve">     Travel                                            </v>
      </c>
      <c r="C158" s="12"/>
      <c r="D158" s="1">
        <f>SUM(OSRRefD22_21x_0)</f>
        <v>0</v>
      </c>
      <c r="E158" s="1"/>
      <c r="F158" s="5">
        <f t="shared" si="110"/>
        <v>0</v>
      </c>
      <c r="G158" s="1"/>
      <c r="H158" s="1">
        <f>SUM(OSRRefH22_21x_0)</f>
        <v>125</v>
      </c>
      <c r="I158" s="1"/>
      <c r="J158" s="5">
        <f t="shared" si="111"/>
        <v>4.1483564946540795E-4</v>
      </c>
      <c r="K158" s="1"/>
      <c r="L158" s="1">
        <f t="shared" si="112"/>
        <v>-125</v>
      </c>
      <c r="M158" s="1"/>
      <c r="N158" s="5">
        <f t="shared" si="113"/>
        <v>-1</v>
      </c>
      <c r="O158" s="12"/>
      <c r="P158" s="1">
        <f>SUM(OSRRefP22_21x_0)</f>
        <v>612.98</v>
      </c>
      <c r="Q158" s="1"/>
      <c r="R158" s="5">
        <f t="shared" si="114"/>
        <v>2.0876350277775711E-4</v>
      </c>
      <c r="S158" s="1"/>
      <c r="T158" s="1">
        <f>SUM(OSRRefT22_21x_0)</f>
        <v>1210</v>
      </c>
      <c r="U158" s="1"/>
      <c r="V158" s="5">
        <f t="shared" si="115"/>
        <v>3.0268456191238273E-4</v>
      </c>
      <c r="W158" s="1"/>
      <c r="X158" s="1">
        <f t="shared" si="116"/>
        <v>-597.02</v>
      </c>
      <c r="Y158" s="1"/>
      <c r="Z158" s="5">
        <f t="shared" si="117"/>
        <v>-0.49340495867768591</v>
      </c>
    </row>
    <row r="159" spans="1:26" s="24" customFormat="1" hidden="1" outlineLevel="2" x14ac:dyDescent="0.25">
      <c r="A159" s="27"/>
      <c r="B159" s="11" t="str">
        <f>CONCATENATE("          ", "6292", " - ", "TRAVEL/CONFERENCE")</f>
        <v xml:space="preserve">          6292 - TRAVEL/CONFERENCE</v>
      </c>
      <c r="C159" s="11"/>
      <c r="D159" s="6"/>
      <c r="E159" s="2"/>
      <c r="F159" s="7">
        <f t="shared" si="110"/>
        <v>0</v>
      </c>
      <c r="G159" s="2"/>
      <c r="H159" s="6"/>
      <c r="I159" s="2"/>
      <c r="J159" s="7">
        <f t="shared" si="111"/>
        <v>0</v>
      </c>
      <c r="K159" s="2"/>
      <c r="L159" s="6">
        <f t="shared" si="112"/>
        <v>0</v>
      </c>
      <c r="M159" s="2"/>
      <c r="N159" s="7">
        <f t="shared" si="113"/>
        <v>0</v>
      </c>
      <c r="O159" s="11"/>
      <c r="P159" s="6">
        <v>107.04</v>
      </c>
      <c r="Q159" s="2"/>
      <c r="R159" s="7">
        <f t="shared" si="114"/>
        <v>3.6454770689632813E-5</v>
      </c>
      <c r="S159" s="2"/>
      <c r="T159" s="6"/>
      <c r="U159" s="2"/>
      <c r="V159" s="7">
        <f t="shared" si="115"/>
        <v>0</v>
      </c>
      <c r="W159" s="2"/>
      <c r="X159" s="6">
        <f t="shared" si="116"/>
        <v>107.04</v>
      </c>
      <c r="Y159" s="2"/>
      <c r="Z159" s="7">
        <f t="shared" si="117"/>
        <v>0</v>
      </c>
    </row>
    <row r="160" spans="1:26" s="24" customFormat="1" hidden="1" outlineLevel="2" x14ac:dyDescent="0.25">
      <c r="A160" s="27"/>
      <c r="B160" s="11" t="str">
        <f>CONCATENATE("          ", "6294", " - ", "TRAVEL OPERATIONAL")</f>
        <v xml:space="preserve">          6294 - TRAVEL OPERATIONAL</v>
      </c>
      <c r="C160" s="11"/>
      <c r="D160" s="6"/>
      <c r="E160" s="2"/>
      <c r="F160" s="7">
        <f t="shared" si="110"/>
        <v>0</v>
      </c>
      <c r="G160" s="2"/>
      <c r="H160" s="6">
        <v>125</v>
      </c>
      <c r="I160" s="2"/>
      <c r="J160" s="7">
        <f t="shared" si="111"/>
        <v>4.1483564946540795E-4</v>
      </c>
      <c r="K160" s="2"/>
      <c r="L160" s="6">
        <f t="shared" si="112"/>
        <v>-125</v>
      </c>
      <c r="M160" s="2"/>
      <c r="N160" s="7">
        <f t="shared" si="113"/>
        <v>-1</v>
      </c>
      <c r="O160" s="11"/>
      <c r="P160" s="6">
        <v>505.94</v>
      </c>
      <c r="Q160" s="2"/>
      <c r="R160" s="7">
        <f t="shared" si="114"/>
        <v>1.7230873208812431E-4</v>
      </c>
      <c r="S160" s="2"/>
      <c r="T160" s="6">
        <v>1210</v>
      </c>
      <c r="U160" s="2"/>
      <c r="V160" s="7">
        <f t="shared" si="115"/>
        <v>3.0268456191238273E-4</v>
      </c>
      <c r="W160" s="2"/>
      <c r="X160" s="6">
        <f t="shared" si="116"/>
        <v>-704.06</v>
      </c>
      <c r="Y160" s="2"/>
      <c r="Z160" s="7">
        <f t="shared" si="117"/>
        <v>-0.5818677685950413</v>
      </c>
    </row>
    <row r="161" spans="1:26" s="26" customFormat="1" outlineLevel="1" collapsed="1" x14ac:dyDescent="0.25">
      <c r="A161" s="25"/>
      <c r="B161" s="12" t="str">
        <f>CONCATENATE("     ","Utilities                                         ")</f>
        <v xml:space="preserve">     Utilities                                         </v>
      </c>
      <c r="C161" s="12"/>
      <c r="D161" s="1">
        <f>SUM(OSRRefD22_22x_0)</f>
        <v>27.8</v>
      </c>
      <c r="E161" s="1"/>
      <c r="F161" s="5">
        <f t="shared" ref="F161:F162" si="118">IF(D$12=0,0,D161/D$12)</f>
        <v>1.6470432522444961E-4</v>
      </c>
      <c r="G161" s="1"/>
      <c r="H161" s="1">
        <f>SUM(OSRRefH22_22x_0)</f>
        <v>105</v>
      </c>
      <c r="I161" s="1"/>
      <c r="J161" s="5">
        <f t="shared" ref="J161:J162" si="119">IF(H$12=0,0,H161/H$12)</f>
        <v>3.4846194555094266E-4</v>
      </c>
      <c r="K161" s="1"/>
      <c r="L161" s="1">
        <f t="shared" ref="L161:L162" si="120">+D161-H161</f>
        <v>-77.2</v>
      </c>
      <c r="M161" s="1"/>
      <c r="N161" s="5">
        <f t="shared" ref="N161:N162" si="121">IF(H161=0,0,L161/H161)</f>
        <v>-0.73523809523809525</v>
      </c>
      <c r="O161" s="12"/>
      <c r="P161" s="1">
        <f>SUM(OSRRefP22_22x_0)</f>
        <v>2987.58</v>
      </c>
      <c r="Q161" s="1"/>
      <c r="R161" s="5">
        <f t="shared" ref="R161:R162" si="122">IF(P$12=0,0,P161/P$12)</f>
        <v>1.0174845274377167E-3</v>
      </c>
      <c r="S161" s="1"/>
      <c r="T161" s="1">
        <f>SUM(OSRRefT22_22x_0)</f>
        <v>4155</v>
      </c>
      <c r="U161" s="1"/>
      <c r="V161" s="5">
        <f t="shared" ref="V161:V162" si="123">IF(T$12=0,0,T161/T$12)</f>
        <v>1.0393837642528516E-3</v>
      </c>
      <c r="W161" s="1"/>
      <c r="X161" s="1">
        <f t="shared" ref="X161:X162" si="124">+P161-T161</f>
        <v>-1167.42</v>
      </c>
      <c r="Y161" s="1"/>
      <c r="Z161" s="5">
        <f t="shared" ref="Z161:Z162" si="125">IF(T161=0,0,X161/T161)</f>
        <v>-0.28096750902527079</v>
      </c>
    </row>
    <row r="162" spans="1:26" s="24" customFormat="1" hidden="1" outlineLevel="2" x14ac:dyDescent="0.25">
      <c r="A162" s="27"/>
      <c r="B162" s="11" t="str">
        <f>CONCATENATE("          ", "6274", " - ", "UTILITIES")</f>
        <v xml:space="preserve">          6274 - UTILITIES</v>
      </c>
      <c r="C162" s="11"/>
      <c r="D162" s="6">
        <v>27.8</v>
      </c>
      <c r="E162" s="2"/>
      <c r="F162" s="7">
        <f t="shared" si="118"/>
        <v>1.6470432522444961E-4</v>
      </c>
      <c r="G162" s="2"/>
      <c r="H162" s="6">
        <v>105</v>
      </c>
      <c r="I162" s="2"/>
      <c r="J162" s="7">
        <f t="shared" si="119"/>
        <v>3.4846194555094266E-4</v>
      </c>
      <c r="K162" s="2"/>
      <c r="L162" s="6">
        <f t="shared" si="120"/>
        <v>-77.2</v>
      </c>
      <c r="M162" s="2"/>
      <c r="N162" s="7">
        <f t="shared" si="121"/>
        <v>-0.73523809523809525</v>
      </c>
      <c r="O162" s="11"/>
      <c r="P162" s="6">
        <v>2987.58</v>
      </c>
      <c r="Q162" s="2"/>
      <c r="R162" s="7">
        <f t="shared" si="122"/>
        <v>1.0174845274377167E-3</v>
      </c>
      <c r="S162" s="2"/>
      <c r="T162" s="6">
        <v>4155</v>
      </c>
      <c r="U162" s="2"/>
      <c r="V162" s="7">
        <f t="shared" si="123"/>
        <v>1.0393837642528516E-3</v>
      </c>
      <c r="W162" s="2"/>
      <c r="X162" s="6">
        <f t="shared" si="124"/>
        <v>-1167.42</v>
      </c>
      <c r="Y162" s="2"/>
      <c r="Z162" s="7">
        <f t="shared" si="125"/>
        <v>-0.28096750902527079</v>
      </c>
    </row>
    <row r="163" spans="1:26" s="60" customFormat="1" x14ac:dyDescent="0.25">
      <c r="A163" s="36"/>
      <c r="B163" s="36"/>
      <c r="C163" s="36"/>
      <c r="D163" s="1"/>
      <c r="E163" s="1"/>
      <c r="F163" s="5"/>
      <c r="G163" s="1"/>
      <c r="H163" s="1"/>
      <c r="I163" s="1"/>
      <c r="J163" s="5"/>
      <c r="K163" s="1"/>
      <c r="L163" s="1"/>
      <c r="M163" s="1"/>
      <c r="N163" s="5"/>
      <c r="O163" s="36"/>
      <c r="P163" s="1"/>
      <c r="Q163" s="1"/>
      <c r="R163" s="5"/>
      <c r="S163" s="1"/>
      <c r="T163" s="1"/>
      <c r="U163" s="1"/>
      <c r="V163" s="5"/>
      <c r="W163" s="1"/>
      <c r="X163" s="1"/>
      <c r="Y163" s="1"/>
      <c r="Z163" s="5"/>
    </row>
    <row r="164" spans="1:26" s="23" customFormat="1" collapsed="1" x14ac:dyDescent="0.25">
      <c r="A164" s="10"/>
      <c r="B164" s="28" t="s">
        <v>0</v>
      </c>
      <c r="C164" s="10"/>
      <c r="D164" s="4">
        <f>SUM(OSRRefD25x_0)</f>
        <v>-7960.4</v>
      </c>
      <c r="E164" s="4"/>
      <c r="F164" s="13">
        <f t="shared" ref="F164:F167" si="126">IF(D$12=0,0,D164/D$12)</f>
        <v>-4.7162313327939159E-2</v>
      </c>
      <c r="G164" s="4"/>
      <c r="H164" s="4">
        <f>SUM(OSRRefH25x_0)</f>
        <v>8625</v>
      </c>
      <c r="I164" s="4"/>
      <c r="J164" s="13">
        <f t="shared" ref="J164:J167" si="127">IF(H$12=0,0,H164/H$12)</f>
        <v>2.8623659813113149E-2</v>
      </c>
      <c r="K164" s="4"/>
      <c r="L164" s="4">
        <f t="shared" ref="L164:L167" si="128">+D164-H164</f>
        <v>-16585.400000000001</v>
      </c>
      <c r="M164" s="4"/>
      <c r="N164" s="13">
        <f t="shared" ref="N164:N167" si="129">IF(H164=0,0,L164/H164)</f>
        <v>-1.922944927536232</v>
      </c>
      <c r="O164" s="10"/>
      <c r="P164" s="4">
        <f>SUM(OSRRefP25x_0)</f>
        <v>88944.49</v>
      </c>
      <c r="Q164" s="4"/>
      <c r="R164" s="13">
        <f t="shared" ref="R164:R167" si="130">IF(P$12=0,0,P164/P$12)</f>
        <v>3.0291956157103315E-2</v>
      </c>
      <c r="S164" s="4"/>
      <c r="T164" s="4">
        <f>SUM(OSRRefT25x_0)</f>
        <v>103500</v>
      </c>
      <c r="U164" s="4"/>
      <c r="V164" s="13">
        <f t="shared" ref="V164:V167" si="131">IF(T$12=0,0,T164/T$12)</f>
        <v>2.5890786907381499E-2</v>
      </c>
      <c r="W164" s="4"/>
      <c r="X164" s="4">
        <f t="shared" ref="X164:X167" si="132">+P164-T164</f>
        <v>-14555.509999999995</v>
      </c>
      <c r="Y164" s="4"/>
      <c r="Z164" s="13">
        <f t="shared" ref="Z164:Z167" si="133">IF(T164=0,0,X164/T164)</f>
        <v>-0.14063294685990332</v>
      </c>
    </row>
    <row r="165" spans="1:26" s="24" customFormat="1" hidden="1" outlineLevel="1" x14ac:dyDescent="0.25">
      <c r="A165" s="44"/>
      <c r="B165" s="11" t="str">
        <f>CONCATENATE("          ", "9150", " - ", "MISC. INCOME")</f>
        <v xml:space="preserve">          9150 - MISC. INCOME</v>
      </c>
      <c r="C165" s="11"/>
      <c r="D165" s="2">
        <f>-7960.4</f>
        <v>-7960.4</v>
      </c>
      <c r="E165" s="2"/>
      <c r="F165" s="19">
        <f t="shared" si="126"/>
        <v>-4.7162313327939159E-2</v>
      </c>
      <c r="G165" s="2"/>
      <c r="H165" s="2">
        <v>7725</v>
      </c>
      <c r="I165" s="2"/>
      <c r="J165" s="19">
        <f t="shared" si="127"/>
        <v>2.5636843136962212E-2</v>
      </c>
      <c r="K165" s="2"/>
      <c r="L165" s="2">
        <f t="shared" si="128"/>
        <v>-15685.4</v>
      </c>
      <c r="M165" s="2"/>
      <c r="N165" s="19">
        <f t="shared" si="129"/>
        <v>-2.0304724919093853</v>
      </c>
      <c r="O165" s="11"/>
      <c r="P165" s="2">
        <f>--88944.49</f>
        <v>88944.49</v>
      </c>
      <c r="Q165" s="2"/>
      <c r="R165" s="19">
        <f t="shared" si="130"/>
        <v>3.0291956157103315E-2</v>
      </c>
      <c r="S165" s="2"/>
      <c r="T165" s="2">
        <v>92700</v>
      </c>
      <c r="U165" s="2"/>
      <c r="V165" s="19">
        <f t="shared" si="131"/>
        <v>2.3189139577915605E-2</v>
      </c>
      <c r="W165" s="2"/>
      <c r="X165" s="2">
        <f t="shared" si="132"/>
        <v>-3755.5099999999948</v>
      </c>
      <c r="Y165" s="2"/>
      <c r="Z165" s="19">
        <f t="shared" si="133"/>
        <v>-4.0512513484358088E-2</v>
      </c>
    </row>
    <row r="166" spans="1:26" s="24" customFormat="1" hidden="1" outlineLevel="1" x14ac:dyDescent="0.25">
      <c r="A166" s="44"/>
      <c r="B166" s="11" t="str">
        <f>CONCATENATE("          ", "9151", " - ", "MISC. INCOME")</f>
        <v xml:space="preserve">          9151 - MISC. INCOME</v>
      </c>
      <c r="C166" s="11"/>
      <c r="D166" s="2">
        <f t="shared" ref="D166:D167" si="134">0</f>
        <v>0</v>
      </c>
      <c r="E166" s="2"/>
      <c r="F166" s="19">
        <f t="shared" si="126"/>
        <v>0</v>
      </c>
      <c r="G166" s="2"/>
      <c r="H166" s="2">
        <v>100</v>
      </c>
      <c r="I166" s="2"/>
      <c r="J166" s="19">
        <f t="shared" si="127"/>
        <v>3.3186851957232638E-4</v>
      </c>
      <c r="K166" s="2"/>
      <c r="L166" s="2">
        <f t="shared" si="128"/>
        <v>-100</v>
      </c>
      <c r="M166" s="2"/>
      <c r="N166" s="19">
        <f t="shared" si="129"/>
        <v>-1</v>
      </c>
      <c r="O166" s="11"/>
      <c r="P166" s="2">
        <f t="shared" ref="P166:P167" si="135">0</f>
        <v>0</v>
      </c>
      <c r="Q166" s="2"/>
      <c r="R166" s="19">
        <f t="shared" si="130"/>
        <v>0</v>
      </c>
      <c r="S166" s="2"/>
      <c r="T166" s="2">
        <v>1200</v>
      </c>
      <c r="U166" s="2"/>
      <c r="V166" s="19">
        <f t="shared" si="131"/>
        <v>3.0018303660732176E-4</v>
      </c>
      <c r="W166" s="2"/>
      <c r="X166" s="2">
        <f t="shared" si="132"/>
        <v>-1200</v>
      </c>
      <c r="Y166" s="2"/>
      <c r="Z166" s="19">
        <f t="shared" si="133"/>
        <v>-1</v>
      </c>
    </row>
    <row r="167" spans="1:26" s="24" customFormat="1" hidden="1" outlineLevel="1" x14ac:dyDescent="0.25">
      <c r="A167" s="44"/>
      <c r="B167" s="11" t="str">
        <f>CONCATENATE("          ", "9160", " - ", "MISC. INCOME")</f>
        <v xml:space="preserve">          9160 - MISC. INCOME</v>
      </c>
      <c r="C167" s="11"/>
      <c r="D167" s="2">
        <f t="shared" si="134"/>
        <v>0</v>
      </c>
      <c r="E167" s="2"/>
      <c r="F167" s="19">
        <f t="shared" si="126"/>
        <v>0</v>
      </c>
      <c r="G167" s="2"/>
      <c r="H167" s="2">
        <v>800</v>
      </c>
      <c r="I167" s="2"/>
      <c r="J167" s="19">
        <f t="shared" si="127"/>
        <v>2.654948156578611E-3</v>
      </c>
      <c r="K167" s="2"/>
      <c r="L167" s="2">
        <f t="shared" si="128"/>
        <v>-800</v>
      </c>
      <c r="M167" s="2"/>
      <c r="N167" s="19">
        <f t="shared" si="129"/>
        <v>-1</v>
      </c>
      <c r="O167" s="11"/>
      <c r="P167" s="2">
        <f t="shared" si="135"/>
        <v>0</v>
      </c>
      <c r="Q167" s="2"/>
      <c r="R167" s="19">
        <f t="shared" si="130"/>
        <v>0</v>
      </c>
      <c r="S167" s="2"/>
      <c r="T167" s="2">
        <v>9600</v>
      </c>
      <c r="U167" s="2"/>
      <c r="V167" s="19">
        <f t="shared" si="131"/>
        <v>2.4014642928585741E-3</v>
      </c>
      <c r="W167" s="2"/>
      <c r="X167" s="2">
        <f t="shared" si="132"/>
        <v>-9600</v>
      </c>
      <c r="Y167" s="2"/>
      <c r="Z167" s="19">
        <f t="shared" si="133"/>
        <v>-1</v>
      </c>
    </row>
    <row r="168" spans="1:26" x14ac:dyDescent="0.25">
      <c r="A168" s="9"/>
      <c r="B168" s="10"/>
      <c r="C168" s="10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0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x14ac:dyDescent="0.25">
      <c r="A169" s="10"/>
      <c r="B169" s="29" t="s">
        <v>3</v>
      </c>
      <c r="C169" s="29"/>
      <c r="D169" s="22">
        <f>+D69-D71+D164</f>
        <v>-137054.83999999997</v>
      </c>
      <c r="E169" s="14"/>
      <c r="F169" s="20">
        <f>IF(D$12=0,0,D169/D$12)</f>
        <v>-0.81199730003398918</v>
      </c>
      <c r="G169" s="14"/>
      <c r="H169" s="22">
        <f>+H69-H71+H164</f>
        <v>68155.619680125004</v>
      </c>
      <c r="I169" s="14"/>
      <c r="J169" s="20">
        <f>IF(H$12=0,0,H169/H$12)</f>
        <v>0.22618704603777598</v>
      </c>
      <c r="K169" s="15"/>
      <c r="L169" s="22">
        <f>+D169-H169</f>
        <v>-205210.45968012497</v>
      </c>
      <c r="M169" s="15"/>
      <c r="N169" s="20">
        <f>IF(H169=0,0,L169/H169)</f>
        <v>-3.0109103349546213</v>
      </c>
      <c r="O169" s="28"/>
      <c r="P169" s="22">
        <f>+P69-P71+P164</f>
        <v>443095.83000000054</v>
      </c>
      <c r="Q169" s="14"/>
      <c r="R169" s="20">
        <f>IF(P$12=0,0,P169/P$12)</f>
        <v>0.15090580041276666</v>
      </c>
      <c r="S169" s="14"/>
      <c r="T169" s="22">
        <f>+T69-T71+T164</f>
        <v>1229143.8417297257</v>
      </c>
      <c r="U169" s="14"/>
      <c r="V169" s="20">
        <f>IF(T$12=0,0,T169/T$12)</f>
        <v>0.30747344236468194</v>
      </c>
      <c r="W169" s="15"/>
      <c r="X169" s="22">
        <f>+P169-T169</f>
        <v>-786048.01172972517</v>
      </c>
      <c r="Y169" s="15"/>
      <c r="Z169" s="20">
        <f>IF(T169=0,0,X169/T169)</f>
        <v>-0.63950856282495849</v>
      </c>
    </row>
    <row r="170" spans="1:26" x14ac:dyDescent="0.25">
      <c r="A170" s="9"/>
      <c r="B170" s="10"/>
      <c r="C170" s="9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3" customFormat="1" x14ac:dyDescent="0.25">
      <c r="A171" s="52"/>
      <c r="B171" s="10" t="s">
        <v>14</v>
      </c>
      <c r="C171" s="10"/>
      <c r="D171" s="4">
        <v>116937.20999999999</v>
      </c>
      <c r="E171" s="4"/>
      <c r="F171" s="13">
        <f>IF(D$12=0,0,D171/D$12)</f>
        <v>0.69280806714675391</v>
      </c>
      <c r="G171" s="4"/>
      <c r="H171" s="4">
        <v>89045</v>
      </c>
      <c r="I171" s="4"/>
      <c r="J171" s="13">
        <f>IF(H$12=0,0,H171/H$12)</f>
        <v>0.295512323253178</v>
      </c>
      <c r="K171" s="4"/>
      <c r="L171" s="4">
        <f>+D171-H171</f>
        <v>27892.209999999992</v>
      </c>
      <c r="M171" s="4"/>
      <c r="N171" s="13">
        <f>IF(H171=0,0,L171/H171)</f>
        <v>0.31323723959795602</v>
      </c>
      <c r="O171" s="10"/>
      <c r="P171" s="4">
        <v>444660.69</v>
      </c>
      <c r="Q171" s="4"/>
      <c r="R171" s="13">
        <f>IF(P$12=0,0,P171/P$12)</f>
        <v>0.15143874709121732</v>
      </c>
      <c r="S171" s="4"/>
      <c r="T171" s="4">
        <v>517167</v>
      </c>
      <c r="U171" s="4"/>
      <c r="V171" s="13">
        <f>IF(T$12=0,0,T171/T$12)</f>
        <v>0.12937063374424898</v>
      </c>
      <c r="W171" s="4"/>
      <c r="X171" s="4">
        <f>+P171-T171</f>
        <v>-72506.31</v>
      </c>
      <c r="Y171" s="4"/>
      <c r="Z171" s="13">
        <f>IF(T171=0,0,X171/T171)</f>
        <v>-0.14019902662002795</v>
      </c>
    </row>
    <row r="172" spans="1:26" x14ac:dyDescent="0.25">
      <c r="A172" s="9"/>
      <c r="B172" s="10"/>
      <c r="C172" s="10"/>
      <c r="D172" s="3"/>
      <c r="E172" s="3"/>
      <c r="F172" s="8"/>
      <c r="G172" s="3"/>
      <c r="H172" s="3"/>
      <c r="I172" s="3"/>
      <c r="J172" s="8"/>
      <c r="K172" s="3"/>
      <c r="L172" s="3"/>
      <c r="M172" s="3"/>
      <c r="N172" s="8"/>
      <c r="O172" s="10"/>
      <c r="P172" s="3"/>
      <c r="Q172" s="3"/>
      <c r="R172" s="8"/>
      <c r="S172" s="3"/>
      <c r="T172" s="3"/>
      <c r="U172" s="3"/>
      <c r="V172" s="8"/>
      <c r="W172" s="3"/>
      <c r="X172" s="3"/>
      <c r="Y172" s="3"/>
      <c r="Z172" s="8"/>
    </row>
    <row r="173" spans="1:26" s="23" customFormat="1" ht="15.75" thickBot="1" x14ac:dyDescent="0.3">
      <c r="A173" s="10"/>
      <c r="B173" s="29" t="s">
        <v>4</v>
      </c>
      <c r="C173" s="29"/>
      <c r="D173" s="31">
        <f>+D169-D171</f>
        <v>-253992.04999999996</v>
      </c>
      <c r="E173" s="14"/>
      <c r="F173" s="33">
        <f>IF(D$12=0,0,D173/D$12)</f>
        <v>-1.5048053671807431</v>
      </c>
      <c r="G173" s="14"/>
      <c r="H173" s="31">
        <f>+H169-H171</f>
        <v>-20889.380319874996</v>
      </c>
      <c r="I173" s="14"/>
      <c r="J173" s="33">
        <f>IF(H$12=0,0,H173/H$12)</f>
        <v>-6.9325277215402048E-2</v>
      </c>
      <c r="K173" s="15"/>
      <c r="L173" s="31">
        <f>D173-H173</f>
        <v>-233102.66968012496</v>
      </c>
      <c r="M173" s="15"/>
      <c r="N173" s="33">
        <f>IF(H173=0,0,L173/H173)</f>
        <v>11.158907833103202</v>
      </c>
      <c r="O173" s="28"/>
      <c r="P173" s="31">
        <f>+P169-P171</f>
        <v>-1564.8599999994622</v>
      </c>
      <c r="Q173" s="14"/>
      <c r="R173" s="33">
        <f>IF(P$12=0,0,P173/P$12)</f>
        <v>-5.3294667845066518E-4</v>
      </c>
      <c r="S173" s="14"/>
      <c r="T173" s="31">
        <f>+T169-T171</f>
        <v>711976.84172972571</v>
      </c>
      <c r="U173" s="14"/>
      <c r="V173" s="33">
        <f>IF(T$12=0,0,T173/T$12)</f>
        <v>0.17810280862043298</v>
      </c>
      <c r="W173" s="15"/>
      <c r="X173" s="31">
        <f>P173-T173</f>
        <v>-713541.70172972512</v>
      </c>
      <c r="Y173" s="15"/>
      <c r="Z173" s="33">
        <f>IF(T173=0,0,X173/T173)</f>
        <v>-1.0021979085670787</v>
      </c>
    </row>
    <row r="174" spans="1:26" ht="15.75" thickTop="1" x14ac:dyDescent="0.25">
      <c r="A174" s="9"/>
      <c r="B174" s="9"/>
      <c r="C174" s="9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x14ac:dyDescent="0.25">
      <c r="A175" s="9"/>
      <c r="B175" s="9"/>
      <c r="C175" s="9"/>
      <c r="D175" s="3"/>
      <c r="E175" s="3"/>
      <c r="F175" s="8"/>
      <c r="G175" s="3"/>
      <c r="H175" s="3"/>
      <c r="I175" s="3"/>
      <c r="J175" s="8"/>
      <c r="K175" s="3"/>
      <c r="L175" s="3"/>
      <c r="M175" s="3"/>
      <c r="N175" s="8"/>
      <c r="P175" s="3"/>
      <c r="Q175" s="3"/>
      <c r="R175" s="8"/>
      <c r="S175" s="3"/>
      <c r="T175" s="3"/>
      <c r="U175" s="3"/>
      <c r="V175" s="8"/>
      <c r="W175" s="3"/>
      <c r="X175" s="3"/>
      <c r="Y175" s="3"/>
      <c r="Z175" s="8"/>
    </row>
    <row r="176" spans="1:26" s="23" customFormat="1" ht="15.75" thickBot="1" x14ac:dyDescent="0.3">
      <c r="A176" s="10"/>
      <c r="B176" s="29" t="s">
        <v>5</v>
      </c>
      <c r="C176" s="29"/>
      <c r="D176" s="34">
        <f>SUM(D173:D175)</f>
        <v>-253992.04999999996</v>
      </c>
      <c r="E176" s="14"/>
      <c r="F176" s="35">
        <f>IF(D$12=0,0,D176/D$12)</f>
        <v>-1.5048053671807431</v>
      </c>
      <c r="G176" s="14"/>
      <c r="H176" s="34">
        <f>SUM(H173:H175)</f>
        <v>-20889.380319874996</v>
      </c>
      <c r="I176" s="14"/>
      <c r="J176" s="35">
        <f>IF(H$12=0,0,H176/H$12)</f>
        <v>-6.9325277215402048E-2</v>
      </c>
      <c r="K176" s="15"/>
      <c r="L176" s="34">
        <f>+D176-H176</f>
        <v>-233102.66968012496</v>
      </c>
      <c r="M176" s="15"/>
      <c r="N176" s="35">
        <f>IF(H176=0,0,L176/H176)</f>
        <v>11.158907833103202</v>
      </c>
      <c r="O176" s="28"/>
      <c r="P176" s="34">
        <f>SUM(P173:P175)</f>
        <v>-1564.8599999994622</v>
      </c>
      <c r="Q176" s="14"/>
      <c r="R176" s="35">
        <f>IF(P$12=0,0,P176/P$12)</f>
        <v>-5.3294667845066518E-4</v>
      </c>
      <c r="S176" s="14"/>
      <c r="T176" s="34">
        <f>SUM(T173:T175)</f>
        <v>711976.84172972571</v>
      </c>
      <c r="U176" s="14"/>
      <c r="V176" s="35">
        <f>IF(T$12=0,0,T176/T$12)</f>
        <v>0.17810280862043298</v>
      </c>
      <c r="W176" s="15"/>
      <c r="X176" s="34">
        <f>+P176-T176</f>
        <v>-713541.70172972512</v>
      </c>
      <c r="Y176" s="15"/>
      <c r="Z176" s="35">
        <f>IF(T176=0,0,X176/T176)</f>
        <v>-1.0021979085670787</v>
      </c>
    </row>
    <row r="177" spans="1:24" ht="15.75" thickTop="1" x14ac:dyDescent="0.25">
      <c r="A177" s="9"/>
      <c r="C177" s="9"/>
      <c r="D177" s="17"/>
      <c r="E177" s="17"/>
      <c r="G177" s="17"/>
      <c r="H177" s="17"/>
      <c r="I177" s="17"/>
      <c r="J177" s="43"/>
      <c r="K177" s="17"/>
      <c r="L177" s="17"/>
      <c r="M177" s="17"/>
      <c r="P177" s="17"/>
      <c r="Q177" s="17"/>
      <c r="R177" s="43"/>
      <c r="S177" s="17"/>
      <c r="T177" s="17"/>
      <c r="U177" s="17"/>
      <c r="V177" s="43"/>
      <c r="W177" s="17"/>
      <c r="X177" s="17"/>
    </row>
    <row r="178" spans="1:24" x14ac:dyDescent="0.25">
      <c r="A178" s="9"/>
      <c r="B178" s="55">
        <v>44043.472966701389</v>
      </c>
      <c r="D178" s="17"/>
      <c r="E178" s="17"/>
      <c r="G178" s="17"/>
      <c r="H178" s="17"/>
      <c r="I178" s="17"/>
      <c r="J178" s="43"/>
      <c r="K178" s="17"/>
      <c r="L178" s="17"/>
      <c r="M178" s="17"/>
      <c r="P178" s="17"/>
      <c r="Q178" s="17"/>
      <c r="R178" s="43"/>
      <c r="S178" s="17"/>
      <c r="T178" s="17"/>
      <c r="U178" s="17"/>
      <c r="V178" s="43"/>
      <c r="W178" s="17"/>
      <c r="X178" s="17"/>
    </row>
    <row r="179" spans="1:24" x14ac:dyDescent="0.25">
      <c r="A179" s="9"/>
      <c r="B179" s="62" t="s">
        <v>314</v>
      </c>
      <c r="D179" s="17"/>
      <c r="E179" s="17"/>
      <c r="G179" s="17"/>
      <c r="H179" s="17"/>
      <c r="I179" s="17"/>
      <c r="J179" s="43"/>
      <c r="K179" s="17"/>
      <c r="L179" s="17"/>
      <c r="M179" s="17"/>
      <c r="P179" s="17"/>
      <c r="Q179" s="17"/>
      <c r="R179" s="43"/>
      <c r="S179" s="17"/>
      <c r="T179" s="17"/>
      <c r="U179" s="17"/>
      <c r="V179" s="43"/>
      <c r="W179" s="17"/>
      <c r="X179" s="17"/>
    </row>
    <row r="180" spans="1:24" x14ac:dyDescent="0.25">
      <c r="A180" s="9"/>
      <c r="B180" s="63"/>
      <c r="D180" s="17"/>
      <c r="E180" s="17"/>
      <c r="G180" s="17"/>
      <c r="H180" s="17"/>
      <c r="I180" s="17"/>
      <c r="J180" s="43"/>
      <c r="K180" s="17"/>
      <c r="L180" s="17"/>
      <c r="M180" s="17"/>
      <c r="P180" s="17"/>
      <c r="Q180" s="17"/>
      <c r="R180" s="43"/>
      <c r="S180" s="17"/>
      <c r="T180" s="17"/>
      <c r="U180" s="17"/>
      <c r="V180" s="43"/>
      <c r="W180" s="17"/>
      <c r="X180" s="17"/>
    </row>
    <row r="181" spans="1:24" x14ac:dyDescent="0.25">
      <c r="D181" s="17"/>
      <c r="E181" s="17"/>
      <c r="G181" s="17"/>
      <c r="H181" s="17"/>
      <c r="I181" s="17"/>
      <c r="J181" s="43"/>
      <c r="K181" s="17"/>
      <c r="L181" s="17"/>
      <c r="M181" s="17"/>
      <c r="P181" s="17"/>
      <c r="Q181" s="17"/>
      <c r="R181" s="43"/>
      <c r="S181" s="17"/>
      <c r="T181" s="17"/>
      <c r="U181" s="17"/>
      <c r="V181" s="43"/>
      <c r="W181" s="17"/>
      <c r="X181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299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60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3">
        <f>IF(D$12=0,0,D20/D$12)</f>
        <v>0</v>
      </c>
      <c r="G20" s="4"/>
      <c r="H20" s="4">
        <f>SUM(0)</f>
        <v>0</v>
      </c>
      <c r="I20" s="4"/>
      <c r="J20" s="13">
        <f>IF(H$12=0,0,H20/H$12)</f>
        <v>0</v>
      </c>
      <c r="K20" s="4"/>
      <c r="L20" s="4">
        <f>+D20-H20</f>
        <v>0</v>
      </c>
      <c r="M20" s="4"/>
      <c r="N20" s="13">
        <f>IF(H20=0,0,L20/H20)</f>
        <v>0</v>
      </c>
      <c r="O20" s="10"/>
      <c r="P20" s="4">
        <f>SUM(0)</f>
        <v>0</v>
      </c>
      <c r="Q20" s="4"/>
      <c r="R20" s="13">
        <f>IF(P$12=0,0,P20/P$12)</f>
        <v>0</v>
      </c>
      <c r="S20" s="4"/>
      <c r="T20" s="4">
        <f>SUM(0)</f>
        <v>0</v>
      </c>
      <c r="U20" s="4"/>
      <c r="V20" s="13">
        <f>IF(T$12=0,0,T20/T$12)</f>
        <v>0</v>
      </c>
      <c r="W20" s="4"/>
      <c r="X20" s="4">
        <f>+P20-T20</f>
        <v>0</v>
      </c>
      <c r="Y20" s="4"/>
      <c r="Z20" s="13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3">
        <f>IF(D$12=0,0,D24/D$12)</f>
        <v>0</v>
      </c>
      <c r="G24" s="4"/>
      <c r="H24" s="4"/>
      <c r="I24" s="4"/>
      <c r="J24" s="13">
        <f>IF(H$12=0,0,H24/H$12)</f>
        <v>0</v>
      </c>
      <c r="K24" s="4"/>
      <c r="L24" s="4">
        <f>+D24-H24</f>
        <v>0</v>
      </c>
      <c r="M24" s="4"/>
      <c r="N24" s="13">
        <f>IF(H24=0,0,L24/H24)</f>
        <v>0</v>
      </c>
      <c r="O24" s="10"/>
      <c r="P24" s="4"/>
      <c r="Q24" s="4"/>
      <c r="R24" s="13">
        <f>IF(P$12=0,0,P24/P$12)</f>
        <v>0</v>
      </c>
      <c r="S24" s="4"/>
      <c r="T24" s="4"/>
      <c r="U24" s="4"/>
      <c r="V24" s="13">
        <f>IF(T$12=0,0,T24/T$12)</f>
        <v>0</v>
      </c>
      <c r="W24" s="4"/>
      <c r="X24" s="4">
        <f>+P24-T24</f>
        <v>0</v>
      </c>
      <c r="Y24" s="4"/>
      <c r="Z24" s="13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3">
        <f>IF(D$12=0,0,D26/D$12)</f>
        <v>0</v>
      </c>
      <c r="G26" s="14"/>
      <c r="H26" s="31">
        <f>+H22-H24</f>
        <v>0</v>
      </c>
      <c r="I26" s="14"/>
      <c r="J26" s="33">
        <f>IF(H$12=0,0,H26/H$12)</f>
        <v>0</v>
      </c>
      <c r="K26" s="15"/>
      <c r="L26" s="31">
        <f>D26-H26</f>
        <v>0</v>
      </c>
      <c r="M26" s="15"/>
      <c r="N26" s="33">
        <f>IF(H26=0,0,L26/H26)</f>
        <v>0</v>
      </c>
      <c r="O26" s="28"/>
      <c r="P26" s="31">
        <f>+P22-P24</f>
        <v>0</v>
      </c>
      <c r="Q26" s="14"/>
      <c r="R26" s="33">
        <f>IF(P$12=0,0,P26/P$12)</f>
        <v>0</v>
      </c>
      <c r="S26" s="14"/>
      <c r="T26" s="31">
        <f>+T22-T24</f>
        <v>0</v>
      </c>
      <c r="U26" s="14"/>
      <c r="V26" s="33">
        <f>IF(T$12=0,0,T26/T$12)</f>
        <v>0</v>
      </c>
      <c r="W26" s="15"/>
      <c r="X26" s="31">
        <f>P26-T26</f>
        <v>0</v>
      </c>
      <c r="Y26" s="15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--322360.04</f>
        <v>322360.03999999998</v>
      </c>
      <c r="E28" s="4"/>
      <c r="F28" s="13">
        <f t="shared" ref="F28:F29" si="0">IF(D$12=0,0,D28/D$12)</f>
        <v>0</v>
      </c>
      <c r="G28" s="4"/>
      <c r="H28" s="4">
        <f>--25000</f>
        <v>25000</v>
      </c>
      <c r="I28" s="4"/>
      <c r="J28" s="13">
        <f t="shared" ref="J28:J29" si="1">IF(H$12=0,0,H28/H$12)</f>
        <v>0</v>
      </c>
      <c r="K28" s="4"/>
      <c r="L28" s="4">
        <f t="shared" ref="L28:L29" si="2">+D28-H28</f>
        <v>297360.03999999998</v>
      </c>
      <c r="M28" s="4"/>
      <c r="N28" s="13">
        <f t="shared" ref="N28:N29" si="3">IF(H28=0,0,L28/H28)</f>
        <v>11.894401599999998</v>
      </c>
      <c r="O28" s="10"/>
      <c r="P28" s="4">
        <f>-36911.48</f>
        <v>-36911.480000000003</v>
      </c>
      <c r="Q28" s="4"/>
      <c r="R28" s="13">
        <f t="shared" ref="R28:R29" si="4">IF(P$12=0,0,P28/P$12)</f>
        <v>0</v>
      </c>
      <c r="S28" s="4"/>
      <c r="T28" s="4">
        <f>--300000</f>
        <v>300000</v>
      </c>
      <c r="U28" s="4"/>
      <c r="V28" s="13">
        <f t="shared" ref="V28:V29" si="5">IF(T$12=0,0,T28/T$12)</f>
        <v>0</v>
      </c>
      <c r="W28" s="4"/>
      <c r="X28" s="4">
        <f t="shared" ref="X28:X29" si="6">+P28-T28</f>
        <v>-336911.48</v>
      </c>
      <c r="Y28" s="4"/>
      <c r="Z28" s="13">
        <f t="shared" ref="Z28:Z29" si="7">IF(T28=0,0,X28/T28)</f>
        <v>-1.1230382666666665</v>
      </c>
    </row>
    <row r="29" spans="1:26" s="23" customFormat="1" x14ac:dyDescent="0.25">
      <c r="A29" s="52"/>
      <c r="B29" s="10" t="s">
        <v>1</v>
      </c>
      <c r="C29" s="10"/>
      <c r="D29" s="4">
        <f>--56882.15</f>
        <v>56882.15</v>
      </c>
      <c r="E29" s="4"/>
      <c r="F29" s="13">
        <f t="shared" si="0"/>
        <v>0</v>
      </c>
      <c r="G29" s="4"/>
      <c r="H29" s="4">
        <f>--20000</f>
        <v>20000</v>
      </c>
      <c r="I29" s="4"/>
      <c r="J29" s="13">
        <f t="shared" si="1"/>
        <v>0</v>
      </c>
      <c r="K29" s="4"/>
      <c r="L29" s="4">
        <f t="shared" si="2"/>
        <v>36882.15</v>
      </c>
      <c r="M29" s="4"/>
      <c r="N29" s="13">
        <f t="shared" si="3"/>
        <v>1.8441075</v>
      </c>
      <c r="O29" s="10"/>
      <c r="P29" s="4">
        <f>--324468.28</f>
        <v>324468.28000000003</v>
      </c>
      <c r="Q29" s="4"/>
      <c r="R29" s="13">
        <f t="shared" si="4"/>
        <v>0</v>
      </c>
      <c r="S29" s="4"/>
      <c r="T29" s="4">
        <f>--280000</f>
        <v>280000</v>
      </c>
      <c r="U29" s="4"/>
      <c r="V29" s="13">
        <f t="shared" si="5"/>
        <v>0</v>
      </c>
      <c r="W29" s="4"/>
      <c r="X29" s="4">
        <f t="shared" si="6"/>
        <v>44468.280000000028</v>
      </c>
      <c r="Y29" s="4"/>
      <c r="Z29" s="13">
        <f t="shared" si="7"/>
        <v>0.15881528571428583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4">
        <f>SUM(D26:D30)</f>
        <v>379242.19</v>
      </c>
      <c r="E31" s="14"/>
      <c r="F31" s="35">
        <f>IF(D$12=0,0,D31/D$12)</f>
        <v>0</v>
      </c>
      <c r="G31" s="14"/>
      <c r="H31" s="34">
        <f>SUM(H26:H30)</f>
        <v>45000</v>
      </c>
      <c r="I31" s="14"/>
      <c r="J31" s="35">
        <f>IF(H$12=0,0,H31/H$12)</f>
        <v>0</v>
      </c>
      <c r="K31" s="15"/>
      <c r="L31" s="34">
        <f>+D31-H31</f>
        <v>334242.19</v>
      </c>
      <c r="M31" s="15"/>
      <c r="N31" s="35">
        <f>IF(H31=0,0,L31/H31)</f>
        <v>7.4276042222222225</v>
      </c>
      <c r="O31" s="28"/>
      <c r="P31" s="34">
        <f>SUM(P26:P30)</f>
        <v>287556.80000000005</v>
      </c>
      <c r="Q31" s="14"/>
      <c r="R31" s="35">
        <f>IF(P$12=0,0,P31/P$12)</f>
        <v>0</v>
      </c>
      <c r="S31" s="14"/>
      <c r="T31" s="34">
        <f>SUM(T26:T30)</f>
        <v>580000</v>
      </c>
      <c r="U31" s="14"/>
      <c r="V31" s="35">
        <f>IF(T$12=0,0,T31/T$12)</f>
        <v>0</v>
      </c>
      <c r="W31" s="15"/>
      <c r="X31" s="34">
        <f>+P31-T31</f>
        <v>-292443.19999999995</v>
      </c>
      <c r="Y31" s="15"/>
      <c r="Z31" s="35">
        <f>IF(T31=0,0,X31/T31)</f>
        <v>-0.50421241379310333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5">
        <v>44043.472800462965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2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3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1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","315", " - ", "Beach Shop")</f>
        <v>Department 315 - Beach Shop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168787.31000000003</v>
      </c>
      <c r="E12" s="4"/>
      <c r="F12" s="13"/>
      <c r="G12" s="4"/>
      <c r="H12" s="4">
        <f>SUM(OSRRefH13x_0)</f>
        <v>237026</v>
      </c>
      <c r="I12" s="4"/>
      <c r="J12" s="13"/>
      <c r="K12" s="4"/>
      <c r="L12" s="4">
        <f t="shared" ref="L12:L34" si="0">+D12-H12</f>
        <v>-68238.689999999973</v>
      </c>
      <c r="M12" s="4"/>
      <c r="N12" s="13">
        <f t="shared" ref="N12:N34" si="1">IF(H12=0,0,L12/H12)</f>
        <v>-0.2878953785660644</v>
      </c>
      <c r="O12" s="10"/>
      <c r="P12" s="4">
        <f>SUM(OSRRefP13x_0)</f>
        <v>2506400.3400000003</v>
      </c>
      <c r="Q12" s="4"/>
      <c r="R12" s="13"/>
      <c r="S12" s="4"/>
      <c r="T12" s="4">
        <f>SUM(OSRRefT13x_0)</f>
        <v>3375060</v>
      </c>
      <c r="U12" s="4"/>
      <c r="V12" s="13"/>
      <c r="W12" s="4"/>
      <c r="X12" s="4">
        <f t="shared" ref="X12:X34" si="2">+P12-T12</f>
        <v>-868659.65999999968</v>
      </c>
      <c r="Y12" s="4"/>
      <c r="Z12" s="13">
        <f t="shared" ref="Z12:Z34" si="3">IF(T12=0,0,X12/T12)</f>
        <v>-0.25737606442552124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237026</v>
      </c>
      <c r="I13" s="2"/>
      <c r="J13" s="19"/>
      <c r="K13" s="2"/>
      <c r="L13" s="2">
        <f t="shared" si="0"/>
        <v>-237026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3375060</v>
      </c>
      <c r="U13" s="2"/>
      <c r="V13" s="19"/>
      <c r="W13" s="2"/>
      <c r="X13" s="2">
        <f t="shared" si="2"/>
        <v>-3375060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"4040", " - ", "TAXABLE SALES-LOGO CLOTHING")</f>
        <v xml:space="preserve">          4040 - TAXABLE SALES-LOGO CLOTHING</v>
      </c>
      <c r="C14" s="11"/>
      <c r="D14" s="2">
        <f>--46364.3</f>
        <v>46364.3</v>
      </c>
      <c r="E14" s="2"/>
      <c r="F14" s="19"/>
      <c r="G14" s="2"/>
      <c r="H14" s="2"/>
      <c r="I14" s="2"/>
      <c r="J14" s="19"/>
      <c r="K14" s="2"/>
      <c r="L14" s="2">
        <f t="shared" si="0"/>
        <v>46364.3</v>
      </c>
      <c r="M14" s="2"/>
      <c r="N14" s="19">
        <f t="shared" si="1"/>
        <v>0</v>
      </c>
      <c r="O14" s="11"/>
      <c r="P14" s="2">
        <f>--1579400.75</f>
        <v>1579400.75</v>
      </c>
      <c r="Q14" s="2"/>
      <c r="R14" s="19"/>
      <c r="S14" s="2"/>
      <c r="T14" s="2"/>
      <c r="U14" s="2"/>
      <c r="V14" s="19"/>
      <c r="W14" s="2"/>
      <c r="X14" s="2">
        <f t="shared" si="2"/>
        <v>1579400.75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"4041", " - ", "TAXABLE SALES-LOGO GIFTS")</f>
        <v xml:space="preserve">          4041 - TAXABLE SALES-LOGO GIFTS</v>
      </c>
      <c r="C15" s="11"/>
      <c r="D15" s="2">
        <f>--29345.98</f>
        <v>29345.98</v>
      </c>
      <c r="E15" s="2"/>
      <c r="F15" s="19"/>
      <c r="G15" s="2"/>
      <c r="H15" s="2"/>
      <c r="I15" s="2"/>
      <c r="J15" s="19"/>
      <c r="K15" s="2"/>
      <c r="L15" s="2">
        <f t="shared" si="0"/>
        <v>29345.98</v>
      </c>
      <c r="M15" s="2"/>
      <c r="N15" s="19">
        <f t="shared" si="1"/>
        <v>0</v>
      </c>
      <c r="O15" s="11"/>
      <c r="P15" s="2">
        <f>--331913.65</f>
        <v>331913.65000000002</v>
      </c>
      <c r="Q15" s="2"/>
      <c r="R15" s="19"/>
      <c r="S15" s="2"/>
      <c r="T15" s="2"/>
      <c r="U15" s="2"/>
      <c r="V15" s="19"/>
      <c r="W15" s="2"/>
      <c r="X15" s="2">
        <f t="shared" si="2"/>
        <v>331913.65000000002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--2752.94</f>
        <v>2752.94</v>
      </c>
      <c r="E16" s="2"/>
      <c r="F16" s="19"/>
      <c r="G16" s="2"/>
      <c r="H16" s="2"/>
      <c r="I16" s="2"/>
      <c r="J16" s="19"/>
      <c r="K16" s="2"/>
      <c r="L16" s="2">
        <f t="shared" si="0"/>
        <v>2752.94</v>
      </c>
      <c r="M16" s="2"/>
      <c r="N16" s="19">
        <f t="shared" si="1"/>
        <v>0</v>
      </c>
      <c r="O16" s="11"/>
      <c r="P16" s="2">
        <f>--177666.21</f>
        <v>177666.21</v>
      </c>
      <c r="Q16" s="2"/>
      <c r="R16" s="19"/>
      <c r="S16" s="2"/>
      <c r="T16" s="2"/>
      <c r="U16" s="2"/>
      <c r="V16" s="19"/>
      <c r="W16" s="2"/>
      <c r="X16" s="2">
        <f t="shared" si="2"/>
        <v>177666.21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"4043", " - ", "TAXABLE SALES-CARDS")</f>
        <v xml:space="preserve">          4043 - TAXABLE SALES-CARDS</v>
      </c>
      <c r="C17" s="11"/>
      <c r="D17" s="2">
        <f>--54.96</f>
        <v>54.96</v>
      </c>
      <c r="E17" s="2"/>
      <c r="F17" s="19"/>
      <c r="G17" s="2"/>
      <c r="H17" s="2"/>
      <c r="I17" s="2"/>
      <c r="J17" s="19"/>
      <c r="K17" s="2"/>
      <c r="L17" s="2">
        <f t="shared" si="0"/>
        <v>54.96</v>
      </c>
      <c r="M17" s="2"/>
      <c r="N17" s="19">
        <f t="shared" si="1"/>
        <v>0</v>
      </c>
      <c r="O17" s="11"/>
      <c r="P17" s="2">
        <f>--74858.4</f>
        <v>74858.399999999994</v>
      </c>
      <c r="Q17" s="2"/>
      <c r="R17" s="19"/>
      <c r="S17" s="2"/>
      <c r="T17" s="2"/>
      <c r="U17" s="2"/>
      <c r="V17" s="19"/>
      <c r="W17" s="2"/>
      <c r="X17" s="2">
        <f t="shared" si="2"/>
        <v>74858.399999999994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"4044", " - ", "TAXABLE SALES-ACCESSORIES")</f>
        <v xml:space="preserve">          4044 - TAXABLE SALES-ACCESSORIES</v>
      </c>
      <c r="C18" s="11"/>
      <c r="D18" s="2">
        <f>--2524.8</f>
        <v>2524.8000000000002</v>
      </c>
      <c r="E18" s="2"/>
      <c r="F18" s="19"/>
      <c r="G18" s="2"/>
      <c r="H18" s="2"/>
      <c r="I18" s="2"/>
      <c r="J18" s="19"/>
      <c r="K18" s="2"/>
      <c r="L18" s="2">
        <f t="shared" si="0"/>
        <v>2524.8000000000002</v>
      </c>
      <c r="M18" s="2"/>
      <c r="N18" s="19">
        <f t="shared" si="1"/>
        <v>0</v>
      </c>
      <c r="O18" s="11"/>
      <c r="P18" s="2">
        <f>--69264.33</f>
        <v>69264.33</v>
      </c>
      <c r="Q18" s="2"/>
      <c r="R18" s="19"/>
      <c r="S18" s="2"/>
      <c r="T18" s="2"/>
      <c r="U18" s="2"/>
      <c r="V18" s="19"/>
      <c r="W18" s="2"/>
      <c r="X18" s="2">
        <f t="shared" si="2"/>
        <v>69264.33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--26263.53</f>
        <v>26263.53</v>
      </c>
      <c r="E19" s="2"/>
      <c r="F19" s="19"/>
      <c r="G19" s="2"/>
      <c r="H19" s="2"/>
      <c r="I19" s="2"/>
      <c r="J19" s="19"/>
      <c r="K19" s="2"/>
      <c r="L19" s="2">
        <f t="shared" si="0"/>
        <v>26263.53</v>
      </c>
      <c r="M19" s="2"/>
      <c r="N19" s="19">
        <f t="shared" si="1"/>
        <v>0</v>
      </c>
      <c r="O19" s="11"/>
      <c r="P19" s="2">
        <f>--122635.49</f>
        <v>122635.49</v>
      </c>
      <c r="Q19" s="2"/>
      <c r="R19" s="19"/>
      <c r="S19" s="2"/>
      <c r="T19" s="2"/>
      <c r="U19" s="2"/>
      <c r="V19" s="19"/>
      <c r="W19" s="2"/>
      <c r="X19" s="2">
        <f t="shared" si="2"/>
        <v>122635.49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--40740.37</f>
        <v>40740.370000000003</v>
      </c>
      <c r="E20" s="2"/>
      <c r="F20" s="19"/>
      <c r="G20" s="2"/>
      <c r="H20" s="2"/>
      <c r="I20" s="2"/>
      <c r="J20" s="19"/>
      <c r="K20" s="2"/>
      <c r="L20" s="2">
        <f t="shared" si="0"/>
        <v>40740.370000000003</v>
      </c>
      <c r="M20" s="2"/>
      <c r="N20" s="19">
        <f t="shared" si="1"/>
        <v>0</v>
      </c>
      <c r="O20" s="11"/>
      <c r="P20" s="2">
        <f>--176221.13</f>
        <v>176221.13</v>
      </c>
      <c r="Q20" s="2"/>
      <c r="R20" s="19"/>
      <c r="S20" s="2"/>
      <c r="T20" s="2"/>
      <c r="U20" s="2"/>
      <c r="V20" s="19"/>
      <c r="W20" s="2"/>
      <c r="X20" s="2">
        <f t="shared" si="2"/>
        <v>176221.13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--6534.64</f>
        <v>6534.64</v>
      </c>
      <c r="E21" s="2"/>
      <c r="F21" s="19"/>
      <c r="G21" s="2"/>
      <c r="H21" s="2"/>
      <c r="I21" s="2"/>
      <c r="J21" s="19"/>
      <c r="K21" s="2"/>
      <c r="L21" s="2">
        <f t="shared" si="0"/>
        <v>6534.64</v>
      </c>
      <c r="M21" s="2"/>
      <c r="N21" s="19">
        <f t="shared" si="1"/>
        <v>0</v>
      </c>
      <c r="O21" s="11"/>
      <c r="P21" s="2">
        <f>--22573.35</f>
        <v>22573.35</v>
      </c>
      <c r="Q21" s="2"/>
      <c r="R21" s="19"/>
      <c r="S21" s="2"/>
      <c r="T21" s="2"/>
      <c r="U21" s="2"/>
      <c r="V21" s="19"/>
      <c r="W21" s="2"/>
      <c r="X21" s="2">
        <f t="shared" si="2"/>
        <v>22573.35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--1018.52</f>
        <v>1018.52</v>
      </c>
      <c r="E22" s="2"/>
      <c r="F22" s="19"/>
      <c r="G22" s="2"/>
      <c r="H22" s="2"/>
      <c r="I22" s="2"/>
      <c r="J22" s="19"/>
      <c r="K22" s="2"/>
      <c r="L22" s="2">
        <f t="shared" si="0"/>
        <v>1018.52</v>
      </c>
      <c r="M22" s="2"/>
      <c r="N22" s="19">
        <f t="shared" si="1"/>
        <v>0</v>
      </c>
      <c r="O22" s="11"/>
      <c r="P22" s="2">
        <f>--6834.86</f>
        <v>6834.86</v>
      </c>
      <c r="Q22" s="2"/>
      <c r="R22" s="19"/>
      <c r="S22" s="2"/>
      <c r="T22" s="2"/>
      <c r="U22" s="2"/>
      <c r="V22" s="19"/>
      <c r="W22" s="2"/>
      <c r="X22" s="2">
        <f t="shared" si="2"/>
        <v>6834.86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"4143", " - ", "NON-TAXABLE SALES-CARDS")</f>
        <v xml:space="preserve">          4143 - NON-TAXABLE SALES-CARDS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--19.98</f>
        <v>19.98</v>
      </c>
      <c r="Q23" s="2"/>
      <c r="R23" s="19"/>
      <c r="S23" s="2"/>
      <c r="T23" s="2"/>
      <c r="U23" s="2"/>
      <c r="V23" s="19"/>
      <c r="W23" s="2"/>
      <c r="X23" s="2">
        <f t="shared" si="2"/>
        <v>19.98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"4144", " - ", "NON-TAXABLE SALES-ACCESSORIES")</f>
        <v xml:space="preserve">          4144 - NON-TAXABLE SALES-ACCESSORIES</v>
      </c>
      <c r="C24" s="11"/>
      <c r="D24" s="2">
        <f>--386.9</f>
        <v>386.9</v>
      </c>
      <c r="E24" s="2"/>
      <c r="F24" s="19"/>
      <c r="G24" s="2"/>
      <c r="H24" s="2"/>
      <c r="I24" s="2"/>
      <c r="J24" s="19"/>
      <c r="K24" s="2"/>
      <c r="L24" s="2">
        <f t="shared" si="0"/>
        <v>386.9</v>
      </c>
      <c r="M24" s="2"/>
      <c r="N24" s="19">
        <f t="shared" si="1"/>
        <v>0</v>
      </c>
      <c r="O24" s="11"/>
      <c r="P24" s="2">
        <f>--3710.92</f>
        <v>3710.92</v>
      </c>
      <c r="Q24" s="2"/>
      <c r="R24" s="19"/>
      <c r="S24" s="2"/>
      <c r="T24" s="2"/>
      <c r="U24" s="2"/>
      <c r="V24" s="19"/>
      <c r="W24" s="2"/>
      <c r="X24" s="2">
        <f t="shared" si="2"/>
        <v>3710.92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"4145", " - ", "NON-TAXABLE SALES-SPECIAL ORDE")</f>
        <v xml:space="preserve">          4145 - NON-TAXABLE SALES-SPECIAL ORDE</v>
      </c>
      <c r="C25" s="11"/>
      <c r="D25" s="2">
        <f>--19379.5</f>
        <v>19379.5</v>
      </c>
      <c r="E25" s="2"/>
      <c r="F25" s="19"/>
      <c r="G25" s="2"/>
      <c r="H25" s="2"/>
      <c r="I25" s="2"/>
      <c r="J25" s="19"/>
      <c r="K25" s="2"/>
      <c r="L25" s="2">
        <f t="shared" si="0"/>
        <v>19379.5</v>
      </c>
      <c r="M25" s="2"/>
      <c r="N25" s="19">
        <f t="shared" si="1"/>
        <v>0</v>
      </c>
      <c r="O25" s="11"/>
      <c r="P25" s="2">
        <f>--27208.18</f>
        <v>27208.18</v>
      </c>
      <c r="Q25" s="2"/>
      <c r="R25" s="19"/>
      <c r="S25" s="2"/>
      <c r="T25" s="2"/>
      <c r="U25" s="2"/>
      <c r="V25" s="19"/>
      <c r="W25" s="2"/>
      <c r="X25" s="2">
        <f t="shared" si="2"/>
        <v>27208.18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"4240", " - ", "SALES RETURN TAXABLE-LOGO CLOT")</f>
        <v xml:space="preserve">          4240 - SALES RETURN TAXABLE-LOGO CLOT</v>
      </c>
      <c r="C26" s="11"/>
      <c r="D26" s="2">
        <f>-2702.34</f>
        <v>-2702.34</v>
      </c>
      <c r="E26" s="2"/>
      <c r="F26" s="19"/>
      <c r="G26" s="2"/>
      <c r="H26" s="2"/>
      <c r="I26" s="2"/>
      <c r="J26" s="19"/>
      <c r="K26" s="2"/>
      <c r="L26" s="2">
        <f t="shared" si="0"/>
        <v>-2702.34</v>
      </c>
      <c r="M26" s="2"/>
      <c r="N26" s="19">
        <f t="shared" si="1"/>
        <v>0</v>
      </c>
      <c r="O26" s="11"/>
      <c r="P26" s="2">
        <f>-64264.92</f>
        <v>-64264.92</v>
      </c>
      <c r="Q26" s="2"/>
      <c r="R26" s="19"/>
      <c r="S26" s="2"/>
      <c r="T26" s="2"/>
      <c r="U26" s="2"/>
      <c r="V26" s="19"/>
      <c r="W26" s="2"/>
      <c r="X26" s="2">
        <f t="shared" si="2"/>
        <v>-64264.92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"4241", " - ", "SALES RETURN TAXABLE-LOGO GIFT")</f>
        <v xml:space="preserve">          4241 - SALES RETURN TAXABLE-LOGO GIFT</v>
      </c>
      <c r="C27" s="11"/>
      <c r="D27" s="2">
        <f>-525.51</f>
        <v>-525.51</v>
      </c>
      <c r="E27" s="2"/>
      <c r="F27" s="19"/>
      <c r="G27" s="2"/>
      <c r="H27" s="2"/>
      <c r="I27" s="2"/>
      <c r="J27" s="19"/>
      <c r="K27" s="2"/>
      <c r="L27" s="2">
        <f t="shared" si="0"/>
        <v>-525.51</v>
      </c>
      <c r="M27" s="2"/>
      <c r="N27" s="19">
        <f t="shared" si="1"/>
        <v>0</v>
      </c>
      <c r="O27" s="11"/>
      <c r="P27" s="2">
        <f>-5671.27</f>
        <v>-5671.27</v>
      </c>
      <c r="Q27" s="2"/>
      <c r="R27" s="19"/>
      <c r="S27" s="2"/>
      <c r="T27" s="2"/>
      <c r="U27" s="2"/>
      <c r="V27" s="19"/>
      <c r="W27" s="2"/>
      <c r="X27" s="2">
        <f t="shared" si="2"/>
        <v>-5671.27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"4242", " - ", "SALES RETURN TAXABLE-EVERYDAY")</f>
        <v xml:space="preserve">          4242 - SALES RETURN TAXABLE-EVERYDAY</v>
      </c>
      <c r="C28" s="11"/>
      <c r="D28" s="2">
        <f>-51.44</f>
        <v>-51.44</v>
      </c>
      <c r="E28" s="2"/>
      <c r="F28" s="19"/>
      <c r="G28" s="2"/>
      <c r="H28" s="2"/>
      <c r="I28" s="2"/>
      <c r="J28" s="19"/>
      <c r="K28" s="2"/>
      <c r="L28" s="2">
        <f t="shared" si="0"/>
        <v>-51.44</v>
      </c>
      <c r="M28" s="2"/>
      <c r="N28" s="19">
        <f t="shared" si="1"/>
        <v>0</v>
      </c>
      <c r="O28" s="11"/>
      <c r="P28" s="2">
        <f>-3154.84</f>
        <v>-3154.84</v>
      </c>
      <c r="Q28" s="2"/>
      <c r="R28" s="19"/>
      <c r="S28" s="2"/>
      <c r="T28" s="2"/>
      <c r="U28" s="2"/>
      <c r="V28" s="19"/>
      <c r="W28" s="2"/>
      <c r="X28" s="2">
        <f t="shared" si="2"/>
        <v>-3154.84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"4243", " - ", "SALES RETURN TAXABLE-CARDS")</f>
        <v xml:space="preserve">          4243 - SALES RETURN TAXABLE-CARDS</v>
      </c>
      <c r="C29" s="11"/>
      <c r="D29" s="2">
        <f>-19.99</f>
        <v>-19.989999999999998</v>
      </c>
      <c r="E29" s="2"/>
      <c r="F29" s="19"/>
      <c r="G29" s="2"/>
      <c r="H29" s="2"/>
      <c r="I29" s="2"/>
      <c r="J29" s="19"/>
      <c r="K29" s="2"/>
      <c r="L29" s="2">
        <f t="shared" si="0"/>
        <v>-19.989999999999998</v>
      </c>
      <c r="M29" s="2"/>
      <c r="N29" s="19">
        <f t="shared" si="1"/>
        <v>0</v>
      </c>
      <c r="O29" s="11"/>
      <c r="P29" s="2">
        <f>-3026.3</f>
        <v>-3026.3</v>
      </c>
      <c r="Q29" s="2"/>
      <c r="R29" s="19"/>
      <c r="S29" s="2"/>
      <c r="T29" s="2"/>
      <c r="U29" s="2"/>
      <c r="V29" s="19"/>
      <c r="W29" s="2"/>
      <c r="X29" s="2">
        <f t="shared" si="2"/>
        <v>-3026.3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"4244", " - ", "SALES RETURN TAXABLE-ACCESSORI")</f>
        <v xml:space="preserve">          4244 - SALES RETURN TAXABLE-ACCESSORI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-2595.61</f>
        <v>-2595.61</v>
      </c>
      <c r="Q30" s="2"/>
      <c r="R30" s="19"/>
      <c r="S30" s="2"/>
      <c r="T30" s="2"/>
      <c r="U30" s="2"/>
      <c r="V30" s="19"/>
      <c r="W30" s="2"/>
      <c r="X30" s="2">
        <f t="shared" si="2"/>
        <v>-2595.61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>-2187.5</f>
        <v>-2187.5</v>
      </c>
      <c r="E31" s="2"/>
      <c r="F31" s="19"/>
      <c r="G31" s="2"/>
      <c r="H31" s="2"/>
      <c r="I31" s="2"/>
      <c r="J31" s="19"/>
      <c r="K31" s="2"/>
      <c r="L31" s="2">
        <f t="shared" si="0"/>
        <v>-2187.5</v>
      </c>
      <c r="M31" s="2"/>
      <c r="N31" s="19">
        <f t="shared" si="1"/>
        <v>0</v>
      </c>
      <c r="O31" s="11"/>
      <c r="P31" s="2">
        <f>-4087.54</f>
        <v>-4087.54</v>
      </c>
      <c r="Q31" s="2"/>
      <c r="R31" s="19"/>
      <c r="S31" s="2"/>
      <c r="T31" s="2"/>
      <c r="U31" s="2"/>
      <c r="V31" s="19"/>
      <c r="W31" s="2"/>
      <c r="X31" s="2">
        <f t="shared" si="2"/>
        <v>-4087.54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"4340", " - ", "SALES RETURN NON TAXABLE-LOGO")</f>
        <v xml:space="preserve">          4340 - SALES RETURN NON TAXABLE-LOGO</v>
      </c>
      <c r="C32" s="11"/>
      <c r="D32" s="2">
        <f>-1045.65</f>
        <v>-1045.6500000000001</v>
      </c>
      <c r="E32" s="2"/>
      <c r="F32" s="19"/>
      <c r="G32" s="2"/>
      <c r="H32" s="2"/>
      <c r="I32" s="2"/>
      <c r="J32" s="19"/>
      <c r="K32" s="2"/>
      <c r="L32" s="2">
        <f t="shared" si="0"/>
        <v>-1045.6500000000001</v>
      </c>
      <c r="M32" s="2"/>
      <c r="N32" s="19">
        <f t="shared" si="1"/>
        <v>0</v>
      </c>
      <c r="O32" s="11"/>
      <c r="P32" s="2">
        <f>-2664.48</f>
        <v>-2664.48</v>
      </c>
      <c r="Q32" s="2"/>
      <c r="R32" s="19"/>
      <c r="S32" s="2"/>
      <c r="T32" s="2"/>
      <c r="U32" s="2"/>
      <c r="V32" s="19"/>
      <c r="W32" s="2"/>
      <c r="X32" s="2">
        <f t="shared" si="2"/>
        <v>-2664.48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"4341", " - ", "SALES RETURN NON TAXABLE-LOGO")</f>
        <v xml:space="preserve">          4341 - SALES RETURN NON TAXABLE-LOGO</v>
      </c>
      <c r="C33" s="11"/>
      <c r="D33" s="2">
        <f>-9.9</f>
        <v>-9.9</v>
      </c>
      <c r="E33" s="2"/>
      <c r="F33" s="19"/>
      <c r="G33" s="2"/>
      <c r="H33" s="2"/>
      <c r="I33" s="2"/>
      <c r="J33" s="19"/>
      <c r="K33" s="2"/>
      <c r="L33" s="2">
        <f t="shared" si="0"/>
        <v>-9.9</v>
      </c>
      <c r="M33" s="2"/>
      <c r="N33" s="19">
        <f t="shared" si="1"/>
        <v>0</v>
      </c>
      <c r="O33" s="11"/>
      <c r="P33" s="2">
        <f>-295.35</f>
        <v>-295.35000000000002</v>
      </c>
      <c r="Q33" s="2"/>
      <c r="R33" s="19"/>
      <c r="S33" s="2"/>
      <c r="T33" s="2"/>
      <c r="U33" s="2"/>
      <c r="V33" s="19"/>
      <c r="W33" s="2"/>
      <c r="X33" s="2">
        <f t="shared" si="2"/>
        <v>-295.35000000000002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"4342", " - ", "SALES RETURN NON TAXABLE-EVERY")</f>
        <v xml:space="preserve">          4342 - SALES RETURN NON TAXABLE-EVERY</v>
      </c>
      <c r="C34" s="11"/>
      <c r="D34" s="2">
        <f>-36.8</f>
        <v>-36.799999999999997</v>
      </c>
      <c r="E34" s="2"/>
      <c r="F34" s="19"/>
      <c r="G34" s="2"/>
      <c r="H34" s="2"/>
      <c r="I34" s="2"/>
      <c r="J34" s="19"/>
      <c r="K34" s="2"/>
      <c r="L34" s="2">
        <f t="shared" si="0"/>
        <v>-36.799999999999997</v>
      </c>
      <c r="M34" s="2"/>
      <c r="N34" s="19">
        <f t="shared" si="1"/>
        <v>0</v>
      </c>
      <c r="O34" s="11"/>
      <c r="P34" s="2">
        <f>-146.6</f>
        <v>-146.6</v>
      </c>
      <c r="Q34" s="2"/>
      <c r="R34" s="19"/>
      <c r="S34" s="2"/>
      <c r="T34" s="2"/>
      <c r="U34" s="2"/>
      <c r="V34" s="19"/>
      <c r="W34" s="2"/>
      <c r="X34" s="2">
        <f t="shared" si="2"/>
        <v>-146.6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8" t="s">
        <v>8</v>
      </c>
      <c r="C36" s="10"/>
      <c r="D36" s="4">
        <f>SUM(OSRRefD16x_0)</f>
        <v>104924.83</v>
      </c>
      <c r="E36" s="4"/>
      <c r="F36" s="13">
        <f t="shared" ref="F36:F52" si="4">IF(D$12=0,0,D36/D$12)</f>
        <v>0.6216393282172693</v>
      </c>
      <c r="G36" s="4"/>
      <c r="H36" s="4">
        <f>SUM(OSRRefH16x_0)</f>
        <v>114590</v>
      </c>
      <c r="I36" s="4"/>
      <c r="J36" s="13">
        <f t="shared" ref="J36:J52" si="5">IF(H$12=0,0,H36/H$12)</f>
        <v>0.4834490730974661</v>
      </c>
      <c r="K36" s="4"/>
      <c r="L36" s="4">
        <f t="shared" ref="L36:L52" si="6">+D36-H36</f>
        <v>-9665.1699999999983</v>
      </c>
      <c r="M36" s="4"/>
      <c r="N36" s="13">
        <f t="shared" ref="N36:N52" si="7">IF(H36=0,0,L36/H36)</f>
        <v>-8.434566716118333E-2</v>
      </c>
      <c r="O36" s="10"/>
      <c r="P36" s="4">
        <f>SUM(OSRRefP16x_0)</f>
        <v>1202402.33</v>
      </c>
      <c r="Q36" s="4"/>
      <c r="R36" s="13">
        <f t="shared" ref="R36:R52" si="8">IF(P$12=0,0,P36/P$12)</f>
        <v>0.47973275091400597</v>
      </c>
      <c r="S36" s="4"/>
      <c r="T36" s="4">
        <f>SUM(OSRRefT16x_0)</f>
        <v>1546969</v>
      </c>
      <c r="U36" s="4"/>
      <c r="V36" s="13">
        <f t="shared" ref="V36:V52" si="9">IF(T$12=0,0,T36/T$12)</f>
        <v>0.4583530366867552</v>
      </c>
      <c r="W36" s="4"/>
      <c r="X36" s="4">
        <f t="shared" ref="X36:X52" si="10">+P36-T36</f>
        <v>-344566.66999999993</v>
      </c>
      <c r="Y36" s="4"/>
      <c r="Z36" s="13">
        <f t="shared" ref="Z36:Z52" si="11">IF(T36=0,0,X36/T36)</f>
        <v>-0.22273663531719118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4"/>
        <v>0</v>
      </c>
      <c r="G37" s="2"/>
      <c r="H37" s="2">
        <v>114590</v>
      </c>
      <c r="I37" s="2"/>
      <c r="J37" s="19">
        <f t="shared" si="5"/>
        <v>0.4834490730974661</v>
      </c>
      <c r="K37" s="2"/>
      <c r="L37" s="2">
        <f t="shared" si="6"/>
        <v>-114590</v>
      </c>
      <c r="M37" s="2"/>
      <c r="N37" s="19">
        <f t="shared" si="7"/>
        <v>-1</v>
      </c>
      <c r="O37" s="11"/>
      <c r="P37" s="2">
        <v>0</v>
      </c>
      <c r="Q37" s="2"/>
      <c r="R37" s="19">
        <f t="shared" si="8"/>
        <v>0</v>
      </c>
      <c r="S37" s="2"/>
      <c r="T37" s="2">
        <v>1546969</v>
      </c>
      <c r="U37" s="2"/>
      <c r="V37" s="19">
        <f t="shared" si="9"/>
        <v>0.4583530366867552</v>
      </c>
      <c r="W37" s="2"/>
      <c r="X37" s="2">
        <f t="shared" si="10"/>
        <v>-1546969</v>
      </c>
      <c r="Y37" s="2"/>
      <c r="Z37" s="19">
        <f t="shared" si="11"/>
        <v>-1</v>
      </c>
    </row>
    <row r="38" spans="1:26" s="24" customFormat="1" hidden="1" outlineLevel="1" x14ac:dyDescent="0.25">
      <c r="A38" s="44"/>
      <c r="B38" s="11" t="str">
        <f>CONCATENATE("          ", "5040", " - ", "PURCHASES @ COST-LOGO CLOTHING")</f>
        <v xml:space="preserve">          5040 - PURCHASES @ COST-LOGO CLOTHING</v>
      </c>
      <c r="C38" s="11"/>
      <c r="D38" s="2">
        <v>26085.52</v>
      </c>
      <c r="E38" s="2"/>
      <c r="F38" s="19">
        <f t="shared" si="4"/>
        <v>0.15454668955859299</v>
      </c>
      <c r="G38" s="2"/>
      <c r="H38" s="2"/>
      <c r="I38" s="2"/>
      <c r="J38" s="19">
        <f t="shared" si="5"/>
        <v>0</v>
      </c>
      <c r="K38" s="2"/>
      <c r="L38" s="2">
        <f t="shared" si="6"/>
        <v>26085.52</v>
      </c>
      <c r="M38" s="2"/>
      <c r="N38" s="19">
        <f t="shared" si="7"/>
        <v>0</v>
      </c>
      <c r="O38" s="11"/>
      <c r="P38" s="2">
        <v>838896.02</v>
      </c>
      <c r="Q38" s="2"/>
      <c r="R38" s="19">
        <f t="shared" si="8"/>
        <v>0.33470152657256658</v>
      </c>
      <c r="S38" s="2"/>
      <c r="T38" s="2"/>
      <c r="U38" s="2"/>
      <c r="V38" s="19">
        <f t="shared" si="9"/>
        <v>0</v>
      </c>
      <c r="W38" s="2"/>
      <c r="X38" s="2">
        <f t="shared" si="10"/>
        <v>838896.02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"5041", " - ", "PURCHASES @ COST-LOGO GIFTS")</f>
        <v xml:space="preserve">          5041 - PURCHASES @ COST-LOGO GIFTS</v>
      </c>
      <c r="C39" s="11"/>
      <c r="D39" s="2">
        <v>19462.47</v>
      </c>
      <c r="E39" s="2"/>
      <c r="F39" s="19">
        <f t="shared" si="4"/>
        <v>0.11530766145867244</v>
      </c>
      <c r="G39" s="2"/>
      <c r="H39" s="2"/>
      <c r="I39" s="2"/>
      <c r="J39" s="19">
        <f t="shared" si="5"/>
        <v>0</v>
      </c>
      <c r="K39" s="2"/>
      <c r="L39" s="2">
        <f t="shared" si="6"/>
        <v>19462.47</v>
      </c>
      <c r="M39" s="2"/>
      <c r="N39" s="19">
        <f t="shared" si="7"/>
        <v>0</v>
      </c>
      <c r="O39" s="11"/>
      <c r="P39" s="2">
        <v>144446.13</v>
      </c>
      <c r="Q39" s="2"/>
      <c r="R39" s="19">
        <f t="shared" si="8"/>
        <v>5.7630909035066596E-2</v>
      </c>
      <c r="S39" s="2"/>
      <c r="T39" s="2"/>
      <c r="U39" s="2"/>
      <c r="V39" s="19">
        <f t="shared" si="9"/>
        <v>0</v>
      </c>
      <c r="W39" s="2"/>
      <c r="X39" s="2">
        <f t="shared" si="10"/>
        <v>144446.13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"5042", " - ", "PURCHASES @ COST-EVERYDAY GIFT")</f>
        <v xml:space="preserve">          5042 - PURCHASES @ COST-EVERYDAY GIFT</v>
      </c>
      <c r="C40" s="11"/>
      <c r="D40" s="2">
        <v>-124.42</v>
      </c>
      <c r="E40" s="2"/>
      <c r="F40" s="19">
        <f t="shared" si="4"/>
        <v>-7.3714072461964104E-4</v>
      </c>
      <c r="G40" s="2"/>
      <c r="H40" s="2"/>
      <c r="I40" s="2"/>
      <c r="J40" s="19">
        <f t="shared" si="5"/>
        <v>0</v>
      </c>
      <c r="K40" s="2"/>
      <c r="L40" s="2">
        <f t="shared" si="6"/>
        <v>-124.42</v>
      </c>
      <c r="M40" s="2"/>
      <c r="N40" s="19">
        <f t="shared" si="7"/>
        <v>0</v>
      </c>
      <c r="O40" s="11"/>
      <c r="P40" s="2">
        <v>106138.08</v>
      </c>
      <c r="Q40" s="2"/>
      <c r="R40" s="19">
        <f t="shared" si="8"/>
        <v>4.2346818385765136E-2</v>
      </c>
      <c r="S40" s="2"/>
      <c r="T40" s="2"/>
      <c r="U40" s="2"/>
      <c r="V40" s="19">
        <f t="shared" si="9"/>
        <v>0</v>
      </c>
      <c r="W40" s="2"/>
      <c r="X40" s="2">
        <f t="shared" si="10"/>
        <v>106138.08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"5043", " - ", "PURCHASES @ COST-CARDS")</f>
        <v xml:space="preserve">          5043 - PURCHASES @ COST-CARDS</v>
      </c>
      <c r="C41" s="11"/>
      <c r="D41" s="2">
        <v>6.51</v>
      </c>
      <c r="E41" s="2"/>
      <c r="F41" s="19">
        <f t="shared" si="4"/>
        <v>3.8569250259394496E-5</v>
      </c>
      <c r="G41" s="2"/>
      <c r="H41" s="2"/>
      <c r="I41" s="2"/>
      <c r="J41" s="19">
        <f t="shared" si="5"/>
        <v>0</v>
      </c>
      <c r="K41" s="2"/>
      <c r="L41" s="2">
        <f t="shared" si="6"/>
        <v>6.51</v>
      </c>
      <c r="M41" s="2"/>
      <c r="N41" s="19">
        <f t="shared" si="7"/>
        <v>0</v>
      </c>
      <c r="O41" s="11"/>
      <c r="P41" s="2">
        <v>30766.700000000004</v>
      </c>
      <c r="Q41" s="2"/>
      <c r="R41" s="19">
        <f t="shared" si="8"/>
        <v>1.2275253681141777E-2</v>
      </c>
      <c r="S41" s="2"/>
      <c r="T41" s="2"/>
      <c r="U41" s="2"/>
      <c r="V41" s="19">
        <f t="shared" si="9"/>
        <v>0</v>
      </c>
      <c r="W41" s="2"/>
      <c r="X41" s="2">
        <f t="shared" si="10"/>
        <v>30766.700000000004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"5044", " - ", "PURCHASES @ COST-ACCESSORIES")</f>
        <v xml:space="preserve">          5044 - PURCHASES @ COST-ACCESSORIES</v>
      </c>
      <c r="C42" s="11"/>
      <c r="D42" s="2">
        <v>1263.75</v>
      </c>
      <c r="E42" s="2"/>
      <c r="F42" s="19">
        <f t="shared" si="4"/>
        <v>7.4872334892948991E-3</v>
      </c>
      <c r="G42" s="2"/>
      <c r="H42" s="2"/>
      <c r="I42" s="2"/>
      <c r="J42" s="19">
        <f t="shared" si="5"/>
        <v>0</v>
      </c>
      <c r="K42" s="2"/>
      <c r="L42" s="2">
        <f t="shared" si="6"/>
        <v>1263.75</v>
      </c>
      <c r="M42" s="2"/>
      <c r="N42" s="19">
        <f t="shared" si="7"/>
        <v>0</v>
      </c>
      <c r="O42" s="11"/>
      <c r="P42" s="2">
        <v>43605.630000000005</v>
      </c>
      <c r="Q42" s="2"/>
      <c r="R42" s="19">
        <f t="shared" si="8"/>
        <v>1.7397711492490461E-2</v>
      </c>
      <c r="S42" s="2"/>
      <c r="T42" s="2"/>
      <c r="U42" s="2"/>
      <c r="V42" s="19">
        <f t="shared" si="9"/>
        <v>0</v>
      </c>
      <c r="W42" s="2"/>
      <c r="X42" s="2">
        <f t="shared" si="10"/>
        <v>43605.630000000005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"5045", " - ", "PURCHASES @ COST-SPECIAL ORDER")</f>
        <v xml:space="preserve">          5045 - PURCHASES @ COST-SPECIAL ORDER</v>
      </c>
      <c r="C43" s="11"/>
      <c r="D43" s="2">
        <v>52772.409999999996</v>
      </c>
      <c r="E43" s="2"/>
      <c r="F43" s="19">
        <f t="shared" si="4"/>
        <v>0.31265626545028763</v>
      </c>
      <c r="G43" s="2"/>
      <c r="H43" s="2"/>
      <c r="I43" s="2"/>
      <c r="J43" s="19">
        <f t="shared" si="5"/>
        <v>0</v>
      </c>
      <c r="K43" s="2"/>
      <c r="L43" s="2">
        <f t="shared" si="6"/>
        <v>52772.409999999996</v>
      </c>
      <c r="M43" s="2"/>
      <c r="N43" s="19">
        <f t="shared" si="7"/>
        <v>0</v>
      </c>
      <c r="O43" s="11"/>
      <c r="P43" s="2">
        <v>132613.01</v>
      </c>
      <c r="Q43" s="2"/>
      <c r="R43" s="19">
        <f t="shared" si="8"/>
        <v>5.2909747849778858E-2</v>
      </c>
      <c r="S43" s="2"/>
      <c r="T43" s="2"/>
      <c r="U43" s="2"/>
      <c r="V43" s="19">
        <f t="shared" si="9"/>
        <v>0</v>
      </c>
      <c r="W43" s="2"/>
      <c r="X43" s="2">
        <f t="shared" si="10"/>
        <v>132613.01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-100202</v>
      </c>
      <c r="E44" s="2"/>
      <c r="F44" s="19">
        <f t="shared" si="4"/>
        <v>-0.59365837396188126</v>
      </c>
      <c r="G44" s="2"/>
      <c r="H44" s="2"/>
      <c r="I44" s="2"/>
      <c r="J44" s="19">
        <f t="shared" si="5"/>
        <v>0</v>
      </c>
      <c r="K44" s="2"/>
      <c r="L44" s="2">
        <f t="shared" si="6"/>
        <v>-100202</v>
      </c>
      <c r="M44" s="2"/>
      <c r="N44" s="19">
        <f t="shared" si="7"/>
        <v>0</v>
      </c>
      <c r="O44" s="11"/>
      <c r="P44" s="2">
        <v>-1341591</v>
      </c>
      <c r="Q44" s="2"/>
      <c r="R44" s="19">
        <f t="shared" si="8"/>
        <v>-0.53526604612573581</v>
      </c>
      <c r="S44" s="2"/>
      <c r="T44" s="2"/>
      <c r="U44" s="2"/>
      <c r="V44" s="19">
        <f t="shared" si="9"/>
        <v>0</v>
      </c>
      <c r="W44" s="2"/>
      <c r="X44" s="2">
        <f t="shared" si="10"/>
        <v>-1341591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104927</v>
      </c>
      <c r="E45" s="2"/>
      <c r="F45" s="19">
        <f t="shared" si="4"/>
        <v>0.6216521846340225</v>
      </c>
      <c r="G45" s="2"/>
      <c r="H45" s="2"/>
      <c r="I45" s="2"/>
      <c r="J45" s="19">
        <f t="shared" si="5"/>
        <v>0</v>
      </c>
      <c r="K45" s="2"/>
      <c r="L45" s="2">
        <f t="shared" si="6"/>
        <v>104927</v>
      </c>
      <c r="M45" s="2"/>
      <c r="N45" s="19">
        <f t="shared" si="7"/>
        <v>0</v>
      </c>
      <c r="O45" s="11"/>
      <c r="P45" s="2">
        <v>1202377</v>
      </c>
      <c r="Q45" s="2"/>
      <c r="R45" s="19">
        <f t="shared" si="8"/>
        <v>0.47972264478706533</v>
      </c>
      <c r="S45" s="2"/>
      <c r="T45" s="2"/>
      <c r="U45" s="2"/>
      <c r="V45" s="19">
        <f t="shared" si="9"/>
        <v>0</v>
      </c>
      <c r="W45" s="2"/>
      <c r="X45" s="2">
        <f t="shared" si="10"/>
        <v>1202377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29.23</v>
      </c>
      <c r="Q46" s="2"/>
      <c r="R46" s="19">
        <f t="shared" si="8"/>
        <v>1.1662143327031305E-5</v>
      </c>
      <c r="S46" s="2"/>
      <c r="T46" s="2"/>
      <c r="U46" s="2"/>
      <c r="V46" s="19">
        <f t="shared" si="9"/>
        <v>0</v>
      </c>
      <c r="W46" s="2"/>
      <c r="X46" s="2">
        <f t="shared" si="10"/>
        <v>29.23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"5540", " - ", "FREIGHT-IN-LOGO CLOTHING")</f>
        <v xml:space="preserve">          5540 - FREIGHT-IN-LOGO CLOTHING</v>
      </c>
      <c r="C47" s="11"/>
      <c r="D47" s="2">
        <v>29.98</v>
      </c>
      <c r="E47" s="2"/>
      <c r="F47" s="19">
        <f t="shared" si="4"/>
        <v>1.7761998813773378E-4</v>
      </c>
      <c r="G47" s="2"/>
      <c r="H47" s="2"/>
      <c r="I47" s="2"/>
      <c r="J47" s="19">
        <f t="shared" si="5"/>
        <v>0</v>
      </c>
      <c r="K47" s="2"/>
      <c r="L47" s="2">
        <f t="shared" si="6"/>
        <v>29.98</v>
      </c>
      <c r="M47" s="2"/>
      <c r="N47" s="19">
        <f t="shared" si="7"/>
        <v>0</v>
      </c>
      <c r="O47" s="11"/>
      <c r="P47" s="2">
        <v>32492.79</v>
      </c>
      <c r="Q47" s="2"/>
      <c r="R47" s="19">
        <f t="shared" si="8"/>
        <v>1.2963926584848771E-2</v>
      </c>
      <c r="S47" s="2"/>
      <c r="T47" s="2"/>
      <c r="U47" s="2"/>
      <c r="V47" s="19">
        <f t="shared" si="9"/>
        <v>0</v>
      </c>
      <c r="W47" s="2"/>
      <c r="X47" s="2">
        <f t="shared" si="10"/>
        <v>32492.79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"5541", " - ", "FREIGHT-IN-LOGO GIFTS")</f>
        <v xml:space="preserve">          5541 - FREIGHT-IN-LOGO GIFTS</v>
      </c>
      <c r="C48" s="11"/>
      <c r="D48" s="2">
        <v>348.31</v>
      </c>
      <c r="E48" s="2"/>
      <c r="F48" s="19">
        <f t="shared" si="4"/>
        <v>2.063603004277987E-3</v>
      </c>
      <c r="G48" s="2"/>
      <c r="H48" s="2"/>
      <c r="I48" s="2"/>
      <c r="J48" s="19">
        <f t="shared" si="5"/>
        <v>0</v>
      </c>
      <c r="K48" s="2"/>
      <c r="L48" s="2">
        <f t="shared" si="6"/>
        <v>348.31</v>
      </c>
      <c r="M48" s="2"/>
      <c r="N48" s="19">
        <f t="shared" si="7"/>
        <v>0</v>
      </c>
      <c r="O48" s="11"/>
      <c r="P48" s="2">
        <v>5574.41</v>
      </c>
      <c r="Q48" s="2"/>
      <c r="R48" s="19">
        <f t="shared" si="8"/>
        <v>2.2240700781264652E-3</v>
      </c>
      <c r="S48" s="2"/>
      <c r="T48" s="2"/>
      <c r="U48" s="2"/>
      <c r="V48" s="19">
        <f t="shared" si="9"/>
        <v>0</v>
      </c>
      <c r="W48" s="2"/>
      <c r="X48" s="2">
        <f t="shared" si="10"/>
        <v>5574.41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"5542", " - ", "FREIGHT-IN-EVERYDAY GIFTS")</f>
        <v xml:space="preserve">          5542 - FREIGHT-IN-EVERYDAY GIFTS</v>
      </c>
      <c r="C49" s="11"/>
      <c r="D49" s="2"/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2223.5100000000002</v>
      </c>
      <c r="Q49" s="2"/>
      <c r="R49" s="19">
        <f t="shared" si="8"/>
        <v>8.8713281933244553E-4</v>
      </c>
      <c r="S49" s="2"/>
      <c r="T49" s="2"/>
      <c r="U49" s="2"/>
      <c r="V49" s="19">
        <f t="shared" si="9"/>
        <v>0</v>
      </c>
      <c r="W49" s="2"/>
      <c r="X49" s="2">
        <f t="shared" si="10"/>
        <v>2223.5100000000002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"5543", " - ", "FREIGHT-IN-CARDS")</f>
        <v xml:space="preserve">          5543 - FREIGHT-IN-CARDS</v>
      </c>
      <c r="C50" s="11"/>
      <c r="D50" s="2"/>
      <c r="E50" s="2"/>
      <c r="F50" s="19">
        <f t="shared" si="4"/>
        <v>0</v>
      </c>
      <c r="G50" s="2"/>
      <c r="H50" s="2"/>
      <c r="I50" s="2"/>
      <c r="J50" s="19">
        <f t="shared" si="5"/>
        <v>0</v>
      </c>
      <c r="K50" s="2"/>
      <c r="L50" s="2">
        <f t="shared" si="6"/>
        <v>0</v>
      </c>
      <c r="M50" s="2"/>
      <c r="N50" s="19">
        <f t="shared" si="7"/>
        <v>0</v>
      </c>
      <c r="O50" s="11"/>
      <c r="P50" s="2">
        <v>2926.76</v>
      </c>
      <c r="Q50" s="2"/>
      <c r="R50" s="19">
        <f t="shared" si="8"/>
        <v>1.1677144920910758E-3</v>
      </c>
      <c r="S50" s="2"/>
      <c r="T50" s="2"/>
      <c r="U50" s="2"/>
      <c r="V50" s="19">
        <f t="shared" si="9"/>
        <v>0</v>
      </c>
      <c r="W50" s="2"/>
      <c r="X50" s="2">
        <f t="shared" si="10"/>
        <v>2926.76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"5544", " - ", "FREIGHT-IN-ACCESSORIES")</f>
        <v xml:space="preserve">          5544 - FREIGHT-IN-ACCESSORIES</v>
      </c>
      <c r="C51" s="11"/>
      <c r="D51" s="2"/>
      <c r="E51" s="2"/>
      <c r="F51" s="19">
        <f t="shared" si="4"/>
        <v>0</v>
      </c>
      <c r="G51" s="2"/>
      <c r="H51" s="2"/>
      <c r="I51" s="2"/>
      <c r="J51" s="19">
        <f t="shared" si="5"/>
        <v>0</v>
      </c>
      <c r="K51" s="2"/>
      <c r="L51" s="2">
        <f t="shared" si="6"/>
        <v>0</v>
      </c>
      <c r="M51" s="2"/>
      <c r="N51" s="19">
        <f t="shared" si="7"/>
        <v>0</v>
      </c>
      <c r="O51" s="11"/>
      <c r="P51" s="2">
        <v>483.44</v>
      </c>
      <c r="Q51" s="2"/>
      <c r="R51" s="19">
        <f t="shared" si="8"/>
        <v>1.9288219534793072E-4</v>
      </c>
      <c r="S51" s="2"/>
      <c r="T51" s="2"/>
      <c r="U51" s="2"/>
      <c r="V51" s="19">
        <f t="shared" si="9"/>
        <v>0</v>
      </c>
      <c r="W51" s="2"/>
      <c r="X51" s="2">
        <f t="shared" si="10"/>
        <v>483.44</v>
      </c>
      <c r="Y51" s="2"/>
      <c r="Z51" s="19">
        <f t="shared" si="11"/>
        <v>0</v>
      </c>
    </row>
    <row r="52" spans="1:26" s="24" customFormat="1" hidden="1" outlineLevel="1" x14ac:dyDescent="0.25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>
        <v>355.3</v>
      </c>
      <c r="E52" s="2"/>
      <c r="F52" s="19">
        <f t="shared" si="4"/>
        <v>2.1050160702247105E-3</v>
      </c>
      <c r="G52" s="2"/>
      <c r="H52" s="2"/>
      <c r="I52" s="2"/>
      <c r="J52" s="19">
        <f t="shared" si="5"/>
        <v>0</v>
      </c>
      <c r="K52" s="2"/>
      <c r="L52" s="2">
        <f t="shared" si="6"/>
        <v>355.3</v>
      </c>
      <c r="M52" s="2"/>
      <c r="N52" s="19">
        <f t="shared" si="7"/>
        <v>0</v>
      </c>
      <c r="O52" s="11"/>
      <c r="P52" s="2">
        <v>1420.62</v>
      </c>
      <c r="Q52" s="2"/>
      <c r="R52" s="19">
        <f t="shared" si="8"/>
        <v>5.6679692279326763E-4</v>
      </c>
      <c r="S52" s="2"/>
      <c r="T52" s="2"/>
      <c r="U52" s="2"/>
      <c r="V52" s="19">
        <f t="shared" si="9"/>
        <v>0</v>
      </c>
      <c r="W52" s="2"/>
      <c r="X52" s="2">
        <f t="shared" si="10"/>
        <v>1420.62</v>
      </c>
      <c r="Y52" s="2"/>
      <c r="Z52" s="19">
        <f t="shared" si="11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2">
        <f>D12-D36</f>
        <v>63862.480000000025</v>
      </c>
      <c r="E54" s="14"/>
      <c r="F54" s="20">
        <f>IF(D$12=0,0,D54/D$12)</f>
        <v>0.3783606717827307</v>
      </c>
      <c r="G54" s="14"/>
      <c r="H54" s="22">
        <f>H12-H36</f>
        <v>122436</v>
      </c>
      <c r="I54" s="14"/>
      <c r="J54" s="20">
        <f>IF(H$12=0,0,H54/H$12)</f>
        <v>0.5165509269025339</v>
      </c>
      <c r="K54" s="15"/>
      <c r="L54" s="22">
        <f>+D54-H54</f>
        <v>-58573.519999999975</v>
      </c>
      <c r="M54" s="15"/>
      <c r="N54" s="20">
        <f>IF(H54=0,0,L54/H54)</f>
        <v>-0.47840112385246147</v>
      </c>
      <c r="O54" s="28"/>
      <c r="P54" s="22">
        <f>P12-P36</f>
        <v>1303998.0100000002</v>
      </c>
      <c r="Q54" s="14"/>
      <c r="R54" s="20">
        <f>IF(P$12=0,0,P54/P$12)</f>
        <v>0.52026724908599398</v>
      </c>
      <c r="S54" s="14"/>
      <c r="T54" s="22">
        <f>T12-T36</f>
        <v>1828091</v>
      </c>
      <c r="U54" s="14"/>
      <c r="V54" s="20">
        <f>IF(T$12=0,0,T54/T$12)</f>
        <v>0.5416469633132448</v>
      </c>
      <c r="W54" s="15"/>
      <c r="X54" s="22">
        <f>+P54-T54</f>
        <v>-524092.98999999976</v>
      </c>
      <c r="Y54" s="15"/>
      <c r="Z54" s="20">
        <f>IF(T54=0,0,X54/T54)</f>
        <v>-0.28668867687658861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96263.9</v>
      </c>
      <c r="E56" s="21"/>
      <c r="F56" s="32">
        <f t="shared" ref="F56:F66" si="12">IF(D$12=0,0,D56/D$12)</f>
        <v>0.57032664363215446</v>
      </c>
      <c r="G56" s="21"/>
      <c r="H56" s="21">
        <f>SUM(OSRRefH22x_0)</f>
        <v>67890.598665844227</v>
      </c>
      <c r="I56" s="21"/>
      <c r="J56" s="32">
        <f t="shared" ref="J56:J66" si="13">IF(H$12=0,0,H56/H$12)</f>
        <v>0.28642679986939923</v>
      </c>
      <c r="K56" s="4"/>
      <c r="L56" s="21">
        <f t="shared" ref="L56:L66" si="14">+D56-H56</f>
        <v>28373.301334155767</v>
      </c>
      <c r="M56" s="4"/>
      <c r="N56" s="32">
        <f t="shared" ref="N56:N66" si="15">IF(H56=0,0,L56/H56)</f>
        <v>0.41792681006995419</v>
      </c>
      <c r="O56" s="10"/>
      <c r="P56" s="21">
        <f>SUM(OSRRefP22x_0)</f>
        <v>779662.7300000001</v>
      </c>
      <c r="Q56" s="21"/>
      <c r="R56" s="32">
        <f t="shared" ref="R56:R66" si="16">IF(P$12=0,0,P56/P$12)</f>
        <v>0.31106871378735929</v>
      </c>
      <c r="S56" s="21"/>
      <c r="T56" s="21">
        <f>SUM(OSRRefT22x_0)</f>
        <v>734140.29848127498</v>
      </c>
      <c r="U56" s="21"/>
      <c r="V56" s="32">
        <f t="shared" ref="V56:V66" si="17">IF(T$12=0,0,T56/T$12)</f>
        <v>0.2175191843941367</v>
      </c>
      <c r="W56" s="4"/>
      <c r="X56" s="21">
        <f t="shared" ref="X56:X66" si="18">+P56-T56</f>
        <v>45522.43151872512</v>
      </c>
      <c r="Y56" s="4"/>
      <c r="Z56" s="32">
        <f t="shared" ref="Z56:Z66" si="19">IF(T56=0,0,X56/T56)</f>
        <v>6.2007809151599404E-2</v>
      </c>
    </row>
    <row r="57" spans="1:26" s="26" customFormat="1" outlineLevel="1" collapsed="1" x14ac:dyDescent="0.25">
      <c r="A57" s="25"/>
      <c r="B57" s="12" t="str">
        <f>CONCATENATE("     ","*Benefits                                         ")</f>
        <v xml:space="preserve">     *Benefits                                         </v>
      </c>
      <c r="C57" s="12"/>
      <c r="D57" s="1">
        <f>SUM(OSRRefD22_0x_0)</f>
        <v>3950.65</v>
      </c>
      <c r="E57" s="1"/>
      <c r="F57" s="5">
        <f t="shared" si="12"/>
        <v>2.3406084260718413E-2</v>
      </c>
      <c r="G57" s="1"/>
      <c r="H57" s="1">
        <f>SUM(OSRRefH22_0x_0)</f>
        <v>4975.1508100749988</v>
      </c>
      <c r="I57" s="1"/>
      <c r="J57" s="5">
        <f t="shared" si="13"/>
        <v>2.0989894821981551E-2</v>
      </c>
      <c r="K57" s="1"/>
      <c r="L57" s="1">
        <f t="shared" si="14"/>
        <v>-1024.5008100749988</v>
      </c>
      <c r="M57" s="1"/>
      <c r="N57" s="5">
        <f t="shared" si="15"/>
        <v>-0.205923568789175</v>
      </c>
      <c r="O57" s="12"/>
      <c r="P57" s="1">
        <f>SUM(OSRRefP22_0x_0)</f>
        <v>77796.89</v>
      </c>
      <c r="Q57" s="1"/>
      <c r="R57" s="5">
        <f t="shared" si="16"/>
        <v>3.1039291193201798E-2</v>
      </c>
      <c r="S57" s="1"/>
      <c r="T57" s="1">
        <f>SUM(OSRRefT22_0x_0)</f>
        <v>54547.661356275006</v>
      </c>
      <c r="U57" s="1"/>
      <c r="V57" s="5">
        <f t="shared" si="17"/>
        <v>1.616198270735187E-2</v>
      </c>
      <c r="W57" s="1"/>
      <c r="X57" s="1">
        <f t="shared" si="18"/>
        <v>23249.228643724993</v>
      </c>
      <c r="Y57" s="1"/>
      <c r="Z57" s="5">
        <f t="shared" si="19"/>
        <v>0.4262186144310377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6">
        <v>947.64</v>
      </c>
      <c r="E58" s="2"/>
      <c r="F58" s="7">
        <f t="shared" si="12"/>
        <v>5.6144031207085408E-3</v>
      </c>
      <c r="G58" s="2"/>
      <c r="H58" s="6">
        <v>1561.96262684423</v>
      </c>
      <c r="I58" s="2"/>
      <c r="J58" s="7">
        <f t="shared" si="13"/>
        <v>6.5898366712691019E-3</v>
      </c>
      <c r="K58" s="2"/>
      <c r="L58" s="6">
        <f t="shared" si="14"/>
        <v>-614.32262684423006</v>
      </c>
      <c r="M58" s="2"/>
      <c r="N58" s="7">
        <f t="shared" si="15"/>
        <v>-0.39330174505224874</v>
      </c>
      <c r="O58" s="11"/>
      <c r="P58" s="6">
        <v>14734.01</v>
      </c>
      <c r="Q58" s="2"/>
      <c r="R58" s="7">
        <f t="shared" si="16"/>
        <v>5.8785541020154822E-3</v>
      </c>
      <c r="S58" s="2"/>
      <c r="T58" s="6">
        <v>11548.967620275</v>
      </c>
      <c r="U58" s="2"/>
      <c r="V58" s="7">
        <f t="shared" si="17"/>
        <v>3.4218554989466853E-3</v>
      </c>
      <c r="W58" s="2"/>
      <c r="X58" s="6">
        <f t="shared" si="18"/>
        <v>3185.0423797250005</v>
      </c>
      <c r="Y58" s="2"/>
      <c r="Z58" s="7">
        <f t="shared" si="19"/>
        <v>0.27578589571360834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6">
        <v>203.12</v>
      </c>
      <c r="E59" s="2"/>
      <c r="F59" s="7">
        <f t="shared" si="12"/>
        <v>1.2034080050212304E-3</v>
      </c>
      <c r="G59" s="2"/>
      <c r="H59" s="6">
        <v>387.78635711538499</v>
      </c>
      <c r="I59" s="2"/>
      <c r="J59" s="7">
        <f t="shared" si="13"/>
        <v>1.6360498726527258E-3</v>
      </c>
      <c r="K59" s="2"/>
      <c r="L59" s="6">
        <f t="shared" si="14"/>
        <v>-184.66635711538498</v>
      </c>
      <c r="M59" s="2"/>
      <c r="N59" s="7">
        <f t="shared" si="15"/>
        <v>-0.47620643100767446</v>
      </c>
      <c r="O59" s="11"/>
      <c r="P59" s="6">
        <v>4540.79</v>
      </c>
      <c r="Q59" s="2"/>
      <c r="R59" s="7">
        <f t="shared" si="16"/>
        <v>1.8116778582945769E-3</v>
      </c>
      <c r="S59" s="2"/>
      <c r="T59" s="6">
        <v>5343.357127500004</v>
      </c>
      <c r="U59" s="2"/>
      <c r="V59" s="7">
        <f t="shared" si="17"/>
        <v>1.5831887810883374E-3</v>
      </c>
      <c r="W59" s="2"/>
      <c r="X59" s="6">
        <f t="shared" si="18"/>
        <v>-802.56712750000406</v>
      </c>
      <c r="Y59" s="2"/>
      <c r="Z59" s="7">
        <f t="shared" si="19"/>
        <v>-0.15019904310148571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6">
        <v>1458.55</v>
      </c>
      <c r="E60" s="2"/>
      <c r="F60" s="7">
        <f t="shared" si="12"/>
        <v>8.6413486890690987E-3</v>
      </c>
      <c r="G60" s="2"/>
      <c r="H60" s="6">
        <v>1875.25</v>
      </c>
      <c r="I60" s="2"/>
      <c r="J60" s="7">
        <f t="shared" si="13"/>
        <v>7.9115793204121068E-3</v>
      </c>
      <c r="K60" s="2"/>
      <c r="L60" s="6">
        <f t="shared" si="14"/>
        <v>-416.70000000000005</v>
      </c>
      <c r="M60" s="2"/>
      <c r="N60" s="7">
        <f t="shared" si="15"/>
        <v>-0.22221037195040663</v>
      </c>
      <c r="O60" s="11"/>
      <c r="P60" s="6">
        <v>22506.22</v>
      </c>
      <c r="Q60" s="2"/>
      <c r="R60" s="7">
        <f t="shared" si="16"/>
        <v>8.9794992606807567E-3</v>
      </c>
      <c r="S60" s="2"/>
      <c r="T60" s="6">
        <v>22503</v>
      </c>
      <c r="U60" s="2"/>
      <c r="V60" s="7">
        <f t="shared" si="17"/>
        <v>6.6674370233418077E-3</v>
      </c>
      <c r="W60" s="2"/>
      <c r="X60" s="6">
        <f t="shared" si="18"/>
        <v>3.2200000000011642</v>
      </c>
      <c r="Y60" s="2"/>
      <c r="Z60" s="7">
        <f t="shared" si="19"/>
        <v>1.430920321735397E-4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6">
        <v>-670.36</v>
      </c>
      <c r="E61" s="2"/>
      <c r="F61" s="7">
        <f t="shared" si="12"/>
        <v>-3.9716255919950375E-3</v>
      </c>
      <c r="G61" s="2"/>
      <c r="H61" s="6">
        <v>53.065501500000003</v>
      </c>
      <c r="I61" s="2"/>
      <c r="J61" s="7">
        <f t="shared" si="13"/>
        <v>2.2388050888932017E-4</v>
      </c>
      <c r="K61" s="2"/>
      <c r="L61" s="6">
        <f t="shared" si="14"/>
        <v>-723.4255015</v>
      </c>
      <c r="M61" s="2"/>
      <c r="N61" s="7">
        <f t="shared" si="15"/>
        <v>-13.632689431946666</v>
      </c>
      <c r="O61" s="11"/>
      <c r="P61" s="6">
        <v>0</v>
      </c>
      <c r="Q61" s="2"/>
      <c r="R61" s="7">
        <f t="shared" si="16"/>
        <v>0</v>
      </c>
      <c r="S61" s="2"/>
      <c r="T61" s="6">
        <v>731.19623849999994</v>
      </c>
      <c r="U61" s="2"/>
      <c r="V61" s="7">
        <f t="shared" si="17"/>
        <v>2.1664688583314073E-4</v>
      </c>
      <c r="W61" s="2"/>
      <c r="X61" s="6">
        <f t="shared" si="18"/>
        <v>-731.19623849999994</v>
      </c>
      <c r="Y61" s="2"/>
      <c r="Z61" s="7">
        <f t="shared" si="19"/>
        <v>-1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6">
        <v>691.88</v>
      </c>
      <c r="E62" s="2"/>
      <c r="F62" s="7">
        <f t="shared" si="12"/>
        <v>4.0991233286436042E-3</v>
      </c>
      <c r="G62" s="2"/>
      <c r="H62" s="6">
        <v>609.49991115384591</v>
      </c>
      <c r="I62" s="2"/>
      <c r="J62" s="7">
        <f t="shared" si="13"/>
        <v>2.5714474832037241E-3</v>
      </c>
      <c r="K62" s="2"/>
      <c r="L62" s="6">
        <f t="shared" si="14"/>
        <v>82.380088846154081</v>
      </c>
      <c r="M62" s="2"/>
      <c r="N62" s="7">
        <f t="shared" si="15"/>
        <v>0.13516013265727983</v>
      </c>
      <c r="O62" s="11"/>
      <c r="P62" s="6">
        <v>9508.2800000000007</v>
      </c>
      <c r="Q62" s="2"/>
      <c r="R62" s="7">
        <f t="shared" si="16"/>
        <v>3.7935998684072948E-3</v>
      </c>
      <c r="S62" s="2"/>
      <c r="T62" s="6">
        <v>7923.4988449999992</v>
      </c>
      <c r="U62" s="2"/>
      <c r="V62" s="7">
        <f t="shared" si="17"/>
        <v>2.3476616252748098E-3</v>
      </c>
      <c r="W62" s="2"/>
      <c r="X62" s="6">
        <f t="shared" si="18"/>
        <v>1584.7811550000015</v>
      </c>
      <c r="Y62" s="2"/>
      <c r="Z62" s="7">
        <f t="shared" si="19"/>
        <v>0.20001027147243836</v>
      </c>
    </row>
    <row r="63" spans="1:26" s="24" customFormat="1" hidden="1" outlineLevel="2" x14ac:dyDescent="0.25">
      <c r="A63" s="27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2"/>
        <v>0</v>
      </c>
      <c r="G63" s="2"/>
      <c r="H63" s="6">
        <v>0</v>
      </c>
      <c r="I63" s="2"/>
      <c r="J63" s="7">
        <f t="shared" si="13"/>
        <v>0</v>
      </c>
      <c r="K63" s="2"/>
      <c r="L63" s="6">
        <f t="shared" si="14"/>
        <v>0</v>
      </c>
      <c r="M63" s="2"/>
      <c r="N63" s="7">
        <f t="shared" si="15"/>
        <v>0</v>
      </c>
      <c r="O63" s="11"/>
      <c r="P63" s="6"/>
      <c r="Q63" s="2"/>
      <c r="R63" s="7">
        <f t="shared" si="16"/>
        <v>0</v>
      </c>
      <c r="S63" s="2"/>
      <c r="T63" s="6">
        <v>0</v>
      </c>
      <c r="U63" s="2"/>
      <c r="V63" s="7">
        <f t="shared" si="17"/>
        <v>0</v>
      </c>
      <c r="W63" s="2"/>
      <c r="X63" s="6">
        <f t="shared" si="18"/>
        <v>0</v>
      </c>
      <c r="Y63" s="2"/>
      <c r="Z63" s="7">
        <f t="shared" si="19"/>
        <v>0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6">
        <v>694.46</v>
      </c>
      <c r="E64" s="2"/>
      <c r="F64" s="7">
        <f t="shared" si="12"/>
        <v>4.1144088379629958E-3</v>
      </c>
      <c r="G64" s="2"/>
      <c r="H64" s="6">
        <v>212.616248076923</v>
      </c>
      <c r="I64" s="2"/>
      <c r="J64" s="7">
        <f t="shared" si="13"/>
        <v>8.9701656390827591E-4</v>
      </c>
      <c r="K64" s="2"/>
      <c r="L64" s="6">
        <f t="shared" si="14"/>
        <v>481.84375192307704</v>
      </c>
      <c r="M64" s="2"/>
      <c r="N64" s="7">
        <f t="shared" si="15"/>
        <v>2.2662602518917061</v>
      </c>
      <c r="O64" s="11"/>
      <c r="P64" s="6">
        <v>10468.94</v>
      </c>
      <c r="Q64" s="2"/>
      <c r="R64" s="7">
        <f t="shared" si="16"/>
        <v>4.176882612456077E-3</v>
      </c>
      <c r="S64" s="2"/>
      <c r="T64" s="6">
        <v>2764.0112249999997</v>
      </c>
      <c r="U64" s="2"/>
      <c r="V64" s="7">
        <f t="shared" si="17"/>
        <v>8.1895172974702664E-4</v>
      </c>
      <c r="W64" s="2"/>
      <c r="X64" s="6">
        <f t="shared" si="18"/>
        <v>7704.9287750000003</v>
      </c>
      <c r="Y64" s="2"/>
      <c r="Z64" s="7">
        <f t="shared" si="19"/>
        <v>2.7875895384614444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6">
        <v>489.36</v>
      </c>
      <c r="E65" s="2"/>
      <c r="F65" s="7">
        <f t="shared" si="12"/>
        <v>2.8992700932315347E-3</v>
      </c>
      <c r="G65" s="2"/>
      <c r="H65" s="6">
        <v>274.97016538461503</v>
      </c>
      <c r="I65" s="2"/>
      <c r="J65" s="7">
        <f t="shared" si="13"/>
        <v>1.1600844016462963E-3</v>
      </c>
      <c r="K65" s="2"/>
      <c r="L65" s="6">
        <f t="shared" si="14"/>
        <v>214.38983461538498</v>
      </c>
      <c r="M65" s="2"/>
      <c r="N65" s="7">
        <f t="shared" si="15"/>
        <v>0.77968398613539325</v>
      </c>
      <c r="O65" s="11"/>
      <c r="P65" s="6">
        <v>13775.37</v>
      </c>
      <c r="Q65" s="2"/>
      <c r="R65" s="7">
        <f t="shared" si="16"/>
        <v>5.4960772946591602E-3</v>
      </c>
      <c r="S65" s="2"/>
      <c r="T65" s="6">
        <v>3733.6302999999962</v>
      </c>
      <c r="U65" s="2"/>
      <c r="V65" s="7">
        <f t="shared" si="17"/>
        <v>1.1062411631200619E-3</v>
      </c>
      <c r="W65" s="2"/>
      <c r="X65" s="6">
        <f t="shared" si="18"/>
        <v>10041.739700000006</v>
      </c>
      <c r="Y65" s="2"/>
      <c r="Z65" s="7">
        <f t="shared" si="19"/>
        <v>2.6895377670360174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6">
        <v>136</v>
      </c>
      <c r="E66" s="2"/>
      <c r="F66" s="7">
        <f t="shared" si="12"/>
        <v>8.0574777807644409E-4</v>
      </c>
      <c r="G66" s="2"/>
      <c r="H66" s="6"/>
      <c r="I66" s="2"/>
      <c r="J66" s="7">
        <f t="shared" si="13"/>
        <v>0</v>
      </c>
      <c r="K66" s="2"/>
      <c r="L66" s="6">
        <f t="shared" si="14"/>
        <v>136</v>
      </c>
      <c r="M66" s="2"/>
      <c r="N66" s="7">
        <f t="shared" si="15"/>
        <v>0</v>
      </c>
      <c r="O66" s="11"/>
      <c r="P66" s="6">
        <v>2263.2800000000002</v>
      </c>
      <c r="Q66" s="2"/>
      <c r="R66" s="7">
        <f t="shared" si="16"/>
        <v>9.0300019668845073E-4</v>
      </c>
      <c r="S66" s="2"/>
      <c r="T66" s="6"/>
      <c r="U66" s="2"/>
      <c r="V66" s="7">
        <f t="shared" si="17"/>
        <v>0</v>
      </c>
      <c r="W66" s="2"/>
      <c r="X66" s="6">
        <f t="shared" si="18"/>
        <v>2263.2800000000002</v>
      </c>
      <c r="Y66" s="2"/>
      <c r="Z66" s="7">
        <f t="shared" si="19"/>
        <v>0</v>
      </c>
    </row>
    <row r="67" spans="1:26" s="26" customFormat="1" outlineLevel="1" collapsed="1" x14ac:dyDescent="0.25">
      <c r="A67" s="25"/>
      <c r="B67" s="12" t="str">
        <f>CONCATENATE("     ","*Payroll                                          ")</f>
        <v xml:space="preserve">     *Payroll                                          </v>
      </c>
      <c r="C67" s="12"/>
      <c r="D67" s="1">
        <f>SUM(OSRRefD22_1x_0)</f>
        <v>12195.279999999999</v>
      </c>
      <c r="E67" s="1"/>
      <c r="F67" s="5">
        <f t="shared" ref="F67:F77" si="20">IF(D$12=0,0,D67/D$12)</f>
        <v>7.2252351198677178E-2</v>
      </c>
      <c r="G67" s="1"/>
      <c r="H67" s="1">
        <f>SUM(OSRRefH22_1x_0)</f>
        <v>20055.447855769227</v>
      </c>
      <c r="I67" s="1"/>
      <c r="J67" s="5">
        <f t="shared" ref="J67:J77" si="21">IF(H$12=0,0,H67/H$12)</f>
        <v>8.4612860427840095E-2</v>
      </c>
      <c r="K67" s="1"/>
      <c r="L67" s="1">
        <f t="shared" ref="L67:L77" si="22">+D67-H67</f>
        <v>-7860.1678557692285</v>
      </c>
      <c r="M67" s="1"/>
      <c r="N67" s="5">
        <f t="shared" ref="N67:N77" si="23">IF(H67=0,0,L67/H67)</f>
        <v>-0.3919218315290896</v>
      </c>
      <c r="O67" s="12"/>
      <c r="P67" s="1">
        <f>SUM(OSRRefP22_1x_0)</f>
        <v>254454.91000000003</v>
      </c>
      <c r="Q67" s="1"/>
      <c r="R67" s="5">
        <f t="shared" ref="R67:R77" si="24">IF(P$12=0,0,P67/P$12)</f>
        <v>0.10152205373543798</v>
      </c>
      <c r="S67" s="1"/>
      <c r="T67" s="1">
        <f>SUM(OSRRefT22_1x_0)</f>
        <v>276622.63712500001</v>
      </c>
      <c r="U67" s="1"/>
      <c r="V67" s="5">
        <f t="shared" ref="V67:V77" si="25">IF(T$12=0,0,T67/T$12)</f>
        <v>8.1960805770860373E-2</v>
      </c>
      <c r="W67" s="1"/>
      <c r="X67" s="1">
        <f t="shared" ref="X67:X77" si="26">+P67-T67</f>
        <v>-22167.727124999976</v>
      </c>
      <c r="Y67" s="1"/>
      <c r="Z67" s="5">
        <f t="shared" ref="Z67:Z77" si="27">IF(T67=0,0,X67/T67)</f>
        <v>-8.0137068156800342E-2</v>
      </c>
    </row>
    <row r="68" spans="1:26" s="24" customFormat="1" hidden="1" outlineLevel="2" x14ac:dyDescent="0.25">
      <c r="A68" s="27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/>
      <c r="Q68" s="2"/>
      <c r="R68" s="7">
        <f t="shared" si="24"/>
        <v>0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0</v>
      </c>
      <c r="Y68" s="2"/>
      <c r="Z68" s="7">
        <f t="shared" si="27"/>
        <v>0</v>
      </c>
    </row>
    <row r="69" spans="1:26" s="24" customFormat="1" hidden="1" outlineLevel="2" x14ac:dyDescent="0.25">
      <c r="A69" s="27"/>
      <c r="B69" s="11" t="str">
        <f>CONCATENATE("          ", "6002", " - ", "STAFF SALARIES")</f>
        <v xml:space="preserve">          6002 - STAFF SALARIES</v>
      </c>
      <c r="C69" s="11"/>
      <c r="D69" s="6">
        <v>6769.24</v>
      </c>
      <c r="E69" s="2"/>
      <c r="F69" s="7">
        <f t="shared" si="20"/>
        <v>4.0105147715192566E-2</v>
      </c>
      <c r="G69" s="2"/>
      <c r="H69" s="6">
        <v>6732.8478557692297</v>
      </c>
      <c r="I69" s="2"/>
      <c r="J69" s="7">
        <f t="shared" si="21"/>
        <v>2.8405524523762077E-2</v>
      </c>
      <c r="K69" s="2"/>
      <c r="L69" s="6">
        <f t="shared" si="22"/>
        <v>36.3921442307701</v>
      </c>
      <c r="M69" s="2"/>
      <c r="N69" s="7">
        <f t="shared" si="23"/>
        <v>5.4051636113515425E-3</v>
      </c>
      <c r="O69" s="11"/>
      <c r="P69" s="6">
        <v>86209.58</v>
      </c>
      <c r="Q69" s="2"/>
      <c r="R69" s="7">
        <f t="shared" si="24"/>
        <v>3.4395774140375354E-2</v>
      </c>
      <c r="S69" s="2"/>
      <c r="T69" s="6">
        <v>87527.022125000003</v>
      </c>
      <c r="U69" s="2"/>
      <c r="V69" s="7">
        <f t="shared" si="25"/>
        <v>2.5933471441989181E-2</v>
      </c>
      <c r="W69" s="2"/>
      <c r="X69" s="6">
        <f t="shared" si="26"/>
        <v>-1317.4421250000014</v>
      </c>
      <c r="Y69" s="2"/>
      <c r="Z69" s="7">
        <f t="shared" si="27"/>
        <v>-1.5051833056978933E-2</v>
      </c>
    </row>
    <row r="70" spans="1:26" s="24" customFormat="1" hidden="1" outlineLevel="2" x14ac:dyDescent="0.25">
      <c r="A70" s="27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0"/>
        <v>0</v>
      </c>
      <c r="G70" s="2"/>
      <c r="H70" s="6">
        <v>0</v>
      </c>
      <c r="I70" s="2"/>
      <c r="J70" s="7">
        <f t="shared" si="21"/>
        <v>0</v>
      </c>
      <c r="K70" s="2"/>
      <c r="L70" s="6">
        <f t="shared" si="22"/>
        <v>0</v>
      </c>
      <c r="M70" s="2"/>
      <c r="N70" s="7">
        <f t="shared" si="23"/>
        <v>0</v>
      </c>
      <c r="O70" s="11"/>
      <c r="P70" s="6"/>
      <c r="Q70" s="2"/>
      <c r="R70" s="7">
        <f t="shared" si="24"/>
        <v>0</v>
      </c>
      <c r="S70" s="2"/>
      <c r="T70" s="6">
        <v>0</v>
      </c>
      <c r="U70" s="2"/>
      <c r="V70" s="7">
        <f t="shared" si="25"/>
        <v>0</v>
      </c>
      <c r="W70" s="2"/>
      <c r="X70" s="6">
        <f t="shared" si="26"/>
        <v>0</v>
      </c>
      <c r="Y70" s="2"/>
      <c r="Z70" s="7">
        <f t="shared" si="27"/>
        <v>0</v>
      </c>
    </row>
    <row r="71" spans="1:26" s="24" customFormat="1" hidden="1" outlineLevel="2" x14ac:dyDescent="0.25">
      <c r="A71" s="27"/>
      <c r="B71" s="11" t="str">
        <f>CONCATENATE("          ", "6004", " - ", "STAFF HOURLY")</f>
        <v xml:space="preserve">          6004 - STAFF HOURLY</v>
      </c>
      <c r="C71" s="11"/>
      <c r="D71" s="6">
        <v>3738.92</v>
      </c>
      <c r="E71" s="2"/>
      <c r="F71" s="7">
        <f t="shared" si="20"/>
        <v>2.2151665311805725E-2</v>
      </c>
      <c r="G71" s="2"/>
      <c r="H71" s="6">
        <v>1911.68</v>
      </c>
      <c r="I71" s="2"/>
      <c r="J71" s="7">
        <f t="shared" si="21"/>
        <v>8.0652755393923036E-3</v>
      </c>
      <c r="K71" s="2"/>
      <c r="L71" s="6">
        <f t="shared" si="22"/>
        <v>1827.24</v>
      </c>
      <c r="M71" s="2"/>
      <c r="N71" s="7">
        <f t="shared" si="23"/>
        <v>0.95582942751925004</v>
      </c>
      <c r="O71" s="11"/>
      <c r="P71" s="6">
        <v>20401.43</v>
      </c>
      <c r="Q71" s="2"/>
      <c r="R71" s="7">
        <f t="shared" si="24"/>
        <v>8.1397331760655594E-3</v>
      </c>
      <c r="S71" s="2"/>
      <c r="T71" s="6">
        <v>24851.84</v>
      </c>
      <c r="U71" s="2"/>
      <c r="V71" s="7">
        <f t="shared" si="25"/>
        <v>7.3633772436638165E-3</v>
      </c>
      <c r="W71" s="2"/>
      <c r="X71" s="6">
        <f t="shared" si="26"/>
        <v>-4450.41</v>
      </c>
      <c r="Y71" s="2"/>
      <c r="Z71" s="7">
        <f t="shared" si="27"/>
        <v>-0.17907768599830032</v>
      </c>
    </row>
    <row r="72" spans="1:26" s="24" customFormat="1" hidden="1" outlineLevel="2" x14ac:dyDescent="0.25">
      <c r="A72" s="27"/>
      <c r="B72" s="11" t="str">
        <f>CONCATENATE("          ", "6005", " - ", "TEMPORARY WAGES-HOURLY")</f>
        <v xml:space="preserve">          6005 - TEMPORARY WAGES-HOURLY</v>
      </c>
      <c r="C72" s="11"/>
      <c r="D72" s="6">
        <v>834.9</v>
      </c>
      <c r="E72" s="2"/>
      <c r="F72" s="7">
        <f t="shared" si="20"/>
        <v>4.9464619111472289E-3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834.9</v>
      </c>
      <c r="M72" s="2"/>
      <c r="N72" s="7">
        <f t="shared" si="23"/>
        <v>0</v>
      </c>
      <c r="O72" s="11"/>
      <c r="P72" s="6">
        <v>30444.179999999997</v>
      </c>
      <c r="Q72" s="2"/>
      <c r="R72" s="7">
        <f t="shared" si="24"/>
        <v>1.2146575115769411E-2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30444.179999999997</v>
      </c>
      <c r="Y72" s="2"/>
      <c r="Z72" s="7">
        <f t="shared" si="27"/>
        <v>0</v>
      </c>
    </row>
    <row r="73" spans="1:26" s="24" customFormat="1" hidden="1" outlineLevel="2" x14ac:dyDescent="0.25">
      <c r="A73" s="27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>
        <v>911.29</v>
      </c>
      <c r="Q73" s="2"/>
      <c r="R73" s="7">
        <f t="shared" si="24"/>
        <v>3.6358517251078884E-4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911.29</v>
      </c>
      <c r="Y73" s="2"/>
      <c r="Z73" s="7">
        <f t="shared" si="27"/>
        <v>0</v>
      </c>
    </row>
    <row r="74" spans="1:26" s="24" customFormat="1" hidden="1" outlineLevel="2" x14ac:dyDescent="0.25">
      <c r="A74" s="27"/>
      <c r="B74" s="11" t="str">
        <f>CONCATENATE("          ", "6007", " - ", "STUDENT HOURLY")</f>
        <v xml:space="preserve">          6007 - STUDENT HOURLY</v>
      </c>
      <c r="C74" s="11"/>
      <c r="D74" s="6">
        <v>852.22</v>
      </c>
      <c r="E74" s="2"/>
      <c r="F74" s="7">
        <f t="shared" si="20"/>
        <v>5.0490762605316705E-3</v>
      </c>
      <c r="G74" s="2"/>
      <c r="H74" s="6">
        <v>11410.92</v>
      </c>
      <c r="I74" s="2"/>
      <c r="J74" s="7">
        <f t="shared" si="21"/>
        <v>4.8142060364685733E-2</v>
      </c>
      <c r="K74" s="2"/>
      <c r="L74" s="6">
        <f t="shared" si="22"/>
        <v>-10558.7</v>
      </c>
      <c r="M74" s="2"/>
      <c r="N74" s="7">
        <f t="shared" si="23"/>
        <v>-0.92531539963473586</v>
      </c>
      <c r="O74" s="11"/>
      <c r="P74" s="6">
        <v>116293.43000000001</v>
      </c>
      <c r="Q74" s="2"/>
      <c r="R74" s="7">
        <f t="shared" si="24"/>
        <v>4.6398585311395221E-2</v>
      </c>
      <c r="S74" s="2"/>
      <c r="T74" s="6">
        <v>33922.17</v>
      </c>
      <c r="U74" s="2"/>
      <c r="V74" s="7">
        <f t="shared" si="25"/>
        <v>1.0050834651828412E-2</v>
      </c>
      <c r="W74" s="2"/>
      <c r="X74" s="6">
        <f t="shared" si="26"/>
        <v>82371.260000000009</v>
      </c>
      <c r="Y74" s="2"/>
      <c r="Z74" s="7">
        <f t="shared" si="27"/>
        <v>2.4282426507502324</v>
      </c>
    </row>
    <row r="75" spans="1:26" s="24" customFormat="1" hidden="1" outlineLevel="2" x14ac:dyDescent="0.25">
      <c r="A75" s="27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0"/>
        <v>0</v>
      </c>
      <c r="G75" s="2"/>
      <c r="H75" s="6">
        <v>0</v>
      </c>
      <c r="I75" s="2"/>
      <c r="J75" s="7">
        <f t="shared" si="21"/>
        <v>0</v>
      </c>
      <c r="K75" s="2"/>
      <c r="L75" s="6">
        <f t="shared" si="22"/>
        <v>0</v>
      </c>
      <c r="M75" s="2"/>
      <c r="N75" s="7">
        <f t="shared" si="23"/>
        <v>0</v>
      </c>
      <c r="O75" s="11"/>
      <c r="P75" s="6">
        <v>195</v>
      </c>
      <c r="Q75" s="2"/>
      <c r="R75" s="7">
        <f t="shared" si="24"/>
        <v>7.7800819321625201E-5</v>
      </c>
      <c r="S75" s="2"/>
      <c r="T75" s="6">
        <v>130321.605</v>
      </c>
      <c r="U75" s="2"/>
      <c r="V75" s="7">
        <f t="shared" si="25"/>
        <v>3.8613122433378964E-2</v>
      </c>
      <c r="W75" s="2"/>
      <c r="X75" s="6">
        <f t="shared" si="26"/>
        <v>-130126.605</v>
      </c>
      <c r="Y75" s="2"/>
      <c r="Z75" s="7">
        <f t="shared" si="27"/>
        <v>-0.99850370166942004</v>
      </c>
    </row>
    <row r="76" spans="1:26" s="24" customFormat="1" hidden="1" outlineLevel="2" x14ac:dyDescent="0.25">
      <c r="A76" s="27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0"/>
        <v>0</v>
      </c>
      <c r="G76" s="2"/>
      <c r="H76" s="6">
        <v>0</v>
      </c>
      <c r="I76" s="2"/>
      <c r="J76" s="7">
        <f t="shared" si="21"/>
        <v>0</v>
      </c>
      <c r="K76" s="2"/>
      <c r="L76" s="6">
        <f t="shared" si="22"/>
        <v>0</v>
      </c>
      <c r="M76" s="2"/>
      <c r="N76" s="7">
        <f t="shared" si="23"/>
        <v>0</v>
      </c>
      <c r="O76" s="11"/>
      <c r="P76" s="6"/>
      <c r="Q76" s="2"/>
      <c r="R76" s="7">
        <f t="shared" si="24"/>
        <v>0</v>
      </c>
      <c r="S76" s="2"/>
      <c r="T76" s="6">
        <v>0</v>
      </c>
      <c r="U76" s="2"/>
      <c r="V76" s="7">
        <f t="shared" si="25"/>
        <v>0</v>
      </c>
      <c r="W76" s="2"/>
      <c r="X76" s="6">
        <f t="shared" si="26"/>
        <v>0</v>
      </c>
      <c r="Y76" s="2"/>
      <c r="Z76" s="7">
        <f t="shared" si="27"/>
        <v>0</v>
      </c>
    </row>
    <row r="77" spans="1:26" s="24" customFormat="1" hidden="1" outlineLevel="2" x14ac:dyDescent="0.25">
      <c r="A77" s="27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0"/>
        <v>0</v>
      </c>
      <c r="G77" s="2"/>
      <c r="H77" s="6">
        <v>0</v>
      </c>
      <c r="I77" s="2"/>
      <c r="J77" s="7">
        <f t="shared" si="21"/>
        <v>0</v>
      </c>
      <c r="K77" s="2"/>
      <c r="L77" s="6">
        <f t="shared" si="22"/>
        <v>0</v>
      </c>
      <c r="M77" s="2"/>
      <c r="N77" s="7">
        <f t="shared" si="23"/>
        <v>0</v>
      </c>
      <c r="O77" s="11"/>
      <c r="P77" s="6"/>
      <c r="Q77" s="2"/>
      <c r="R77" s="7">
        <f t="shared" si="24"/>
        <v>0</v>
      </c>
      <c r="S77" s="2"/>
      <c r="T77" s="6">
        <v>0</v>
      </c>
      <c r="U77" s="2"/>
      <c r="V77" s="7">
        <f t="shared" si="25"/>
        <v>0</v>
      </c>
      <c r="W77" s="2"/>
      <c r="X77" s="6">
        <f t="shared" si="26"/>
        <v>0</v>
      </c>
      <c r="Y77" s="2"/>
      <c r="Z77" s="7">
        <f t="shared" si="27"/>
        <v>0</v>
      </c>
    </row>
    <row r="78" spans="1:26" s="26" customFormat="1" outlineLevel="1" collapsed="1" x14ac:dyDescent="0.25">
      <c r="A78" s="25"/>
      <c r="B78" s="12" t="str">
        <f>CONCATENATE("     ","Advertising/Promo                                 ")</f>
        <v xml:space="preserve">     Advertising/Promo                                 </v>
      </c>
      <c r="C78" s="12"/>
      <c r="D78" s="1">
        <f>SUM(OSRRefD22_2x_0)</f>
        <v>0</v>
      </c>
      <c r="E78" s="1"/>
      <c r="F78" s="5">
        <f t="shared" ref="F78:F82" si="28">IF(D$12=0,0,D78/D$12)</f>
        <v>0</v>
      </c>
      <c r="G78" s="1"/>
      <c r="H78" s="1">
        <f>SUM(OSRRefH22_2x_0)</f>
        <v>700</v>
      </c>
      <c r="I78" s="1"/>
      <c r="J78" s="5">
        <f t="shared" ref="J78:J82" si="29">IF(H$12=0,0,H78/H$12)</f>
        <v>2.9532625112856817E-3</v>
      </c>
      <c r="K78" s="1"/>
      <c r="L78" s="1">
        <f t="shared" ref="L78:L82" si="30">+D78-H78</f>
        <v>-700</v>
      </c>
      <c r="M78" s="1"/>
      <c r="N78" s="5">
        <f t="shared" ref="N78:N82" si="31">IF(H78=0,0,L78/H78)</f>
        <v>-1</v>
      </c>
      <c r="O78" s="12"/>
      <c r="P78" s="1">
        <f>SUM(OSRRefP22_2x_0)</f>
        <v>19215.2</v>
      </c>
      <c r="Q78" s="1"/>
      <c r="R78" s="5">
        <f t="shared" ref="R78:R82" si="32">IF(P$12=0,0,P78/P$12)</f>
        <v>7.6664528380968851E-3</v>
      </c>
      <c r="S78" s="1"/>
      <c r="T78" s="1">
        <f>SUM(OSRRefT22_2x_0)</f>
        <v>7100</v>
      </c>
      <c r="U78" s="1"/>
      <c r="V78" s="5">
        <f t="shared" ref="V78:V82" si="33">IF(T$12=0,0,T78/T$12)</f>
        <v>2.1036663051916113E-3</v>
      </c>
      <c r="W78" s="1"/>
      <c r="X78" s="1">
        <f t="shared" ref="X78:X82" si="34">+P78-T78</f>
        <v>12115.2</v>
      </c>
      <c r="Y78" s="1"/>
      <c r="Z78" s="5">
        <f t="shared" ref="Z78:Z82" si="35">IF(T78=0,0,X78/T78)</f>
        <v>1.7063661971830988</v>
      </c>
    </row>
    <row r="79" spans="1:26" s="24" customFormat="1" hidden="1" outlineLevel="2" x14ac:dyDescent="0.25">
      <c r="A79" s="27"/>
      <c r="B79" s="11" t="str">
        <f>CONCATENATE("          ", "6362", " - ", "ADVERTISING EXPENSE")</f>
        <v xml:space="preserve">          6362 - ADVERTISING EXPENSE</v>
      </c>
      <c r="C79" s="11"/>
      <c r="D79" s="6"/>
      <c r="E79" s="2"/>
      <c r="F79" s="7">
        <f t="shared" si="28"/>
        <v>0</v>
      </c>
      <c r="G79" s="2"/>
      <c r="H79" s="6">
        <v>700</v>
      </c>
      <c r="I79" s="2"/>
      <c r="J79" s="7">
        <f t="shared" si="29"/>
        <v>2.9532625112856817E-3</v>
      </c>
      <c r="K79" s="2"/>
      <c r="L79" s="6">
        <f t="shared" si="30"/>
        <v>-700</v>
      </c>
      <c r="M79" s="2"/>
      <c r="N79" s="7">
        <f t="shared" si="31"/>
        <v>-1</v>
      </c>
      <c r="O79" s="11"/>
      <c r="P79" s="6">
        <v>19215.2</v>
      </c>
      <c r="Q79" s="2"/>
      <c r="R79" s="7">
        <f t="shared" si="32"/>
        <v>7.6664528380968851E-3</v>
      </c>
      <c r="S79" s="2"/>
      <c r="T79" s="6">
        <v>7100</v>
      </c>
      <c r="U79" s="2"/>
      <c r="V79" s="7">
        <f t="shared" si="33"/>
        <v>2.1036663051916113E-3</v>
      </c>
      <c r="W79" s="2"/>
      <c r="X79" s="6">
        <f t="shared" si="34"/>
        <v>12115.2</v>
      </c>
      <c r="Y79" s="2"/>
      <c r="Z79" s="7">
        <f t="shared" si="35"/>
        <v>1.7063661971830988</v>
      </c>
    </row>
    <row r="80" spans="1:26" s="26" customFormat="1" outlineLevel="1" collapsed="1" x14ac:dyDescent="0.25">
      <c r="A80" s="25"/>
      <c r="B80" s="12" t="str">
        <f>CONCATENATE("     ","Discounts and Markdowns                           ")</f>
        <v xml:space="preserve">     Discounts and Markdowns                           </v>
      </c>
      <c r="C80" s="12"/>
      <c r="D80" s="1">
        <f>SUM(OSRRefD22_3x_0)</f>
        <v>34738.369999999995</v>
      </c>
      <c r="E80" s="1"/>
      <c r="F80" s="5">
        <f t="shared" si="28"/>
        <v>0.20581150324630443</v>
      </c>
      <c r="G80" s="1"/>
      <c r="H80" s="1">
        <f>SUM(OSRRefH22_3x_0)</f>
        <v>32000</v>
      </c>
      <c r="I80" s="1"/>
      <c r="J80" s="5">
        <f t="shared" si="29"/>
        <v>0.13500628623020258</v>
      </c>
      <c r="K80" s="1"/>
      <c r="L80" s="1">
        <f t="shared" si="30"/>
        <v>2738.3699999999953</v>
      </c>
      <c r="M80" s="1"/>
      <c r="N80" s="5">
        <f t="shared" si="31"/>
        <v>8.5574062499999853E-2</v>
      </c>
      <c r="O80" s="12"/>
      <c r="P80" s="1">
        <f>SUM(OSRRefP22_3x_0)</f>
        <v>293529.58999999997</v>
      </c>
      <c r="Q80" s="1"/>
      <c r="R80" s="5">
        <f t="shared" si="32"/>
        <v>0.11711201331867037</v>
      </c>
      <c r="S80" s="1"/>
      <c r="T80" s="1">
        <f>SUM(OSRRefT22_3x_0)</f>
        <v>260000</v>
      </c>
      <c r="U80" s="1"/>
      <c r="V80" s="5">
        <f t="shared" si="33"/>
        <v>7.7035667514059006E-2</v>
      </c>
      <c r="W80" s="1"/>
      <c r="X80" s="1">
        <f t="shared" si="34"/>
        <v>33529.589999999967</v>
      </c>
      <c r="Y80" s="1"/>
      <c r="Z80" s="5">
        <f t="shared" si="35"/>
        <v>0.12895996153846143</v>
      </c>
    </row>
    <row r="81" spans="1:26" s="24" customFormat="1" hidden="1" outlineLevel="2" x14ac:dyDescent="0.25">
      <c r="A81" s="27"/>
      <c r="B81" s="11" t="str">
        <f>CONCATENATE("          ", "6382", " - ", "DISCOUNTS/MARK DOWNS")</f>
        <v xml:space="preserve">          6382 - DISCOUNTS/MARK DOWNS</v>
      </c>
      <c r="C81" s="11"/>
      <c r="D81" s="6">
        <v>34738.369999999995</v>
      </c>
      <c r="E81" s="2"/>
      <c r="F81" s="7">
        <f t="shared" si="28"/>
        <v>0.20581150324630443</v>
      </c>
      <c r="G81" s="2"/>
      <c r="H81" s="6">
        <v>32000</v>
      </c>
      <c r="I81" s="2"/>
      <c r="J81" s="7">
        <f t="shared" si="29"/>
        <v>0.13500628623020258</v>
      </c>
      <c r="K81" s="2"/>
      <c r="L81" s="6">
        <f t="shared" si="30"/>
        <v>2738.3699999999953</v>
      </c>
      <c r="M81" s="2"/>
      <c r="N81" s="7">
        <f t="shared" si="31"/>
        <v>8.5574062499999853E-2</v>
      </c>
      <c r="O81" s="11"/>
      <c r="P81" s="6">
        <v>293548.98</v>
      </c>
      <c r="Q81" s="2"/>
      <c r="R81" s="7">
        <f t="shared" si="32"/>
        <v>0.11711974951296086</v>
      </c>
      <c r="S81" s="2"/>
      <c r="T81" s="6">
        <v>260000</v>
      </c>
      <c r="U81" s="2"/>
      <c r="V81" s="7">
        <f t="shared" si="33"/>
        <v>7.7035667514059006E-2</v>
      </c>
      <c r="W81" s="2"/>
      <c r="X81" s="6">
        <f t="shared" si="34"/>
        <v>33548.979999999981</v>
      </c>
      <c r="Y81" s="2"/>
      <c r="Z81" s="7">
        <f t="shared" si="35"/>
        <v>0.1290345384615384</v>
      </c>
    </row>
    <row r="82" spans="1:26" s="24" customFormat="1" hidden="1" outlineLevel="2" x14ac:dyDescent="0.25">
      <c r="A82" s="27"/>
      <c r="B82" s="11" t="str">
        <f>CONCATENATE("          ", "9175", " - ", "EARNED DISCOUNTS")</f>
        <v xml:space="preserve">          9175 - EARNED DISCOUNTS</v>
      </c>
      <c r="C82" s="11"/>
      <c r="D82" s="6"/>
      <c r="E82" s="2"/>
      <c r="F82" s="7">
        <f t="shared" si="28"/>
        <v>0</v>
      </c>
      <c r="G82" s="2"/>
      <c r="H82" s="6"/>
      <c r="I82" s="2"/>
      <c r="J82" s="7">
        <f t="shared" si="29"/>
        <v>0</v>
      </c>
      <c r="K82" s="2"/>
      <c r="L82" s="6">
        <f t="shared" si="30"/>
        <v>0</v>
      </c>
      <c r="M82" s="2"/>
      <c r="N82" s="7">
        <f t="shared" si="31"/>
        <v>0</v>
      </c>
      <c r="O82" s="11"/>
      <c r="P82" s="6">
        <v>-19.39</v>
      </c>
      <c r="Q82" s="2"/>
      <c r="R82" s="7">
        <f t="shared" si="32"/>
        <v>-7.7361942904939108E-6</v>
      </c>
      <c r="S82" s="2"/>
      <c r="T82" s="6"/>
      <c r="U82" s="2"/>
      <c r="V82" s="7">
        <f t="shared" si="33"/>
        <v>0</v>
      </c>
      <c r="W82" s="2"/>
      <c r="X82" s="6">
        <f t="shared" si="34"/>
        <v>-19.39</v>
      </c>
      <c r="Y82" s="2"/>
      <c r="Z82" s="7">
        <f t="shared" si="35"/>
        <v>0</v>
      </c>
    </row>
    <row r="83" spans="1:26" s="26" customFormat="1" outlineLevel="1" collapsed="1" x14ac:dyDescent="0.25">
      <c r="A83" s="25"/>
      <c r="B83" s="12" t="str">
        <f>CONCATENATE("     ","Employees' Appreciation                           ")</f>
        <v xml:space="preserve">     Employees' Appreciation                           </v>
      </c>
      <c r="C83" s="12"/>
      <c r="D83" s="1">
        <f>SUM(OSRRefD22_4x_0)</f>
        <v>0</v>
      </c>
      <c r="E83" s="1"/>
      <c r="F83" s="5">
        <f t="shared" ref="F83:F87" si="36">IF(D$12=0,0,D83/D$12)</f>
        <v>0</v>
      </c>
      <c r="G83" s="1"/>
      <c r="H83" s="1">
        <f>SUM(OSRRefH22_4x_0)</f>
        <v>150</v>
      </c>
      <c r="I83" s="1"/>
      <c r="J83" s="5">
        <f t="shared" ref="J83:J87" si="37">IF(H$12=0,0,H83/H$12)</f>
        <v>6.3284196670407463E-4</v>
      </c>
      <c r="K83" s="1"/>
      <c r="L83" s="1">
        <f t="shared" ref="L83:L87" si="38">+D83-H83</f>
        <v>-150</v>
      </c>
      <c r="M83" s="1"/>
      <c r="N83" s="5">
        <f t="shared" ref="N83:N87" si="39">IF(H83=0,0,L83/H83)</f>
        <v>-1</v>
      </c>
      <c r="O83" s="12"/>
      <c r="P83" s="1">
        <f>SUM(OSRRefP22_4x_0)</f>
        <v>255.44</v>
      </c>
      <c r="Q83" s="1"/>
      <c r="R83" s="5">
        <f t="shared" ref="R83:R87" si="40">IF(P$12=0,0,P83/P$12)</f>
        <v>1.0191508352572277E-4</v>
      </c>
      <c r="S83" s="1"/>
      <c r="T83" s="1">
        <f>SUM(OSRRefT22_4x_0)</f>
        <v>2025</v>
      </c>
      <c r="U83" s="1"/>
      <c r="V83" s="5">
        <f t="shared" ref="V83:V87" si="41">IF(T$12=0,0,T83/T$12)</f>
        <v>5.9998933352295957E-4</v>
      </c>
      <c r="W83" s="1"/>
      <c r="X83" s="1">
        <f t="shared" ref="X83:X87" si="42">+P83-T83</f>
        <v>-1769.56</v>
      </c>
      <c r="Y83" s="1"/>
      <c r="Z83" s="5">
        <f t="shared" ref="Z83:Z87" si="43">IF(T83=0,0,X83/T83)</f>
        <v>-0.87385679012345674</v>
      </c>
    </row>
    <row r="84" spans="1:26" s="24" customFormat="1" hidden="1" outlineLevel="2" x14ac:dyDescent="0.25">
      <c r="A84" s="27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36"/>
        <v>0</v>
      </c>
      <c r="G84" s="2"/>
      <c r="H84" s="6">
        <v>150</v>
      </c>
      <c r="I84" s="2"/>
      <c r="J84" s="7">
        <f t="shared" si="37"/>
        <v>6.3284196670407463E-4</v>
      </c>
      <c r="K84" s="2"/>
      <c r="L84" s="6">
        <f t="shared" si="38"/>
        <v>-150</v>
      </c>
      <c r="M84" s="2"/>
      <c r="N84" s="7">
        <f t="shared" si="39"/>
        <v>-1</v>
      </c>
      <c r="O84" s="11"/>
      <c r="P84" s="6">
        <v>255.44</v>
      </c>
      <c r="Q84" s="2"/>
      <c r="R84" s="7">
        <f t="shared" si="40"/>
        <v>1.0191508352572277E-4</v>
      </c>
      <c r="S84" s="2"/>
      <c r="T84" s="6">
        <v>2025</v>
      </c>
      <c r="U84" s="2"/>
      <c r="V84" s="7">
        <f t="shared" si="41"/>
        <v>5.9998933352295957E-4</v>
      </c>
      <c r="W84" s="2"/>
      <c r="X84" s="6">
        <f t="shared" si="42"/>
        <v>-1769.56</v>
      </c>
      <c r="Y84" s="2"/>
      <c r="Z84" s="7">
        <f t="shared" si="43"/>
        <v>-0.87385679012345674</v>
      </c>
    </row>
    <row r="85" spans="1:26" s="26" customFormat="1" outlineLevel="1" collapsed="1" x14ac:dyDescent="0.25">
      <c r="A85" s="25"/>
      <c r="B85" s="12" t="str">
        <f>CONCATENATE("     ","Freight out/Postage                               ")</f>
        <v xml:space="preserve">     Freight out/Postage                               </v>
      </c>
      <c r="C85" s="12"/>
      <c r="D85" s="1">
        <f>SUM(OSRRefD22_5x_0)</f>
        <v>34.229999999999997</v>
      </c>
      <c r="E85" s="1"/>
      <c r="F85" s="5">
        <f t="shared" si="36"/>
        <v>2.0279960620262264E-4</v>
      </c>
      <c r="G85" s="1"/>
      <c r="H85" s="1">
        <f>SUM(OSRRefH22_5x_0)</f>
        <v>50</v>
      </c>
      <c r="I85" s="1"/>
      <c r="J85" s="5">
        <f t="shared" si="37"/>
        <v>2.1094732223469155E-4</v>
      </c>
      <c r="K85" s="1"/>
      <c r="L85" s="1">
        <f t="shared" si="38"/>
        <v>-15.770000000000003</v>
      </c>
      <c r="M85" s="1"/>
      <c r="N85" s="5">
        <f t="shared" si="39"/>
        <v>-0.31540000000000007</v>
      </c>
      <c r="O85" s="12"/>
      <c r="P85" s="1">
        <f>SUM(OSRRefP22_5x_0)</f>
        <v>163.83000000000001</v>
      </c>
      <c r="Q85" s="1"/>
      <c r="R85" s="5">
        <f t="shared" si="40"/>
        <v>6.5364657586983882E-5</v>
      </c>
      <c r="S85" s="1"/>
      <c r="T85" s="1">
        <f>SUM(OSRRefT22_5x_0)</f>
        <v>600</v>
      </c>
      <c r="U85" s="1"/>
      <c r="V85" s="5">
        <f t="shared" si="41"/>
        <v>1.7777461734013619E-4</v>
      </c>
      <c r="W85" s="1"/>
      <c r="X85" s="1">
        <f t="shared" si="42"/>
        <v>-436.16999999999996</v>
      </c>
      <c r="Y85" s="1"/>
      <c r="Z85" s="5">
        <f t="shared" si="43"/>
        <v>-0.72694999999999999</v>
      </c>
    </row>
    <row r="86" spans="1:26" s="24" customFormat="1" hidden="1" outlineLevel="2" x14ac:dyDescent="0.25">
      <c r="A86" s="27"/>
      <c r="B86" s="11" t="str">
        <f>CONCATENATE("          ", "6305", " - ", "FREIGHT OUT")</f>
        <v xml:space="preserve">          6305 - FREIGHT OUT</v>
      </c>
      <c r="C86" s="11"/>
      <c r="D86" s="6">
        <v>34.229999999999997</v>
      </c>
      <c r="E86" s="2"/>
      <c r="F86" s="7">
        <f t="shared" si="36"/>
        <v>2.0279960620262264E-4</v>
      </c>
      <c r="G86" s="2"/>
      <c r="H86" s="6">
        <v>50</v>
      </c>
      <c r="I86" s="2"/>
      <c r="J86" s="7">
        <f t="shared" si="37"/>
        <v>2.1094732223469155E-4</v>
      </c>
      <c r="K86" s="2"/>
      <c r="L86" s="6">
        <f t="shared" si="38"/>
        <v>-15.770000000000003</v>
      </c>
      <c r="M86" s="2"/>
      <c r="N86" s="7">
        <f t="shared" si="39"/>
        <v>-0.31540000000000007</v>
      </c>
      <c r="O86" s="11"/>
      <c r="P86" s="6">
        <v>163.33000000000001</v>
      </c>
      <c r="Q86" s="2"/>
      <c r="R86" s="7">
        <f t="shared" si="40"/>
        <v>6.5165168306672029E-5</v>
      </c>
      <c r="S86" s="2"/>
      <c r="T86" s="6">
        <v>600</v>
      </c>
      <c r="U86" s="2"/>
      <c r="V86" s="7">
        <f t="shared" si="41"/>
        <v>1.7777461734013619E-4</v>
      </c>
      <c r="W86" s="2"/>
      <c r="X86" s="6">
        <f t="shared" si="42"/>
        <v>-436.66999999999996</v>
      </c>
      <c r="Y86" s="2"/>
      <c r="Z86" s="7">
        <f t="shared" si="43"/>
        <v>-0.72778333333333323</v>
      </c>
    </row>
    <row r="87" spans="1:26" s="24" customFormat="1" hidden="1" outlineLevel="2" x14ac:dyDescent="0.25">
      <c r="A87" s="27"/>
      <c r="B87" s="11" t="str">
        <f>CONCATENATE("          ", "6307", " - ", "POSTAGE")</f>
        <v xml:space="preserve">          6307 - POSTAGE</v>
      </c>
      <c r="C87" s="11"/>
      <c r="D87" s="6"/>
      <c r="E87" s="2"/>
      <c r="F87" s="7">
        <f t="shared" si="36"/>
        <v>0</v>
      </c>
      <c r="G87" s="2"/>
      <c r="H87" s="6"/>
      <c r="I87" s="2"/>
      <c r="J87" s="7">
        <f t="shared" si="37"/>
        <v>0</v>
      </c>
      <c r="K87" s="2"/>
      <c r="L87" s="6">
        <f t="shared" si="38"/>
        <v>0</v>
      </c>
      <c r="M87" s="2"/>
      <c r="N87" s="7">
        <f t="shared" si="39"/>
        <v>0</v>
      </c>
      <c r="O87" s="11"/>
      <c r="P87" s="6">
        <v>0.5</v>
      </c>
      <c r="Q87" s="2"/>
      <c r="R87" s="7">
        <f t="shared" si="40"/>
        <v>1.9948928031185948E-7</v>
      </c>
      <c r="S87" s="2"/>
      <c r="T87" s="6"/>
      <c r="U87" s="2"/>
      <c r="V87" s="7">
        <f t="shared" si="41"/>
        <v>0</v>
      </c>
      <c r="W87" s="2"/>
      <c r="X87" s="6">
        <f t="shared" si="42"/>
        <v>0.5</v>
      </c>
      <c r="Y87" s="2"/>
      <c r="Z87" s="7">
        <f t="shared" si="43"/>
        <v>0</v>
      </c>
    </row>
    <row r="88" spans="1:26" s="26" customFormat="1" outlineLevel="1" collapsed="1" x14ac:dyDescent="0.25">
      <c r="A88" s="25"/>
      <c r="B88" s="12" t="str">
        <f>CONCATENATE("     ","General                                           ")</f>
        <v xml:space="preserve">     General                                           </v>
      </c>
      <c r="C88" s="12"/>
      <c r="D88" s="1">
        <f>SUM(OSRRefD22_6x_0)</f>
        <v>0</v>
      </c>
      <c r="E88" s="1"/>
      <c r="F88" s="5">
        <f t="shared" ref="F88:F97" si="44">IF(D$12=0,0,D88/D$12)</f>
        <v>0</v>
      </c>
      <c r="G88" s="1"/>
      <c r="H88" s="1">
        <f>SUM(OSRRefH22_6x_0)</f>
        <v>500</v>
      </c>
      <c r="I88" s="1"/>
      <c r="J88" s="5">
        <f t="shared" ref="J88:J97" si="45">IF(H$12=0,0,H88/H$12)</f>
        <v>2.1094732223469153E-3</v>
      </c>
      <c r="K88" s="1"/>
      <c r="L88" s="1">
        <f t="shared" ref="L88:L97" si="46">+D88-H88</f>
        <v>-500</v>
      </c>
      <c r="M88" s="1"/>
      <c r="N88" s="5">
        <f t="shared" ref="N88:N97" si="47">IF(H88=0,0,L88/H88)</f>
        <v>-1</v>
      </c>
      <c r="O88" s="12"/>
      <c r="P88" s="1">
        <f>SUM(OSRRefP22_6x_0)</f>
        <v>0</v>
      </c>
      <c r="Q88" s="1"/>
      <c r="R88" s="5">
        <f t="shared" ref="R88:R97" si="48">IF(P$12=0,0,P88/P$12)</f>
        <v>0</v>
      </c>
      <c r="S88" s="1"/>
      <c r="T88" s="1">
        <f>SUM(OSRRefT22_6x_0)</f>
        <v>750</v>
      </c>
      <c r="U88" s="1"/>
      <c r="V88" s="5">
        <f t="shared" ref="V88:V97" si="49">IF(T$12=0,0,T88/T$12)</f>
        <v>2.2221827167517023E-4</v>
      </c>
      <c r="W88" s="1"/>
      <c r="X88" s="1">
        <f t="shared" ref="X88:X97" si="50">+P88-T88</f>
        <v>-750</v>
      </c>
      <c r="Y88" s="1"/>
      <c r="Z88" s="5">
        <f t="shared" ref="Z88:Z97" si="51">IF(T88=0,0,X88/T88)</f>
        <v>-1</v>
      </c>
    </row>
    <row r="89" spans="1:26" s="24" customFormat="1" hidden="1" outlineLevel="2" x14ac:dyDescent="0.25">
      <c r="A89" s="27"/>
      <c r="B89" s="11" t="str">
        <f>CONCATENATE("          ", "6279", " - ", "GENERAL EXPENSE")</f>
        <v xml:space="preserve">          6279 - GENERAL EXPENSE</v>
      </c>
      <c r="C89" s="11"/>
      <c r="D89" s="6"/>
      <c r="E89" s="2"/>
      <c r="F89" s="7">
        <f t="shared" si="44"/>
        <v>0</v>
      </c>
      <c r="G89" s="2"/>
      <c r="H89" s="6">
        <v>500</v>
      </c>
      <c r="I89" s="2"/>
      <c r="J89" s="7">
        <f t="shared" si="45"/>
        <v>2.1094732223469153E-3</v>
      </c>
      <c r="K89" s="2"/>
      <c r="L89" s="6">
        <f t="shared" si="46"/>
        <v>-500</v>
      </c>
      <c r="M89" s="2"/>
      <c r="N89" s="7">
        <f t="shared" si="47"/>
        <v>-1</v>
      </c>
      <c r="O89" s="11"/>
      <c r="P89" s="6"/>
      <c r="Q89" s="2"/>
      <c r="R89" s="7">
        <f t="shared" si="48"/>
        <v>0</v>
      </c>
      <c r="S89" s="2"/>
      <c r="T89" s="6">
        <v>750</v>
      </c>
      <c r="U89" s="2"/>
      <c r="V89" s="7">
        <f t="shared" si="49"/>
        <v>2.2221827167517023E-4</v>
      </c>
      <c r="W89" s="2"/>
      <c r="X89" s="6">
        <f t="shared" si="50"/>
        <v>-750</v>
      </c>
      <c r="Y89" s="2"/>
      <c r="Z89" s="7">
        <f t="shared" si="51"/>
        <v>-1</v>
      </c>
    </row>
    <row r="90" spans="1:26" s="26" customFormat="1" outlineLevel="1" collapsed="1" x14ac:dyDescent="0.25">
      <c r="A90" s="25"/>
      <c r="B90" s="12" t="str">
        <f>CONCATENATE("     ","Inventory Adjustment                              ")</f>
        <v xml:space="preserve">     Inventory Adjustment                              </v>
      </c>
      <c r="C90" s="12"/>
      <c r="D90" s="1">
        <f>SUM(OSRRefD22_7x_0)</f>
        <v>45082</v>
      </c>
      <c r="E90" s="1"/>
      <c r="F90" s="5">
        <f t="shared" si="44"/>
        <v>0.2670935392003107</v>
      </c>
      <c r="G90" s="1"/>
      <c r="H90" s="1">
        <f>SUM(OSRRefH22_7x_0)</f>
        <v>2850</v>
      </c>
      <c r="I90" s="1"/>
      <c r="J90" s="5">
        <f t="shared" si="45"/>
        <v>1.2023997367377418E-2</v>
      </c>
      <c r="K90" s="1"/>
      <c r="L90" s="1">
        <f t="shared" si="46"/>
        <v>42232</v>
      </c>
      <c r="M90" s="1"/>
      <c r="N90" s="5">
        <f t="shared" si="47"/>
        <v>14.818245614035087</v>
      </c>
      <c r="O90" s="12"/>
      <c r="P90" s="1">
        <f>SUM(OSRRefP22_7x_0)</f>
        <v>76432</v>
      </c>
      <c r="Q90" s="1"/>
      <c r="R90" s="5">
        <f t="shared" si="48"/>
        <v>3.0494729345592088E-2</v>
      </c>
      <c r="S90" s="1"/>
      <c r="T90" s="1">
        <f>SUM(OSRRefT22_7x_0)</f>
        <v>34200</v>
      </c>
      <c r="U90" s="1"/>
      <c r="V90" s="5">
        <f t="shared" si="49"/>
        <v>1.0133153188387763E-2</v>
      </c>
      <c r="W90" s="1"/>
      <c r="X90" s="1">
        <f t="shared" si="50"/>
        <v>42232</v>
      </c>
      <c r="Y90" s="1"/>
      <c r="Z90" s="5">
        <f t="shared" si="51"/>
        <v>1.2348538011695906</v>
      </c>
    </row>
    <row r="91" spans="1:26" s="24" customFormat="1" hidden="1" outlineLevel="2" x14ac:dyDescent="0.25">
      <c r="A91" s="27"/>
      <c r="B91" s="11" t="str">
        <f>CONCATENATE("          ", "6408", " - ", "INVENTORY ADJUSTMENT")</f>
        <v xml:space="preserve">          6408 - INVENTORY ADJUSTMENT</v>
      </c>
      <c r="C91" s="11"/>
      <c r="D91" s="6">
        <v>-31350</v>
      </c>
      <c r="E91" s="2"/>
      <c r="F91" s="7">
        <f t="shared" si="44"/>
        <v>-0.18573671207865092</v>
      </c>
      <c r="G91" s="2"/>
      <c r="H91" s="6">
        <v>2850</v>
      </c>
      <c r="I91" s="2"/>
      <c r="J91" s="7">
        <f t="shared" si="45"/>
        <v>1.2023997367377418E-2</v>
      </c>
      <c r="K91" s="2"/>
      <c r="L91" s="6">
        <f t="shared" si="46"/>
        <v>-34200</v>
      </c>
      <c r="M91" s="2"/>
      <c r="N91" s="7">
        <f t="shared" si="47"/>
        <v>-12</v>
      </c>
      <c r="O91" s="11"/>
      <c r="P91" s="6">
        <v>0</v>
      </c>
      <c r="Q91" s="2"/>
      <c r="R91" s="7">
        <f t="shared" si="48"/>
        <v>0</v>
      </c>
      <c r="S91" s="2"/>
      <c r="T91" s="6">
        <v>34200</v>
      </c>
      <c r="U91" s="2"/>
      <c r="V91" s="7">
        <f t="shared" si="49"/>
        <v>1.0133153188387763E-2</v>
      </c>
      <c r="W91" s="2"/>
      <c r="X91" s="6">
        <f t="shared" si="50"/>
        <v>-34200</v>
      </c>
      <c r="Y91" s="2"/>
      <c r="Z91" s="7">
        <f t="shared" si="51"/>
        <v>-1</v>
      </c>
    </row>
    <row r="92" spans="1:26" s="24" customFormat="1" hidden="1" outlineLevel="2" x14ac:dyDescent="0.25">
      <c r="A92" s="27"/>
      <c r="B92" s="11" t="str">
        <f>CONCATENATE("          ", "7740", " - ", "INV. SHRINKAGE-LOGO CLOTHING")</f>
        <v xml:space="preserve">          7740 - INV. SHRINKAGE-LOGO CLOTHING</v>
      </c>
      <c r="C92" s="11"/>
      <c r="D92" s="6">
        <v>-12967</v>
      </c>
      <c r="E92" s="2"/>
      <c r="F92" s="7">
        <f t="shared" si="44"/>
        <v>-7.6824495869979789E-2</v>
      </c>
      <c r="G92" s="2"/>
      <c r="H92" s="6"/>
      <c r="I92" s="2"/>
      <c r="J92" s="7">
        <f t="shared" si="45"/>
        <v>0</v>
      </c>
      <c r="K92" s="2"/>
      <c r="L92" s="6">
        <f t="shared" si="46"/>
        <v>-12967</v>
      </c>
      <c r="M92" s="2"/>
      <c r="N92" s="7">
        <f t="shared" si="47"/>
        <v>0</v>
      </c>
      <c r="O92" s="11"/>
      <c r="P92" s="6">
        <v>-12967</v>
      </c>
      <c r="Q92" s="2"/>
      <c r="R92" s="7">
        <f t="shared" si="48"/>
        <v>-5.1735549956077641E-3</v>
      </c>
      <c r="S92" s="2"/>
      <c r="T92" s="6"/>
      <c r="U92" s="2"/>
      <c r="V92" s="7">
        <f t="shared" si="49"/>
        <v>0</v>
      </c>
      <c r="W92" s="2"/>
      <c r="X92" s="6">
        <f t="shared" si="50"/>
        <v>-12967</v>
      </c>
      <c r="Y92" s="2"/>
      <c r="Z92" s="7">
        <f t="shared" si="51"/>
        <v>0</v>
      </c>
    </row>
    <row r="93" spans="1:26" s="24" customFormat="1" hidden="1" outlineLevel="2" x14ac:dyDescent="0.25">
      <c r="A93" s="27"/>
      <c r="B93" s="11" t="str">
        <f>CONCATENATE("          ", "7741", " - ", "INV. SHRINKAGE-LOGO GIFTS")</f>
        <v xml:space="preserve">          7741 - INV. SHRINKAGE-LOGO GIFTS</v>
      </c>
      <c r="C93" s="11"/>
      <c r="D93" s="6">
        <v>33363</v>
      </c>
      <c r="E93" s="2"/>
      <c r="F93" s="7">
        <f t="shared" si="44"/>
        <v>0.19766296411738532</v>
      </c>
      <c r="G93" s="2"/>
      <c r="H93" s="6"/>
      <c r="I93" s="2"/>
      <c r="J93" s="7">
        <f t="shared" si="45"/>
        <v>0</v>
      </c>
      <c r="K93" s="2"/>
      <c r="L93" s="6">
        <f t="shared" si="46"/>
        <v>33363</v>
      </c>
      <c r="M93" s="2"/>
      <c r="N93" s="7">
        <f t="shared" si="47"/>
        <v>0</v>
      </c>
      <c r="O93" s="11"/>
      <c r="P93" s="6">
        <v>33363</v>
      </c>
      <c r="Q93" s="2"/>
      <c r="R93" s="7">
        <f t="shared" si="48"/>
        <v>1.3311121718089137E-2</v>
      </c>
      <c r="S93" s="2"/>
      <c r="T93" s="6"/>
      <c r="U93" s="2"/>
      <c r="V93" s="7">
        <f t="shared" si="49"/>
        <v>0</v>
      </c>
      <c r="W93" s="2"/>
      <c r="X93" s="6">
        <f t="shared" si="50"/>
        <v>33363</v>
      </c>
      <c r="Y93" s="2"/>
      <c r="Z93" s="7">
        <f t="shared" si="51"/>
        <v>0</v>
      </c>
    </row>
    <row r="94" spans="1:26" s="24" customFormat="1" hidden="1" outlineLevel="2" x14ac:dyDescent="0.25">
      <c r="A94" s="27"/>
      <c r="B94" s="11" t="str">
        <f>CONCATENATE("          ", "7742", " - ", "INV. SHRINKAGE-EVERYDAY GIFTS")</f>
        <v xml:space="preserve">          7742 - INV. SHRINKAGE-EVERYDAY GIFTS</v>
      </c>
      <c r="C94" s="11"/>
      <c r="D94" s="6">
        <v>24230</v>
      </c>
      <c r="E94" s="2"/>
      <c r="F94" s="7">
        <f t="shared" si="44"/>
        <v>0.14355344604994294</v>
      </c>
      <c r="G94" s="2"/>
      <c r="H94" s="6"/>
      <c r="I94" s="2"/>
      <c r="J94" s="7">
        <f t="shared" si="45"/>
        <v>0</v>
      </c>
      <c r="K94" s="2"/>
      <c r="L94" s="6">
        <f t="shared" si="46"/>
        <v>24230</v>
      </c>
      <c r="M94" s="2"/>
      <c r="N94" s="7">
        <f t="shared" si="47"/>
        <v>0</v>
      </c>
      <c r="O94" s="11"/>
      <c r="P94" s="6">
        <v>24230</v>
      </c>
      <c r="Q94" s="2"/>
      <c r="R94" s="7">
        <f t="shared" si="48"/>
        <v>9.6672505239127106E-3</v>
      </c>
      <c r="S94" s="2"/>
      <c r="T94" s="6"/>
      <c r="U94" s="2"/>
      <c r="V94" s="7">
        <f t="shared" si="49"/>
        <v>0</v>
      </c>
      <c r="W94" s="2"/>
      <c r="X94" s="6">
        <f t="shared" si="50"/>
        <v>24230</v>
      </c>
      <c r="Y94" s="2"/>
      <c r="Z94" s="7">
        <f t="shared" si="51"/>
        <v>0</v>
      </c>
    </row>
    <row r="95" spans="1:26" s="24" customFormat="1" hidden="1" outlineLevel="2" x14ac:dyDescent="0.25">
      <c r="A95" s="27"/>
      <c r="B95" s="11" t="str">
        <f>CONCATENATE("          ", "7743", " - ", "INV. SHRINKAGE-CARDS")</f>
        <v xml:space="preserve">          7743 - INV. SHRINKAGE-CARDS</v>
      </c>
      <c r="C95" s="11"/>
      <c r="D95" s="6">
        <v>-11529</v>
      </c>
      <c r="E95" s="2"/>
      <c r="F95" s="7">
        <f t="shared" si="44"/>
        <v>-6.8304898040024445E-2</v>
      </c>
      <c r="G95" s="2"/>
      <c r="H95" s="6"/>
      <c r="I95" s="2"/>
      <c r="J95" s="7">
        <f t="shared" si="45"/>
        <v>0</v>
      </c>
      <c r="K95" s="2"/>
      <c r="L95" s="6">
        <f t="shared" si="46"/>
        <v>-11529</v>
      </c>
      <c r="M95" s="2"/>
      <c r="N95" s="7">
        <f t="shared" si="47"/>
        <v>0</v>
      </c>
      <c r="O95" s="11"/>
      <c r="P95" s="6">
        <v>-11529</v>
      </c>
      <c r="Q95" s="2"/>
      <c r="R95" s="7">
        <f t="shared" si="48"/>
        <v>-4.5998238254308559E-3</v>
      </c>
      <c r="S95" s="2"/>
      <c r="T95" s="6"/>
      <c r="U95" s="2"/>
      <c r="V95" s="7">
        <f t="shared" si="49"/>
        <v>0</v>
      </c>
      <c r="W95" s="2"/>
      <c r="X95" s="6">
        <f t="shared" si="50"/>
        <v>-11529</v>
      </c>
      <c r="Y95" s="2"/>
      <c r="Z95" s="7">
        <f t="shared" si="51"/>
        <v>0</v>
      </c>
    </row>
    <row r="96" spans="1:26" s="24" customFormat="1" hidden="1" outlineLevel="2" x14ac:dyDescent="0.25">
      <c r="A96" s="27"/>
      <c r="B96" s="11" t="str">
        <f>CONCATENATE("          ", "7744", " - ", "INV. SHRINKAGE-ACCESSORIES")</f>
        <v xml:space="preserve">          7744 - INV. SHRINKAGE-ACCESSORIES</v>
      </c>
      <c r="C96" s="11"/>
      <c r="D96" s="6">
        <v>249</v>
      </c>
      <c r="E96" s="2"/>
      <c r="F96" s="7">
        <f t="shared" si="44"/>
        <v>1.475229387801725E-3</v>
      </c>
      <c r="G96" s="2"/>
      <c r="H96" s="6"/>
      <c r="I96" s="2"/>
      <c r="J96" s="7">
        <f t="shared" si="45"/>
        <v>0</v>
      </c>
      <c r="K96" s="2"/>
      <c r="L96" s="6">
        <f t="shared" si="46"/>
        <v>249</v>
      </c>
      <c r="M96" s="2"/>
      <c r="N96" s="7">
        <f t="shared" si="47"/>
        <v>0</v>
      </c>
      <c r="O96" s="11"/>
      <c r="P96" s="6">
        <v>249</v>
      </c>
      <c r="Q96" s="2"/>
      <c r="R96" s="7">
        <f t="shared" si="48"/>
        <v>9.9345661595306024E-5</v>
      </c>
      <c r="S96" s="2"/>
      <c r="T96" s="6"/>
      <c r="U96" s="2"/>
      <c r="V96" s="7">
        <f t="shared" si="49"/>
        <v>0</v>
      </c>
      <c r="W96" s="2"/>
      <c r="X96" s="6">
        <f t="shared" si="50"/>
        <v>249</v>
      </c>
      <c r="Y96" s="2"/>
      <c r="Z96" s="7">
        <f t="shared" si="51"/>
        <v>0</v>
      </c>
    </row>
    <row r="97" spans="1:26" s="24" customFormat="1" hidden="1" outlineLevel="2" x14ac:dyDescent="0.25">
      <c r="A97" s="27"/>
      <c r="B97" s="11" t="str">
        <f>CONCATENATE("          ", "7745", " - ", "INV. SHRINKAGE-SPECIAL ORDERS")</f>
        <v xml:space="preserve">          7745 - INV. SHRINKAGE-SPECIAL ORDERS</v>
      </c>
      <c r="C97" s="11"/>
      <c r="D97" s="6">
        <v>43086</v>
      </c>
      <c r="E97" s="2"/>
      <c r="F97" s="7">
        <f t="shared" si="44"/>
        <v>0.25526800563383584</v>
      </c>
      <c r="G97" s="2"/>
      <c r="H97" s="6"/>
      <c r="I97" s="2"/>
      <c r="J97" s="7">
        <f t="shared" si="45"/>
        <v>0</v>
      </c>
      <c r="K97" s="2"/>
      <c r="L97" s="6">
        <f t="shared" si="46"/>
        <v>43086</v>
      </c>
      <c r="M97" s="2"/>
      <c r="N97" s="7">
        <f t="shared" si="47"/>
        <v>0</v>
      </c>
      <c r="O97" s="11"/>
      <c r="P97" s="6">
        <v>43086</v>
      </c>
      <c r="Q97" s="2"/>
      <c r="R97" s="7">
        <f t="shared" si="48"/>
        <v>1.7190390263033557E-2</v>
      </c>
      <c r="S97" s="2"/>
      <c r="T97" s="6"/>
      <c r="U97" s="2"/>
      <c r="V97" s="7">
        <f t="shared" si="49"/>
        <v>0</v>
      </c>
      <c r="W97" s="2"/>
      <c r="X97" s="6">
        <f t="shared" si="50"/>
        <v>43086</v>
      </c>
      <c r="Y97" s="2"/>
      <c r="Z97" s="7">
        <f t="shared" si="51"/>
        <v>0</v>
      </c>
    </row>
    <row r="98" spans="1:26" s="26" customFormat="1" outlineLevel="1" collapsed="1" x14ac:dyDescent="0.25">
      <c r="A98" s="25"/>
      <c r="B98" s="12" t="str">
        <f>CONCATENATE("     ","Professional Services                             ")</f>
        <v xml:space="preserve">     Professional Services                             </v>
      </c>
      <c r="C98" s="12"/>
      <c r="D98" s="1">
        <f>SUM(OSRRefD22_8x_0)</f>
        <v>0</v>
      </c>
      <c r="E98" s="1"/>
      <c r="F98" s="5">
        <f t="shared" ref="F98:F102" si="52">IF(D$12=0,0,D98/D$12)</f>
        <v>0</v>
      </c>
      <c r="G98" s="1"/>
      <c r="H98" s="1">
        <f>SUM(OSRRefH22_8x_0)</f>
        <v>0</v>
      </c>
      <c r="I98" s="1"/>
      <c r="J98" s="5">
        <f t="shared" ref="J98:J102" si="53">IF(H$12=0,0,H98/H$12)</f>
        <v>0</v>
      </c>
      <c r="K98" s="1"/>
      <c r="L98" s="1">
        <f t="shared" ref="L98:L102" si="54">+D98-H98</f>
        <v>0</v>
      </c>
      <c r="M98" s="1"/>
      <c r="N98" s="5">
        <f t="shared" ref="N98:N102" si="55">IF(H98=0,0,L98/H98)</f>
        <v>0</v>
      </c>
      <c r="O98" s="12"/>
      <c r="P98" s="1">
        <f>SUM(OSRRefP22_8x_0)</f>
        <v>2930</v>
      </c>
      <c r="Q98" s="1"/>
      <c r="R98" s="5">
        <f t="shared" ref="R98:R102" si="56">IF(P$12=0,0,P98/P$12)</f>
        <v>1.1690071826274966E-3</v>
      </c>
      <c r="S98" s="1"/>
      <c r="T98" s="1">
        <f>SUM(OSRRefT22_8x_0)</f>
        <v>2250</v>
      </c>
      <c r="U98" s="1"/>
      <c r="V98" s="5">
        <f t="shared" ref="V98:V102" si="57">IF(T$12=0,0,T98/T$12)</f>
        <v>6.6665481502551065E-4</v>
      </c>
      <c r="W98" s="1"/>
      <c r="X98" s="1">
        <f t="shared" ref="X98:X102" si="58">+P98-T98</f>
        <v>680</v>
      </c>
      <c r="Y98" s="1"/>
      <c r="Z98" s="5">
        <f t="shared" ref="Z98:Z102" si="59">IF(T98=0,0,X98/T98)</f>
        <v>0.30222222222222223</v>
      </c>
    </row>
    <row r="99" spans="1:26" s="24" customFormat="1" hidden="1" outlineLevel="2" x14ac:dyDescent="0.25">
      <c r="A99" s="27"/>
      <c r="B99" s="11" t="str">
        <f>CONCATENATE("          ", "6336", " - ", "PROFESSIONAL SERVICES")</f>
        <v xml:space="preserve">          6336 - PROFESSIONAL SERVICES</v>
      </c>
      <c r="C99" s="11"/>
      <c r="D99" s="6"/>
      <c r="E99" s="2"/>
      <c r="F99" s="7">
        <f t="shared" si="52"/>
        <v>0</v>
      </c>
      <c r="G99" s="2"/>
      <c r="H99" s="6">
        <v>0</v>
      </c>
      <c r="I99" s="2"/>
      <c r="J99" s="7">
        <f t="shared" si="53"/>
        <v>0</v>
      </c>
      <c r="K99" s="2"/>
      <c r="L99" s="6">
        <f t="shared" si="54"/>
        <v>0</v>
      </c>
      <c r="M99" s="2"/>
      <c r="N99" s="7">
        <f t="shared" si="55"/>
        <v>0</v>
      </c>
      <c r="O99" s="11"/>
      <c r="P99" s="6">
        <v>2930</v>
      </c>
      <c r="Q99" s="2"/>
      <c r="R99" s="7">
        <f t="shared" si="56"/>
        <v>1.1690071826274966E-3</v>
      </c>
      <c r="S99" s="2"/>
      <c r="T99" s="6">
        <v>2250</v>
      </c>
      <c r="U99" s="2"/>
      <c r="V99" s="7">
        <f t="shared" si="57"/>
        <v>6.6665481502551065E-4</v>
      </c>
      <c r="W99" s="2"/>
      <c r="X99" s="6">
        <f t="shared" si="58"/>
        <v>680</v>
      </c>
      <c r="Y99" s="2"/>
      <c r="Z99" s="7">
        <f t="shared" si="59"/>
        <v>0.30222222222222223</v>
      </c>
    </row>
    <row r="100" spans="1:26" s="26" customFormat="1" outlineLevel="1" collapsed="1" x14ac:dyDescent="0.25">
      <c r="A100" s="25"/>
      <c r="B100" s="12" t="str">
        <f>CONCATENATE("     ","Repair and Maintenance                            ")</f>
        <v xml:space="preserve">     Repair and Maintenance                            </v>
      </c>
      <c r="C100" s="12"/>
      <c r="D100" s="1">
        <f>SUM(OSRRefD22_9x_0)</f>
        <v>0</v>
      </c>
      <c r="E100" s="1"/>
      <c r="F100" s="5">
        <f t="shared" si="52"/>
        <v>0</v>
      </c>
      <c r="G100" s="1"/>
      <c r="H100" s="1">
        <f>SUM(OSRRefH22_9x_0)</f>
        <v>50</v>
      </c>
      <c r="I100" s="1"/>
      <c r="J100" s="5">
        <f t="shared" si="53"/>
        <v>2.1094732223469155E-4</v>
      </c>
      <c r="K100" s="1"/>
      <c r="L100" s="1">
        <f t="shared" si="54"/>
        <v>-50</v>
      </c>
      <c r="M100" s="1"/>
      <c r="N100" s="5">
        <f t="shared" si="55"/>
        <v>-1</v>
      </c>
      <c r="O100" s="12"/>
      <c r="P100" s="1">
        <f>SUM(OSRRefP22_9x_0)</f>
        <v>309.77999999999997</v>
      </c>
      <c r="Q100" s="1"/>
      <c r="R100" s="5">
        <f t="shared" si="56"/>
        <v>1.2359557851001566E-4</v>
      </c>
      <c r="S100" s="1"/>
      <c r="T100" s="1">
        <f>SUM(OSRRefT22_9x_0)</f>
        <v>600</v>
      </c>
      <c r="U100" s="1"/>
      <c r="V100" s="5">
        <f t="shared" si="57"/>
        <v>1.7777461734013619E-4</v>
      </c>
      <c r="W100" s="1"/>
      <c r="X100" s="1">
        <f t="shared" si="58"/>
        <v>-290.22000000000003</v>
      </c>
      <c r="Y100" s="1"/>
      <c r="Z100" s="5">
        <f t="shared" si="59"/>
        <v>-0.48370000000000002</v>
      </c>
    </row>
    <row r="101" spans="1:26" s="24" customFormat="1" hidden="1" outlineLevel="2" x14ac:dyDescent="0.25">
      <c r="A101" s="27"/>
      <c r="B101" s="11" t="str">
        <f>CONCATENATE("          ", "6373", " - ", "MAINTENANCE CONTRACTS")</f>
        <v xml:space="preserve">          6373 - MAINTENANCE CONTRACTS</v>
      </c>
      <c r="C101" s="11"/>
      <c r="D101" s="6"/>
      <c r="E101" s="2"/>
      <c r="F101" s="7">
        <f t="shared" si="52"/>
        <v>0</v>
      </c>
      <c r="G101" s="2"/>
      <c r="H101" s="6"/>
      <c r="I101" s="2"/>
      <c r="J101" s="7">
        <f t="shared" si="53"/>
        <v>0</v>
      </c>
      <c r="K101" s="2"/>
      <c r="L101" s="6">
        <f t="shared" si="54"/>
        <v>0</v>
      </c>
      <c r="M101" s="2"/>
      <c r="N101" s="7">
        <f t="shared" si="55"/>
        <v>0</v>
      </c>
      <c r="O101" s="11"/>
      <c r="P101" s="6">
        <v>309.77999999999997</v>
      </c>
      <c r="Q101" s="2"/>
      <c r="R101" s="7">
        <f t="shared" si="56"/>
        <v>1.2359557851001566E-4</v>
      </c>
      <c r="S101" s="2"/>
      <c r="T101" s="6"/>
      <c r="U101" s="2"/>
      <c r="V101" s="7">
        <f t="shared" si="57"/>
        <v>0</v>
      </c>
      <c r="W101" s="2"/>
      <c r="X101" s="6">
        <f t="shared" si="58"/>
        <v>309.77999999999997</v>
      </c>
      <c r="Y101" s="2"/>
      <c r="Z101" s="7">
        <f t="shared" si="59"/>
        <v>0</v>
      </c>
    </row>
    <row r="102" spans="1:26" s="24" customFormat="1" hidden="1" outlineLevel="2" x14ac:dyDescent="0.25">
      <c r="A102" s="27"/>
      <c r="B102" s="11" t="str">
        <f>CONCATENATE("          ", "6375", " - ", "OUTSIDE REPAIRS &amp; MAINTENANCE")</f>
        <v xml:space="preserve">          6375 - OUTSIDE REPAIRS &amp; MAINTENANCE</v>
      </c>
      <c r="C102" s="11"/>
      <c r="D102" s="6"/>
      <c r="E102" s="2"/>
      <c r="F102" s="7">
        <f t="shared" si="52"/>
        <v>0</v>
      </c>
      <c r="G102" s="2"/>
      <c r="H102" s="6">
        <v>50</v>
      </c>
      <c r="I102" s="2"/>
      <c r="J102" s="7">
        <f t="shared" si="53"/>
        <v>2.1094732223469155E-4</v>
      </c>
      <c r="K102" s="2"/>
      <c r="L102" s="6">
        <f t="shared" si="54"/>
        <v>-50</v>
      </c>
      <c r="M102" s="2"/>
      <c r="N102" s="7">
        <f t="shared" si="55"/>
        <v>-1</v>
      </c>
      <c r="O102" s="11"/>
      <c r="P102" s="6"/>
      <c r="Q102" s="2"/>
      <c r="R102" s="7">
        <f t="shared" si="56"/>
        <v>0</v>
      </c>
      <c r="S102" s="2"/>
      <c r="T102" s="6">
        <v>600</v>
      </c>
      <c r="U102" s="2"/>
      <c r="V102" s="7">
        <f t="shared" si="57"/>
        <v>1.7777461734013619E-4</v>
      </c>
      <c r="W102" s="2"/>
      <c r="X102" s="6">
        <f t="shared" si="58"/>
        <v>-600</v>
      </c>
      <c r="Y102" s="2"/>
      <c r="Z102" s="7">
        <f t="shared" si="59"/>
        <v>-1</v>
      </c>
    </row>
    <row r="103" spans="1:26" s="26" customFormat="1" outlineLevel="1" collapsed="1" x14ac:dyDescent="0.25">
      <c r="A103" s="25"/>
      <c r="B103" s="12" t="str">
        <f>CONCATENATE("     ","Royalty &amp; Commissions                             ")</f>
        <v xml:space="preserve">     Royalty &amp; Commissions                             </v>
      </c>
      <c r="C103" s="12"/>
      <c r="D103" s="1">
        <f>SUM(OSRRefD22_10x_0)</f>
        <v>0</v>
      </c>
      <c r="E103" s="1"/>
      <c r="F103" s="5">
        <f t="shared" ref="F103:F106" si="60">IF(D$12=0,0,D103/D$12)</f>
        <v>0</v>
      </c>
      <c r="G103" s="1"/>
      <c r="H103" s="1">
        <f>SUM(OSRRefH22_10x_0)</f>
        <v>5485</v>
      </c>
      <c r="I103" s="1"/>
      <c r="J103" s="5">
        <f t="shared" ref="J103:J106" si="61">IF(H$12=0,0,H103/H$12)</f>
        <v>2.3140921249145664E-2</v>
      </c>
      <c r="K103" s="1"/>
      <c r="L103" s="1">
        <f t="shared" ref="L103:L106" si="62">+D103-H103</f>
        <v>-5485</v>
      </c>
      <c r="M103" s="1"/>
      <c r="N103" s="5">
        <f t="shared" ref="N103:N106" si="63">IF(H103=0,0,L103/H103)</f>
        <v>-1</v>
      </c>
      <c r="O103" s="12"/>
      <c r="P103" s="1">
        <f>SUM(OSRRefP22_10x_0)</f>
        <v>40841.660000000003</v>
      </c>
      <c r="Q103" s="1"/>
      <c r="R103" s="5">
        <f t="shared" ref="R103:R106" si="64">IF(P$12=0,0,P103/P$12)</f>
        <v>1.629494672028332E-2</v>
      </c>
      <c r="S103" s="1"/>
      <c r="T103" s="1">
        <f>SUM(OSRRefT22_10x_0)</f>
        <v>65820</v>
      </c>
      <c r="U103" s="1"/>
      <c r="V103" s="5">
        <f t="shared" ref="V103:V106" si="65">IF(T$12=0,0,T103/T$12)</f>
        <v>1.9501875522212938E-2</v>
      </c>
      <c r="W103" s="1"/>
      <c r="X103" s="1">
        <f t="shared" ref="X103:X106" si="66">+P103-T103</f>
        <v>-24978.339999999997</v>
      </c>
      <c r="Y103" s="1"/>
      <c r="Z103" s="5">
        <f t="shared" ref="Z103:Z106" si="67">IF(T103=0,0,X103/T103)</f>
        <v>-0.37949468246733509</v>
      </c>
    </row>
    <row r="104" spans="1:26" s="24" customFormat="1" hidden="1" outlineLevel="2" x14ac:dyDescent="0.25">
      <c r="A104" s="27"/>
      <c r="B104" s="11" t="str">
        <f>CONCATENATE("          ", "6252", " - ", "ROYALTY DUE CSTV")</f>
        <v xml:space="preserve">          6252 - ROYALTY DUE CSTV</v>
      </c>
      <c r="C104" s="11"/>
      <c r="D104" s="6"/>
      <c r="E104" s="2"/>
      <c r="F104" s="7">
        <f t="shared" si="60"/>
        <v>0</v>
      </c>
      <c r="G104" s="2"/>
      <c r="H104" s="6">
        <v>1085</v>
      </c>
      <c r="I104" s="2"/>
      <c r="J104" s="7">
        <f t="shared" si="61"/>
        <v>4.5775568924928071E-3</v>
      </c>
      <c r="K104" s="2"/>
      <c r="L104" s="6">
        <f t="shared" si="62"/>
        <v>-1085</v>
      </c>
      <c r="M104" s="2"/>
      <c r="N104" s="7">
        <f t="shared" si="63"/>
        <v>-1</v>
      </c>
      <c r="O104" s="11"/>
      <c r="P104" s="6"/>
      <c r="Q104" s="2"/>
      <c r="R104" s="7">
        <f t="shared" si="64"/>
        <v>0</v>
      </c>
      <c r="S104" s="2"/>
      <c r="T104" s="6">
        <v>13020</v>
      </c>
      <c r="U104" s="2"/>
      <c r="V104" s="7">
        <f t="shared" si="65"/>
        <v>3.857709196280955E-3</v>
      </c>
      <c r="W104" s="2"/>
      <c r="X104" s="6">
        <f t="shared" si="66"/>
        <v>-13020</v>
      </c>
      <c r="Y104" s="2"/>
      <c r="Z104" s="7">
        <f t="shared" si="67"/>
        <v>-1</v>
      </c>
    </row>
    <row r="105" spans="1:26" s="24" customFormat="1" hidden="1" outlineLevel="2" x14ac:dyDescent="0.25">
      <c r="A105" s="27"/>
      <c r="B105" s="11" t="str">
        <f>CONCATENATE("          ", "6253", " - ", "ROYALTY DUE ATHLETICS-LRG")</f>
        <v xml:space="preserve">          6253 - ROYALTY DUE ATHLETICS-LRG</v>
      </c>
      <c r="C105" s="11"/>
      <c r="D105" s="6"/>
      <c r="E105" s="2"/>
      <c r="F105" s="7">
        <f t="shared" si="60"/>
        <v>0</v>
      </c>
      <c r="G105" s="2"/>
      <c r="H105" s="6">
        <v>3700</v>
      </c>
      <c r="I105" s="2"/>
      <c r="J105" s="7">
        <f t="shared" si="61"/>
        <v>1.5610101845367175E-2</v>
      </c>
      <c r="K105" s="2"/>
      <c r="L105" s="6">
        <f t="shared" si="62"/>
        <v>-3700</v>
      </c>
      <c r="M105" s="2"/>
      <c r="N105" s="7">
        <f t="shared" si="63"/>
        <v>-1</v>
      </c>
      <c r="O105" s="11"/>
      <c r="P105" s="6">
        <v>32870.44</v>
      </c>
      <c r="Q105" s="2"/>
      <c r="R105" s="7">
        <f t="shared" si="64"/>
        <v>1.3114600838268318E-2</v>
      </c>
      <c r="S105" s="2"/>
      <c r="T105" s="6">
        <v>44400</v>
      </c>
      <c r="U105" s="2"/>
      <c r="V105" s="7">
        <f t="shared" si="65"/>
        <v>1.3155321683170077E-2</v>
      </c>
      <c r="W105" s="2"/>
      <c r="X105" s="6">
        <f t="shared" si="66"/>
        <v>-11529.559999999998</v>
      </c>
      <c r="Y105" s="2"/>
      <c r="Z105" s="7">
        <f t="shared" si="67"/>
        <v>-0.25967477477477474</v>
      </c>
    </row>
    <row r="106" spans="1:26" s="24" customFormat="1" hidden="1" outlineLevel="2" x14ac:dyDescent="0.25">
      <c r="A106" s="27"/>
      <c r="B106" s="11" t="str">
        <f>CONCATENATE("          ", "6254", " - ", "ROYALTY &amp; COMMISSIONS")</f>
        <v xml:space="preserve">          6254 - ROYALTY &amp; COMMISSIONS</v>
      </c>
      <c r="C106" s="11"/>
      <c r="D106" s="6"/>
      <c r="E106" s="2"/>
      <c r="F106" s="7">
        <f t="shared" si="60"/>
        <v>0</v>
      </c>
      <c r="G106" s="2"/>
      <c r="H106" s="6">
        <v>700</v>
      </c>
      <c r="I106" s="2"/>
      <c r="J106" s="7">
        <f t="shared" si="61"/>
        <v>2.9532625112856817E-3</v>
      </c>
      <c r="K106" s="2"/>
      <c r="L106" s="6">
        <f t="shared" si="62"/>
        <v>-700</v>
      </c>
      <c r="M106" s="2"/>
      <c r="N106" s="7">
        <f t="shared" si="63"/>
        <v>-1</v>
      </c>
      <c r="O106" s="11"/>
      <c r="P106" s="6">
        <v>7971.22</v>
      </c>
      <c r="Q106" s="2"/>
      <c r="R106" s="7">
        <f t="shared" si="64"/>
        <v>3.1803458820150012E-3</v>
      </c>
      <c r="S106" s="2"/>
      <c r="T106" s="6">
        <v>8400</v>
      </c>
      <c r="U106" s="2"/>
      <c r="V106" s="7">
        <f t="shared" si="65"/>
        <v>2.4888446427619062E-3</v>
      </c>
      <c r="W106" s="2"/>
      <c r="X106" s="6">
        <f t="shared" si="66"/>
        <v>-428.77999999999975</v>
      </c>
      <c r="Y106" s="2"/>
      <c r="Z106" s="7">
        <f t="shared" si="67"/>
        <v>-5.1045238095238067E-2</v>
      </c>
    </row>
    <row r="107" spans="1:26" s="26" customFormat="1" outlineLevel="1" collapsed="1" x14ac:dyDescent="0.25">
      <c r="A107" s="25"/>
      <c r="B107" s="12" t="str">
        <f>CONCATENATE("     ","Subscriptions &amp; Dues                              ")</f>
        <v xml:space="preserve">     Subscriptions &amp; Dues                              </v>
      </c>
      <c r="C107" s="12"/>
      <c r="D107" s="1">
        <f>SUM(OSRRefD22_11x_0)</f>
        <v>119.97</v>
      </c>
      <c r="E107" s="1"/>
      <c r="F107" s="5">
        <f t="shared" ref="F107:F109" si="68">IF(D$12=0,0,D107/D$12)</f>
        <v>7.107761833516985E-4</v>
      </c>
      <c r="G107" s="1"/>
      <c r="H107" s="1">
        <f>SUM(OSRRefH22_11x_0)</f>
        <v>100</v>
      </c>
      <c r="I107" s="1"/>
      <c r="J107" s="5">
        <f t="shared" ref="J107:J109" si="69">IF(H$12=0,0,H107/H$12)</f>
        <v>4.218946444693831E-4</v>
      </c>
      <c r="K107" s="1"/>
      <c r="L107" s="1">
        <f t="shared" ref="L107:L109" si="70">+D107-H107</f>
        <v>19.97</v>
      </c>
      <c r="M107" s="1"/>
      <c r="N107" s="5">
        <f t="shared" ref="N107:N109" si="71">IF(H107=0,0,L107/H107)</f>
        <v>0.19969999999999999</v>
      </c>
      <c r="O107" s="12"/>
      <c r="P107" s="1">
        <f>SUM(OSRRefP22_11x_0)</f>
        <v>499.54999999999995</v>
      </c>
      <c r="Q107" s="1"/>
      <c r="R107" s="5">
        <f t="shared" ref="R107:R109" si="72">IF(P$12=0,0,P107/P$12)</f>
        <v>1.993097399595788E-4</v>
      </c>
      <c r="S107" s="1"/>
      <c r="T107" s="1">
        <f>SUM(OSRRefT22_11x_0)</f>
        <v>4350</v>
      </c>
      <c r="U107" s="1"/>
      <c r="V107" s="5">
        <f t="shared" ref="V107:V109" si="73">IF(T$12=0,0,T107/T$12)</f>
        <v>1.2888659757159873E-3</v>
      </c>
      <c r="W107" s="1"/>
      <c r="X107" s="1">
        <f t="shared" ref="X107:X109" si="74">+P107-T107</f>
        <v>-3850.45</v>
      </c>
      <c r="Y107" s="1"/>
      <c r="Z107" s="5">
        <f t="shared" ref="Z107:Z109" si="75">IF(T107=0,0,X107/T107)</f>
        <v>-0.8851609195402298</v>
      </c>
    </row>
    <row r="108" spans="1:26" s="24" customFormat="1" hidden="1" outlineLevel="2" x14ac:dyDescent="0.25">
      <c r="A108" s="27"/>
      <c r="B108" s="11" t="str">
        <f>CONCATENATE("          ", "6258", " - ", "MEMBERSHIP DUES")</f>
        <v xml:space="preserve">          6258 - MEMBERSHIP DUES</v>
      </c>
      <c r="C108" s="11"/>
      <c r="D108" s="6">
        <v>119.97</v>
      </c>
      <c r="E108" s="2"/>
      <c r="F108" s="7">
        <f t="shared" si="68"/>
        <v>7.107761833516985E-4</v>
      </c>
      <c r="G108" s="2"/>
      <c r="H108" s="6">
        <v>0</v>
      </c>
      <c r="I108" s="2"/>
      <c r="J108" s="7">
        <f t="shared" si="69"/>
        <v>0</v>
      </c>
      <c r="K108" s="2"/>
      <c r="L108" s="6">
        <f t="shared" si="70"/>
        <v>119.97</v>
      </c>
      <c r="M108" s="2"/>
      <c r="N108" s="7">
        <f t="shared" si="71"/>
        <v>0</v>
      </c>
      <c r="O108" s="11"/>
      <c r="P108" s="6">
        <v>202.91</v>
      </c>
      <c r="Q108" s="2"/>
      <c r="R108" s="7">
        <f t="shared" si="72"/>
        <v>8.0956739736158818E-5</v>
      </c>
      <c r="S108" s="2"/>
      <c r="T108" s="6">
        <v>1500</v>
      </c>
      <c r="U108" s="2"/>
      <c r="V108" s="7">
        <f t="shared" si="73"/>
        <v>4.4443654335034045E-4</v>
      </c>
      <c r="W108" s="2"/>
      <c r="X108" s="6">
        <f t="shared" si="74"/>
        <v>-1297.0899999999999</v>
      </c>
      <c r="Y108" s="2"/>
      <c r="Z108" s="7">
        <f t="shared" si="75"/>
        <v>-0.86472666666666664</v>
      </c>
    </row>
    <row r="109" spans="1:26" s="24" customFormat="1" hidden="1" outlineLevel="2" x14ac:dyDescent="0.25">
      <c r="A109" s="27"/>
      <c r="B109" s="11" t="str">
        <f>CONCATENATE("          ", "6275", " - ", "SUBSCRIPTIONS")</f>
        <v xml:space="preserve">          6275 - SUBSCRIPTIONS</v>
      </c>
      <c r="C109" s="11"/>
      <c r="D109" s="6"/>
      <c r="E109" s="2"/>
      <c r="F109" s="7">
        <f t="shared" si="68"/>
        <v>0</v>
      </c>
      <c r="G109" s="2"/>
      <c r="H109" s="6">
        <v>100</v>
      </c>
      <c r="I109" s="2"/>
      <c r="J109" s="7">
        <f t="shared" si="69"/>
        <v>4.218946444693831E-4</v>
      </c>
      <c r="K109" s="2"/>
      <c r="L109" s="6">
        <f t="shared" si="70"/>
        <v>-100</v>
      </c>
      <c r="M109" s="2"/>
      <c r="N109" s="7">
        <f t="shared" si="71"/>
        <v>-1</v>
      </c>
      <c r="O109" s="11"/>
      <c r="P109" s="6">
        <v>296.64</v>
      </c>
      <c r="Q109" s="2"/>
      <c r="R109" s="7">
        <f t="shared" si="72"/>
        <v>1.1835300022341999E-4</v>
      </c>
      <c r="S109" s="2"/>
      <c r="T109" s="6">
        <v>2850</v>
      </c>
      <c r="U109" s="2"/>
      <c r="V109" s="7">
        <f t="shared" si="73"/>
        <v>8.4442943236564681E-4</v>
      </c>
      <c r="W109" s="2"/>
      <c r="X109" s="6">
        <f t="shared" si="74"/>
        <v>-2553.36</v>
      </c>
      <c r="Y109" s="2"/>
      <c r="Z109" s="7">
        <f t="shared" si="75"/>
        <v>-0.89591578947368422</v>
      </c>
    </row>
    <row r="110" spans="1:26" s="26" customFormat="1" outlineLevel="1" collapsed="1" x14ac:dyDescent="0.25">
      <c r="A110" s="25"/>
      <c r="B110" s="12" t="str">
        <f>CONCATENATE("     ","Supplies                                          ")</f>
        <v xml:space="preserve">     Supplies                                          </v>
      </c>
      <c r="C110" s="12"/>
      <c r="D110" s="1">
        <f>SUM(OSRRefD22_12x_0)</f>
        <v>158.76</v>
      </c>
      <c r="E110" s="1"/>
      <c r="F110" s="5">
        <f t="shared" ref="F110:F115" si="76">IF(D$12=0,0,D110/D$12)</f>
        <v>9.4059203858394308E-4</v>
      </c>
      <c r="G110" s="1"/>
      <c r="H110" s="1">
        <f>SUM(OSRRefH22_12x_0)</f>
        <v>625</v>
      </c>
      <c r="I110" s="1"/>
      <c r="J110" s="5">
        <f t="shared" ref="J110:J115" si="77">IF(H$12=0,0,H110/H$12)</f>
        <v>2.6368415279336443E-3</v>
      </c>
      <c r="K110" s="1"/>
      <c r="L110" s="1">
        <f t="shared" ref="L110:L115" si="78">+D110-H110</f>
        <v>-466.24</v>
      </c>
      <c r="M110" s="1"/>
      <c r="N110" s="5">
        <f t="shared" ref="N110:N115" si="79">IF(H110=0,0,L110/H110)</f>
        <v>-0.74598399999999998</v>
      </c>
      <c r="O110" s="12"/>
      <c r="P110" s="1">
        <f>SUM(OSRRefP22_12x_0)</f>
        <v>3783.6099999999997</v>
      </c>
      <c r="Q110" s="1"/>
      <c r="R110" s="5">
        <f t="shared" ref="R110:R115" si="80">IF(P$12=0,0,P110/P$12)</f>
        <v>1.5095792717615092E-3</v>
      </c>
      <c r="S110" s="1"/>
      <c r="T110" s="1">
        <f>SUM(OSRRefT22_12x_0)</f>
        <v>11100</v>
      </c>
      <c r="U110" s="1"/>
      <c r="V110" s="5">
        <f t="shared" ref="V110:V115" si="81">IF(T$12=0,0,T110/T$12)</f>
        <v>3.2888304207925193E-3</v>
      </c>
      <c r="W110" s="1"/>
      <c r="X110" s="1">
        <f t="shared" ref="X110:X115" si="82">+P110-T110</f>
        <v>-7316.39</v>
      </c>
      <c r="Y110" s="1"/>
      <c r="Z110" s="5">
        <f t="shared" ref="Z110:Z115" si="83">IF(T110=0,0,X110/T110)</f>
        <v>-0.65913423423423423</v>
      </c>
    </row>
    <row r="111" spans="1:26" s="24" customFormat="1" hidden="1" outlineLevel="2" x14ac:dyDescent="0.25">
      <c r="A111" s="27"/>
      <c r="B111" s="11" t="str">
        <f>CONCATENATE("          ", "6234", " - ", "EXPENDABLE SUPPLIES &amp; EQUIPMEN")</f>
        <v xml:space="preserve">          6234 - EXPENDABLE SUPPLIES &amp; EQUIPMEN</v>
      </c>
      <c r="C111" s="11"/>
      <c r="D111" s="6"/>
      <c r="E111" s="2"/>
      <c r="F111" s="7">
        <f t="shared" si="76"/>
        <v>0</v>
      </c>
      <c r="G111" s="2"/>
      <c r="H111" s="6">
        <v>200</v>
      </c>
      <c r="I111" s="2"/>
      <c r="J111" s="7">
        <f t="shared" si="77"/>
        <v>8.437892889387662E-4</v>
      </c>
      <c r="K111" s="2"/>
      <c r="L111" s="6">
        <f t="shared" si="78"/>
        <v>-200</v>
      </c>
      <c r="M111" s="2"/>
      <c r="N111" s="7">
        <f t="shared" si="79"/>
        <v>-1</v>
      </c>
      <c r="O111" s="11"/>
      <c r="P111" s="6">
        <v>672.38</v>
      </c>
      <c r="Q111" s="2"/>
      <c r="R111" s="7">
        <f t="shared" si="80"/>
        <v>2.6826520459217616E-4</v>
      </c>
      <c r="S111" s="2"/>
      <c r="T111" s="6">
        <v>5700</v>
      </c>
      <c r="U111" s="2"/>
      <c r="V111" s="7">
        <f t="shared" si="81"/>
        <v>1.6888588647312936E-3</v>
      </c>
      <c r="W111" s="2"/>
      <c r="X111" s="6">
        <f t="shared" si="82"/>
        <v>-5027.62</v>
      </c>
      <c r="Y111" s="2"/>
      <c r="Z111" s="7">
        <f t="shared" si="83"/>
        <v>-0.88203859649122807</v>
      </c>
    </row>
    <row r="112" spans="1:26" s="24" customFormat="1" hidden="1" outlineLevel="2" x14ac:dyDescent="0.25">
      <c r="A112" s="27"/>
      <c r="B112" s="11" t="str">
        <f>CONCATENATE("          ", "6237", " - ", "JANITORIAL SUPPLIES")</f>
        <v xml:space="preserve">          6237 - JANITORIAL SUPPLIES</v>
      </c>
      <c r="C112" s="11"/>
      <c r="D112" s="6"/>
      <c r="E112" s="2"/>
      <c r="F112" s="7">
        <f t="shared" si="76"/>
        <v>0</v>
      </c>
      <c r="G112" s="2"/>
      <c r="H112" s="6">
        <v>25</v>
      </c>
      <c r="I112" s="2"/>
      <c r="J112" s="7">
        <f t="shared" si="77"/>
        <v>1.0547366111734578E-4</v>
      </c>
      <c r="K112" s="2"/>
      <c r="L112" s="6">
        <f t="shared" si="78"/>
        <v>-25</v>
      </c>
      <c r="M112" s="2"/>
      <c r="N112" s="7">
        <f t="shared" si="79"/>
        <v>-1</v>
      </c>
      <c r="O112" s="11"/>
      <c r="P112" s="6"/>
      <c r="Q112" s="2"/>
      <c r="R112" s="7">
        <f t="shared" si="80"/>
        <v>0</v>
      </c>
      <c r="S112" s="2"/>
      <c r="T112" s="6">
        <v>300</v>
      </c>
      <c r="U112" s="2"/>
      <c r="V112" s="7">
        <f t="shared" si="81"/>
        <v>8.8887308670068094E-5</v>
      </c>
      <c r="W112" s="2"/>
      <c r="X112" s="6">
        <f t="shared" si="82"/>
        <v>-300</v>
      </c>
      <c r="Y112" s="2"/>
      <c r="Z112" s="7">
        <f t="shared" si="83"/>
        <v>-1</v>
      </c>
    </row>
    <row r="113" spans="1:26" s="24" customFormat="1" hidden="1" outlineLevel="2" x14ac:dyDescent="0.25">
      <c r="A113" s="27"/>
      <c r="B113" s="11" t="str">
        <f>CONCATENATE("          ", "6241", " - ", "OFFICE EXPENSE")</f>
        <v xml:space="preserve">          6241 - OFFICE EXPENSE</v>
      </c>
      <c r="C113" s="11"/>
      <c r="D113" s="6"/>
      <c r="E113" s="2"/>
      <c r="F113" s="7">
        <f t="shared" si="76"/>
        <v>0</v>
      </c>
      <c r="G113" s="2"/>
      <c r="H113" s="6">
        <v>200</v>
      </c>
      <c r="I113" s="2"/>
      <c r="J113" s="7">
        <f t="shared" si="77"/>
        <v>8.437892889387662E-4</v>
      </c>
      <c r="K113" s="2"/>
      <c r="L113" s="6">
        <f t="shared" si="78"/>
        <v>-200</v>
      </c>
      <c r="M113" s="2"/>
      <c r="N113" s="7">
        <f t="shared" si="79"/>
        <v>-1</v>
      </c>
      <c r="O113" s="11"/>
      <c r="P113" s="6">
        <v>2718.41</v>
      </c>
      <c r="Q113" s="2"/>
      <c r="R113" s="7">
        <f t="shared" si="80"/>
        <v>1.0845873089851239E-3</v>
      </c>
      <c r="S113" s="2"/>
      <c r="T113" s="6">
        <v>2400</v>
      </c>
      <c r="U113" s="2"/>
      <c r="V113" s="7">
        <f t="shared" si="81"/>
        <v>7.1109846936054475E-4</v>
      </c>
      <c r="W113" s="2"/>
      <c r="X113" s="6">
        <f t="shared" si="82"/>
        <v>318.40999999999985</v>
      </c>
      <c r="Y113" s="2"/>
      <c r="Z113" s="7">
        <f t="shared" si="83"/>
        <v>0.13267083333333327</v>
      </c>
    </row>
    <row r="114" spans="1:26" s="24" customFormat="1" hidden="1" outlineLevel="2" x14ac:dyDescent="0.25">
      <c r="A114" s="27"/>
      <c r="B114" s="11" t="str">
        <f>CONCATENATE("          ", "6245", " - ", "PRINTING")</f>
        <v xml:space="preserve">          6245 - PRINTING</v>
      </c>
      <c r="C114" s="11"/>
      <c r="D114" s="6">
        <v>158.76</v>
      </c>
      <c r="E114" s="2"/>
      <c r="F114" s="7">
        <f t="shared" si="76"/>
        <v>9.4059203858394308E-4</v>
      </c>
      <c r="G114" s="2"/>
      <c r="H114" s="6"/>
      <c r="I114" s="2"/>
      <c r="J114" s="7">
        <f t="shared" si="77"/>
        <v>0</v>
      </c>
      <c r="K114" s="2"/>
      <c r="L114" s="6">
        <f t="shared" si="78"/>
        <v>158.76</v>
      </c>
      <c r="M114" s="2"/>
      <c r="N114" s="7">
        <f t="shared" si="79"/>
        <v>0</v>
      </c>
      <c r="O114" s="11"/>
      <c r="P114" s="6">
        <v>-370.22</v>
      </c>
      <c r="Q114" s="2"/>
      <c r="R114" s="7">
        <f t="shared" si="80"/>
        <v>-1.4770984271411325E-4</v>
      </c>
      <c r="S114" s="2"/>
      <c r="T114" s="6"/>
      <c r="U114" s="2"/>
      <c r="V114" s="7">
        <f t="shared" si="81"/>
        <v>0</v>
      </c>
      <c r="W114" s="2"/>
      <c r="X114" s="6">
        <f t="shared" si="82"/>
        <v>-370.22</v>
      </c>
      <c r="Y114" s="2"/>
      <c r="Z114" s="7">
        <f t="shared" si="83"/>
        <v>0</v>
      </c>
    </row>
    <row r="115" spans="1:26" s="24" customFormat="1" hidden="1" outlineLevel="2" x14ac:dyDescent="0.25">
      <c r="A115" s="27"/>
      <c r="B115" s="11" t="str">
        <f>CONCATENATE("          ", "6247", " - ", "STORE SUPPLIES")</f>
        <v xml:space="preserve">          6247 - STORE SUPPLIES</v>
      </c>
      <c r="C115" s="11"/>
      <c r="D115" s="6"/>
      <c r="E115" s="2"/>
      <c r="F115" s="7">
        <f t="shared" si="76"/>
        <v>0</v>
      </c>
      <c r="G115" s="2"/>
      <c r="H115" s="6">
        <v>200</v>
      </c>
      <c r="I115" s="2"/>
      <c r="J115" s="7">
        <f t="shared" si="77"/>
        <v>8.437892889387662E-4</v>
      </c>
      <c r="K115" s="2"/>
      <c r="L115" s="6">
        <f t="shared" si="78"/>
        <v>-200</v>
      </c>
      <c r="M115" s="2"/>
      <c r="N115" s="7">
        <f t="shared" si="79"/>
        <v>-1</v>
      </c>
      <c r="O115" s="11"/>
      <c r="P115" s="6">
        <v>763.04</v>
      </c>
      <c r="Q115" s="2"/>
      <c r="R115" s="7">
        <f t="shared" si="80"/>
        <v>3.0443660089832253E-4</v>
      </c>
      <c r="S115" s="2"/>
      <c r="T115" s="6">
        <v>2700</v>
      </c>
      <c r="U115" s="2"/>
      <c r="V115" s="7">
        <f t="shared" si="81"/>
        <v>7.9998577803061283E-4</v>
      </c>
      <c r="W115" s="2"/>
      <c r="X115" s="6">
        <f t="shared" si="82"/>
        <v>-1936.96</v>
      </c>
      <c r="Y115" s="2"/>
      <c r="Z115" s="7">
        <f t="shared" si="83"/>
        <v>-0.71739259259259258</v>
      </c>
    </row>
    <row r="116" spans="1:26" s="26" customFormat="1" outlineLevel="1" collapsed="1" x14ac:dyDescent="0.25">
      <c r="A116" s="25"/>
      <c r="B116" s="12" t="str">
        <f>CONCATENATE("     ","Telephone/Data Lines                              ")</f>
        <v xml:space="preserve">     Telephone/Data Lines                              </v>
      </c>
      <c r="C116" s="12"/>
      <c r="D116" s="1">
        <f>SUM(OSRRefD22_13x_0)</f>
        <v>-15.36</v>
      </c>
      <c r="E116" s="1"/>
      <c r="F116" s="5">
        <f t="shared" ref="F116:F122" si="84">IF(D$12=0,0,D116/D$12)</f>
        <v>-9.1002101994516044E-5</v>
      </c>
      <c r="G116" s="1"/>
      <c r="H116" s="1">
        <f>SUM(OSRRefH22_13x_0)</f>
        <v>300</v>
      </c>
      <c r="I116" s="1"/>
      <c r="J116" s="5">
        <f t="shared" ref="J116:J122" si="85">IF(H$12=0,0,H116/H$12)</f>
        <v>1.2656839334081493E-3</v>
      </c>
      <c r="K116" s="1"/>
      <c r="L116" s="1">
        <f t="shared" ref="L116:L122" si="86">+D116-H116</f>
        <v>-315.36</v>
      </c>
      <c r="M116" s="1"/>
      <c r="N116" s="5">
        <f t="shared" ref="N116:N122" si="87">IF(H116=0,0,L116/H116)</f>
        <v>-1.0512000000000001</v>
      </c>
      <c r="O116" s="12"/>
      <c r="P116" s="1">
        <f>SUM(OSRRefP22_13x_0)</f>
        <v>5898.29</v>
      </c>
      <c r="Q116" s="1"/>
      <c r="R116" s="5">
        <f t="shared" ref="R116:R122" si="88">IF(P$12=0,0,P116/P$12)</f>
        <v>2.3532912543412754E-3</v>
      </c>
      <c r="S116" s="1"/>
      <c r="T116" s="1">
        <f>SUM(OSRRefT22_13x_0)</f>
        <v>6550</v>
      </c>
      <c r="U116" s="1"/>
      <c r="V116" s="5">
        <f t="shared" ref="V116:V122" si="89">IF(T$12=0,0,T116/T$12)</f>
        <v>1.9407062392964866E-3</v>
      </c>
      <c r="W116" s="1"/>
      <c r="X116" s="1">
        <f t="shared" ref="X116:X122" si="90">+P116-T116</f>
        <v>-651.71</v>
      </c>
      <c r="Y116" s="1"/>
      <c r="Z116" s="5">
        <f t="shared" ref="Z116:Z122" si="91">IF(T116=0,0,X116/T116)</f>
        <v>-9.9497709923664121E-2</v>
      </c>
    </row>
    <row r="117" spans="1:26" s="24" customFormat="1" hidden="1" outlineLevel="2" x14ac:dyDescent="0.25">
      <c r="A117" s="27"/>
      <c r="B117" s="11" t="str">
        <f>CONCATENATE("          ", "6309", " - ", "TELEPHONE")</f>
        <v xml:space="preserve">          6309 - TELEPHONE</v>
      </c>
      <c r="C117" s="11"/>
      <c r="D117" s="6">
        <v>-15.36</v>
      </c>
      <c r="E117" s="2"/>
      <c r="F117" s="7">
        <f t="shared" si="84"/>
        <v>-9.1002101994516044E-5</v>
      </c>
      <c r="G117" s="2"/>
      <c r="H117" s="6">
        <v>300</v>
      </c>
      <c r="I117" s="2"/>
      <c r="J117" s="7">
        <f t="shared" si="85"/>
        <v>1.2656839334081493E-3</v>
      </c>
      <c r="K117" s="2"/>
      <c r="L117" s="6">
        <f t="shared" si="86"/>
        <v>-315.36</v>
      </c>
      <c r="M117" s="2"/>
      <c r="N117" s="7">
        <f t="shared" si="87"/>
        <v>-1.0512000000000001</v>
      </c>
      <c r="O117" s="11"/>
      <c r="P117" s="6">
        <v>5898.29</v>
      </c>
      <c r="Q117" s="2"/>
      <c r="R117" s="7">
        <f t="shared" si="88"/>
        <v>2.3532912543412754E-3</v>
      </c>
      <c r="S117" s="2"/>
      <c r="T117" s="6">
        <v>6550</v>
      </c>
      <c r="U117" s="2"/>
      <c r="V117" s="7">
        <f t="shared" si="89"/>
        <v>1.9407062392964866E-3</v>
      </c>
      <c r="W117" s="2"/>
      <c r="X117" s="6">
        <f t="shared" si="90"/>
        <v>-651.71</v>
      </c>
      <c r="Y117" s="2"/>
      <c r="Z117" s="7">
        <f t="shared" si="91"/>
        <v>-9.9497709923664121E-2</v>
      </c>
    </row>
    <row r="118" spans="1:26" s="26" customFormat="1" outlineLevel="1" collapsed="1" x14ac:dyDescent="0.25">
      <c r="A118" s="25"/>
      <c r="B118" s="12" t="str">
        <f>CONCATENATE("     ","Training                                          ")</f>
        <v xml:space="preserve">     Training                                          </v>
      </c>
      <c r="C118" s="12"/>
      <c r="D118" s="1">
        <f>SUM(OSRRefD22_14x_0)</f>
        <v>0</v>
      </c>
      <c r="E118" s="1"/>
      <c r="F118" s="5">
        <f t="shared" si="84"/>
        <v>0</v>
      </c>
      <c r="G118" s="1"/>
      <c r="H118" s="1">
        <f>SUM(OSRRefH22_14x_0)</f>
        <v>0</v>
      </c>
      <c r="I118" s="1"/>
      <c r="J118" s="5">
        <f t="shared" si="85"/>
        <v>0</v>
      </c>
      <c r="K118" s="1"/>
      <c r="L118" s="1">
        <f t="shared" si="86"/>
        <v>0</v>
      </c>
      <c r="M118" s="1"/>
      <c r="N118" s="5">
        <f t="shared" si="87"/>
        <v>0</v>
      </c>
      <c r="O118" s="12"/>
      <c r="P118" s="1">
        <f>SUM(OSRRefP22_14x_0)</f>
        <v>3651.14</v>
      </c>
      <c r="Q118" s="1"/>
      <c r="R118" s="5">
        <f t="shared" si="88"/>
        <v>1.4567265818356853E-3</v>
      </c>
      <c r="S118" s="1"/>
      <c r="T118" s="1">
        <f>SUM(OSRRefT22_14x_0)</f>
        <v>7000</v>
      </c>
      <c r="U118" s="1"/>
      <c r="V118" s="5">
        <f t="shared" si="89"/>
        <v>2.0740372023015886E-3</v>
      </c>
      <c r="W118" s="1"/>
      <c r="X118" s="1">
        <f t="shared" si="90"/>
        <v>-3348.86</v>
      </c>
      <c r="Y118" s="1"/>
      <c r="Z118" s="5">
        <f t="shared" si="91"/>
        <v>-0.47840857142857146</v>
      </c>
    </row>
    <row r="119" spans="1:26" s="24" customFormat="1" hidden="1" outlineLevel="2" x14ac:dyDescent="0.25">
      <c r="A119" s="27"/>
      <c r="B119" s="11" t="str">
        <f>CONCATENATE("          ", "6376", " - ", "TRAINING")</f>
        <v xml:space="preserve">          6376 - TRAINING</v>
      </c>
      <c r="C119" s="11"/>
      <c r="D119" s="6"/>
      <c r="E119" s="2"/>
      <c r="F119" s="7">
        <f t="shared" si="84"/>
        <v>0</v>
      </c>
      <c r="G119" s="2"/>
      <c r="H119" s="6">
        <v>0</v>
      </c>
      <c r="I119" s="2"/>
      <c r="J119" s="7">
        <f t="shared" si="85"/>
        <v>0</v>
      </c>
      <c r="K119" s="2"/>
      <c r="L119" s="6">
        <f t="shared" si="86"/>
        <v>0</v>
      </c>
      <c r="M119" s="2"/>
      <c r="N119" s="7">
        <f t="shared" si="87"/>
        <v>0</v>
      </c>
      <c r="O119" s="11"/>
      <c r="P119" s="6">
        <v>3651.14</v>
      </c>
      <c r="Q119" s="2"/>
      <c r="R119" s="7">
        <f t="shared" si="88"/>
        <v>1.4567265818356853E-3</v>
      </c>
      <c r="S119" s="2"/>
      <c r="T119" s="6">
        <v>7000</v>
      </c>
      <c r="U119" s="2"/>
      <c r="V119" s="7">
        <f t="shared" si="89"/>
        <v>2.0740372023015886E-3</v>
      </c>
      <c r="W119" s="2"/>
      <c r="X119" s="6">
        <f t="shared" si="90"/>
        <v>-3348.86</v>
      </c>
      <c r="Y119" s="2"/>
      <c r="Z119" s="7">
        <f t="shared" si="91"/>
        <v>-0.47840857142857146</v>
      </c>
    </row>
    <row r="120" spans="1:26" s="26" customFormat="1" outlineLevel="1" collapsed="1" x14ac:dyDescent="0.25">
      <c r="A120" s="25"/>
      <c r="B120" s="12" t="str">
        <f>CONCATENATE("     ","Travel                                            ")</f>
        <v xml:space="preserve">     Travel                                            </v>
      </c>
      <c r="C120" s="12"/>
      <c r="D120" s="1">
        <f>SUM(OSRRefD22_15x_0)</f>
        <v>0</v>
      </c>
      <c r="E120" s="1"/>
      <c r="F120" s="5">
        <f t="shared" si="84"/>
        <v>0</v>
      </c>
      <c r="G120" s="1"/>
      <c r="H120" s="1">
        <f>SUM(OSRRefH22_15x_0)</f>
        <v>50</v>
      </c>
      <c r="I120" s="1"/>
      <c r="J120" s="5">
        <f t="shared" si="85"/>
        <v>2.1094732223469155E-4</v>
      </c>
      <c r="K120" s="1"/>
      <c r="L120" s="1">
        <f t="shared" si="86"/>
        <v>-50</v>
      </c>
      <c r="M120" s="1"/>
      <c r="N120" s="5">
        <f t="shared" si="87"/>
        <v>-1</v>
      </c>
      <c r="O120" s="12"/>
      <c r="P120" s="1">
        <f>SUM(OSRRefP22_15x_0)</f>
        <v>-99.159999999999982</v>
      </c>
      <c r="Q120" s="1"/>
      <c r="R120" s="5">
        <f t="shared" si="88"/>
        <v>-3.9562714071447966E-5</v>
      </c>
      <c r="S120" s="1"/>
      <c r="T120" s="1">
        <f>SUM(OSRRefT22_15x_0)</f>
        <v>625</v>
      </c>
      <c r="U120" s="1"/>
      <c r="V120" s="5">
        <f t="shared" si="89"/>
        <v>1.8518189306264185E-4</v>
      </c>
      <c r="W120" s="1"/>
      <c r="X120" s="1">
        <f t="shared" si="90"/>
        <v>-724.16</v>
      </c>
      <c r="Y120" s="1"/>
      <c r="Z120" s="5">
        <f t="shared" si="91"/>
        <v>-1.1586559999999999</v>
      </c>
    </row>
    <row r="121" spans="1:26" s="24" customFormat="1" hidden="1" outlineLevel="2" x14ac:dyDescent="0.25">
      <c r="A121" s="27"/>
      <c r="B121" s="11" t="str">
        <f>CONCATENATE("          ", "6292", " - ", "TRAVEL/CONFERENCE")</f>
        <v xml:space="preserve">          6292 - TRAVEL/CONFERENCE</v>
      </c>
      <c r="C121" s="11"/>
      <c r="D121" s="6"/>
      <c r="E121" s="2"/>
      <c r="F121" s="7">
        <f t="shared" si="84"/>
        <v>0</v>
      </c>
      <c r="G121" s="2"/>
      <c r="H121" s="6"/>
      <c r="I121" s="2"/>
      <c r="J121" s="7">
        <f t="shared" si="85"/>
        <v>0</v>
      </c>
      <c r="K121" s="2"/>
      <c r="L121" s="6">
        <f t="shared" si="86"/>
        <v>0</v>
      </c>
      <c r="M121" s="2"/>
      <c r="N121" s="7">
        <f t="shared" si="87"/>
        <v>0</v>
      </c>
      <c r="O121" s="11"/>
      <c r="P121" s="6">
        <v>107.04</v>
      </c>
      <c r="Q121" s="2"/>
      <c r="R121" s="7">
        <f t="shared" si="88"/>
        <v>4.2706665129162882E-5</v>
      </c>
      <c r="S121" s="2"/>
      <c r="T121" s="6"/>
      <c r="U121" s="2"/>
      <c r="V121" s="7">
        <f t="shared" si="89"/>
        <v>0</v>
      </c>
      <c r="W121" s="2"/>
      <c r="X121" s="6">
        <f t="shared" si="90"/>
        <v>107.04</v>
      </c>
      <c r="Y121" s="2"/>
      <c r="Z121" s="7">
        <f t="shared" si="91"/>
        <v>0</v>
      </c>
    </row>
    <row r="122" spans="1:26" s="24" customFormat="1" hidden="1" outlineLevel="2" x14ac:dyDescent="0.25">
      <c r="A122" s="27"/>
      <c r="B122" s="11" t="str">
        <f>CONCATENATE("          ", "6294", " - ", "TRAVEL OPERATIONAL")</f>
        <v xml:space="preserve">          6294 - TRAVEL OPERATIONAL</v>
      </c>
      <c r="C122" s="11"/>
      <c r="D122" s="6"/>
      <c r="E122" s="2"/>
      <c r="F122" s="7">
        <f t="shared" si="84"/>
        <v>0</v>
      </c>
      <c r="G122" s="2"/>
      <c r="H122" s="6">
        <v>50</v>
      </c>
      <c r="I122" s="2"/>
      <c r="J122" s="7">
        <f t="shared" si="85"/>
        <v>2.1094732223469155E-4</v>
      </c>
      <c r="K122" s="2"/>
      <c r="L122" s="6">
        <f t="shared" si="86"/>
        <v>-50</v>
      </c>
      <c r="M122" s="2"/>
      <c r="N122" s="7">
        <f t="shared" si="87"/>
        <v>-1</v>
      </c>
      <c r="O122" s="11"/>
      <c r="P122" s="6">
        <v>-206.2</v>
      </c>
      <c r="Q122" s="2"/>
      <c r="R122" s="7">
        <f t="shared" si="88"/>
        <v>-8.2269379200610847E-5</v>
      </c>
      <c r="S122" s="2"/>
      <c r="T122" s="6">
        <v>625</v>
      </c>
      <c r="U122" s="2"/>
      <c r="V122" s="7">
        <f t="shared" si="89"/>
        <v>1.8518189306264185E-4</v>
      </c>
      <c r="W122" s="2"/>
      <c r="X122" s="6">
        <f t="shared" si="90"/>
        <v>-831.2</v>
      </c>
      <c r="Y122" s="2"/>
      <c r="Z122" s="7">
        <f t="shared" si="91"/>
        <v>-1.32992</v>
      </c>
    </row>
    <row r="123" spans="1:26" s="60" customFormat="1" x14ac:dyDescent="0.25">
      <c r="A123" s="36"/>
      <c r="B123" s="36"/>
      <c r="C123" s="36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6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collapsed="1" x14ac:dyDescent="0.25">
      <c r="A124" s="10"/>
      <c r="B124" s="28" t="s">
        <v>0</v>
      </c>
      <c r="C124" s="10"/>
      <c r="D124" s="4">
        <f>SUM(OSRRefD25x_0)</f>
        <v>-7960.4</v>
      </c>
      <c r="E124" s="4"/>
      <c r="F124" s="13">
        <f t="shared" ref="F124:F127" si="92">IF(D$12=0,0,D124/D$12)</f>
        <v>-4.7162313327939159E-2</v>
      </c>
      <c r="G124" s="4"/>
      <c r="H124" s="4">
        <f>SUM(OSRRefH25x_0)</f>
        <v>8625</v>
      </c>
      <c r="I124" s="4"/>
      <c r="J124" s="13">
        <f t="shared" ref="J124:J127" si="93">IF(H$12=0,0,H124/H$12)</f>
        <v>3.6388413085484295E-2</v>
      </c>
      <c r="K124" s="4"/>
      <c r="L124" s="4">
        <f t="shared" ref="L124:L127" si="94">+D124-H124</f>
        <v>-16585.400000000001</v>
      </c>
      <c r="M124" s="4"/>
      <c r="N124" s="13">
        <f t="shared" ref="N124:N127" si="95">IF(H124=0,0,L124/H124)</f>
        <v>-1.922944927536232</v>
      </c>
      <c r="O124" s="10"/>
      <c r="P124" s="4">
        <f>SUM(OSRRefP25x_0)</f>
        <v>88944.49</v>
      </c>
      <c r="Q124" s="4"/>
      <c r="R124" s="13">
        <f t="shared" ref="R124:R127" si="96">IF(P$12=0,0,P124/P$12)</f>
        <v>3.5486944595610768E-2</v>
      </c>
      <c r="S124" s="4"/>
      <c r="T124" s="4">
        <f>SUM(OSRRefT25x_0)</f>
        <v>103500</v>
      </c>
      <c r="U124" s="4"/>
      <c r="V124" s="13">
        <f t="shared" ref="V124:V127" si="97">IF(T$12=0,0,T124/T$12)</f>
        <v>3.0666121491173492E-2</v>
      </c>
      <c r="W124" s="4"/>
      <c r="X124" s="4">
        <f t="shared" ref="X124:X127" si="98">+P124-T124</f>
        <v>-14555.509999999995</v>
      </c>
      <c r="Y124" s="4"/>
      <c r="Z124" s="13">
        <f t="shared" ref="Z124:Z127" si="99">IF(T124=0,0,X124/T124)</f>
        <v>-0.14063294685990332</v>
      </c>
    </row>
    <row r="125" spans="1:26" s="24" customFormat="1" hidden="1" outlineLevel="1" x14ac:dyDescent="0.25">
      <c r="A125" s="44"/>
      <c r="B125" s="11" t="str">
        <f>CONCATENATE("          ", "9150", " - ", "MISC. INCOME")</f>
        <v xml:space="preserve">          9150 - MISC. INCOME</v>
      </c>
      <c r="C125" s="11"/>
      <c r="D125" s="2">
        <f>-7960.4</f>
        <v>-7960.4</v>
      </c>
      <c r="E125" s="2"/>
      <c r="F125" s="19">
        <f t="shared" si="92"/>
        <v>-4.7162313327939159E-2</v>
      </c>
      <c r="G125" s="2"/>
      <c r="H125" s="2">
        <v>7725</v>
      </c>
      <c r="I125" s="2"/>
      <c r="J125" s="19">
        <f t="shared" si="93"/>
        <v>3.2591361285259843E-2</v>
      </c>
      <c r="K125" s="2"/>
      <c r="L125" s="2">
        <f t="shared" si="94"/>
        <v>-15685.4</v>
      </c>
      <c r="M125" s="2"/>
      <c r="N125" s="19">
        <f t="shared" si="95"/>
        <v>-2.0304724919093853</v>
      </c>
      <c r="O125" s="11"/>
      <c r="P125" s="2">
        <f>--88944.49</f>
        <v>88944.49</v>
      </c>
      <c r="Q125" s="2"/>
      <c r="R125" s="19">
        <f t="shared" si="96"/>
        <v>3.5486944595610768E-2</v>
      </c>
      <c r="S125" s="2"/>
      <c r="T125" s="2">
        <v>92700</v>
      </c>
      <c r="U125" s="2"/>
      <c r="V125" s="19">
        <f t="shared" si="97"/>
        <v>2.7466178379051038E-2</v>
      </c>
      <c r="W125" s="2"/>
      <c r="X125" s="2">
        <f t="shared" si="98"/>
        <v>-3755.5099999999948</v>
      </c>
      <c r="Y125" s="2"/>
      <c r="Z125" s="19">
        <f t="shared" si="99"/>
        <v>-4.0512513484358088E-2</v>
      </c>
    </row>
    <row r="126" spans="1:26" s="24" customFormat="1" hidden="1" outlineLevel="1" x14ac:dyDescent="0.25">
      <c r="A126" s="44"/>
      <c r="B126" s="11" t="str">
        <f>CONCATENATE("          ", "9151", " - ", "MISC. INCOME")</f>
        <v xml:space="preserve">          9151 - MISC. INCOME</v>
      </c>
      <c r="C126" s="11"/>
      <c r="D126" s="2">
        <f t="shared" ref="D126:D127" si="100">0</f>
        <v>0</v>
      </c>
      <c r="E126" s="2"/>
      <c r="F126" s="19">
        <f t="shared" si="92"/>
        <v>0</v>
      </c>
      <c r="G126" s="2"/>
      <c r="H126" s="2">
        <v>100</v>
      </c>
      <c r="I126" s="2"/>
      <c r="J126" s="19">
        <f t="shared" si="93"/>
        <v>4.218946444693831E-4</v>
      </c>
      <c r="K126" s="2"/>
      <c r="L126" s="2">
        <f t="shared" si="94"/>
        <v>-100</v>
      </c>
      <c r="M126" s="2"/>
      <c r="N126" s="19">
        <f t="shared" si="95"/>
        <v>-1</v>
      </c>
      <c r="O126" s="11"/>
      <c r="P126" s="2">
        <f t="shared" ref="P126:P127" si="101">0</f>
        <v>0</v>
      </c>
      <c r="Q126" s="2"/>
      <c r="R126" s="19">
        <f t="shared" si="96"/>
        <v>0</v>
      </c>
      <c r="S126" s="2"/>
      <c r="T126" s="2">
        <v>1200</v>
      </c>
      <c r="U126" s="2"/>
      <c r="V126" s="19">
        <f t="shared" si="97"/>
        <v>3.5554923468027237E-4</v>
      </c>
      <c r="W126" s="2"/>
      <c r="X126" s="2">
        <f t="shared" si="98"/>
        <v>-1200</v>
      </c>
      <c r="Y126" s="2"/>
      <c r="Z126" s="19">
        <f t="shared" si="99"/>
        <v>-1</v>
      </c>
    </row>
    <row r="127" spans="1:26" s="24" customFormat="1" hidden="1" outlineLevel="1" x14ac:dyDescent="0.25">
      <c r="A127" s="44"/>
      <c r="B127" s="11" t="str">
        <f>CONCATENATE("          ", "9160", " - ", "MISC. INCOME")</f>
        <v xml:space="preserve">          9160 - MISC. INCOME</v>
      </c>
      <c r="C127" s="11"/>
      <c r="D127" s="2">
        <f t="shared" si="100"/>
        <v>0</v>
      </c>
      <c r="E127" s="2"/>
      <c r="F127" s="19">
        <f t="shared" si="92"/>
        <v>0</v>
      </c>
      <c r="G127" s="2"/>
      <c r="H127" s="2">
        <v>800</v>
      </c>
      <c r="I127" s="2"/>
      <c r="J127" s="19">
        <f t="shared" si="93"/>
        <v>3.3751571557550648E-3</v>
      </c>
      <c r="K127" s="2"/>
      <c r="L127" s="2">
        <f t="shared" si="94"/>
        <v>-800</v>
      </c>
      <c r="M127" s="2"/>
      <c r="N127" s="19">
        <f t="shared" si="95"/>
        <v>-1</v>
      </c>
      <c r="O127" s="11"/>
      <c r="P127" s="2">
        <f t="shared" si="101"/>
        <v>0</v>
      </c>
      <c r="Q127" s="2"/>
      <c r="R127" s="19">
        <f t="shared" si="96"/>
        <v>0</v>
      </c>
      <c r="S127" s="2"/>
      <c r="T127" s="2">
        <v>9600</v>
      </c>
      <c r="U127" s="2"/>
      <c r="V127" s="19">
        <f t="shared" si="97"/>
        <v>2.844393877442179E-3</v>
      </c>
      <c r="W127" s="2"/>
      <c r="X127" s="2">
        <f t="shared" si="98"/>
        <v>-9600</v>
      </c>
      <c r="Y127" s="2"/>
      <c r="Z127" s="19">
        <f t="shared" si="99"/>
        <v>-1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9" t="s">
        <v>3</v>
      </c>
      <c r="C129" s="29"/>
      <c r="D129" s="22">
        <f>+D54-D56+D124</f>
        <v>-40361.819999999971</v>
      </c>
      <c r="E129" s="14"/>
      <c r="F129" s="20">
        <f>IF(D$12=0,0,D129/D$12)</f>
        <v>-0.23912828517736295</v>
      </c>
      <c r="G129" s="14"/>
      <c r="H129" s="22">
        <f>+H54-H56+H124</f>
        <v>63170.401334155773</v>
      </c>
      <c r="I129" s="14"/>
      <c r="J129" s="20">
        <f>IF(H$12=0,0,H129/H$12)</f>
        <v>0.26651254011861897</v>
      </c>
      <c r="K129" s="15"/>
      <c r="L129" s="22">
        <f>+D129-H129</f>
        <v>-103532.22133415574</v>
      </c>
      <c r="M129" s="15"/>
      <c r="N129" s="20">
        <f>IF(H129=0,0,L129/H129)</f>
        <v>-1.6389356272488429</v>
      </c>
      <c r="O129" s="28"/>
      <c r="P129" s="22">
        <f>+P54-P56+P124</f>
        <v>613279.77000000014</v>
      </c>
      <c r="Q129" s="14"/>
      <c r="R129" s="20">
        <f>IF(P$12=0,0,P129/P$12)</f>
        <v>0.24468547989424549</v>
      </c>
      <c r="S129" s="14"/>
      <c r="T129" s="22">
        <f>+T54-T56+T124</f>
        <v>1197450.7015187251</v>
      </c>
      <c r="U129" s="14"/>
      <c r="V129" s="20">
        <f>IF(T$12=0,0,T129/T$12)</f>
        <v>0.35479390041028164</v>
      </c>
      <c r="W129" s="15"/>
      <c r="X129" s="22">
        <f>+P129-T129</f>
        <v>-584170.931518725</v>
      </c>
      <c r="Y129" s="15"/>
      <c r="Z129" s="20">
        <f>IF(T129=0,0,X129/T129)</f>
        <v>-0.48784549608415761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2"/>
      <c r="B131" s="10" t="s">
        <v>14</v>
      </c>
      <c r="C131" s="10"/>
      <c r="D131" s="4">
        <v>102744.65</v>
      </c>
      <c r="E131" s="4"/>
      <c r="F131" s="13">
        <f>IF(D$12=0,0,D131/D$12)</f>
        <v>0.60872259887310232</v>
      </c>
      <c r="G131" s="4"/>
      <c r="H131" s="4">
        <v>73168</v>
      </c>
      <c r="I131" s="4"/>
      <c r="J131" s="13">
        <f>IF(H$12=0,0,H131/H$12)</f>
        <v>0.30869187346535826</v>
      </c>
      <c r="K131" s="4"/>
      <c r="L131" s="4">
        <f>+D131-H131</f>
        <v>29576.649999999994</v>
      </c>
      <c r="M131" s="4"/>
      <c r="N131" s="13">
        <f>IF(H131=0,0,L131/H131)</f>
        <v>0.40422930789416128</v>
      </c>
      <c r="O131" s="10"/>
      <c r="P131" s="4">
        <v>379566.13</v>
      </c>
      <c r="Q131" s="4"/>
      <c r="R131" s="13">
        <f>IF(P$12=0,0,P131/P$12)</f>
        <v>0.1514387482089154</v>
      </c>
      <c r="S131" s="4"/>
      <c r="T131" s="4">
        <v>436634</v>
      </c>
      <c r="U131" s="4"/>
      <c r="V131" s="13">
        <f>IF(T$12=0,0,T131/T$12)</f>
        <v>0.12937073711282171</v>
      </c>
      <c r="W131" s="4"/>
      <c r="X131" s="4">
        <f>+P131-T131</f>
        <v>-57067.869999999995</v>
      </c>
      <c r="Y131" s="4"/>
      <c r="Z131" s="13">
        <f>IF(T131=0,0,X131/T131)</f>
        <v>-0.13069955615000206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4</v>
      </c>
      <c r="C133" s="29"/>
      <c r="D133" s="31">
        <f>+D129-D131</f>
        <v>-143106.46999999997</v>
      </c>
      <c r="E133" s="14"/>
      <c r="F133" s="33">
        <f>IF(D$12=0,0,D133/D$12)</f>
        <v>-0.84785088405046538</v>
      </c>
      <c r="G133" s="14"/>
      <c r="H133" s="31">
        <f>+H129-H131</f>
        <v>-9997.5986658442271</v>
      </c>
      <c r="I133" s="14"/>
      <c r="J133" s="33">
        <f>IF(H$12=0,0,H133/H$12)</f>
        <v>-4.2179333346739289E-2</v>
      </c>
      <c r="K133" s="15"/>
      <c r="L133" s="31">
        <f>D133-H133</f>
        <v>-133108.87133415573</v>
      </c>
      <c r="M133" s="15"/>
      <c r="N133" s="33">
        <f>IF(H133=0,0,L133/H133)</f>
        <v>13.314084289951403</v>
      </c>
      <c r="O133" s="28"/>
      <c r="P133" s="31">
        <f>+P129-P131</f>
        <v>233713.64000000013</v>
      </c>
      <c r="Q133" s="14"/>
      <c r="R133" s="33">
        <f>IF(P$12=0,0,P133/P$12)</f>
        <v>9.3246731685330084E-2</v>
      </c>
      <c r="S133" s="14"/>
      <c r="T133" s="31">
        <f>+T129-T131</f>
        <v>760816.70151872514</v>
      </c>
      <c r="U133" s="14"/>
      <c r="V133" s="33">
        <f>IF(T$12=0,0,T133/T$12)</f>
        <v>0.22542316329745993</v>
      </c>
      <c r="W133" s="15"/>
      <c r="X133" s="31">
        <f>P133-T133</f>
        <v>-527103.06151872501</v>
      </c>
      <c r="Y133" s="15"/>
      <c r="Z133" s="33">
        <f>IF(T133=0,0,X133/T133)</f>
        <v>-0.69281215891624592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9" t="s">
        <v>5</v>
      </c>
      <c r="C136" s="29"/>
      <c r="D136" s="34">
        <f>SUM(D133:D135)</f>
        <v>-143106.46999999997</v>
      </c>
      <c r="E136" s="14"/>
      <c r="F136" s="35">
        <f>IF(D$12=0,0,D136/D$12)</f>
        <v>-0.84785088405046538</v>
      </c>
      <c r="G136" s="14"/>
      <c r="H136" s="34">
        <f>SUM(H133:H135)</f>
        <v>-9997.5986658442271</v>
      </c>
      <c r="I136" s="14"/>
      <c r="J136" s="35">
        <f>IF(H$12=0,0,H136/H$12)</f>
        <v>-4.2179333346739289E-2</v>
      </c>
      <c r="K136" s="15"/>
      <c r="L136" s="34">
        <f>+D136-H136</f>
        <v>-133108.87133415573</v>
      </c>
      <c r="M136" s="15"/>
      <c r="N136" s="35">
        <f>IF(H136=0,0,L136/H136)</f>
        <v>13.314084289951403</v>
      </c>
      <c r="O136" s="28"/>
      <c r="P136" s="34">
        <f>SUM(P133:P135)</f>
        <v>233713.64000000013</v>
      </c>
      <c r="Q136" s="14"/>
      <c r="R136" s="35">
        <f>IF(P$12=0,0,P136/P$12)</f>
        <v>9.3246731685330084E-2</v>
      </c>
      <c r="S136" s="14"/>
      <c r="T136" s="34">
        <f>SUM(T133:T135)</f>
        <v>760816.70151872514</v>
      </c>
      <c r="U136" s="14"/>
      <c r="V136" s="35">
        <f>IF(T$12=0,0,T136/T$12)</f>
        <v>0.22542316329745993</v>
      </c>
      <c r="W136" s="15"/>
      <c r="X136" s="34">
        <f>+P136-T136</f>
        <v>-527103.06151872501</v>
      </c>
      <c r="Y136" s="15"/>
      <c r="Z136" s="35">
        <f>IF(T136=0,0,X136/T136)</f>
        <v>-0.69281215891624592</v>
      </c>
    </row>
    <row r="137" spans="1:26" ht="15.75" thickTop="1" x14ac:dyDescent="0.25">
      <c r="A137" s="9"/>
      <c r="C137" s="9"/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55">
        <v>44043.473451817132</v>
      </c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A139" s="9"/>
      <c r="B139" s="62" t="s">
        <v>314</v>
      </c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  <row r="140" spans="1:26" x14ac:dyDescent="0.25">
      <c r="A140" s="9"/>
      <c r="B140" s="63"/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  <row r="141" spans="1:26" x14ac:dyDescent="0.25"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5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","326", " - ", "2nd Street Store")</f>
        <v>Department 326 - 2nd Street Store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64298.151289999994</v>
      </c>
      <c r="I12" s="4"/>
      <c r="J12" s="13"/>
      <c r="K12" s="4"/>
      <c r="L12" s="4">
        <f t="shared" ref="L12:L33" si="0">+D12-H12</f>
        <v>-64298.151289999994</v>
      </c>
      <c r="M12" s="4"/>
      <c r="N12" s="13">
        <f t="shared" ref="N12:N33" si="1">IF(H12=0,0,L12/H12)</f>
        <v>-1</v>
      </c>
      <c r="O12" s="10"/>
      <c r="P12" s="4">
        <f>SUM(OSRRefP13x_0)</f>
        <v>429840.87</v>
      </c>
      <c r="Q12" s="4"/>
      <c r="R12" s="13"/>
      <c r="S12" s="4"/>
      <c r="T12" s="4">
        <f>SUM(OSRRefT13x_0)</f>
        <v>622500.99999000004</v>
      </c>
      <c r="U12" s="4"/>
      <c r="V12" s="13"/>
      <c r="W12" s="4"/>
      <c r="X12" s="4">
        <f t="shared" ref="X12:X33" si="2">+P12-T12</f>
        <v>-192660.12999000004</v>
      </c>
      <c r="Y12" s="4"/>
      <c r="Z12" s="13">
        <f t="shared" ref="Z12:Z33" si="3">IF(T12=0,0,X12/T12)</f>
        <v>-0.30949368754924889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33" si="4">0</f>
        <v>0</v>
      </c>
      <c r="E13" s="2"/>
      <c r="F13" s="19"/>
      <c r="G13" s="2"/>
      <c r="H13" s="2">
        <v>64298.151289999994</v>
      </c>
      <c r="I13" s="2"/>
      <c r="J13" s="19"/>
      <c r="K13" s="2"/>
      <c r="L13" s="2">
        <f t="shared" si="0"/>
        <v>-64298.151289999994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622500.99999000004</v>
      </c>
      <c r="U13" s="2"/>
      <c r="V13" s="19"/>
      <c r="W13" s="2"/>
      <c r="X13" s="2">
        <f t="shared" si="2"/>
        <v>-622500.99999000004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--229.51</f>
        <v>229.51</v>
      </c>
      <c r="Q15" s="2"/>
      <c r="R15" s="19"/>
      <c r="S15" s="2"/>
      <c r="T15" s="2"/>
      <c r="U15" s="2"/>
      <c r="V15" s="19"/>
      <c r="W15" s="2"/>
      <c r="X15" s="2">
        <f t="shared" si="2"/>
        <v>229.51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/>
      <c r="U16" s="2"/>
      <c r="V16" s="19"/>
      <c r="W16" s="2"/>
      <c r="X16" s="2">
        <f t="shared" si="2"/>
        <v>161.59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--361873.67</f>
        <v>361873.67</v>
      </c>
      <c r="Q17" s="2"/>
      <c r="R17" s="19"/>
      <c r="S17" s="2"/>
      <c r="T17" s="2"/>
      <c r="U17" s="2"/>
      <c r="V17" s="19"/>
      <c r="W17" s="2"/>
      <c r="X17" s="2">
        <f t="shared" si="2"/>
        <v>361873.67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--48550.34</f>
        <v>48550.34</v>
      </c>
      <c r="Q18" s="2"/>
      <c r="R18" s="19"/>
      <c r="S18" s="2"/>
      <c r="T18" s="2"/>
      <c r="U18" s="2"/>
      <c r="V18" s="19"/>
      <c r="W18" s="2"/>
      <c r="X18" s="2">
        <f t="shared" si="2"/>
        <v>48550.34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--30701.57</f>
        <v>30701.57</v>
      </c>
      <c r="Q19" s="2"/>
      <c r="R19" s="19"/>
      <c r="S19" s="2"/>
      <c r="T19" s="2"/>
      <c r="U19" s="2"/>
      <c r="V19" s="19"/>
      <c r="W19" s="2"/>
      <c r="X19" s="2">
        <f t="shared" si="2"/>
        <v>30701.57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--1544.02</f>
        <v>1544.02</v>
      </c>
      <c r="Q20" s="2"/>
      <c r="R20" s="19"/>
      <c r="S20" s="2"/>
      <c r="T20" s="2"/>
      <c r="U20" s="2"/>
      <c r="V20" s="19"/>
      <c r="W20" s="2"/>
      <c r="X20" s="2">
        <f t="shared" si="2"/>
        <v>1544.02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--4101.55</f>
        <v>4101.55</v>
      </c>
      <c r="Q21" s="2"/>
      <c r="R21" s="19"/>
      <c r="S21" s="2"/>
      <c r="T21" s="2"/>
      <c r="U21" s="2"/>
      <c r="V21" s="19"/>
      <c r="W21" s="2"/>
      <c r="X21" s="2">
        <f t="shared" si="2"/>
        <v>4101.55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--467.6</f>
        <v>467.6</v>
      </c>
      <c r="Q22" s="2"/>
      <c r="R22" s="19"/>
      <c r="S22" s="2"/>
      <c r="T22" s="2"/>
      <c r="U22" s="2"/>
      <c r="V22" s="19"/>
      <c r="W22" s="2"/>
      <c r="X22" s="2">
        <f t="shared" si="2"/>
        <v>467.6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--123</f>
        <v>123</v>
      </c>
      <c r="Q25" s="2"/>
      <c r="R25" s="19"/>
      <c r="S25" s="2"/>
      <c r="T25" s="2"/>
      <c r="U25" s="2"/>
      <c r="V25" s="19"/>
      <c r="W25" s="2"/>
      <c r="X25" s="2">
        <f t="shared" si="2"/>
        <v>123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--591.86</f>
        <v>591.86</v>
      </c>
      <c r="Q26" s="2"/>
      <c r="R26" s="19"/>
      <c r="S26" s="2"/>
      <c r="T26" s="2"/>
      <c r="U26" s="2"/>
      <c r="V26" s="19"/>
      <c r="W26" s="2"/>
      <c r="X26" s="2">
        <f t="shared" si="2"/>
        <v>591.86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-134.8</f>
        <v>-134.80000000000001</v>
      </c>
      <c r="Q27" s="2"/>
      <c r="R27" s="19"/>
      <c r="S27" s="2"/>
      <c r="T27" s="2"/>
      <c r="U27" s="2"/>
      <c r="V27" s="19"/>
      <c r="W27" s="2"/>
      <c r="X27" s="2">
        <f t="shared" si="2"/>
        <v>-134.80000000000001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-16122.19</f>
        <v>-16122.19</v>
      </c>
      <c r="Q28" s="2"/>
      <c r="R28" s="19"/>
      <c r="S28" s="2"/>
      <c r="T28" s="2"/>
      <c r="U28" s="2"/>
      <c r="V28" s="19"/>
      <c r="W28" s="2"/>
      <c r="X28" s="2">
        <f t="shared" si="2"/>
        <v>-16122.19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-1260.11</f>
        <v>-1260.1099999999999</v>
      </c>
      <c r="Q29" s="2"/>
      <c r="R29" s="19"/>
      <c r="S29" s="2"/>
      <c r="T29" s="2"/>
      <c r="U29" s="2"/>
      <c r="V29" s="19"/>
      <c r="W29" s="2"/>
      <c r="X29" s="2">
        <f t="shared" si="2"/>
        <v>-1260.1099999999999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-850.31</f>
        <v>-850.31</v>
      </c>
      <c r="Q30" s="2"/>
      <c r="R30" s="19"/>
      <c r="S30" s="2"/>
      <c r="T30" s="2"/>
      <c r="U30" s="2"/>
      <c r="V30" s="19"/>
      <c r="W30" s="2"/>
      <c r="X30" s="2">
        <f t="shared" si="2"/>
        <v>-850.31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"4244", " - ", "SALES RETURN TAXABLE-ACCESSORI")</f>
        <v xml:space="preserve">          4244 - SALES RETURN TAXABLE-ACCESSORI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-130.8</f>
        <v>-130.80000000000001</v>
      </c>
      <c r="Q31" s="2"/>
      <c r="R31" s="19"/>
      <c r="S31" s="2"/>
      <c r="T31" s="2"/>
      <c r="U31" s="2"/>
      <c r="V31" s="19"/>
      <c r="W31" s="2"/>
      <c r="X31" s="2">
        <f t="shared" si="2"/>
        <v>-130.80000000000001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"4245", " - ", "SALES RETURN TAXABLE-SPECIAL O")</f>
        <v xml:space="preserve">          4245 - SALES RETURN TAXABLE-SPECIAL O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-9.99</f>
        <v>-9.99</v>
      </c>
      <c r="Q32" s="2"/>
      <c r="R32" s="19"/>
      <c r="S32" s="2"/>
      <c r="T32" s="2"/>
      <c r="U32" s="2"/>
      <c r="V32" s="19"/>
      <c r="W32" s="2"/>
      <c r="X32" s="2">
        <f t="shared" si="2"/>
        <v>-9.99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"4295", " - ", "SALES RETURN TAXABLE-CUSTOMER")</f>
        <v xml:space="preserve">          4295 - SALES RETURN TAXABLE-CUSTOMER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--0.99</f>
        <v>0.99</v>
      </c>
      <c r="Q33" s="2"/>
      <c r="R33" s="19"/>
      <c r="S33" s="2"/>
      <c r="T33" s="2"/>
      <c r="U33" s="2"/>
      <c r="V33" s="19"/>
      <c r="W33" s="2"/>
      <c r="X33" s="2">
        <f t="shared" si="2"/>
        <v>0.99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24096.500000000007</v>
      </c>
      <c r="E35" s="4"/>
      <c r="F35" s="13">
        <f t="shared" ref="F35:F52" si="5">IF(D$12=0,0,D35/D$12)</f>
        <v>0</v>
      </c>
      <c r="G35" s="4"/>
      <c r="H35" s="4">
        <f>SUM(OSRRefH16x_0)</f>
        <v>27304.690709999999</v>
      </c>
      <c r="I35" s="4"/>
      <c r="J35" s="13">
        <f t="shared" ref="J35:J52" si="6">IF(H$12=0,0,H35/H$12)</f>
        <v>0.42465747711546686</v>
      </c>
      <c r="K35" s="4"/>
      <c r="L35" s="4">
        <f t="shared" ref="L35:L52" si="7">+D35-H35</f>
        <v>-3208.1907099999917</v>
      </c>
      <c r="M35" s="4"/>
      <c r="N35" s="13">
        <f t="shared" ref="N35:N52" si="8">IF(H35=0,0,L35/H35)</f>
        <v>-0.11749595496516765</v>
      </c>
      <c r="O35" s="10"/>
      <c r="P35" s="4">
        <f>SUM(OSRRefP16x_0)</f>
        <v>211204.24999999997</v>
      </c>
      <c r="Q35" s="4"/>
      <c r="R35" s="13">
        <f t="shared" ref="R35:R52" si="9">IF(P$12=0,0,P35/P$12)</f>
        <v>0.49135450986780288</v>
      </c>
      <c r="S35" s="4"/>
      <c r="T35" s="4">
        <f>SUM(OSRRefT16x_0)</f>
        <v>265335.00001000002</v>
      </c>
      <c r="U35" s="4"/>
      <c r="V35" s="13">
        <f t="shared" ref="V35:V52" si="10">IF(T$12=0,0,T35/T$12)</f>
        <v>0.42624027915499318</v>
      </c>
      <c r="W35" s="4"/>
      <c r="X35" s="4">
        <f t="shared" ref="X35:X52" si="11">+P35-T35</f>
        <v>-54130.750010000047</v>
      </c>
      <c r="Y35" s="4"/>
      <c r="Z35" s="13">
        <f t="shared" ref="Z35:Z52" si="12">IF(T35=0,0,X35/T35)</f>
        <v>-0.20400908288751937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5"/>
        <v>0</v>
      </c>
      <c r="G36" s="2"/>
      <c r="H36" s="2">
        <v>27304.690709999999</v>
      </c>
      <c r="I36" s="2"/>
      <c r="J36" s="19">
        <f t="shared" si="6"/>
        <v>0.42465747711546686</v>
      </c>
      <c r="K36" s="2"/>
      <c r="L36" s="2">
        <f t="shared" si="7"/>
        <v>-27304.690709999999</v>
      </c>
      <c r="M36" s="2"/>
      <c r="N36" s="19">
        <f t="shared" si="8"/>
        <v>-1</v>
      </c>
      <c r="O36" s="11"/>
      <c r="P36" s="2"/>
      <c r="Q36" s="2"/>
      <c r="R36" s="19">
        <f t="shared" si="9"/>
        <v>0</v>
      </c>
      <c r="S36" s="2"/>
      <c r="T36" s="2">
        <v>265335.00001000002</v>
      </c>
      <c r="U36" s="2"/>
      <c r="V36" s="19">
        <f t="shared" si="10"/>
        <v>0.42624027915499318</v>
      </c>
      <c r="W36" s="2"/>
      <c r="X36" s="2">
        <f t="shared" si="11"/>
        <v>-265335.00001000002</v>
      </c>
      <c r="Y36" s="2"/>
      <c r="Z36" s="19">
        <f t="shared" si="12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19">
        <f t="shared" si="5"/>
        <v>0</v>
      </c>
      <c r="G37" s="2"/>
      <c r="H37" s="2"/>
      <c r="I37" s="2"/>
      <c r="J37" s="19">
        <f t="shared" si="6"/>
        <v>0</v>
      </c>
      <c r="K37" s="2"/>
      <c r="L37" s="2">
        <f t="shared" si="7"/>
        <v>0</v>
      </c>
      <c r="M37" s="2"/>
      <c r="N37" s="19">
        <f t="shared" si="8"/>
        <v>0</v>
      </c>
      <c r="O37" s="11"/>
      <c r="P37" s="2">
        <v>6.06</v>
      </c>
      <c r="Q37" s="2"/>
      <c r="R37" s="19">
        <f t="shared" si="9"/>
        <v>1.4098240588429853E-5</v>
      </c>
      <c r="S37" s="2"/>
      <c r="T37" s="2"/>
      <c r="U37" s="2"/>
      <c r="V37" s="19">
        <f t="shared" si="10"/>
        <v>0</v>
      </c>
      <c r="W37" s="2"/>
      <c r="X37" s="2">
        <f t="shared" si="11"/>
        <v>6.06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/>
      <c r="E38" s="2"/>
      <c r="F38" s="19">
        <f t="shared" si="5"/>
        <v>0</v>
      </c>
      <c r="G38" s="2"/>
      <c r="H38" s="2"/>
      <c r="I38" s="2"/>
      <c r="J38" s="19">
        <f t="shared" si="6"/>
        <v>0</v>
      </c>
      <c r="K38" s="2"/>
      <c r="L38" s="2">
        <f t="shared" si="7"/>
        <v>0</v>
      </c>
      <c r="M38" s="2"/>
      <c r="N38" s="19">
        <f t="shared" si="8"/>
        <v>0</v>
      </c>
      <c r="O38" s="11"/>
      <c r="P38" s="2">
        <v>1193.81</v>
      </c>
      <c r="Q38" s="2"/>
      <c r="R38" s="19">
        <f t="shared" si="9"/>
        <v>2.7773301314972677E-3</v>
      </c>
      <c r="S38" s="2"/>
      <c r="T38" s="2"/>
      <c r="U38" s="2"/>
      <c r="V38" s="19">
        <f t="shared" si="10"/>
        <v>0</v>
      </c>
      <c r="W38" s="2"/>
      <c r="X38" s="2">
        <f t="shared" si="11"/>
        <v>1193.81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/>
      <c r="E39" s="2"/>
      <c r="F39" s="19">
        <f t="shared" si="5"/>
        <v>0</v>
      </c>
      <c r="G39" s="2"/>
      <c r="H39" s="2"/>
      <c r="I39" s="2"/>
      <c r="J39" s="19">
        <f t="shared" si="6"/>
        <v>0</v>
      </c>
      <c r="K39" s="2"/>
      <c r="L39" s="2">
        <f t="shared" si="7"/>
        <v>0</v>
      </c>
      <c r="M39" s="2"/>
      <c r="N39" s="19">
        <f t="shared" si="8"/>
        <v>0</v>
      </c>
      <c r="O39" s="11"/>
      <c r="P39" s="2">
        <v>305.64999999999998</v>
      </c>
      <c r="Q39" s="2"/>
      <c r="R39" s="19">
        <f t="shared" si="9"/>
        <v>7.1107710162600401E-4</v>
      </c>
      <c r="S39" s="2"/>
      <c r="T39" s="2"/>
      <c r="U39" s="2"/>
      <c r="V39" s="19">
        <f t="shared" si="10"/>
        <v>0</v>
      </c>
      <c r="W39" s="2"/>
      <c r="X39" s="2">
        <f t="shared" si="11"/>
        <v>305.64999999999998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"5037", " - ", "PURCHASES @ COST-WATER")</f>
        <v xml:space="preserve">          5037 - PURCHASES @ COST-WATER</v>
      </c>
      <c r="C40" s="11"/>
      <c r="D40" s="2"/>
      <c r="E40" s="2"/>
      <c r="F40" s="19">
        <f t="shared" si="5"/>
        <v>0</v>
      </c>
      <c r="G40" s="2"/>
      <c r="H40" s="2"/>
      <c r="I40" s="2"/>
      <c r="J40" s="19">
        <f t="shared" si="6"/>
        <v>0</v>
      </c>
      <c r="K40" s="2"/>
      <c r="L40" s="2">
        <f t="shared" si="7"/>
        <v>0</v>
      </c>
      <c r="M40" s="2"/>
      <c r="N40" s="19">
        <f t="shared" si="8"/>
        <v>0</v>
      </c>
      <c r="O40" s="11"/>
      <c r="P40" s="2">
        <v>29.76</v>
      </c>
      <c r="Q40" s="2"/>
      <c r="R40" s="19">
        <f t="shared" si="9"/>
        <v>6.9234924077833738E-5</v>
      </c>
      <c r="S40" s="2"/>
      <c r="T40" s="2"/>
      <c r="U40" s="2"/>
      <c r="V40" s="19">
        <f t="shared" si="10"/>
        <v>0</v>
      </c>
      <c r="W40" s="2"/>
      <c r="X40" s="2">
        <f t="shared" si="11"/>
        <v>29.76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"5040", " - ", "PURCHASES @ COST-LOGO CLOTHING")</f>
        <v xml:space="preserve">          5040 - PURCHASES @ COST-LOGO CLOTHING</v>
      </c>
      <c r="C41" s="11"/>
      <c r="D41" s="2">
        <v>-19613.34</v>
      </c>
      <c r="E41" s="2"/>
      <c r="F41" s="19">
        <f t="shared" si="5"/>
        <v>0</v>
      </c>
      <c r="G41" s="2"/>
      <c r="H41" s="2"/>
      <c r="I41" s="2"/>
      <c r="J41" s="19">
        <f t="shared" si="6"/>
        <v>0</v>
      </c>
      <c r="K41" s="2"/>
      <c r="L41" s="2">
        <f t="shared" si="7"/>
        <v>-19613.34</v>
      </c>
      <c r="M41" s="2"/>
      <c r="N41" s="19">
        <f t="shared" si="8"/>
        <v>0</v>
      </c>
      <c r="O41" s="11"/>
      <c r="P41" s="2">
        <v>144045.49</v>
      </c>
      <c r="Q41" s="2"/>
      <c r="R41" s="19">
        <f t="shared" si="9"/>
        <v>0.33511352701291525</v>
      </c>
      <c r="S41" s="2"/>
      <c r="T41" s="2"/>
      <c r="U41" s="2"/>
      <c r="V41" s="19">
        <f t="shared" si="10"/>
        <v>0</v>
      </c>
      <c r="W41" s="2"/>
      <c r="X41" s="2">
        <f t="shared" si="11"/>
        <v>144045.49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"5041", " - ", "PURCHASES @ COST-LOGO GIFTS")</f>
        <v xml:space="preserve">          5041 - PURCHASES @ COST-LOGO GIFTS</v>
      </c>
      <c r="C42" s="11"/>
      <c r="D42" s="2">
        <v>-6368.68</v>
      </c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-6368.68</v>
      </c>
      <c r="M42" s="2"/>
      <c r="N42" s="19">
        <f t="shared" si="8"/>
        <v>0</v>
      </c>
      <c r="O42" s="11"/>
      <c r="P42" s="2">
        <v>18398.5</v>
      </c>
      <c r="Q42" s="2"/>
      <c r="R42" s="19">
        <f t="shared" si="9"/>
        <v>4.2803049416869084E-2</v>
      </c>
      <c r="S42" s="2"/>
      <c r="T42" s="2"/>
      <c r="U42" s="2"/>
      <c r="V42" s="19">
        <f t="shared" si="10"/>
        <v>0</v>
      </c>
      <c r="W42" s="2"/>
      <c r="X42" s="2">
        <f t="shared" si="11"/>
        <v>18398.5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"5042", " - ", "PURCHASES @ COST-EVERYDAY GIFT")</f>
        <v xml:space="preserve">          5042 - PURCHASES @ COST-EVERYDAY GIFT</v>
      </c>
      <c r="C43" s="11"/>
      <c r="D43" s="2">
        <v>-712.23</v>
      </c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-712.23</v>
      </c>
      <c r="M43" s="2"/>
      <c r="N43" s="19">
        <f t="shared" si="8"/>
        <v>0</v>
      </c>
      <c r="O43" s="11"/>
      <c r="P43" s="2">
        <v>19640.47</v>
      </c>
      <c r="Q43" s="2"/>
      <c r="R43" s="19">
        <f t="shared" si="9"/>
        <v>4.569242101152457E-2</v>
      </c>
      <c r="S43" s="2"/>
      <c r="T43" s="2"/>
      <c r="U43" s="2"/>
      <c r="V43" s="19">
        <f t="shared" si="10"/>
        <v>0</v>
      </c>
      <c r="W43" s="2"/>
      <c r="X43" s="2">
        <f t="shared" si="11"/>
        <v>19640.47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"5043", " - ", "PURCHASES @ COST-CARDS")</f>
        <v xml:space="preserve">          5043 - PURCHASES @ COST-CARDS</v>
      </c>
      <c r="C44" s="11"/>
      <c r="D44" s="2">
        <v>-6.51</v>
      </c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-6.51</v>
      </c>
      <c r="M44" s="2"/>
      <c r="N44" s="19">
        <f t="shared" si="8"/>
        <v>0</v>
      </c>
      <c r="O44" s="11"/>
      <c r="P44" s="2">
        <v>147.96</v>
      </c>
      <c r="Q44" s="2"/>
      <c r="R44" s="19">
        <f t="shared" si="9"/>
        <v>3.4422040882245566E-4</v>
      </c>
      <c r="S44" s="2"/>
      <c r="T44" s="2"/>
      <c r="U44" s="2"/>
      <c r="V44" s="19">
        <f t="shared" si="10"/>
        <v>0</v>
      </c>
      <c r="W44" s="2"/>
      <c r="X44" s="2">
        <f t="shared" si="11"/>
        <v>147.96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"5044", " - ", "PURCHASES @ COST-ACCESSORIES")</f>
        <v xml:space="preserve">          5044 - PURCHASES @ COST-ACCESSORIES</v>
      </c>
      <c r="C45" s="11"/>
      <c r="D45" s="2">
        <v>-1263.75</v>
      </c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-1263.75</v>
      </c>
      <c r="M45" s="2"/>
      <c r="N45" s="19">
        <f t="shared" si="8"/>
        <v>0</v>
      </c>
      <c r="O45" s="11"/>
      <c r="P45" s="2">
        <v>-5736.6</v>
      </c>
      <c r="Q45" s="2"/>
      <c r="R45" s="19">
        <f t="shared" si="9"/>
        <v>-1.334586913524533E-2</v>
      </c>
      <c r="S45" s="2"/>
      <c r="T45" s="2"/>
      <c r="U45" s="2"/>
      <c r="V45" s="19">
        <f t="shared" si="10"/>
        <v>0</v>
      </c>
      <c r="W45" s="2"/>
      <c r="X45" s="2">
        <f t="shared" si="11"/>
        <v>-5736.6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"5045", " - ", "PURCHASES @ COST-SPECIAL ORDER")</f>
        <v xml:space="preserve">          5045 - PURCHASES @ COST-SPECIAL ORDER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-998.2</v>
      </c>
      <c r="Q46" s="2"/>
      <c r="R46" s="19">
        <f t="shared" si="9"/>
        <v>-2.3222547451106734E-3</v>
      </c>
      <c r="S46" s="2"/>
      <c r="T46" s="2"/>
      <c r="U46" s="2"/>
      <c r="V46" s="19">
        <f t="shared" si="10"/>
        <v>0</v>
      </c>
      <c r="W46" s="2"/>
      <c r="X46" s="2">
        <f t="shared" si="11"/>
        <v>-998.2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"5083", " - ", "PURCHASES @ COST-COMPUTER EQUI")</f>
        <v xml:space="preserve">          5083 - PURCHASES @ COST-COMPUTER EQUI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90.35</v>
      </c>
      <c r="Q47" s="2"/>
      <c r="R47" s="19">
        <f t="shared" si="9"/>
        <v>2.1019406553871901E-4</v>
      </c>
      <c r="S47" s="2"/>
      <c r="T47" s="2"/>
      <c r="U47" s="2"/>
      <c r="V47" s="19">
        <f t="shared" si="10"/>
        <v>0</v>
      </c>
      <c r="W47" s="2"/>
      <c r="X47" s="2">
        <f t="shared" si="11"/>
        <v>90.35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"5092", " - ", "PURCHASES @ COST-GRAD MERCH")</f>
        <v xml:space="preserve">          5092 - PURCHASES @ COST-GRAD MERCH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-60.35</v>
      </c>
      <c r="Q48" s="2"/>
      <c r="R48" s="19">
        <f t="shared" si="9"/>
        <v>-1.4040079529896728E-4</v>
      </c>
      <c r="S48" s="2"/>
      <c r="T48" s="2"/>
      <c r="U48" s="2"/>
      <c r="V48" s="19">
        <f t="shared" si="10"/>
        <v>0</v>
      </c>
      <c r="W48" s="2"/>
      <c r="X48" s="2">
        <f t="shared" si="11"/>
        <v>-60.35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"5095", " - ", "PURCHASES @ COST-CUSTOMER SERV")</f>
        <v xml:space="preserve">          5095 - PURCHASES @ COST-CUSTOMER SERV</v>
      </c>
      <c r="C49" s="11"/>
      <c r="D49" s="2">
        <v>-18.989999999999998</v>
      </c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-18.989999999999998</v>
      </c>
      <c r="M49" s="2"/>
      <c r="N49" s="19">
        <f t="shared" si="8"/>
        <v>0</v>
      </c>
      <c r="O49" s="11"/>
      <c r="P49" s="2">
        <v>-30.84</v>
      </c>
      <c r="Q49" s="2"/>
      <c r="R49" s="19">
        <f t="shared" si="9"/>
        <v>-7.1747481806464804E-5</v>
      </c>
      <c r="S49" s="2"/>
      <c r="T49" s="2"/>
      <c r="U49" s="2"/>
      <c r="V49" s="19">
        <f t="shared" si="10"/>
        <v>0</v>
      </c>
      <c r="W49" s="2"/>
      <c r="X49" s="2">
        <f t="shared" si="11"/>
        <v>-30.84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-10135</v>
      </c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-10135</v>
      </c>
      <c r="M50" s="2"/>
      <c r="N50" s="19">
        <f t="shared" si="8"/>
        <v>0</v>
      </c>
      <c r="O50" s="11"/>
      <c r="P50" s="2">
        <v>-177080</v>
      </c>
      <c r="Q50" s="2"/>
      <c r="R50" s="19">
        <f t="shared" si="9"/>
        <v>-0.41196640980184135</v>
      </c>
      <c r="S50" s="2"/>
      <c r="T50" s="2"/>
      <c r="U50" s="2"/>
      <c r="V50" s="19">
        <f t="shared" si="10"/>
        <v>0</v>
      </c>
      <c r="W50" s="2"/>
      <c r="X50" s="2">
        <f t="shared" si="11"/>
        <v>-177080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62215.000000000007</v>
      </c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62215.000000000007</v>
      </c>
      <c r="M51" s="2"/>
      <c r="N51" s="19">
        <f t="shared" si="8"/>
        <v>0</v>
      </c>
      <c r="O51" s="11"/>
      <c r="P51" s="2">
        <v>211196</v>
      </c>
      <c r="Q51" s="2"/>
      <c r="R51" s="19">
        <f t="shared" si="9"/>
        <v>0.49133531671848701</v>
      </c>
      <c r="S51" s="2"/>
      <c r="T51" s="2"/>
      <c r="U51" s="2"/>
      <c r="V51" s="19">
        <f t="shared" si="10"/>
        <v>0</v>
      </c>
      <c r="W51" s="2"/>
      <c r="X51" s="2">
        <f t="shared" si="11"/>
        <v>211196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"5540", " - ", "FREIGHT-IN-LOGO CLOTHING")</f>
        <v xml:space="preserve">          5540 - FREIGHT-IN-LOGO CLOTHING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56.19</v>
      </c>
      <c r="Q52" s="2"/>
      <c r="R52" s="19">
        <f t="shared" si="9"/>
        <v>1.3072279515905503E-4</v>
      </c>
      <c r="S52" s="2"/>
      <c r="T52" s="2"/>
      <c r="U52" s="2"/>
      <c r="V52" s="19">
        <f t="shared" si="10"/>
        <v>0</v>
      </c>
      <c r="W52" s="2"/>
      <c r="X52" s="2">
        <f t="shared" si="11"/>
        <v>56.19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2">
        <f>D12-D35</f>
        <v>-24096.500000000007</v>
      </c>
      <c r="E54" s="14"/>
      <c r="F54" s="20">
        <f>IF(D$12=0,0,D54/D$12)</f>
        <v>0</v>
      </c>
      <c r="G54" s="14"/>
      <c r="H54" s="22">
        <f>H12-H35</f>
        <v>36993.460579999999</v>
      </c>
      <c r="I54" s="14"/>
      <c r="J54" s="20">
        <f>IF(H$12=0,0,H54/H$12)</f>
        <v>0.57534252288453314</v>
      </c>
      <c r="K54" s="15"/>
      <c r="L54" s="22">
        <f>+D54-H54</f>
        <v>-61089.960580000006</v>
      </c>
      <c r="M54" s="15"/>
      <c r="N54" s="20">
        <f>IF(H54=0,0,L54/H54)</f>
        <v>-1.6513718809271778</v>
      </c>
      <c r="O54" s="28"/>
      <c r="P54" s="22">
        <f>P12-P35</f>
        <v>218636.62000000002</v>
      </c>
      <c r="Q54" s="14"/>
      <c r="R54" s="20">
        <f>IF(P$12=0,0,P54/P$12)</f>
        <v>0.50864549013219718</v>
      </c>
      <c r="S54" s="14"/>
      <c r="T54" s="22">
        <f>T12-T35</f>
        <v>357165.99998000002</v>
      </c>
      <c r="U54" s="14"/>
      <c r="V54" s="20">
        <f>IF(T$12=0,0,T54/T$12)</f>
        <v>0.57375972084500682</v>
      </c>
      <c r="W54" s="15"/>
      <c r="X54" s="22">
        <f>+P54-T54</f>
        <v>-138529.37998</v>
      </c>
      <c r="Y54" s="15"/>
      <c r="Z54" s="20">
        <f>IF(T54=0,0,X54/T54)</f>
        <v>-0.38785713082364259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72596.52</v>
      </c>
      <c r="E56" s="21"/>
      <c r="F56" s="32">
        <f t="shared" ref="F56:F66" si="13">IF(D$12=0,0,D56/D$12)</f>
        <v>0</v>
      </c>
      <c r="G56" s="21"/>
      <c r="H56" s="21">
        <f>SUM(OSRRefH22x_0)</f>
        <v>32008.242234030771</v>
      </c>
      <c r="I56" s="21"/>
      <c r="J56" s="32">
        <f t="shared" ref="J56:J66" si="14">IF(H$12=0,0,H56/H$12)</f>
        <v>0.49780968180042945</v>
      </c>
      <c r="K56" s="4"/>
      <c r="L56" s="21">
        <f t="shared" ref="L56:L66" si="15">+D56-H56</f>
        <v>40588.277765969236</v>
      </c>
      <c r="M56" s="4"/>
      <c r="N56" s="32">
        <f t="shared" ref="N56:N66" si="16">IF(H56=0,0,L56/H56)</f>
        <v>1.2680570669643421</v>
      </c>
      <c r="O56" s="10"/>
      <c r="P56" s="21">
        <f>SUM(OSRRefP22x_0)</f>
        <v>388820.56000000011</v>
      </c>
      <c r="Q56" s="21"/>
      <c r="R56" s="32">
        <f t="shared" ref="R56:R66" si="17">IF(P$12=0,0,P56/P$12)</f>
        <v>0.90456861396172061</v>
      </c>
      <c r="S56" s="21"/>
      <c r="T56" s="21">
        <f>SUM(OSRRefT22x_0)</f>
        <v>325472.85976899997</v>
      </c>
      <c r="U56" s="21"/>
      <c r="V56" s="32">
        <f t="shared" ref="V56:V66" si="18">IF(T$12=0,0,T56/T$12)</f>
        <v>0.5228471275937363</v>
      </c>
      <c r="W56" s="4"/>
      <c r="X56" s="21">
        <f t="shared" ref="X56:X66" si="19">+P56-T56</f>
        <v>63347.700231000141</v>
      </c>
      <c r="Y56" s="4"/>
      <c r="Z56" s="32">
        <f t="shared" ref="Z56:Z66" si="20">IF(T56=0,0,X56/T56)</f>
        <v>0.19463281908039989</v>
      </c>
    </row>
    <row r="57" spans="1:26" s="26" customFormat="1" outlineLevel="1" collapsed="1" x14ac:dyDescent="0.25">
      <c r="A57" s="25"/>
      <c r="B57" s="12" t="str">
        <f>CONCATENATE("     ","*Benefits                                         ")</f>
        <v xml:space="preserve">     *Benefits                                         </v>
      </c>
      <c r="C57" s="12"/>
      <c r="D57" s="1">
        <f>SUM(OSRRefD22_0x_0)</f>
        <v>3061.7400000000007</v>
      </c>
      <c r="E57" s="1"/>
      <c r="F57" s="5">
        <f t="shared" si="13"/>
        <v>0</v>
      </c>
      <c r="G57" s="1"/>
      <c r="H57" s="1">
        <f>SUM(OSRRefH22_0x_0)</f>
        <v>2367.3264647999999</v>
      </c>
      <c r="I57" s="1"/>
      <c r="J57" s="5">
        <f t="shared" si="14"/>
        <v>3.6817955373596875E-2</v>
      </c>
      <c r="K57" s="1"/>
      <c r="L57" s="1">
        <f t="shared" si="15"/>
        <v>694.41353520000075</v>
      </c>
      <c r="M57" s="1"/>
      <c r="N57" s="5">
        <f t="shared" si="16"/>
        <v>0.29333239226836727</v>
      </c>
      <c r="O57" s="12"/>
      <c r="P57" s="1">
        <f>SUM(OSRRefP22_0x_0)</f>
        <v>29767.670000000002</v>
      </c>
      <c r="Q57" s="1"/>
      <c r="R57" s="5">
        <f t="shared" si="17"/>
        <v>6.9252767890591704E-2</v>
      </c>
      <c r="S57" s="1"/>
      <c r="T57" s="1">
        <f>SUM(OSRRefT22_0x_0)</f>
        <v>24043.034768999994</v>
      </c>
      <c r="U57" s="1"/>
      <c r="V57" s="5">
        <f t="shared" si="18"/>
        <v>3.8623286981685531E-2</v>
      </c>
      <c r="W57" s="1"/>
      <c r="X57" s="1">
        <f t="shared" si="19"/>
        <v>5724.6352310000075</v>
      </c>
      <c r="Y57" s="1"/>
      <c r="Z57" s="5">
        <f t="shared" si="20"/>
        <v>0.23809952803383599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6">
        <v>377.51</v>
      </c>
      <c r="E58" s="2"/>
      <c r="F58" s="7">
        <f t="shared" si="13"/>
        <v>0</v>
      </c>
      <c r="G58" s="2"/>
      <c r="H58" s="6">
        <v>796.96269803076905</v>
      </c>
      <c r="I58" s="2"/>
      <c r="J58" s="7">
        <f t="shared" si="14"/>
        <v>1.2394799571083736E-2</v>
      </c>
      <c r="K58" s="2"/>
      <c r="L58" s="6">
        <f t="shared" si="15"/>
        <v>-419.45269803076906</v>
      </c>
      <c r="M58" s="2"/>
      <c r="N58" s="7">
        <f t="shared" si="16"/>
        <v>-0.52631409107001248</v>
      </c>
      <c r="O58" s="11"/>
      <c r="P58" s="6">
        <v>5374.54</v>
      </c>
      <c r="Q58" s="2"/>
      <c r="R58" s="7">
        <f t="shared" si="17"/>
        <v>1.2503557421145178E-2</v>
      </c>
      <c r="S58" s="2"/>
      <c r="T58" s="6">
        <v>5308.8325289999993</v>
      </c>
      <c r="U58" s="2"/>
      <c r="V58" s="7">
        <f t="shared" si="18"/>
        <v>8.5282313266730192E-3</v>
      </c>
      <c r="W58" s="2"/>
      <c r="X58" s="6">
        <f t="shared" si="19"/>
        <v>65.707471000000623</v>
      </c>
      <c r="Y58" s="2"/>
      <c r="Z58" s="7">
        <f t="shared" si="20"/>
        <v>1.2377009566805385E-2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6">
        <v>125.82</v>
      </c>
      <c r="E59" s="2"/>
      <c r="F59" s="7">
        <f t="shared" si="13"/>
        <v>0</v>
      </c>
      <c r="G59" s="2"/>
      <c r="H59" s="6">
        <v>197.86085538461498</v>
      </c>
      <c r="I59" s="2"/>
      <c r="J59" s="7">
        <f t="shared" si="14"/>
        <v>3.0772401914359146E-3</v>
      </c>
      <c r="K59" s="2"/>
      <c r="L59" s="6">
        <f t="shared" si="15"/>
        <v>-72.040855384614986</v>
      </c>
      <c r="M59" s="2"/>
      <c r="N59" s="7">
        <f t="shared" si="16"/>
        <v>-0.36409857444807475</v>
      </c>
      <c r="O59" s="11"/>
      <c r="P59" s="6">
        <v>2105.52</v>
      </c>
      <c r="Q59" s="2"/>
      <c r="R59" s="7">
        <f t="shared" si="17"/>
        <v>4.898370878506737E-3</v>
      </c>
      <c r="S59" s="2"/>
      <c r="T59" s="6">
        <v>2156.0990999999958</v>
      </c>
      <c r="U59" s="2"/>
      <c r="V59" s="7">
        <f t="shared" si="18"/>
        <v>3.463607448075797E-3</v>
      </c>
      <c r="W59" s="2"/>
      <c r="X59" s="6">
        <f t="shared" si="19"/>
        <v>-50.579099999995833</v>
      </c>
      <c r="Y59" s="2"/>
      <c r="Z59" s="7">
        <f t="shared" si="20"/>
        <v>-2.3458615608158238E-2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6">
        <v>2012.47</v>
      </c>
      <c r="E60" s="2"/>
      <c r="F60" s="7">
        <f t="shared" si="13"/>
        <v>0</v>
      </c>
      <c r="G60" s="2"/>
      <c r="H60" s="6">
        <v>988.5</v>
      </c>
      <c r="I60" s="2"/>
      <c r="J60" s="7">
        <f t="shared" si="14"/>
        <v>1.5373692402781991E-2</v>
      </c>
      <c r="K60" s="2"/>
      <c r="L60" s="6">
        <f t="shared" si="15"/>
        <v>1023.97</v>
      </c>
      <c r="M60" s="2"/>
      <c r="N60" s="7">
        <f t="shared" si="16"/>
        <v>1.0358826504805261</v>
      </c>
      <c r="O60" s="11"/>
      <c r="P60" s="6">
        <v>14346.52</v>
      </c>
      <c r="Q60" s="2"/>
      <c r="R60" s="7">
        <f t="shared" si="17"/>
        <v>3.337635157866678E-2</v>
      </c>
      <c r="S60" s="2"/>
      <c r="T60" s="6">
        <v>11862</v>
      </c>
      <c r="U60" s="2"/>
      <c r="V60" s="7">
        <f t="shared" si="18"/>
        <v>1.9055391075983096E-2</v>
      </c>
      <c r="W60" s="2"/>
      <c r="X60" s="6">
        <f t="shared" si="19"/>
        <v>2484.5200000000004</v>
      </c>
      <c r="Y60" s="2"/>
      <c r="Z60" s="7">
        <f t="shared" si="20"/>
        <v>0.20945203169785875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6">
        <v>-303.62</v>
      </c>
      <c r="E61" s="2"/>
      <c r="F61" s="7">
        <f t="shared" si="13"/>
        <v>0</v>
      </c>
      <c r="G61" s="2"/>
      <c r="H61" s="6">
        <v>27.075696000000001</v>
      </c>
      <c r="I61" s="2"/>
      <c r="J61" s="7">
        <f t="shared" si="14"/>
        <v>4.2109602619649444E-4</v>
      </c>
      <c r="K61" s="2"/>
      <c r="L61" s="6">
        <f t="shared" si="15"/>
        <v>-330.695696</v>
      </c>
      <c r="M61" s="2"/>
      <c r="N61" s="7">
        <f t="shared" si="16"/>
        <v>-12.213746822981022</v>
      </c>
      <c r="O61" s="11"/>
      <c r="P61" s="6">
        <v>0</v>
      </c>
      <c r="Q61" s="2"/>
      <c r="R61" s="7">
        <f t="shared" si="17"/>
        <v>0</v>
      </c>
      <c r="S61" s="2"/>
      <c r="T61" s="6">
        <v>295.04514</v>
      </c>
      <c r="U61" s="2"/>
      <c r="V61" s="7">
        <f t="shared" si="18"/>
        <v>4.7396733499984682E-4</v>
      </c>
      <c r="W61" s="2"/>
      <c r="X61" s="6">
        <f t="shared" si="19"/>
        <v>-295.04514</v>
      </c>
      <c r="Y61" s="2"/>
      <c r="Z61" s="7">
        <f t="shared" si="20"/>
        <v>-1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6">
        <v>327.22000000000003</v>
      </c>
      <c r="E62" s="2"/>
      <c r="F62" s="7">
        <f t="shared" si="13"/>
        <v>0</v>
      </c>
      <c r="G62" s="2"/>
      <c r="H62" s="6">
        <v>172.53915384615402</v>
      </c>
      <c r="I62" s="2"/>
      <c r="J62" s="7">
        <f t="shared" si="14"/>
        <v>2.6834232459960051E-3</v>
      </c>
      <c r="K62" s="2"/>
      <c r="L62" s="6">
        <f t="shared" si="15"/>
        <v>154.68084615384601</v>
      </c>
      <c r="M62" s="2"/>
      <c r="N62" s="7">
        <f t="shared" si="16"/>
        <v>0.89649707156770031</v>
      </c>
      <c r="O62" s="11"/>
      <c r="P62" s="6">
        <v>2688.57</v>
      </c>
      <c r="Q62" s="2"/>
      <c r="R62" s="7">
        <f t="shared" si="17"/>
        <v>6.2548030856163124E-3</v>
      </c>
      <c r="S62" s="2"/>
      <c r="T62" s="6">
        <v>2243.009</v>
      </c>
      <c r="U62" s="2"/>
      <c r="V62" s="7">
        <f t="shared" si="18"/>
        <v>3.6032215209871664E-3</v>
      </c>
      <c r="W62" s="2"/>
      <c r="X62" s="6">
        <f t="shared" si="19"/>
        <v>445.56100000000015</v>
      </c>
      <c r="Y62" s="2"/>
      <c r="Z62" s="7">
        <f t="shared" si="20"/>
        <v>0.19864432108832383</v>
      </c>
    </row>
    <row r="63" spans="1:26" s="24" customFormat="1" hidden="1" outlineLevel="2" x14ac:dyDescent="0.25">
      <c r="A63" s="27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3"/>
        <v>0</v>
      </c>
      <c r="G63" s="2"/>
      <c r="H63" s="6">
        <v>0</v>
      </c>
      <c r="I63" s="2"/>
      <c r="J63" s="7">
        <f t="shared" si="14"/>
        <v>0</v>
      </c>
      <c r="K63" s="2"/>
      <c r="L63" s="6">
        <f t="shared" si="15"/>
        <v>0</v>
      </c>
      <c r="M63" s="2"/>
      <c r="N63" s="7">
        <f t="shared" si="16"/>
        <v>0</v>
      </c>
      <c r="O63" s="11"/>
      <c r="P63" s="6"/>
      <c r="Q63" s="2"/>
      <c r="R63" s="7">
        <f t="shared" si="17"/>
        <v>0</v>
      </c>
      <c r="S63" s="2"/>
      <c r="T63" s="6">
        <v>0</v>
      </c>
      <c r="U63" s="2"/>
      <c r="V63" s="7">
        <f t="shared" si="18"/>
        <v>0</v>
      </c>
      <c r="W63" s="2"/>
      <c r="X63" s="6">
        <f t="shared" si="19"/>
        <v>0</v>
      </c>
      <c r="Y63" s="2"/>
      <c r="Z63" s="7">
        <f t="shared" si="20"/>
        <v>0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6">
        <v>306.26</v>
      </c>
      <c r="E64" s="2"/>
      <c r="F64" s="7">
        <f t="shared" si="13"/>
        <v>0</v>
      </c>
      <c r="G64" s="2"/>
      <c r="H64" s="6">
        <v>60.188076923076899</v>
      </c>
      <c r="I64" s="2"/>
      <c r="J64" s="7">
        <f t="shared" si="14"/>
        <v>9.360778765102331E-4</v>
      </c>
      <c r="K64" s="2"/>
      <c r="L64" s="6">
        <f t="shared" si="15"/>
        <v>246.0719230769231</v>
      </c>
      <c r="M64" s="2"/>
      <c r="N64" s="7">
        <f t="shared" si="16"/>
        <v>4.0883832090434495</v>
      </c>
      <c r="O64" s="11"/>
      <c r="P64" s="6">
        <v>3174.96</v>
      </c>
      <c r="Q64" s="2"/>
      <c r="R64" s="7">
        <f t="shared" si="17"/>
        <v>7.3863613760134072E-3</v>
      </c>
      <c r="S64" s="2"/>
      <c r="T64" s="6">
        <v>782.44500000000005</v>
      </c>
      <c r="U64" s="2"/>
      <c r="V64" s="7">
        <f t="shared" si="18"/>
        <v>1.2569377398792441E-3</v>
      </c>
      <c r="W64" s="2"/>
      <c r="X64" s="6">
        <f t="shared" si="19"/>
        <v>2392.5149999999999</v>
      </c>
      <c r="Y64" s="2"/>
      <c r="Z64" s="7">
        <f t="shared" si="20"/>
        <v>3.0577420777179225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6">
        <v>216.08</v>
      </c>
      <c r="E65" s="2"/>
      <c r="F65" s="7">
        <f t="shared" si="13"/>
        <v>0</v>
      </c>
      <c r="G65" s="2"/>
      <c r="H65" s="6">
        <v>124.19998461538501</v>
      </c>
      <c r="I65" s="2"/>
      <c r="J65" s="7">
        <f t="shared" si="14"/>
        <v>1.9316260595924983E-3</v>
      </c>
      <c r="K65" s="2"/>
      <c r="L65" s="6">
        <f t="shared" si="15"/>
        <v>91.880015384615007</v>
      </c>
      <c r="M65" s="2"/>
      <c r="N65" s="7">
        <f t="shared" si="16"/>
        <v>0.73977477267121627</v>
      </c>
      <c r="O65" s="11"/>
      <c r="P65" s="6">
        <v>1588.06</v>
      </c>
      <c r="Q65" s="2"/>
      <c r="R65" s="7">
        <f t="shared" si="17"/>
        <v>3.694530024564672E-3</v>
      </c>
      <c r="S65" s="2"/>
      <c r="T65" s="6">
        <v>1395.6040000000041</v>
      </c>
      <c r="U65" s="2"/>
      <c r="V65" s="7">
        <f t="shared" si="18"/>
        <v>2.2419305350873707E-3</v>
      </c>
      <c r="W65" s="2"/>
      <c r="X65" s="6">
        <f t="shared" si="19"/>
        <v>192.45599999999581</v>
      </c>
      <c r="Y65" s="2"/>
      <c r="Z65" s="7">
        <f t="shared" si="20"/>
        <v>0.13790158239729552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6"/>
      <c r="E66" s="2"/>
      <c r="F66" s="7">
        <f t="shared" si="13"/>
        <v>0</v>
      </c>
      <c r="G66" s="2"/>
      <c r="H66" s="6"/>
      <c r="I66" s="2"/>
      <c r="J66" s="7">
        <f t="shared" si="14"/>
        <v>0</v>
      </c>
      <c r="K66" s="2"/>
      <c r="L66" s="6">
        <f t="shared" si="15"/>
        <v>0</v>
      </c>
      <c r="M66" s="2"/>
      <c r="N66" s="7">
        <f t="shared" si="16"/>
        <v>0</v>
      </c>
      <c r="O66" s="11"/>
      <c r="P66" s="6">
        <v>489.5</v>
      </c>
      <c r="Q66" s="2"/>
      <c r="R66" s="7">
        <f t="shared" si="17"/>
        <v>1.1387935260786161E-3</v>
      </c>
      <c r="S66" s="2"/>
      <c r="T66" s="6"/>
      <c r="U66" s="2"/>
      <c r="V66" s="7">
        <f t="shared" si="18"/>
        <v>0</v>
      </c>
      <c r="W66" s="2"/>
      <c r="X66" s="6">
        <f t="shared" si="19"/>
        <v>489.5</v>
      </c>
      <c r="Y66" s="2"/>
      <c r="Z66" s="7">
        <f t="shared" si="20"/>
        <v>0</v>
      </c>
    </row>
    <row r="67" spans="1:26" s="26" customFormat="1" outlineLevel="1" collapsed="1" x14ac:dyDescent="0.25">
      <c r="A67" s="25"/>
      <c r="B67" s="12" t="str">
        <f>CONCATENATE("     ","*Payroll                                          ")</f>
        <v xml:space="preserve">     *Payroll                                          </v>
      </c>
      <c r="C67" s="12"/>
      <c r="D67" s="1">
        <f>SUM(OSRRefD22_1x_0)</f>
        <v>4720.17</v>
      </c>
      <c r="E67" s="1"/>
      <c r="F67" s="5">
        <f t="shared" ref="F67:F77" si="21">IF(D$12=0,0,D67/D$12)</f>
        <v>0</v>
      </c>
      <c r="G67" s="1"/>
      <c r="H67" s="1">
        <f>SUM(OSRRefH22_1x_0)</f>
        <v>10313.415769230771</v>
      </c>
      <c r="I67" s="1"/>
      <c r="J67" s="5">
        <f t="shared" ref="J67:J77" si="22">IF(H$12=0,0,H67/H$12)</f>
        <v>0.16039988028139107</v>
      </c>
      <c r="K67" s="1"/>
      <c r="L67" s="1">
        <f t="shared" ref="L67:L77" si="23">+D67-H67</f>
        <v>-5593.2457692307707</v>
      </c>
      <c r="M67" s="1"/>
      <c r="N67" s="5">
        <f t="shared" ref="N67:N77" si="24">IF(H67=0,0,L67/H67)</f>
        <v>-0.54232718765375099</v>
      </c>
      <c r="O67" s="12"/>
      <c r="P67" s="1">
        <f>SUM(OSRRefP22_1x_0)</f>
        <v>116110.76000000001</v>
      </c>
      <c r="Q67" s="1"/>
      <c r="R67" s="5">
        <f t="shared" ref="R67:R77" si="25">IF(P$12=0,0,P67/P$12)</f>
        <v>0.27012498834743193</v>
      </c>
      <c r="S67" s="1"/>
      <c r="T67" s="1">
        <f>SUM(OSRRefT22_1x_0)</f>
        <v>112174.82500000001</v>
      </c>
      <c r="U67" s="1"/>
      <c r="V67" s="5">
        <f t="shared" ref="V67:V77" si="26">IF(T$12=0,0,T67/T$12)</f>
        <v>0.18020023261296289</v>
      </c>
      <c r="W67" s="1"/>
      <c r="X67" s="1">
        <f t="shared" ref="X67:X77" si="27">+P67-T67</f>
        <v>3935.9349999999977</v>
      </c>
      <c r="Y67" s="1"/>
      <c r="Z67" s="5">
        <f t="shared" ref="Z67:Z77" si="28">IF(T67=0,0,X67/T67)</f>
        <v>3.5087507379663818E-2</v>
      </c>
    </row>
    <row r="68" spans="1:26" s="24" customFormat="1" hidden="1" outlineLevel="2" x14ac:dyDescent="0.25">
      <c r="A68" s="27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1"/>
        <v>0</v>
      </c>
      <c r="G68" s="2"/>
      <c r="H68" s="6">
        <v>0</v>
      </c>
      <c r="I68" s="2"/>
      <c r="J68" s="7">
        <f t="shared" si="22"/>
        <v>0</v>
      </c>
      <c r="K68" s="2"/>
      <c r="L68" s="6">
        <f t="shared" si="23"/>
        <v>0</v>
      </c>
      <c r="M68" s="2"/>
      <c r="N68" s="7">
        <f t="shared" si="24"/>
        <v>0</v>
      </c>
      <c r="O68" s="11"/>
      <c r="P68" s="6"/>
      <c r="Q68" s="2"/>
      <c r="R68" s="7">
        <f t="shared" si="25"/>
        <v>0</v>
      </c>
      <c r="S68" s="2"/>
      <c r="T68" s="6">
        <v>0</v>
      </c>
      <c r="U68" s="2"/>
      <c r="V68" s="7">
        <f t="shared" si="26"/>
        <v>0</v>
      </c>
      <c r="W68" s="2"/>
      <c r="X68" s="6">
        <f t="shared" si="27"/>
        <v>0</v>
      </c>
      <c r="Y68" s="2"/>
      <c r="Z68" s="7">
        <f t="shared" si="28"/>
        <v>0</v>
      </c>
    </row>
    <row r="69" spans="1:26" s="24" customFormat="1" hidden="1" outlineLevel="2" x14ac:dyDescent="0.25">
      <c r="A69" s="27"/>
      <c r="B69" s="11" t="str">
        <f>CONCATENATE("          ", "6002", " - ", "STAFF SALARIES")</f>
        <v xml:space="preserve">          6002 - STAFF SALARIES</v>
      </c>
      <c r="C69" s="11"/>
      <c r="D69" s="6">
        <v>4450.3900000000003</v>
      </c>
      <c r="E69" s="2"/>
      <c r="F69" s="7">
        <f t="shared" si="21"/>
        <v>0</v>
      </c>
      <c r="G69" s="2"/>
      <c r="H69" s="6">
        <v>1905.9557692307701</v>
      </c>
      <c r="I69" s="2"/>
      <c r="J69" s="7">
        <f t="shared" si="22"/>
        <v>2.964246608949074E-2</v>
      </c>
      <c r="K69" s="2"/>
      <c r="L69" s="6">
        <f t="shared" si="23"/>
        <v>2544.4342307692305</v>
      </c>
      <c r="M69" s="2"/>
      <c r="N69" s="7">
        <f t="shared" si="24"/>
        <v>1.334991226893028</v>
      </c>
      <c r="O69" s="11"/>
      <c r="P69" s="6">
        <v>30947.070000000003</v>
      </c>
      <c r="Q69" s="2"/>
      <c r="R69" s="7">
        <f t="shared" si="25"/>
        <v>7.199657398795048E-2</v>
      </c>
      <c r="S69" s="2"/>
      <c r="T69" s="6">
        <v>24777.424999999999</v>
      </c>
      <c r="U69" s="2"/>
      <c r="V69" s="7">
        <f t="shared" si="26"/>
        <v>3.9803028429509398E-2</v>
      </c>
      <c r="W69" s="2"/>
      <c r="X69" s="6">
        <f t="shared" si="27"/>
        <v>6169.6450000000041</v>
      </c>
      <c r="Y69" s="2"/>
      <c r="Z69" s="7">
        <f t="shared" si="28"/>
        <v>0.24900267077793614</v>
      </c>
    </row>
    <row r="70" spans="1:26" s="24" customFormat="1" hidden="1" outlineLevel="2" x14ac:dyDescent="0.25">
      <c r="A70" s="27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1"/>
        <v>0</v>
      </c>
      <c r="G70" s="2"/>
      <c r="H70" s="6">
        <v>0</v>
      </c>
      <c r="I70" s="2"/>
      <c r="J70" s="7">
        <f t="shared" si="22"/>
        <v>0</v>
      </c>
      <c r="K70" s="2"/>
      <c r="L70" s="6">
        <f t="shared" si="23"/>
        <v>0</v>
      </c>
      <c r="M70" s="2"/>
      <c r="N70" s="7">
        <f t="shared" si="24"/>
        <v>0</v>
      </c>
      <c r="O70" s="11"/>
      <c r="P70" s="6"/>
      <c r="Q70" s="2"/>
      <c r="R70" s="7">
        <f t="shared" si="25"/>
        <v>0</v>
      </c>
      <c r="S70" s="2"/>
      <c r="T70" s="6">
        <v>0</v>
      </c>
      <c r="U70" s="2"/>
      <c r="V70" s="7">
        <f t="shared" si="26"/>
        <v>0</v>
      </c>
      <c r="W70" s="2"/>
      <c r="X70" s="6">
        <f t="shared" si="27"/>
        <v>0</v>
      </c>
      <c r="Y70" s="2"/>
      <c r="Z70" s="7">
        <f t="shared" si="28"/>
        <v>0</v>
      </c>
    </row>
    <row r="71" spans="1:26" s="24" customFormat="1" hidden="1" outlineLevel="2" x14ac:dyDescent="0.25">
      <c r="A71" s="27"/>
      <c r="B71" s="11" t="str">
        <f>CONCATENATE("          ", "6004", " - ", "STAFF HOURLY")</f>
        <v xml:space="preserve">          6004 - STAFF HOURLY</v>
      </c>
      <c r="C71" s="11"/>
      <c r="D71" s="6"/>
      <c r="E71" s="2"/>
      <c r="F71" s="7">
        <f t="shared" si="21"/>
        <v>0</v>
      </c>
      <c r="G71" s="2"/>
      <c r="H71" s="6">
        <v>1822.07</v>
      </c>
      <c r="I71" s="2"/>
      <c r="J71" s="7">
        <f t="shared" si="22"/>
        <v>2.8337828746926638E-2</v>
      </c>
      <c r="K71" s="2"/>
      <c r="L71" s="6">
        <f t="shared" si="23"/>
        <v>-1822.07</v>
      </c>
      <c r="M71" s="2"/>
      <c r="N71" s="7">
        <f t="shared" si="24"/>
        <v>-1</v>
      </c>
      <c r="O71" s="11"/>
      <c r="P71" s="6"/>
      <c r="Q71" s="2"/>
      <c r="R71" s="7">
        <f t="shared" si="25"/>
        <v>0</v>
      </c>
      <c r="S71" s="2"/>
      <c r="T71" s="6">
        <v>23686.91</v>
      </c>
      <c r="U71" s="2"/>
      <c r="V71" s="7">
        <f t="shared" si="26"/>
        <v>3.8051199918362394E-2</v>
      </c>
      <c r="W71" s="2"/>
      <c r="X71" s="6">
        <f t="shared" si="27"/>
        <v>-23686.91</v>
      </c>
      <c r="Y71" s="2"/>
      <c r="Z71" s="7">
        <f t="shared" si="28"/>
        <v>-1</v>
      </c>
    </row>
    <row r="72" spans="1:26" s="24" customFormat="1" hidden="1" outlineLevel="2" x14ac:dyDescent="0.25">
      <c r="A72" s="27"/>
      <c r="B72" s="11" t="str">
        <f>CONCATENATE("          ", "6005", " - ", "TEMPORARY WAGES-HOURLY")</f>
        <v xml:space="preserve">          6005 - TEMPORARY WAGES-HOURLY</v>
      </c>
      <c r="C72" s="11"/>
      <c r="D72" s="6">
        <v>269.77999999999997</v>
      </c>
      <c r="E72" s="2"/>
      <c r="F72" s="7">
        <f t="shared" si="21"/>
        <v>0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269.77999999999997</v>
      </c>
      <c r="M72" s="2"/>
      <c r="N72" s="7">
        <f t="shared" si="24"/>
        <v>0</v>
      </c>
      <c r="O72" s="11"/>
      <c r="P72" s="6">
        <v>12951.61</v>
      </c>
      <c r="Q72" s="2"/>
      <c r="R72" s="7">
        <f t="shared" si="25"/>
        <v>3.0131173892329041E-2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12951.61</v>
      </c>
      <c r="Y72" s="2"/>
      <c r="Z72" s="7">
        <f t="shared" si="28"/>
        <v>0</v>
      </c>
    </row>
    <row r="73" spans="1:26" s="24" customFormat="1" hidden="1" outlineLevel="2" x14ac:dyDescent="0.25">
      <c r="A73" s="27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1"/>
        <v>0</v>
      </c>
      <c r="G73" s="2"/>
      <c r="H73" s="6">
        <v>0</v>
      </c>
      <c r="I73" s="2"/>
      <c r="J73" s="7">
        <f t="shared" si="22"/>
        <v>0</v>
      </c>
      <c r="K73" s="2"/>
      <c r="L73" s="6">
        <f t="shared" si="23"/>
        <v>0</v>
      </c>
      <c r="M73" s="2"/>
      <c r="N73" s="7">
        <f t="shared" si="24"/>
        <v>0</v>
      </c>
      <c r="O73" s="11"/>
      <c r="P73" s="6">
        <v>316.16000000000003</v>
      </c>
      <c r="Q73" s="2"/>
      <c r="R73" s="7">
        <f t="shared" si="25"/>
        <v>7.3552801063333053E-4</v>
      </c>
      <c r="S73" s="2"/>
      <c r="T73" s="6">
        <v>0</v>
      </c>
      <c r="U73" s="2"/>
      <c r="V73" s="7">
        <f t="shared" si="26"/>
        <v>0</v>
      </c>
      <c r="W73" s="2"/>
      <c r="X73" s="6">
        <f t="shared" si="27"/>
        <v>316.16000000000003</v>
      </c>
      <c r="Y73" s="2"/>
      <c r="Z73" s="7">
        <f t="shared" si="28"/>
        <v>0</v>
      </c>
    </row>
    <row r="74" spans="1:26" s="24" customFormat="1" hidden="1" outlineLevel="2" x14ac:dyDescent="0.25">
      <c r="A74" s="27"/>
      <c r="B74" s="11" t="str">
        <f>CONCATENATE("          ", "6007", " - ", "STUDENT HOURLY")</f>
        <v xml:space="preserve">          6007 - STUDENT HOURLY</v>
      </c>
      <c r="C74" s="11"/>
      <c r="D74" s="6"/>
      <c r="E74" s="2"/>
      <c r="F74" s="7">
        <f t="shared" si="21"/>
        <v>0</v>
      </c>
      <c r="G74" s="2"/>
      <c r="H74" s="6">
        <v>6585.39</v>
      </c>
      <c r="I74" s="2"/>
      <c r="J74" s="7">
        <f t="shared" si="22"/>
        <v>0.1024195854449737</v>
      </c>
      <c r="K74" s="2"/>
      <c r="L74" s="6">
        <f t="shared" si="23"/>
        <v>-6585.39</v>
      </c>
      <c r="M74" s="2"/>
      <c r="N74" s="7">
        <f t="shared" si="24"/>
        <v>-1</v>
      </c>
      <c r="O74" s="11"/>
      <c r="P74" s="6">
        <v>71895.92</v>
      </c>
      <c r="Q74" s="2"/>
      <c r="R74" s="7">
        <f t="shared" si="25"/>
        <v>0.16726171245651908</v>
      </c>
      <c r="S74" s="2"/>
      <c r="T74" s="6">
        <v>19600.89</v>
      </c>
      <c r="U74" s="2"/>
      <c r="V74" s="7">
        <f t="shared" si="26"/>
        <v>3.1487322912436881E-2</v>
      </c>
      <c r="W74" s="2"/>
      <c r="X74" s="6">
        <f t="shared" si="27"/>
        <v>52295.03</v>
      </c>
      <c r="Y74" s="2"/>
      <c r="Z74" s="7">
        <f t="shared" si="28"/>
        <v>2.6679926268654128</v>
      </c>
    </row>
    <row r="75" spans="1:26" s="24" customFormat="1" hidden="1" outlineLevel="2" x14ac:dyDescent="0.25">
      <c r="A75" s="27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1"/>
        <v>0</v>
      </c>
      <c r="G75" s="2"/>
      <c r="H75" s="6">
        <v>0</v>
      </c>
      <c r="I75" s="2"/>
      <c r="J75" s="7">
        <f t="shared" si="22"/>
        <v>0</v>
      </c>
      <c r="K75" s="2"/>
      <c r="L75" s="6">
        <f t="shared" si="23"/>
        <v>0</v>
      </c>
      <c r="M75" s="2"/>
      <c r="N75" s="7">
        <f t="shared" si="24"/>
        <v>0</v>
      </c>
      <c r="O75" s="11"/>
      <c r="P75" s="6"/>
      <c r="Q75" s="2"/>
      <c r="R75" s="7">
        <f t="shared" si="25"/>
        <v>0</v>
      </c>
      <c r="S75" s="2"/>
      <c r="T75" s="6">
        <v>44109.599999999999</v>
      </c>
      <c r="U75" s="2"/>
      <c r="V75" s="7">
        <f t="shared" si="26"/>
        <v>7.085868135265419E-2</v>
      </c>
      <c r="W75" s="2"/>
      <c r="X75" s="6">
        <f t="shared" si="27"/>
        <v>-44109.599999999999</v>
      </c>
      <c r="Y75" s="2"/>
      <c r="Z75" s="7">
        <f t="shared" si="28"/>
        <v>-1</v>
      </c>
    </row>
    <row r="76" spans="1:26" s="24" customFormat="1" hidden="1" outlineLevel="2" x14ac:dyDescent="0.25">
      <c r="A76" s="27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4" customFormat="1" hidden="1" outlineLevel="2" x14ac:dyDescent="0.25">
      <c r="A77" s="27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1"/>
        <v>0</v>
      </c>
      <c r="G77" s="2"/>
      <c r="H77" s="6">
        <v>0</v>
      </c>
      <c r="I77" s="2"/>
      <c r="J77" s="7">
        <f t="shared" si="22"/>
        <v>0</v>
      </c>
      <c r="K77" s="2"/>
      <c r="L77" s="6">
        <f t="shared" si="23"/>
        <v>0</v>
      </c>
      <c r="M77" s="2"/>
      <c r="N77" s="7">
        <f t="shared" si="24"/>
        <v>0</v>
      </c>
      <c r="O77" s="11"/>
      <c r="P77" s="6"/>
      <c r="Q77" s="2"/>
      <c r="R77" s="7">
        <f t="shared" si="25"/>
        <v>0</v>
      </c>
      <c r="S77" s="2"/>
      <c r="T77" s="6">
        <v>0</v>
      </c>
      <c r="U77" s="2"/>
      <c r="V77" s="7">
        <f t="shared" si="26"/>
        <v>0</v>
      </c>
      <c r="W77" s="2"/>
      <c r="X77" s="6">
        <f t="shared" si="27"/>
        <v>0</v>
      </c>
      <c r="Y77" s="2"/>
      <c r="Z77" s="7">
        <f t="shared" si="28"/>
        <v>0</v>
      </c>
    </row>
    <row r="78" spans="1:26" s="26" customFormat="1" outlineLevel="1" collapsed="1" x14ac:dyDescent="0.25">
      <c r="A78" s="25"/>
      <c r="B78" s="12" t="str">
        <f>CONCATENATE("     ","Advertising/Promo                                 ")</f>
        <v xml:space="preserve">     Advertising/Promo                                 </v>
      </c>
      <c r="C78" s="12"/>
      <c r="D78" s="1">
        <f>SUM(OSRRefD22_2x_0)</f>
        <v>0</v>
      </c>
      <c r="E78" s="1"/>
      <c r="F78" s="5">
        <f t="shared" ref="F78:F82" si="29">IF(D$12=0,0,D78/D$12)</f>
        <v>0</v>
      </c>
      <c r="G78" s="1"/>
      <c r="H78" s="1">
        <f>SUM(OSRRefH22_2x_0)</f>
        <v>1100</v>
      </c>
      <c r="I78" s="1"/>
      <c r="J78" s="5">
        <f t="shared" ref="J78:J82" si="30">IF(H$12=0,0,H78/H$12)</f>
        <v>1.710780135868507E-2</v>
      </c>
      <c r="K78" s="1"/>
      <c r="L78" s="1">
        <f t="shared" ref="L78:L82" si="31">+D78-H78</f>
        <v>-1100</v>
      </c>
      <c r="M78" s="1"/>
      <c r="N78" s="5">
        <f t="shared" ref="N78:N82" si="32">IF(H78=0,0,L78/H78)</f>
        <v>-1</v>
      </c>
      <c r="O78" s="12"/>
      <c r="P78" s="1">
        <f>SUM(OSRRefP22_2x_0)</f>
        <v>3638.48</v>
      </c>
      <c r="Q78" s="1"/>
      <c r="R78" s="5">
        <f t="shared" ref="R78:R82" si="33">IF(P$12=0,0,P78/P$12)</f>
        <v>8.4647139300643975E-3</v>
      </c>
      <c r="S78" s="1"/>
      <c r="T78" s="1">
        <f>SUM(OSRRefT22_2x_0)</f>
        <v>7900</v>
      </c>
      <c r="U78" s="1"/>
      <c r="V78" s="5">
        <f t="shared" ref="V78:V82" si="34">IF(T$12=0,0,T78/T$12)</f>
        <v>1.2690742665677495E-2</v>
      </c>
      <c r="W78" s="1"/>
      <c r="X78" s="1">
        <f t="shared" ref="X78:X82" si="35">+P78-T78</f>
        <v>-4261.5200000000004</v>
      </c>
      <c r="Y78" s="1"/>
      <c r="Z78" s="5">
        <f t="shared" ref="Z78:Z82" si="36">IF(T78=0,0,X78/T78)</f>
        <v>-0.53943291139240512</v>
      </c>
    </row>
    <row r="79" spans="1:26" s="24" customFormat="1" hidden="1" outlineLevel="2" x14ac:dyDescent="0.25">
      <c r="A79" s="27"/>
      <c r="B79" s="11" t="str">
        <f>CONCATENATE("          ", "6362", " - ", "ADVERTISING EXPENSE")</f>
        <v xml:space="preserve">          6362 - ADVERTISING EXPENSE</v>
      </c>
      <c r="C79" s="11"/>
      <c r="D79" s="6"/>
      <c r="E79" s="2"/>
      <c r="F79" s="7">
        <f t="shared" si="29"/>
        <v>0</v>
      </c>
      <c r="G79" s="2"/>
      <c r="H79" s="6">
        <v>1100</v>
      </c>
      <c r="I79" s="2"/>
      <c r="J79" s="7">
        <f t="shared" si="30"/>
        <v>1.710780135868507E-2</v>
      </c>
      <c r="K79" s="2"/>
      <c r="L79" s="6">
        <f t="shared" si="31"/>
        <v>-1100</v>
      </c>
      <c r="M79" s="2"/>
      <c r="N79" s="7">
        <f t="shared" si="32"/>
        <v>-1</v>
      </c>
      <c r="O79" s="11"/>
      <c r="P79" s="6">
        <v>3638.48</v>
      </c>
      <c r="Q79" s="2"/>
      <c r="R79" s="7">
        <f t="shared" si="33"/>
        <v>8.4647139300643975E-3</v>
      </c>
      <c r="S79" s="2"/>
      <c r="T79" s="6">
        <v>7900</v>
      </c>
      <c r="U79" s="2"/>
      <c r="V79" s="7">
        <f t="shared" si="34"/>
        <v>1.2690742665677495E-2</v>
      </c>
      <c r="W79" s="2"/>
      <c r="X79" s="6">
        <f t="shared" si="35"/>
        <v>-4261.5200000000004</v>
      </c>
      <c r="Y79" s="2"/>
      <c r="Z79" s="7">
        <f t="shared" si="36"/>
        <v>-0.53943291139240512</v>
      </c>
    </row>
    <row r="80" spans="1:26" s="26" customFormat="1" outlineLevel="1" collapsed="1" x14ac:dyDescent="0.25">
      <c r="A80" s="25"/>
      <c r="B80" s="12" t="str">
        <f>CONCATENATE("     ","Bad Debts/Over/Short                              ")</f>
        <v xml:space="preserve">     Bad Debts/Over/Short                              </v>
      </c>
      <c r="C80" s="12"/>
      <c r="D80" s="1">
        <f>SUM(OSRRefD22_3x_0)</f>
        <v>0</v>
      </c>
      <c r="E80" s="1"/>
      <c r="F80" s="5">
        <f t="shared" si="29"/>
        <v>0</v>
      </c>
      <c r="G80" s="1"/>
      <c r="H80" s="1">
        <f>SUM(OSRRefH22_3x_0)</f>
        <v>10</v>
      </c>
      <c r="I80" s="1"/>
      <c r="J80" s="5">
        <f t="shared" si="30"/>
        <v>1.55525466897137E-4</v>
      </c>
      <c r="K80" s="1"/>
      <c r="L80" s="1">
        <f t="shared" si="31"/>
        <v>-10</v>
      </c>
      <c r="M80" s="1"/>
      <c r="N80" s="5">
        <f t="shared" si="32"/>
        <v>-1</v>
      </c>
      <c r="O80" s="12"/>
      <c r="P80" s="1">
        <f>SUM(OSRRefP22_3x_0)</f>
        <v>44.45</v>
      </c>
      <c r="Q80" s="1"/>
      <c r="R80" s="5">
        <f t="shared" si="33"/>
        <v>1.0341036207189884E-4</v>
      </c>
      <c r="S80" s="1"/>
      <c r="T80" s="1">
        <f>SUM(OSRRefT22_3x_0)</f>
        <v>120</v>
      </c>
      <c r="U80" s="1"/>
      <c r="V80" s="5">
        <f t="shared" si="34"/>
        <v>1.9277077466851893E-4</v>
      </c>
      <c r="W80" s="1"/>
      <c r="X80" s="1">
        <f t="shared" si="35"/>
        <v>-75.55</v>
      </c>
      <c r="Y80" s="1"/>
      <c r="Z80" s="5">
        <f t="shared" si="36"/>
        <v>-0.62958333333333327</v>
      </c>
    </row>
    <row r="81" spans="1:26" s="24" customFormat="1" hidden="1" outlineLevel="2" x14ac:dyDescent="0.25">
      <c r="A81" s="27"/>
      <c r="B81" s="11" t="str">
        <f>CONCATENATE("          ", "6272", " - ", "CASH (OVER/SHORT)")</f>
        <v xml:space="preserve">          6272 - CASH (OVER/SHORT)</v>
      </c>
      <c r="C81" s="11"/>
      <c r="D81" s="6"/>
      <c r="E81" s="2"/>
      <c r="F81" s="7">
        <f t="shared" si="29"/>
        <v>0</v>
      </c>
      <c r="G81" s="2"/>
      <c r="H81" s="6"/>
      <c r="I81" s="2"/>
      <c r="J81" s="7">
        <f t="shared" si="30"/>
        <v>0</v>
      </c>
      <c r="K81" s="2"/>
      <c r="L81" s="6">
        <f t="shared" si="31"/>
        <v>0</v>
      </c>
      <c r="M81" s="2"/>
      <c r="N81" s="7">
        <f t="shared" si="32"/>
        <v>0</v>
      </c>
      <c r="O81" s="11"/>
      <c r="P81" s="6">
        <v>44.45</v>
      </c>
      <c r="Q81" s="2"/>
      <c r="R81" s="7">
        <f t="shared" si="33"/>
        <v>1.0341036207189884E-4</v>
      </c>
      <c r="S81" s="2"/>
      <c r="T81" s="6"/>
      <c r="U81" s="2"/>
      <c r="V81" s="7">
        <f t="shared" si="34"/>
        <v>0</v>
      </c>
      <c r="W81" s="2"/>
      <c r="X81" s="6">
        <f t="shared" si="35"/>
        <v>44.45</v>
      </c>
      <c r="Y81" s="2"/>
      <c r="Z81" s="7">
        <f t="shared" si="36"/>
        <v>0</v>
      </c>
    </row>
    <row r="82" spans="1:26" s="24" customFormat="1" hidden="1" outlineLevel="2" x14ac:dyDescent="0.25">
      <c r="A82" s="27"/>
      <c r="B82" s="11" t="str">
        <f>CONCATENATE("          ", "6342", " - ", "BAD DEBT")</f>
        <v xml:space="preserve">          6342 - BAD DEBT</v>
      </c>
      <c r="C82" s="11"/>
      <c r="D82" s="6"/>
      <c r="E82" s="2"/>
      <c r="F82" s="7">
        <f t="shared" si="29"/>
        <v>0</v>
      </c>
      <c r="G82" s="2"/>
      <c r="H82" s="6">
        <v>10</v>
      </c>
      <c r="I82" s="2"/>
      <c r="J82" s="7">
        <f t="shared" si="30"/>
        <v>1.55525466897137E-4</v>
      </c>
      <c r="K82" s="2"/>
      <c r="L82" s="6">
        <f t="shared" si="31"/>
        <v>-10</v>
      </c>
      <c r="M82" s="2"/>
      <c r="N82" s="7">
        <f t="shared" si="32"/>
        <v>-1</v>
      </c>
      <c r="O82" s="11"/>
      <c r="P82" s="6"/>
      <c r="Q82" s="2"/>
      <c r="R82" s="7">
        <f t="shared" si="33"/>
        <v>0</v>
      </c>
      <c r="S82" s="2"/>
      <c r="T82" s="6">
        <v>120</v>
      </c>
      <c r="U82" s="2"/>
      <c r="V82" s="7">
        <f t="shared" si="34"/>
        <v>1.9277077466851893E-4</v>
      </c>
      <c r="W82" s="2"/>
      <c r="X82" s="6">
        <f t="shared" si="35"/>
        <v>-120</v>
      </c>
      <c r="Y82" s="2"/>
      <c r="Z82" s="7">
        <f t="shared" si="36"/>
        <v>-1</v>
      </c>
    </row>
    <row r="83" spans="1:26" s="26" customFormat="1" outlineLevel="1" collapsed="1" x14ac:dyDescent="0.25">
      <c r="A83" s="25"/>
      <c r="B83" s="12" t="str">
        <f>CONCATENATE("     ","Bank/card Fees                                    ")</f>
        <v xml:space="preserve">     Bank/card Fees                                    </v>
      </c>
      <c r="C83" s="12"/>
      <c r="D83" s="1">
        <f>SUM(OSRRefD22_4x_0)</f>
        <v>5</v>
      </c>
      <c r="E83" s="1"/>
      <c r="F83" s="5">
        <f t="shared" ref="F83:F108" si="37">IF(D$12=0,0,D83/D$12)</f>
        <v>0</v>
      </c>
      <c r="G83" s="1"/>
      <c r="H83" s="1">
        <f>SUM(OSRRefH22_4x_0)</f>
        <v>900</v>
      </c>
      <c r="I83" s="1"/>
      <c r="J83" s="5">
        <f t="shared" ref="J83:J108" si="38">IF(H$12=0,0,H83/H$12)</f>
        <v>1.3997292020742329E-2</v>
      </c>
      <c r="K83" s="1"/>
      <c r="L83" s="1">
        <f t="shared" ref="L83:L108" si="39">+D83-H83</f>
        <v>-895</v>
      </c>
      <c r="M83" s="1"/>
      <c r="N83" s="5">
        <f t="shared" ref="N83:N108" si="40">IF(H83=0,0,L83/H83)</f>
        <v>-0.99444444444444446</v>
      </c>
      <c r="O83" s="12"/>
      <c r="P83" s="1">
        <f>SUM(OSRRefP22_4x_0)</f>
        <v>6184.92</v>
      </c>
      <c r="Q83" s="1"/>
      <c r="R83" s="5">
        <f t="shared" ref="R83:R108" si="41">IF(P$12=0,0,P83/P$12)</f>
        <v>1.438885976570818E-2</v>
      </c>
      <c r="S83" s="1"/>
      <c r="T83" s="1">
        <f>SUM(OSRRefT22_4x_0)</f>
        <v>8885</v>
      </c>
      <c r="U83" s="1"/>
      <c r="V83" s="5">
        <f t="shared" ref="V83:V108" si="42">IF(T$12=0,0,T83/T$12)</f>
        <v>1.4273069441081589E-2</v>
      </c>
      <c r="W83" s="1"/>
      <c r="X83" s="1">
        <f t="shared" ref="X83:X108" si="43">+P83-T83</f>
        <v>-2700.08</v>
      </c>
      <c r="Y83" s="1"/>
      <c r="Z83" s="5">
        <f t="shared" ref="Z83:Z108" si="44">IF(T83=0,0,X83/T83)</f>
        <v>-0.30389195272931907</v>
      </c>
    </row>
    <row r="84" spans="1:26" s="24" customFormat="1" hidden="1" outlineLevel="2" x14ac:dyDescent="0.25">
      <c r="A84" s="27"/>
      <c r="B84" s="11" t="str">
        <f>CONCATENATE("          ", "6381", " - ", "BANK/CREDIT CARD FEES")</f>
        <v xml:space="preserve">          6381 - BANK/CREDIT CARD FEES</v>
      </c>
      <c r="C84" s="11"/>
      <c r="D84" s="6">
        <v>5</v>
      </c>
      <c r="E84" s="2"/>
      <c r="F84" s="7">
        <f t="shared" si="37"/>
        <v>0</v>
      </c>
      <c r="G84" s="2"/>
      <c r="H84" s="6">
        <v>900</v>
      </c>
      <c r="I84" s="2"/>
      <c r="J84" s="7">
        <f t="shared" si="38"/>
        <v>1.3997292020742329E-2</v>
      </c>
      <c r="K84" s="2"/>
      <c r="L84" s="6">
        <f t="shared" si="39"/>
        <v>-895</v>
      </c>
      <c r="M84" s="2"/>
      <c r="N84" s="7">
        <f t="shared" si="40"/>
        <v>-0.99444444444444446</v>
      </c>
      <c r="O84" s="11"/>
      <c r="P84" s="6">
        <v>6184.92</v>
      </c>
      <c r="Q84" s="2"/>
      <c r="R84" s="7">
        <f t="shared" si="41"/>
        <v>1.438885976570818E-2</v>
      </c>
      <c r="S84" s="2"/>
      <c r="T84" s="6">
        <v>8885</v>
      </c>
      <c r="U84" s="2"/>
      <c r="V84" s="7">
        <f t="shared" si="42"/>
        <v>1.4273069441081589E-2</v>
      </c>
      <c r="W84" s="2"/>
      <c r="X84" s="6">
        <f t="shared" si="43"/>
        <v>-2700.08</v>
      </c>
      <c r="Y84" s="2"/>
      <c r="Z84" s="7">
        <f t="shared" si="44"/>
        <v>-0.30389195272931907</v>
      </c>
    </row>
    <row r="85" spans="1:26" s="26" customFormat="1" outlineLevel="1" collapsed="1" x14ac:dyDescent="0.25">
      <c r="A85" s="25"/>
      <c r="B85" s="12" t="str">
        <f>CONCATENATE("     ","Discounts and Markdowns                           ")</f>
        <v xml:space="preserve">     Discounts and Markdowns                           </v>
      </c>
      <c r="C85" s="12"/>
      <c r="D85" s="1">
        <f>SUM(OSRRefD22_5x_0)</f>
        <v>0</v>
      </c>
      <c r="E85" s="1"/>
      <c r="F85" s="5">
        <f t="shared" si="37"/>
        <v>0</v>
      </c>
      <c r="G85" s="1"/>
      <c r="H85" s="1">
        <f>SUM(OSRRefH22_5x_0)</f>
        <v>5000</v>
      </c>
      <c r="I85" s="1"/>
      <c r="J85" s="5">
        <f t="shared" si="38"/>
        <v>7.7762733448568488E-2</v>
      </c>
      <c r="K85" s="1"/>
      <c r="L85" s="1">
        <f t="shared" si="39"/>
        <v>-5000</v>
      </c>
      <c r="M85" s="1"/>
      <c r="N85" s="5">
        <f t="shared" si="40"/>
        <v>-1</v>
      </c>
      <c r="O85" s="12"/>
      <c r="P85" s="1">
        <f>SUM(OSRRefP22_5x_0)</f>
        <v>68571.64</v>
      </c>
      <c r="Q85" s="1"/>
      <c r="R85" s="5">
        <f t="shared" si="41"/>
        <v>0.15952796671009903</v>
      </c>
      <c r="S85" s="1"/>
      <c r="T85" s="1">
        <f>SUM(OSRRefT22_5x_0)</f>
        <v>48000</v>
      </c>
      <c r="U85" s="1"/>
      <c r="V85" s="5">
        <f t="shared" si="42"/>
        <v>7.7108309867407576E-2</v>
      </c>
      <c r="W85" s="1"/>
      <c r="X85" s="1">
        <f t="shared" si="43"/>
        <v>20571.64</v>
      </c>
      <c r="Y85" s="1"/>
      <c r="Z85" s="5">
        <f t="shared" si="44"/>
        <v>0.42857583333333332</v>
      </c>
    </row>
    <row r="86" spans="1:26" s="24" customFormat="1" hidden="1" outlineLevel="2" x14ac:dyDescent="0.25">
      <c r="A86" s="27"/>
      <c r="B86" s="11" t="str">
        <f>CONCATENATE("          ", "6382", " - ", "DISCOUNTS/MARK DOWNS")</f>
        <v xml:space="preserve">          6382 - DISCOUNTS/MARK DOWNS</v>
      </c>
      <c r="C86" s="11"/>
      <c r="D86" s="6"/>
      <c r="E86" s="2"/>
      <c r="F86" s="7">
        <f t="shared" si="37"/>
        <v>0</v>
      </c>
      <c r="G86" s="2"/>
      <c r="H86" s="6">
        <v>5000</v>
      </c>
      <c r="I86" s="2"/>
      <c r="J86" s="7">
        <f t="shared" si="38"/>
        <v>7.7762733448568488E-2</v>
      </c>
      <c r="K86" s="2"/>
      <c r="L86" s="6">
        <f t="shared" si="39"/>
        <v>-5000</v>
      </c>
      <c r="M86" s="2"/>
      <c r="N86" s="7">
        <f t="shared" si="40"/>
        <v>-1</v>
      </c>
      <c r="O86" s="11"/>
      <c r="P86" s="6">
        <v>68571.64</v>
      </c>
      <c r="Q86" s="2"/>
      <c r="R86" s="7">
        <f t="shared" si="41"/>
        <v>0.15952796671009903</v>
      </c>
      <c r="S86" s="2"/>
      <c r="T86" s="6">
        <v>48000</v>
      </c>
      <c r="U86" s="2"/>
      <c r="V86" s="7">
        <f t="shared" si="42"/>
        <v>7.7108309867407576E-2</v>
      </c>
      <c r="W86" s="2"/>
      <c r="X86" s="6">
        <f t="shared" si="43"/>
        <v>20571.64</v>
      </c>
      <c r="Y86" s="2"/>
      <c r="Z86" s="7">
        <f t="shared" si="44"/>
        <v>0.42857583333333332</v>
      </c>
    </row>
    <row r="87" spans="1:26" s="26" customFormat="1" outlineLevel="1" collapsed="1" x14ac:dyDescent="0.25">
      <c r="A87" s="25"/>
      <c r="B87" s="12" t="str">
        <f>CONCATENATE("     ","Donations                                         ")</f>
        <v xml:space="preserve">     Donations                                         </v>
      </c>
      <c r="C87" s="12"/>
      <c r="D87" s="1">
        <f>SUM(OSRRefD22_6x_0)</f>
        <v>0</v>
      </c>
      <c r="E87" s="1"/>
      <c r="F87" s="5">
        <f t="shared" si="37"/>
        <v>0</v>
      </c>
      <c r="G87" s="1"/>
      <c r="H87" s="1">
        <f>SUM(OSRRefH22_6x_0)</f>
        <v>25</v>
      </c>
      <c r="I87" s="1"/>
      <c r="J87" s="5">
        <f t="shared" si="38"/>
        <v>3.8881366724284247E-4</v>
      </c>
      <c r="K87" s="1"/>
      <c r="L87" s="1">
        <f t="shared" si="39"/>
        <v>-25</v>
      </c>
      <c r="M87" s="1"/>
      <c r="N87" s="5">
        <f t="shared" si="40"/>
        <v>-1</v>
      </c>
      <c r="O87" s="12"/>
      <c r="P87" s="1">
        <f>SUM(OSRRefP22_6x_0)</f>
        <v>0</v>
      </c>
      <c r="Q87" s="1"/>
      <c r="R87" s="5">
        <f t="shared" si="41"/>
        <v>0</v>
      </c>
      <c r="S87" s="1"/>
      <c r="T87" s="1">
        <f>SUM(OSRRefT22_6x_0)</f>
        <v>400</v>
      </c>
      <c r="U87" s="1"/>
      <c r="V87" s="5">
        <f t="shared" si="42"/>
        <v>6.4256924889506304E-4</v>
      </c>
      <c r="W87" s="1"/>
      <c r="X87" s="1">
        <f t="shared" si="43"/>
        <v>-400</v>
      </c>
      <c r="Y87" s="1"/>
      <c r="Z87" s="5">
        <f t="shared" si="44"/>
        <v>-1</v>
      </c>
    </row>
    <row r="88" spans="1:26" s="24" customFormat="1" hidden="1" outlineLevel="2" x14ac:dyDescent="0.25">
      <c r="A88" s="27"/>
      <c r="B88" s="11" t="str">
        <f>CONCATENATE("          ", "6395", " - ", "DONATION-OFF CAMPUS")</f>
        <v xml:space="preserve">          6395 - DONATION-OFF CAMPUS</v>
      </c>
      <c r="C88" s="11"/>
      <c r="D88" s="6"/>
      <c r="E88" s="2"/>
      <c r="F88" s="7">
        <f t="shared" si="37"/>
        <v>0</v>
      </c>
      <c r="G88" s="2"/>
      <c r="H88" s="6">
        <v>25</v>
      </c>
      <c r="I88" s="2"/>
      <c r="J88" s="7">
        <f t="shared" si="38"/>
        <v>3.8881366724284247E-4</v>
      </c>
      <c r="K88" s="2"/>
      <c r="L88" s="6">
        <f t="shared" si="39"/>
        <v>-25</v>
      </c>
      <c r="M88" s="2"/>
      <c r="N88" s="7">
        <f t="shared" si="40"/>
        <v>-1</v>
      </c>
      <c r="O88" s="11"/>
      <c r="P88" s="6"/>
      <c r="Q88" s="2"/>
      <c r="R88" s="7">
        <f t="shared" si="41"/>
        <v>0</v>
      </c>
      <c r="S88" s="2"/>
      <c r="T88" s="6">
        <v>400</v>
      </c>
      <c r="U88" s="2"/>
      <c r="V88" s="7">
        <f t="shared" si="42"/>
        <v>6.4256924889506304E-4</v>
      </c>
      <c r="W88" s="2"/>
      <c r="X88" s="6">
        <f t="shared" si="43"/>
        <v>-400</v>
      </c>
      <c r="Y88" s="2"/>
      <c r="Z88" s="7">
        <f t="shared" si="44"/>
        <v>-1</v>
      </c>
    </row>
    <row r="89" spans="1:26" s="26" customFormat="1" outlineLevel="1" collapsed="1" x14ac:dyDescent="0.25">
      <c r="A89" s="25"/>
      <c r="B89" s="12" t="str">
        <f>CONCATENATE("     ","Employees' Appreciation                           ")</f>
        <v xml:space="preserve">     Employees' Appreciation                           </v>
      </c>
      <c r="C89" s="12"/>
      <c r="D89" s="1">
        <f>SUM(OSRRefD22_7x_0)</f>
        <v>0</v>
      </c>
      <c r="E89" s="1"/>
      <c r="F89" s="5">
        <f t="shared" si="37"/>
        <v>0</v>
      </c>
      <c r="G89" s="1"/>
      <c r="H89" s="1">
        <f>SUM(OSRRefH22_7x_0)</f>
        <v>200</v>
      </c>
      <c r="I89" s="1"/>
      <c r="J89" s="5">
        <f t="shared" si="38"/>
        <v>3.1105093379427398E-3</v>
      </c>
      <c r="K89" s="1"/>
      <c r="L89" s="1">
        <f t="shared" si="39"/>
        <v>-200</v>
      </c>
      <c r="M89" s="1"/>
      <c r="N89" s="5">
        <f t="shared" si="40"/>
        <v>-1</v>
      </c>
      <c r="O89" s="12"/>
      <c r="P89" s="1">
        <f>SUM(OSRRefP22_7x_0)</f>
        <v>120.93</v>
      </c>
      <c r="Q89" s="1"/>
      <c r="R89" s="5">
        <f t="shared" si="41"/>
        <v>2.8133667233643932E-4</v>
      </c>
      <c r="S89" s="1"/>
      <c r="T89" s="1">
        <f>SUM(OSRRefT22_7x_0)</f>
        <v>750</v>
      </c>
      <c r="U89" s="1"/>
      <c r="V89" s="5">
        <f t="shared" si="42"/>
        <v>1.2048173416782434E-3</v>
      </c>
      <c r="W89" s="1"/>
      <c r="X89" s="1">
        <f t="shared" si="43"/>
        <v>-629.06999999999994</v>
      </c>
      <c r="Y89" s="1"/>
      <c r="Z89" s="5">
        <f t="shared" si="44"/>
        <v>-0.83875999999999995</v>
      </c>
    </row>
    <row r="90" spans="1:26" s="24" customFormat="1" hidden="1" outlineLevel="2" x14ac:dyDescent="0.25">
      <c r="A90" s="27"/>
      <c r="B90" s="11" t="str">
        <f>CONCATENATE("          ", "6277", " - ", "EMPLOYEE APPRECIATION")</f>
        <v xml:space="preserve">          6277 - EMPLOYEE APPRECIATION</v>
      </c>
      <c r="C90" s="11"/>
      <c r="D90" s="6"/>
      <c r="E90" s="2"/>
      <c r="F90" s="7">
        <f t="shared" si="37"/>
        <v>0</v>
      </c>
      <c r="G90" s="2"/>
      <c r="H90" s="6">
        <v>200</v>
      </c>
      <c r="I90" s="2"/>
      <c r="J90" s="7">
        <f t="shared" si="38"/>
        <v>3.1105093379427398E-3</v>
      </c>
      <c r="K90" s="2"/>
      <c r="L90" s="6">
        <f t="shared" si="39"/>
        <v>-200</v>
      </c>
      <c r="M90" s="2"/>
      <c r="N90" s="7">
        <f t="shared" si="40"/>
        <v>-1</v>
      </c>
      <c r="O90" s="11"/>
      <c r="P90" s="6">
        <v>120.93</v>
      </c>
      <c r="Q90" s="2"/>
      <c r="R90" s="7">
        <f t="shared" si="41"/>
        <v>2.8133667233643932E-4</v>
      </c>
      <c r="S90" s="2"/>
      <c r="T90" s="6">
        <v>750</v>
      </c>
      <c r="U90" s="2"/>
      <c r="V90" s="7">
        <f t="shared" si="42"/>
        <v>1.2048173416782434E-3</v>
      </c>
      <c r="W90" s="2"/>
      <c r="X90" s="6">
        <f t="shared" si="43"/>
        <v>-629.06999999999994</v>
      </c>
      <c r="Y90" s="2"/>
      <c r="Z90" s="7">
        <f t="shared" si="44"/>
        <v>-0.83875999999999995</v>
      </c>
    </row>
    <row r="91" spans="1:26" s="26" customFormat="1" outlineLevel="1" collapsed="1" x14ac:dyDescent="0.25">
      <c r="A91" s="25"/>
      <c r="B91" s="12" t="str">
        <f>CONCATENATE("     ","General                                           ")</f>
        <v xml:space="preserve">     General                                           </v>
      </c>
      <c r="C91" s="12"/>
      <c r="D91" s="1">
        <f>SUM(OSRRefD22_8x_0)</f>
        <v>0</v>
      </c>
      <c r="E91" s="1"/>
      <c r="F91" s="5">
        <f t="shared" si="37"/>
        <v>0</v>
      </c>
      <c r="G91" s="1"/>
      <c r="H91" s="1">
        <f>SUM(OSRRefH22_8x_0)</f>
        <v>0</v>
      </c>
      <c r="I91" s="1"/>
      <c r="J91" s="5">
        <f t="shared" si="38"/>
        <v>0</v>
      </c>
      <c r="K91" s="1"/>
      <c r="L91" s="1">
        <f t="shared" si="39"/>
        <v>0</v>
      </c>
      <c r="M91" s="1"/>
      <c r="N91" s="5">
        <f t="shared" si="40"/>
        <v>0</v>
      </c>
      <c r="O91" s="12"/>
      <c r="P91" s="1">
        <f>SUM(OSRRefP22_8x_0)</f>
        <v>1392.43</v>
      </c>
      <c r="Q91" s="1"/>
      <c r="R91" s="5">
        <f t="shared" si="41"/>
        <v>3.2394081093312511E-3</v>
      </c>
      <c r="S91" s="1"/>
      <c r="T91" s="1">
        <f>SUM(OSRRefT22_8x_0)</f>
        <v>1735</v>
      </c>
      <c r="U91" s="1"/>
      <c r="V91" s="5">
        <f t="shared" si="42"/>
        <v>2.7871441170823361E-3</v>
      </c>
      <c r="W91" s="1"/>
      <c r="X91" s="1">
        <f t="shared" si="43"/>
        <v>-342.56999999999994</v>
      </c>
      <c r="Y91" s="1"/>
      <c r="Z91" s="5">
        <f t="shared" si="44"/>
        <v>-0.1974466858789625</v>
      </c>
    </row>
    <row r="92" spans="1:26" s="24" customFormat="1" hidden="1" outlineLevel="2" x14ac:dyDescent="0.25">
      <c r="A92" s="27"/>
      <c r="B92" s="11" t="str">
        <f>CONCATENATE("          ", "6279", " - ", "GENERAL EXPENSE")</f>
        <v xml:space="preserve">          6279 - GENERAL EXPENSE</v>
      </c>
      <c r="C92" s="11"/>
      <c r="D92" s="6"/>
      <c r="E92" s="2"/>
      <c r="F92" s="7">
        <f t="shared" si="37"/>
        <v>0</v>
      </c>
      <c r="G92" s="2"/>
      <c r="H92" s="6">
        <v>0</v>
      </c>
      <c r="I92" s="2"/>
      <c r="J92" s="7">
        <f t="shared" si="38"/>
        <v>0</v>
      </c>
      <c r="K92" s="2"/>
      <c r="L92" s="6">
        <f t="shared" si="39"/>
        <v>0</v>
      </c>
      <c r="M92" s="2"/>
      <c r="N92" s="7">
        <f t="shared" si="40"/>
        <v>0</v>
      </c>
      <c r="O92" s="11"/>
      <c r="P92" s="6">
        <v>1392.43</v>
      </c>
      <c r="Q92" s="2"/>
      <c r="R92" s="7">
        <f t="shared" si="41"/>
        <v>3.2394081093312511E-3</v>
      </c>
      <c r="S92" s="2"/>
      <c r="T92" s="6">
        <v>1735</v>
      </c>
      <c r="U92" s="2"/>
      <c r="V92" s="7">
        <f t="shared" si="42"/>
        <v>2.7871441170823361E-3</v>
      </c>
      <c r="W92" s="2"/>
      <c r="X92" s="6">
        <f t="shared" si="43"/>
        <v>-342.56999999999994</v>
      </c>
      <c r="Y92" s="2"/>
      <c r="Z92" s="7">
        <f t="shared" si="44"/>
        <v>-0.1974466858789625</v>
      </c>
    </row>
    <row r="93" spans="1:26" s="26" customFormat="1" outlineLevel="1" collapsed="1" x14ac:dyDescent="0.25">
      <c r="A93" s="25"/>
      <c r="B93" s="12" t="str">
        <f>CONCATENATE("     ","Insurance                                         ")</f>
        <v xml:space="preserve">     Insurance                                         </v>
      </c>
      <c r="C93" s="12"/>
      <c r="D93" s="1">
        <f>SUM(OSRRefD22_9x_0)</f>
        <v>161.18</v>
      </c>
      <c r="E93" s="1"/>
      <c r="F93" s="5">
        <f t="shared" si="37"/>
        <v>0</v>
      </c>
      <c r="G93" s="1"/>
      <c r="H93" s="1">
        <f>SUM(OSRRefH22_9x_0)</f>
        <v>155</v>
      </c>
      <c r="I93" s="1"/>
      <c r="J93" s="5">
        <f t="shared" si="38"/>
        <v>2.4106447369056233E-3</v>
      </c>
      <c r="K93" s="1"/>
      <c r="L93" s="1">
        <f t="shared" si="39"/>
        <v>6.1800000000000068</v>
      </c>
      <c r="M93" s="1"/>
      <c r="N93" s="5">
        <f t="shared" si="40"/>
        <v>3.9870967741935527E-2</v>
      </c>
      <c r="O93" s="12"/>
      <c r="P93" s="1">
        <f>SUM(OSRRefP22_9x_0)</f>
        <v>1934.16</v>
      </c>
      <c r="Q93" s="1"/>
      <c r="R93" s="5">
        <f t="shared" si="41"/>
        <v>4.499711718897275E-3</v>
      </c>
      <c r="S93" s="1"/>
      <c r="T93" s="1">
        <f>SUM(OSRRefT22_9x_0)</f>
        <v>1860</v>
      </c>
      <c r="U93" s="1"/>
      <c r="V93" s="5">
        <f t="shared" si="42"/>
        <v>2.9879470073620432E-3</v>
      </c>
      <c r="W93" s="1"/>
      <c r="X93" s="1">
        <f t="shared" si="43"/>
        <v>74.160000000000082</v>
      </c>
      <c r="Y93" s="1"/>
      <c r="Z93" s="5">
        <f t="shared" si="44"/>
        <v>3.9870967741935527E-2</v>
      </c>
    </row>
    <row r="94" spans="1:26" s="24" customFormat="1" hidden="1" outlineLevel="2" x14ac:dyDescent="0.25">
      <c r="A94" s="27"/>
      <c r="B94" s="11" t="str">
        <f>CONCATENATE("          ", "6314", " - ", "LIABILITY INSURANCE")</f>
        <v xml:space="preserve">          6314 - LIABILITY INSURANCE</v>
      </c>
      <c r="C94" s="11"/>
      <c r="D94" s="6">
        <v>161.18</v>
      </c>
      <c r="E94" s="2"/>
      <c r="F94" s="7">
        <f t="shared" si="37"/>
        <v>0</v>
      </c>
      <c r="G94" s="2"/>
      <c r="H94" s="6">
        <v>155</v>
      </c>
      <c r="I94" s="2"/>
      <c r="J94" s="7">
        <f t="shared" si="38"/>
        <v>2.4106447369056233E-3</v>
      </c>
      <c r="K94" s="2"/>
      <c r="L94" s="6">
        <f t="shared" si="39"/>
        <v>6.1800000000000068</v>
      </c>
      <c r="M94" s="2"/>
      <c r="N94" s="7">
        <f t="shared" si="40"/>
        <v>3.9870967741935527E-2</v>
      </c>
      <c r="O94" s="11"/>
      <c r="P94" s="6">
        <v>1934.16</v>
      </c>
      <c r="Q94" s="2"/>
      <c r="R94" s="7">
        <f t="shared" si="41"/>
        <v>4.499711718897275E-3</v>
      </c>
      <c r="S94" s="2"/>
      <c r="T94" s="6">
        <v>1860</v>
      </c>
      <c r="U94" s="2"/>
      <c r="V94" s="7">
        <f t="shared" si="42"/>
        <v>2.9879470073620432E-3</v>
      </c>
      <c r="W94" s="2"/>
      <c r="X94" s="6">
        <f t="shared" si="43"/>
        <v>74.160000000000082</v>
      </c>
      <c r="Y94" s="2"/>
      <c r="Z94" s="7">
        <f t="shared" si="44"/>
        <v>3.9870967741935527E-2</v>
      </c>
    </row>
    <row r="95" spans="1:26" s="26" customFormat="1" outlineLevel="1" collapsed="1" x14ac:dyDescent="0.25">
      <c r="A95" s="25"/>
      <c r="B95" s="12" t="str">
        <f>CONCATENATE("     ","Inventory Adjustment                              ")</f>
        <v xml:space="preserve">     Inventory Adjustment                              </v>
      </c>
      <c r="C95" s="12"/>
      <c r="D95" s="1">
        <f>SUM(OSRRefD22_10x_0)</f>
        <v>57306</v>
      </c>
      <c r="E95" s="1"/>
      <c r="F95" s="5">
        <f t="shared" si="37"/>
        <v>0</v>
      </c>
      <c r="G95" s="1"/>
      <c r="H95" s="1">
        <f>SUM(OSRRefH22_10x_0)</f>
        <v>300</v>
      </c>
      <c r="I95" s="1"/>
      <c r="J95" s="5">
        <f t="shared" si="38"/>
        <v>4.6657640069141092E-3</v>
      </c>
      <c r="K95" s="1"/>
      <c r="L95" s="1">
        <f t="shared" si="39"/>
        <v>57006</v>
      </c>
      <c r="M95" s="1"/>
      <c r="N95" s="5">
        <f t="shared" si="40"/>
        <v>190.02</v>
      </c>
      <c r="O95" s="12"/>
      <c r="P95" s="1">
        <f>SUM(OSRRefP22_10x_0)</f>
        <v>61506</v>
      </c>
      <c r="Q95" s="1"/>
      <c r="R95" s="5">
        <f t="shared" si="41"/>
        <v>0.14309016264553903</v>
      </c>
      <c r="S95" s="1"/>
      <c r="T95" s="1">
        <f>SUM(OSRRefT22_10x_0)</f>
        <v>4500</v>
      </c>
      <c r="U95" s="1"/>
      <c r="V95" s="5">
        <f t="shared" si="42"/>
        <v>7.2289040500694594E-3</v>
      </c>
      <c r="W95" s="1"/>
      <c r="X95" s="1">
        <f t="shared" si="43"/>
        <v>57006</v>
      </c>
      <c r="Y95" s="1"/>
      <c r="Z95" s="5">
        <f t="shared" si="44"/>
        <v>12.667999999999999</v>
      </c>
    </row>
    <row r="96" spans="1:26" s="24" customFormat="1" hidden="1" outlineLevel="2" x14ac:dyDescent="0.25">
      <c r="A96" s="27"/>
      <c r="B96" s="11" t="str">
        <f>CONCATENATE("          ", "6408", " - ", "INVENTORY ADJUSTMENT")</f>
        <v xml:space="preserve">          6408 - INVENTORY ADJUSTMENT</v>
      </c>
      <c r="C96" s="11"/>
      <c r="D96" s="6">
        <v>-4200</v>
      </c>
      <c r="E96" s="2"/>
      <c r="F96" s="7">
        <f t="shared" si="37"/>
        <v>0</v>
      </c>
      <c r="G96" s="2"/>
      <c r="H96" s="6">
        <v>300</v>
      </c>
      <c r="I96" s="2"/>
      <c r="J96" s="7">
        <f t="shared" si="38"/>
        <v>4.6657640069141092E-3</v>
      </c>
      <c r="K96" s="2"/>
      <c r="L96" s="6">
        <f t="shared" si="39"/>
        <v>-4500</v>
      </c>
      <c r="M96" s="2"/>
      <c r="N96" s="7">
        <f t="shared" si="40"/>
        <v>-15</v>
      </c>
      <c r="O96" s="11"/>
      <c r="P96" s="6">
        <v>0</v>
      </c>
      <c r="Q96" s="2"/>
      <c r="R96" s="7">
        <f t="shared" si="41"/>
        <v>0</v>
      </c>
      <c r="S96" s="2"/>
      <c r="T96" s="6">
        <v>4500</v>
      </c>
      <c r="U96" s="2"/>
      <c r="V96" s="7">
        <f t="shared" si="42"/>
        <v>7.2289040500694594E-3</v>
      </c>
      <c r="W96" s="2"/>
      <c r="X96" s="6">
        <f t="shared" si="43"/>
        <v>-4500</v>
      </c>
      <c r="Y96" s="2"/>
      <c r="Z96" s="7">
        <f t="shared" si="44"/>
        <v>-1</v>
      </c>
    </row>
    <row r="97" spans="1:26" s="24" customFormat="1" hidden="1" outlineLevel="2" x14ac:dyDescent="0.25">
      <c r="A97" s="27"/>
      <c r="B97" s="11" t="str">
        <f>CONCATENATE("          ", "7726", " - ", "INV. SHRINKAGE-WRITING INSTRUM")</f>
        <v xml:space="preserve">          7726 - INV. SHRINKAGE-WRITING INSTRUM</v>
      </c>
      <c r="C97" s="11"/>
      <c r="D97" s="6">
        <v>2342</v>
      </c>
      <c r="E97" s="2"/>
      <c r="F97" s="7">
        <f t="shared" si="37"/>
        <v>0</v>
      </c>
      <c r="G97" s="2"/>
      <c r="H97" s="6"/>
      <c r="I97" s="2"/>
      <c r="J97" s="7">
        <f t="shared" si="38"/>
        <v>0</v>
      </c>
      <c r="K97" s="2"/>
      <c r="L97" s="6">
        <f t="shared" si="39"/>
        <v>2342</v>
      </c>
      <c r="M97" s="2"/>
      <c r="N97" s="7">
        <f t="shared" si="40"/>
        <v>0</v>
      </c>
      <c r="O97" s="11"/>
      <c r="P97" s="6">
        <v>2342</v>
      </c>
      <c r="Q97" s="2"/>
      <c r="R97" s="7">
        <f t="shared" si="41"/>
        <v>5.4485279633832862E-3</v>
      </c>
      <c r="S97" s="2"/>
      <c r="T97" s="6"/>
      <c r="U97" s="2"/>
      <c r="V97" s="7">
        <f t="shared" si="42"/>
        <v>0</v>
      </c>
      <c r="W97" s="2"/>
      <c r="X97" s="6">
        <f t="shared" si="43"/>
        <v>2342</v>
      </c>
      <c r="Y97" s="2"/>
      <c r="Z97" s="7">
        <f t="shared" si="44"/>
        <v>0</v>
      </c>
    </row>
    <row r="98" spans="1:26" s="24" customFormat="1" hidden="1" outlineLevel="2" x14ac:dyDescent="0.25">
      <c r="A98" s="27"/>
      <c r="B98" s="11" t="str">
        <f>CONCATENATE("          ", "7727", " - ", "INV. SHRINKAGE-SCHOOL SUPPLIES")</f>
        <v xml:space="preserve">          7727 - INV. SHRINKAGE-SCHOOL SUPPLIES</v>
      </c>
      <c r="C98" s="11"/>
      <c r="D98" s="6">
        <v>384</v>
      </c>
      <c r="E98" s="2"/>
      <c r="F98" s="7">
        <f t="shared" si="37"/>
        <v>0</v>
      </c>
      <c r="G98" s="2"/>
      <c r="H98" s="6"/>
      <c r="I98" s="2"/>
      <c r="J98" s="7">
        <f t="shared" si="38"/>
        <v>0</v>
      </c>
      <c r="K98" s="2"/>
      <c r="L98" s="6">
        <f t="shared" si="39"/>
        <v>384</v>
      </c>
      <c r="M98" s="2"/>
      <c r="N98" s="7">
        <f t="shared" si="40"/>
        <v>0</v>
      </c>
      <c r="O98" s="11"/>
      <c r="P98" s="6">
        <v>384</v>
      </c>
      <c r="Q98" s="2"/>
      <c r="R98" s="7">
        <f t="shared" si="41"/>
        <v>8.9335385906882242E-4</v>
      </c>
      <c r="S98" s="2"/>
      <c r="T98" s="6"/>
      <c r="U98" s="2"/>
      <c r="V98" s="7">
        <f t="shared" si="42"/>
        <v>0</v>
      </c>
      <c r="W98" s="2"/>
      <c r="X98" s="6">
        <f t="shared" si="43"/>
        <v>384</v>
      </c>
      <c r="Y98" s="2"/>
      <c r="Z98" s="7">
        <f t="shared" si="44"/>
        <v>0</v>
      </c>
    </row>
    <row r="99" spans="1:26" s="24" customFormat="1" hidden="1" outlineLevel="2" x14ac:dyDescent="0.25">
      <c r="A99" s="27"/>
      <c r="B99" s="11" t="str">
        <f>CONCATENATE("          ", "7737", " - ", "INV. SHRINKAGE-WATER")</f>
        <v xml:space="preserve">          7737 - INV. SHRINKAGE-WATER</v>
      </c>
      <c r="C99" s="11"/>
      <c r="D99" s="6">
        <v>-69</v>
      </c>
      <c r="E99" s="2"/>
      <c r="F99" s="7">
        <f t="shared" si="37"/>
        <v>0</v>
      </c>
      <c r="G99" s="2"/>
      <c r="H99" s="6"/>
      <c r="I99" s="2"/>
      <c r="J99" s="7">
        <f t="shared" si="38"/>
        <v>0</v>
      </c>
      <c r="K99" s="2"/>
      <c r="L99" s="6">
        <f t="shared" si="39"/>
        <v>-69</v>
      </c>
      <c r="M99" s="2"/>
      <c r="N99" s="7">
        <f t="shared" si="40"/>
        <v>0</v>
      </c>
      <c r="O99" s="11"/>
      <c r="P99" s="6">
        <v>-69</v>
      </c>
      <c r="Q99" s="2"/>
      <c r="R99" s="7">
        <f t="shared" si="41"/>
        <v>-1.6052452155142902E-4</v>
      </c>
      <c r="S99" s="2"/>
      <c r="T99" s="6"/>
      <c r="U99" s="2"/>
      <c r="V99" s="7">
        <f t="shared" si="42"/>
        <v>0</v>
      </c>
      <c r="W99" s="2"/>
      <c r="X99" s="6">
        <f t="shared" si="43"/>
        <v>-69</v>
      </c>
      <c r="Y99" s="2"/>
      <c r="Z99" s="7">
        <f t="shared" si="44"/>
        <v>0</v>
      </c>
    </row>
    <row r="100" spans="1:26" s="24" customFormat="1" hidden="1" outlineLevel="2" x14ac:dyDescent="0.25">
      <c r="A100" s="27"/>
      <c r="B100" s="11" t="str">
        <f>CONCATENATE("          ", "7740", " - ", "INV. SHRINKAGE-LOGO CLOTHING")</f>
        <v xml:space="preserve">          7740 - INV. SHRINKAGE-LOGO CLOTHING</v>
      </c>
      <c r="C100" s="11"/>
      <c r="D100" s="6">
        <v>74974</v>
      </c>
      <c r="E100" s="2"/>
      <c r="F100" s="7">
        <f t="shared" si="37"/>
        <v>0</v>
      </c>
      <c r="G100" s="2"/>
      <c r="H100" s="6"/>
      <c r="I100" s="2"/>
      <c r="J100" s="7">
        <f t="shared" si="38"/>
        <v>0</v>
      </c>
      <c r="K100" s="2"/>
      <c r="L100" s="6">
        <f t="shared" si="39"/>
        <v>74974</v>
      </c>
      <c r="M100" s="2"/>
      <c r="N100" s="7">
        <f t="shared" si="40"/>
        <v>0</v>
      </c>
      <c r="O100" s="11"/>
      <c r="P100" s="6">
        <v>74974</v>
      </c>
      <c r="Q100" s="2"/>
      <c r="R100" s="7">
        <f t="shared" si="41"/>
        <v>0.17442268809850492</v>
      </c>
      <c r="S100" s="2"/>
      <c r="T100" s="6"/>
      <c r="U100" s="2"/>
      <c r="V100" s="7">
        <f t="shared" si="42"/>
        <v>0</v>
      </c>
      <c r="W100" s="2"/>
      <c r="X100" s="6">
        <f t="shared" si="43"/>
        <v>74974</v>
      </c>
      <c r="Y100" s="2"/>
      <c r="Z100" s="7">
        <f t="shared" si="44"/>
        <v>0</v>
      </c>
    </row>
    <row r="101" spans="1:26" s="24" customFormat="1" hidden="1" outlineLevel="2" x14ac:dyDescent="0.25">
      <c r="A101" s="27"/>
      <c r="B101" s="11" t="str">
        <f>CONCATENATE("          ", "7741", " - ", "INV. SHRINKAGE-LOGO GIFTS")</f>
        <v xml:space="preserve">          7741 - INV. SHRINKAGE-LOGO GIFTS</v>
      </c>
      <c r="C101" s="11"/>
      <c r="D101" s="6">
        <v>-2162</v>
      </c>
      <c r="E101" s="2"/>
      <c r="F101" s="7">
        <f t="shared" si="37"/>
        <v>0</v>
      </c>
      <c r="G101" s="2"/>
      <c r="H101" s="6"/>
      <c r="I101" s="2"/>
      <c r="J101" s="7">
        <f t="shared" si="38"/>
        <v>0</v>
      </c>
      <c r="K101" s="2"/>
      <c r="L101" s="6">
        <f t="shared" si="39"/>
        <v>-2162</v>
      </c>
      <c r="M101" s="2"/>
      <c r="N101" s="7">
        <f t="shared" si="40"/>
        <v>0</v>
      </c>
      <c r="O101" s="11"/>
      <c r="P101" s="6">
        <v>-2162</v>
      </c>
      <c r="Q101" s="2"/>
      <c r="R101" s="7">
        <f t="shared" si="41"/>
        <v>-5.0297683419447759E-3</v>
      </c>
      <c r="S101" s="2"/>
      <c r="T101" s="6"/>
      <c r="U101" s="2"/>
      <c r="V101" s="7">
        <f t="shared" si="42"/>
        <v>0</v>
      </c>
      <c r="W101" s="2"/>
      <c r="X101" s="6">
        <f t="shared" si="43"/>
        <v>-2162</v>
      </c>
      <c r="Y101" s="2"/>
      <c r="Z101" s="7">
        <f t="shared" si="44"/>
        <v>0</v>
      </c>
    </row>
    <row r="102" spans="1:26" s="24" customFormat="1" hidden="1" outlineLevel="2" x14ac:dyDescent="0.25">
      <c r="A102" s="27"/>
      <c r="B102" s="11" t="str">
        <f>CONCATENATE("          ", "7742", " - ", "INV. SHRINKAGE-EVERYDAY GIFTS")</f>
        <v xml:space="preserve">          7742 - INV. SHRINKAGE-EVERYDAY GIFTS</v>
      </c>
      <c r="C102" s="11"/>
      <c r="D102" s="6">
        <v>2520</v>
      </c>
      <c r="E102" s="2"/>
      <c r="F102" s="7">
        <f t="shared" si="37"/>
        <v>0</v>
      </c>
      <c r="G102" s="2"/>
      <c r="H102" s="6"/>
      <c r="I102" s="2"/>
      <c r="J102" s="7">
        <f t="shared" si="38"/>
        <v>0</v>
      </c>
      <c r="K102" s="2"/>
      <c r="L102" s="6">
        <f t="shared" si="39"/>
        <v>2520</v>
      </c>
      <c r="M102" s="2"/>
      <c r="N102" s="7">
        <f t="shared" si="40"/>
        <v>0</v>
      </c>
      <c r="O102" s="11"/>
      <c r="P102" s="6">
        <v>2520</v>
      </c>
      <c r="Q102" s="2"/>
      <c r="R102" s="7">
        <f t="shared" si="41"/>
        <v>5.8626347001391466E-3</v>
      </c>
      <c r="S102" s="2"/>
      <c r="T102" s="6"/>
      <c r="U102" s="2"/>
      <c r="V102" s="7">
        <f t="shared" si="42"/>
        <v>0</v>
      </c>
      <c r="W102" s="2"/>
      <c r="X102" s="6">
        <f t="shared" si="43"/>
        <v>2520</v>
      </c>
      <c r="Y102" s="2"/>
      <c r="Z102" s="7">
        <f t="shared" si="44"/>
        <v>0</v>
      </c>
    </row>
    <row r="103" spans="1:26" s="24" customFormat="1" hidden="1" outlineLevel="2" x14ac:dyDescent="0.25">
      <c r="A103" s="27"/>
      <c r="B103" s="11" t="str">
        <f>CONCATENATE("          ", "7743", " - ", "INV. SHRINKAGE-CARDS")</f>
        <v xml:space="preserve">          7743 - INV. SHRINKAGE-CARDS</v>
      </c>
      <c r="C103" s="11"/>
      <c r="D103" s="6">
        <v>-1289</v>
      </c>
      <c r="E103" s="2"/>
      <c r="F103" s="7">
        <f t="shared" si="37"/>
        <v>0</v>
      </c>
      <c r="G103" s="2"/>
      <c r="H103" s="6"/>
      <c r="I103" s="2"/>
      <c r="J103" s="7">
        <f t="shared" si="38"/>
        <v>0</v>
      </c>
      <c r="K103" s="2"/>
      <c r="L103" s="6">
        <f t="shared" si="39"/>
        <v>-1289</v>
      </c>
      <c r="M103" s="2"/>
      <c r="N103" s="7">
        <f t="shared" si="40"/>
        <v>0</v>
      </c>
      <c r="O103" s="11"/>
      <c r="P103" s="6">
        <v>-1289</v>
      </c>
      <c r="Q103" s="2"/>
      <c r="R103" s="7">
        <f t="shared" si="41"/>
        <v>-2.9987841779680001E-3</v>
      </c>
      <c r="S103" s="2"/>
      <c r="T103" s="6"/>
      <c r="U103" s="2"/>
      <c r="V103" s="7">
        <f t="shared" si="42"/>
        <v>0</v>
      </c>
      <c r="W103" s="2"/>
      <c r="X103" s="6">
        <f t="shared" si="43"/>
        <v>-1289</v>
      </c>
      <c r="Y103" s="2"/>
      <c r="Z103" s="7">
        <f t="shared" si="44"/>
        <v>0</v>
      </c>
    </row>
    <row r="104" spans="1:26" s="24" customFormat="1" hidden="1" outlineLevel="2" x14ac:dyDescent="0.25">
      <c r="A104" s="27"/>
      <c r="B104" s="11" t="str">
        <f>CONCATENATE("          ", "7744", " - ", "INV. SHRINKAGE-ACCESSORIES")</f>
        <v xml:space="preserve">          7744 - INV. SHRINKAGE-ACCESSORIES</v>
      </c>
      <c r="C104" s="11"/>
      <c r="D104" s="6">
        <v>-16849</v>
      </c>
      <c r="E104" s="2"/>
      <c r="F104" s="7">
        <f t="shared" si="37"/>
        <v>0</v>
      </c>
      <c r="G104" s="2"/>
      <c r="H104" s="6"/>
      <c r="I104" s="2"/>
      <c r="J104" s="7">
        <f t="shared" si="38"/>
        <v>0</v>
      </c>
      <c r="K104" s="2"/>
      <c r="L104" s="6">
        <f t="shared" si="39"/>
        <v>-16849</v>
      </c>
      <c r="M104" s="2"/>
      <c r="N104" s="7">
        <f t="shared" si="40"/>
        <v>0</v>
      </c>
      <c r="O104" s="11"/>
      <c r="P104" s="6">
        <v>-16849</v>
      </c>
      <c r="Q104" s="2"/>
      <c r="R104" s="7">
        <f t="shared" si="41"/>
        <v>-3.9198227008985904E-2</v>
      </c>
      <c r="S104" s="2"/>
      <c r="T104" s="6"/>
      <c r="U104" s="2"/>
      <c r="V104" s="7">
        <f t="shared" si="42"/>
        <v>0</v>
      </c>
      <c r="W104" s="2"/>
      <c r="X104" s="6">
        <f t="shared" si="43"/>
        <v>-16849</v>
      </c>
      <c r="Y104" s="2"/>
      <c r="Z104" s="7">
        <f t="shared" si="44"/>
        <v>0</v>
      </c>
    </row>
    <row r="105" spans="1:26" s="24" customFormat="1" hidden="1" outlineLevel="2" x14ac:dyDescent="0.25">
      <c r="A105" s="27"/>
      <c r="B105" s="11" t="str">
        <f>CONCATENATE("          ", "7745", " - ", "INV. SHRINKAGE-SPECIAL ORDERS")</f>
        <v xml:space="preserve">          7745 - INV. SHRINKAGE-SPECIAL ORDERS</v>
      </c>
      <c r="C105" s="11"/>
      <c r="D105" s="6">
        <v>1445</v>
      </c>
      <c r="E105" s="2"/>
      <c r="F105" s="7">
        <f t="shared" si="37"/>
        <v>0</v>
      </c>
      <c r="G105" s="2"/>
      <c r="H105" s="6"/>
      <c r="I105" s="2"/>
      <c r="J105" s="7">
        <f t="shared" si="38"/>
        <v>0</v>
      </c>
      <c r="K105" s="2"/>
      <c r="L105" s="6">
        <f t="shared" si="39"/>
        <v>1445</v>
      </c>
      <c r="M105" s="2"/>
      <c r="N105" s="7">
        <f t="shared" si="40"/>
        <v>0</v>
      </c>
      <c r="O105" s="11"/>
      <c r="P105" s="6">
        <v>1445</v>
      </c>
      <c r="Q105" s="2"/>
      <c r="R105" s="7">
        <f t="shared" si="41"/>
        <v>3.3617091832147091E-3</v>
      </c>
      <c r="S105" s="2"/>
      <c r="T105" s="6"/>
      <c r="U105" s="2"/>
      <c r="V105" s="7">
        <f t="shared" si="42"/>
        <v>0</v>
      </c>
      <c r="W105" s="2"/>
      <c r="X105" s="6">
        <f t="shared" si="43"/>
        <v>1445</v>
      </c>
      <c r="Y105" s="2"/>
      <c r="Z105" s="7">
        <f t="shared" si="44"/>
        <v>0</v>
      </c>
    </row>
    <row r="106" spans="1:26" s="24" customFormat="1" hidden="1" outlineLevel="2" x14ac:dyDescent="0.25">
      <c r="A106" s="27"/>
      <c r="B106" s="11" t="str">
        <f>CONCATENATE("          ", "7783", " - ", "INV. SHRINKAGE-COMPUTER EQUIPM")</f>
        <v xml:space="preserve">          7783 - INV. SHRINKAGE-COMPUTER EQUIPM</v>
      </c>
      <c r="C106" s="11"/>
      <c r="D106" s="6">
        <v>176</v>
      </c>
      <c r="E106" s="2"/>
      <c r="F106" s="7">
        <f t="shared" si="37"/>
        <v>0</v>
      </c>
      <c r="G106" s="2"/>
      <c r="H106" s="6"/>
      <c r="I106" s="2"/>
      <c r="J106" s="7">
        <f t="shared" si="38"/>
        <v>0</v>
      </c>
      <c r="K106" s="2"/>
      <c r="L106" s="6">
        <f t="shared" si="39"/>
        <v>176</v>
      </c>
      <c r="M106" s="2"/>
      <c r="N106" s="7">
        <f t="shared" si="40"/>
        <v>0</v>
      </c>
      <c r="O106" s="11"/>
      <c r="P106" s="6">
        <v>176</v>
      </c>
      <c r="Q106" s="2"/>
      <c r="R106" s="7">
        <f t="shared" si="41"/>
        <v>4.0945385207321027E-4</v>
      </c>
      <c r="S106" s="2"/>
      <c r="T106" s="6"/>
      <c r="U106" s="2"/>
      <c r="V106" s="7">
        <f t="shared" si="42"/>
        <v>0</v>
      </c>
      <c r="W106" s="2"/>
      <c r="X106" s="6">
        <f t="shared" si="43"/>
        <v>176</v>
      </c>
      <c r="Y106" s="2"/>
      <c r="Z106" s="7">
        <f t="shared" si="44"/>
        <v>0</v>
      </c>
    </row>
    <row r="107" spans="1:26" s="24" customFormat="1" hidden="1" outlineLevel="2" x14ac:dyDescent="0.25">
      <c r="A107" s="27"/>
      <c r="B107" s="11" t="str">
        <f>CONCATENATE("          ", "7792", " - ", "INV. SHRINKAGE-GRAD MERCH")</f>
        <v xml:space="preserve">          7792 - INV. SHRINKAGE-GRAD MERCH</v>
      </c>
      <c r="C107" s="11"/>
      <c r="D107" s="6">
        <v>40</v>
      </c>
      <c r="E107" s="2"/>
      <c r="F107" s="7">
        <f t="shared" si="37"/>
        <v>0</v>
      </c>
      <c r="G107" s="2"/>
      <c r="H107" s="6"/>
      <c r="I107" s="2"/>
      <c r="J107" s="7">
        <f t="shared" si="38"/>
        <v>0</v>
      </c>
      <c r="K107" s="2"/>
      <c r="L107" s="6">
        <f t="shared" si="39"/>
        <v>40</v>
      </c>
      <c r="M107" s="2"/>
      <c r="N107" s="7">
        <f t="shared" si="40"/>
        <v>0</v>
      </c>
      <c r="O107" s="11"/>
      <c r="P107" s="6">
        <v>40</v>
      </c>
      <c r="Q107" s="2"/>
      <c r="R107" s="7">
        <f t="shared" si="41"/>
        <v>9.3057693653002333E-5</v>
      </c>
      <c r="S107" s="2"/>
      <c r="T107" s="6"/>
      <c r="U107" s="2"/>
      <c r="V107" s="7">
        <f t="shared" si="42"/>
        <v>0</v>
      </c>
      <c r="W107" s="2"/>
      <c r="X107" s="6">
        <f t="shared" si="43"/>
        <v>40</v>
      </c>
      <c r="Y107" s="2"/>
      <c r="Z107" s="7">
        <f t="shared" si="44"/>
        <v>0</v>
      </c>
    </row>
    <row r="108" spans="1:26" s="24" customFormat="1" hidden="1" outlineLevel="2" x14ac:dyDescent="0.25">
      <c r="A108" s="27"/>
      <c r="B108" s="11" t="str">
        <f>CONCATENATE("          ", "7795", " - ", "INV. SHRINKAGE-CUSTOMER SERVIC")</f>
        <v xml:space="preserve">          7795 - INV. SHRINKAGE-CUSTOMER SERVIC</v>
      </c>
      <c r="C108" s="11"/>
      <c r="D108" s="6">
        <v>-6</v>
      </c>
      <c r="E108" s="2"/>
      <c r="F108" s="7">
        <f t="shared" si="37"/>
        <v>0</v>
      </c>
      <c r="G108" s="2"/>
      <c r="H108" s="6"/>
      <c r="I108" s="2"/>
      <c r="J108" s="7">
        <f t="shared" si="38"/>
        <v>0</v>
      </c>
      <c r="K108" s="2"/>
      <c r="L108" s="6">
        <f t="shared" si="39"/>
        <v>-6</v>
      </c>
      <c r="M108" s="2"/>
      <c r="N108" s="7">
        <f t="shared" si="40"/>
        <v>0</v>
      </c>
      <c r="O108" s="11"/>
      <c r="P108" s="6">
        <v>-6</v>
      </c>
      <c r="Q108" s="2"/>
      <c r="R108" s="7">
        <f t="shared" si="41"/>
        <v>-1.395865404795035E-5</v>
      </c>
      <c r="S108" s="2"/>
      <c r="T108" s="6"/>
      <c r="U108" s="2"/>
      <c r="V108" s="7">
        <f t="shared" si="42"/>
        <v>0</v>
      </c>
      <c r="W108" s="2"/>
      <c r="X108" s="6">
        <f t="shared" si="43"/>
        <v>-6</v>
      </c>
      <c r="Y108" s="2"/>
      <c r="Z108" s="7">
        <f t="shared" si="44"/>
        <v>0</v>
      </c>
    </row>
    <row r="109" spans="1:26" s="26" customFormat="1" outlineLevel="1" collapsed="1" x14ac:dyDescent="0.25">
      <c r="A109" s="25"/>
      <c r="B109" s="12" t="str">
        <f>CONCATENATE("     ","Professional Services                             ")</f>
        <v xml:space="preserve">     Professional Services                             </v>
      </c>
      <c r="C109" s="12"/>
      <c r="D109" s="1">
        <f>SUM(OSRRefD22_11x_0)</f>
        <v>383.95</v>
      </c>
      <c r="E109" s="1"/>
      <c r="F109" s="5">
        <f t="shared" ref="F109:F115" si="45">IF(D$12=0,0,D109/D$12)</f>
        <v>0</v>
      </c>
      <c r="G109" s="1"/>
      <c r="H109" s="1">
        <f>SUM(OSRRefH22_11x_0)</f>
        <v>0</v>
      </c>
      <c r="I109" s="1"/>
      <c r="J109" s="5">
        <f t="shared" ref="J109:J115" si="46">IF(H$12=0,0,H109/H$12)</f>
        <v>0</v>
      </c>
      <c r="K109" s="1"/>
      <c r="L109" s="1">
        <f t="shared" ref="L109:L115" si="47">+D109-H109</f>
        <v>383.95</v>
      </c>
      <c r="M109" s="1"/>
      <c r="N109" s="5">
        <f t="shared" ref="N109:N115" si="48">IF(H109=0,0,L109/H109)</f>
        <v>0</v>
      </c>
      <c r="O109" s="12"/>
      <c r="P109" s="1">
        <f>SUM(OSRRefP22_11x_0)</f>
        <v>1133.95</v>
      </c>
      <c r="Q109" s="1"/>
      <c r="R109" s="5">
        <f t="shared" ref="R109:R115" si="49">IF(P$12=0,0,P109/P$12)</f>
        <v>2.63806929294555E-3</v>
      </c>
      <c r="S109" s="1"/>
      <c r="T109" s="1">
        <f>SUM(OSRRefT22_11x_0)</f>
        <v>900</v>
      </c>
      <c r="U109" s="1"/>
      <c r="V109" s="5">
        <f t="shared" ref="V109:V115" si="50">IF(T$12=0,0,T109/T$12)</f>
        <v>1.4457808100138919E-3</v>
      </c>
      <c r="W109" s="1"/>
      <c r="X109" s="1">
        <f t="shared" ref="X109:X115" si="51">+P109-T109</f>
        <v>233.95000000000005</v>
      </c>
      <c r="Y109" s="1"/>
      <c r="Z109" s="5">
        <f t="shared" ref="Z109:Z115" si="52">IF(T109=0,0,X109/T109)</f>
        <v>0.25994444444444448</v>
      </c>
    </row>
    <row r="110" spans="1:26" s="24" customFormat="1" hidden="1" outlineLevel="2" x14ac:dyDescent="0.25">
      <c r="A110" s="27"/>
      <c r="B110" s="11" t="str">
        <f>CONCATENATE("          ", "6336", " - ", "PROFESSIONAL SERVICES")</f>
        <v xml:space="preserve">          6336 - PROFESSIONAL SERVICES</v>
      </c>
      <c r="C110" s="11"/>
      <c r="D110" s="6">
        <v>383.95</v>
      </c>
      <c r="E110" s="2"/>
      <c r="F110" s="7">
        <f t="shared" si="45"/>
        <v>0</v>
      </c>
      <c r="G110" s="2"/>
      <c r="H110" s="6">
        <v>0</v>
      </c>
      <c r="I110" s="2"/>
      <c r="J110" s="7">
        <f t="shared" si="46"/>
        <v>0</v>
      </c>
      <c r="K110" s="2"/>
      <c r="L110" s="6">
        <f t="shared" si="47"/>
        <v>383.95</v>
      </c>
      <c r="M110" s="2"/>
      <c r="N110" s="7">
        <f t="shared" si="48"/>
        <v>0</v>
      </c>
      <c r="O110" s="11"/>
      <c r="P110" s="6">
        <v>1133.95</v>
      </c>
      <c r="Q110" s="2"/>
      <c r="R110" s="7">
        <f t="shared" si="49"/>
        <v>2.63806929294555E-3</v>
      </c>
      <c r="S110" s="2"/>
      <c r="T110" s="6">
        <v>900</v>
      </c>
      <c r="U110" s="2"/>
      <c r="V110" s="7">
        <f t="shared" si="50"/>
        <v>1.4457808100138919E-3</v>
      </c>
      <c r="W110" s="2"/>
      <c r="X110" s="6">
        <f t="shared" si="51"/>
        <v>233.95000000000005</v>
      </c>
      <c r="Y110" s="2"/>
      <c r="Z110" s="7">
        <f t="shared" si="52"/>
        <v>0.25994444444444448</v>
      </c>
    </row>
    <row r="111" spans="1:26" s="26" customFormat="1" outlineLevel="1" collapsed="1" x14ac:dyDescent="0.25">
      <c r="A111" s="25"/>
      <c r="B111" s="12" t="str">
        <f>CONCATENATE("     ","Rent                                              ")</f>
        <v xml:space="preserve">     Rent                                              </v>
      </c>
      <c r="C111" s="12"/>
      <c r="D111" s="1">
        <f>SUM(OSRRefD22_12x_0)</f>
        <v>6900</v>
      </c>
      <c r="E111" s="1"/>
      <c r="F111" s="5">
        <f t="shared" si="45"/>
        <v>0</v>
      </c>
      <c r="G111" s="1"/>
      <c r="H111" s="1">
        <f>SUM(OSRRefH22_12x_0)</f>
        <v>7200</v>
      </c>
      <c r="I111" s="1"/>
      <c r="J111" s="5">
        <f t="shared" si="46"/>
        <v>0.11197833616593864</v>
      </c>
      <c r="K111" s="1"/>
      <c r="L111" s="1">
        <f t="shared" si="47"/>
        <v>-300</v>
      </c>
      <c r="M111" s="1"/>
      <c r="N111" s="5">
        <f t="shared" si="48"/>
        <v>-4.1666666666666664E-2</v>
      </c>
      <c r="O111" s="12"/>
      <c r="P111" s="1">
        <f>SUM(OSRRefP22_12x_0)</f>
        <v>82800</v>
      </c>
      <c r="Q111" s="1"/>
      <c r="R111" s="5">
        <f t="shared" si="49"/>
        <v>0.19262942586171483</v>
      </c>
      <c r="S111" s="1"/>
      <c r="T111" s="1">
        <f>SUM(OSRRefT22_12x_0)</f>
        <v>86400</v>
      </c>
      <c r="U111" s="1"/>
      <c r="V111" s="5">
        <f t="shared" si="50"/>
        <v>0.13879495776133363</v>
      </c>
      <c r="W111" s="1"/>
      <c r="X111" s="1">
        <f t="shared" si="51"/>
        <v>-3600</v>
      </c>
      <c r="Y111" s="1"/>
      <c r="Z111" s="5">
        <f t="shared" si="52"/>
        <v>-4.1666666666666664E-2</v>
      </c>
    </row>
    <row r="112" spans="1:26" s="24" customFormat="1" hidden="1" outlineLevel="2" x14ac:dyDescent="0.25">
      <c r="A112" s="27"/>
      <c r="B112" s="11" t="str">
        <f>CONCATENATE("          ", "6273", " - ", "RENT")</f>
        <v xml:space="preserve">          6273 - RENT</v>
      </c>
      <c r="C112" s="11"/>
      <c r="D112" s="6">
        <v>6900</v>
      </c>
      <c r="E112" s="2"/>
      <c r="F112" s="7">
        <f t="shared" si="45"/>
        <v>0</v>
      </c>
      <c r="G112" s="2"/>
      <c r="H112" s="6">
        <v>7200</v>
      </c>
      <c r="I112" s="2"/>
      <c r="J112" s="7">
        <f t="shared" si="46"/>
        <v>0.11197833616593864</v>
      </c>
      <c r="K112" s="2"/>
      <c r="L112" s="6">
        <f t="shared" si="47"/>
        <v>-300</v>
      </c>
      <c r="M112" s="2"/>
      <c r="N112" s="7">
        <f t="shared" si="48"/>
        <v>-4.1666666666666664E-2</v>
      </c>
      <c r="O112" s="11"/>
      <c r="P112" s="6">
        <v>82800</v>
      </c>
      <c r="Q112" s="2"/>
      <c r="R112" s="7">
        <f t="shared" si="49"/>
        <v>0.19262942586171483</v>
      </c>
      <c r="S112" s="2"/>
      <c r="T112" s="6">
        <v>86400</v>
      </c>
      <c r="U112" s="2"/>
      <c r="V112" s="7">
        <f t="shared" si="50"/>
        <v>0.13879495776133363</v>
      </c>
      <c r="W112" s="2"/>
      <c r="X112" s="6">
        <f t="shared" si="51"/>
        <v>-3600</v>
      </c>
      <c r="Y112" s="2"/>
      <c r="Z112" s="7">
        <f t="shared" si="52"/>
        <v>-4.1666666666666664E-2</v>
      </c>
    </row>
    <row r="113" spans="1:26" s="26" customFormat="1" outlineLevel="1" collapsed="1" x14ac:dyDescent="0.25">
      <c r="A113" s="25"/>
      <c r="B113" s="12" t="str">
        <f>CONCATENATE("     ","Repair and Maintenance                            ")</f>
        <v xml:space="preserve">     Repair and Maintenance                            </v>
      </c>
      <c r="C113" s="12"/>
      <c r="D113" s="1">
        <f>SUM(OSRRefD22_13x_0)</f>
        <v>48.23</v>
      </c>
      <c r="E113" s="1"/>
      <c r="F113" s="5">
        <f t="shared" si="45"/>
        <v>0</v>
      </c>
      <c r="G113" s="1"/>
      <c r="H113" s="1">
        <f>SUM(OSRRefH22_13x_0)</f>
        <v>150</v>
      </c>
      <c r="I113" s="1"/>
      <c r="J113" s="5">
        <f t="shared" si="46"/>
        <v>2.3328820034570546E-3</v>
      </c>
      <c r="K113" s="1"/>
      <c r="L113" s="1">
        <f t="shared" si="47"/>
        <v>-101.77000000000001</v>
      </c>
      <c r="M113" s="1"/>
      <c r="N113" s="5">
        <f t="shared" si="48"/>
        <v>-0.67846666666666677</v>
      </c>
      <c r="O113" s="12"/>
      <c r="P113" s="1">
        <f>SUM(OSRRefP22_13x_0)</f>
        <v>372.21000000000004</v>
      </c>
      <c r="Q113" s="1"/>
      <c r="R113" s="5">
        <f t="shared" si="49"/>
        <v>8.659251038646E-4</v>
      </c>
      <c r="S113" s="1"/>
      <c r="T113" s="1">
        <f>SUM(OSRRefT22_13x_0)</f>
        <v>1600</v>
      </c>
      <c r="U113" s="1"/>
      <c r="V113" s="5">
        <f t="shared" si="50"/>
        <v>2.5702769955802522E-3</v>
      </c>
      <c r="W113" s="1"/>
      <c r="X113" s="1">
        <f t="shared" si="51"/>
        <v>-1227.79</v>
      </c>
      <c r="Y113" s="1"/>
      <c r="Z113" s="5">
        <f t="shared" si="52"/>
        <v>-0.76736874999999993</v>
      </c>
    </row>
    <row r="114" spans="1:26" s="24" customFormat="1" hidden="1" outlineLevel="2" x14ac:dyDescent="0.25">
      <c r="A114" s="27"/>
      <c r="B114" s="11" t="str">
        <f>CONCATENATE("          ", "6373", " - ", "MAINTENANCE CONTRACTS")</f>
        <v xml:space="preserve">          6373 - MAINTENANCE CONTRACTS</v>
      </c>
      <c r="C114" s="11"/>
      <c r="D114" s="6">
        <v>48.23</v>
      </c>
      <c r="E114" s="2"/>
      <c r="F114" s="7">
        <f t="shared" si="45"/>
        <v>0</v>
      </c>
      <c r="G114" s="2"/>
      <c r="H114" s="6">
        <v>0</v>
      </c>
      <c r="I114" s="2"/>
      <c r="J114" s="7">
        <f t="shared" si="46"/>
        <v>0</v>
      </c>
      <c r="K114" s="2"/>
      <c r="L114" s="6">
        <f t="shared" si="47"/>
        <v>48.23</v>
      </c>
      <c r="M114" s="2"/>
      <c r="N114" s="7">
        <f t="shared" si="48"/>
        <v>0</v>
      </c>
      <c r="O114" s="11"/>
      <c r="P114" s="6">
        <v>189.68</v>
      </c>
      <c r="Q114" s="2"/>
      <c r="R114" s="7">
        <f t="shared" si="49"/>
        <v>4.4127958330253706E-4</v>
      </c>
      <c r="S114" s="2"/>
      <c r="T114" s="6">
        <v>75</v>
      </c>
      <c r="U114" s="2"/>
      <c r="V114" s="7">
        <f t="shared" si="50"/>
        <v>1.2048173416782433E-4</v>
      </c>
      <c r="W114" s="2"/>
      <c r="X114" s="6">
        <f t="shared" si="51"/>
        <v>114.68</v>
      </c>
      <c r="Y114" s="2"/>
      <c r="Z114" s="7">
        <f t="shared" si="52"/>
        <v>1.5290666666666668</v>
      </c>
    </row>
    <row r="115" spans="1:26" s="24" customFormat="1" hidden="1" outlineLevel="2" x14ac:dyDescent="0.25">
      <c r="A115" s="27"/>
      <c r="B115" s="11" t="str">
        <f>CONCATENATE("          ", "6375", " - ", "OUTSIDE REPAIRS &amp; MAINTENANCE")</f>
        <v xml:space="preserve">          6375 - OUTSIDE REPAIRS &amp; MAINTENANCE</v>
      </c>
      <c r="C115" s="11"/>
      <c r="D115" s="6"/>
      <c r="E115" s="2"/>
      <c r="F115" s="7">
        <f t="shared" si="45"/>
        <v>0</v>
      </c>
      <c r="G115" s="2"/>
      <c r="H115" s="6">
        <v>150</v>
      </c>
      <c r="I115" s="2"/>
      <c r="J115" s="7">
        <f t="shared" si="46"/>
        <v>2.3328820034570546E-3</v>
      </c>
      <c r="K115" s="2"/>
      <c r="L115" s="6">
        <f t="shared" si="47"/>
        <v>-150</v>
      </c>
      <c r="M115" s="2"/>
      <c r="N115" s="7">
        <f t="shared" si="48"/>
        <v>-1</v>
      </c>
      <c r="O115" s="11"/>
      <c r="P115" s="6">
        <v>182.53</v>
      </c>
      <c r="Q115" s="2"/>
      <c r="R115" s="7">
        <f t="shared" si="49"/>
        <v>4.2464552056206288E-4</v>
      </c>
      <c r="S115" s="2"/>
      <c r="T115" s="6">
        <v>1525</v>
      </c>
      <c r="U115" s="2"/>
      <c r="V115" s="7">
        <f t="shared" si="50"/>
        <v>2.449795261412428E-3</v>
      </c>
      <c r="W115" s="2"/>
      <c r="X115" s="6">
        <f t="shared" si="51"/>
        <v>-1342.47</v>
      </c>
      <c r="Y115" s="2"/>
      <c r="Z115" s="7">
        <f t="shared" si="52"/>
        <v>-0.88030819672131144</v>
      </c>
    </row>
    <row r="116" spans="1:26" s="26" customFormat="1" outlineLevel="1" collapsed="1" x14ac:dyDescent="0.25">
      <c r="A116" s="25"/>
      <c r="B116" s="12" t="str">
        <f>CONCATENATE("     ","Services                                          ")</f>
        <v xml:space="preserve">     Services                                          </v>
      </c>
      <c r="C116" s="12"/>
      <c r="D116" s="1">
        <f>SUM(OSRRefD22_14x_0)</f>
        <v>189.45</v>
      </c>
      <c r="E116" s="1"/>
      <c r="F116" s="5">
        <f t="shared" ref="F116:F119" si="53">IF(D$12=0,0,D116/D$12)</f>
        <v>0</v>
      </c>
      <c r="G116" s="1"/>
      <c r="H116" s="1">
        <f>SUM(OSRRefH22_14x_0)</f>
        <v>242.5</v>
      </c>
      <c r="I116" s="1"/>
      <c r="J116" s="5">
        <f t="shared" ref="J116:J119" si="54">IF(H$12=0,0,H116/H$12)</f>
        <v>3.7714925722555719E-3</v>
      </c>
      <c r="K116" s="1"/>
      <c r="L116" s="1">
        <f t="shared" ref="L116:L119" si="55">+D116-H116</f>
        <v>-53.050000000000011</v>
      </c>
      <c r="M116" s="1"/>
      <c r="N116" s="5">
        <f t="shared" ref="N116:N119" si="56">IF(H116=0,0,L116/H116)</f>
        <v>-0.21876288659793819</v>
      </c>
      <c r="O116" s="12"/>
      <c r="P116" s="1">
        <f>SUM(OSRRefP22_14x_0)</f>
        <v>3138.98</v>
      </c>
      <c r="Q116" s="1"/>
      <c r="R116" s="5">
        <f t="shared" ref="R116:R119" si="57">IF(P$12=0,0,P116/P$12)</f>
        <v>7.3026559805725319E-3</v>
      </c>
      <c r="S116" s="1"/>
      <c r="T116" s="1">
        <f>SUM(OSRRefT22_14x_0)</f>
        <v>3175</v>
      </c>
      <c r="U116" s="1"/>
      <c r="V116" s="5">
        <f t="shared" ref="V116:V119" si="58">IF(T$12=0,0,T116/T$12)</f>
        <v>5.1003934131045635E-3</v>
      </c>
      <c r="W116" s="1"/>
      <c r="X116" s="1">
        <f t="shared" ref="X116:X119" si="59">+P116-T116</f>
        <v>-36.019999999999982</v>
      </c>
      <c r="Y116" s="1"/>
      <c r="Z116" s="5">
        <f t="shared" ref="Z116:Z119" si="60">IF(T116=0,0,X116/T116)</f>
        <v>-1.1344881889763774E-2</v>
      </c>
    </row>
    <row r="117" spans="1:26" s="24" customFormat="1" hidden="1" outlineLevel="2" x14ac:dyDescent="0.25">
      <c r="A117" s="27"/>
      <c r="B117" s="11" t="str">
        <f>CONCATENATE("          ", "6283", " - ", "PLANT SERVICE")</f>
        <v xml:space="preserve">          6283 - PLANT SERVICE</v>
      </c>
      <c r="C117" s="11"/>
      <c r="D117" s="6"/>
      <c r="E117" s="2"/>
      <c r="F117" s="7">
        <f t="shared" si="53"/>
        <v>0</v>
      </c>
      <c r="G117" s="2"/>
      <c r="H117" s="6">
        <v>60</v>
      </c>
      <c r="I117" s="2"/>
      <c r="J117" s="7">
        <f t="shared" si="54"/>
        <v>9.3315280138282189E-4</v>
      </c>
      <c r="K117" s="2"/>
      <c r="L117" s="6">
        <f t="shared" si="55"/>
        <v>-60</v>
      </c>
      <c r="M117" s="2"/>
      <c r="N117" s="7">
        <f t="shared" si="56"/>
        <v>-1</v>
      </c>
      <c r="O117" s="11"/>
      <c r="P117" s="6">
        <v>178.65</v>
      </c>
      <c r="Q117" s="2"/>
      <c r="R117" s="7">
        <f t="shared" si="57"/>
        <v>4.1561892427772166E-4</v>
      </c>
      <c r="S117" s="2"/>
      <c r="T117" s="6">
        <v>720</v>
      </c>
      <c r="U117" s="2"/>
      <c r="V117" s="7">
        <f t="shared" si="58"/>
        <v>1.1566246480111135E-3</v>
      </c>
      <c r="W117" s="2"/>
      <c r="X117" s="6">
        <f t="shared" si="59"/>
        <v>-541.35</v>
      </c>
      <c r="Y117" s="2"/>
      <c r="Z117" s="7">
        <f t="shared" si="60"/>
        <v>-0.75187500000000007</v>
      </c>
    </row>
    <row r="118" spans="1:26" s="24" customFormat="1" hidden="1" outlineLevel="2" x14ac:dyDescent="0.25">
      <c r="A118" s="27"/>
      <c r="B118" s="11" t="str">
        <f>CONCATENATE("          ", "6284", " - ", "TRASH REMOVAL EXPENSE")</f>
        <v xml:space="preserve">          6284 - TRASH REMOVAL EXPENSE</v>
      </c>
      <c r="C118" s="11"/>
      <c r="D118" s="6">
        <v>134.82</v>
      </c>
      <c r="E118" s="2"/>
      <c r="F118" s="7">
        <f t="shared" si="53"/>
        <v>0</v>
      </c>
      <c r="G118" s="2"/>
      <c r="H118" s="6">
        <v>62.5</v>
      </c>
      <c r="I118" s="2"/>
      <c r="J118" s="7">
        <f t="shared" si="54"/>
        <v>9.7203416810710613E-4</v>
      </c>
      <c r="K118" s="2"/>
      <c r="L118" s="6">
        <f t="shared" si="55"/>
        <v>72.319999999999993</v>
      </c>
      <c r="M118" s="2"/>
      <c r="N118" s="7">
        <f t="shared" si="56"/>
        <v>1.1571199999999999</v>
      </c>
      <c r="O118" s="11"/>
      <c r="P118" s="6">
        <v>1617.84</v>
      </c>
      <c r="Q118" s="2"/>
      <c r="R118" s="7">
        <f t="shared" si="57"/>
        <v>3.7638114774893321E-3</v>
      </c>
      <c r="S118" s="2"/>
      <c r="T118" s="6">
        <v>750</v>
      </c>
      <c r="U118" s="2"/>
      <c r="V118" s="7">
        <f t="shared" si="58"/>
        <v>1.2048173416782434E-3</v>
      </c>
      <c r="W118" s="2"/>
      <c r="X118" s="6">
        <f t="shared" si="59"/>
        <v>867.83999999999992</v>
      </c>
      <c r="Y118" s="2"/>
      <c r="Z118" s="7">
        <f t="shared" si="60"/>
        <v>1.1571199999999999</v>
      </c>
    </row>
    <row r="119" spans="1:26" s="24" customFormat="1" hidden="1" outlineLevel="2" x14ac:dyDescent="0.25">
      <c r="A119" s="27"/>
      <c r="B119" s="11" t="str">
        <f>CONCATENATE("          ", "6285", " - ", "JANITORIAL SERVICES")</f>
        <v xml:space="preserve">          6285 - JANITORIAL SERVICES</v>
      </c>
      <c r="C119" s="11"/>
      <c r="D119" s="6">
        <v>54.63</v>
      </c>
      <c r="E119" s="2"/>
      <c r="F119" s="7">
        <f t="shared" si="53"/>
        <v>0</v>
      </c>
      <c r="G119" s="2"/>
      <c r="H119" s="6">
        <v>120</v>
      </c>
      <c r="I119" s="2"/>
      <c r="J119" s="7">
        <f t="shared" si="54"/>
        <v>1.8663056027656438E-3</v>
      </c>
      <c r="K119" s="2"/>
      <c r="L119" s="6">
        <f t="shared" si="55"/>
        <v>-65.37</v>
      </c>
      <c r="M119" s="2"/>
      <c r="N119" s="7">
        <f t="shared" si="56"/>
        <v>-0.54475000000000007</v>
      </c>
      <c r="O119" s="11"/>
      <c r="P119" s="6">
        <v>1342.49</v>
      </c>
      <c r="Q119" s="2"/>
      <c r="R119" s="7">
        <f t="shared" si="57"/>
        <v>3.1232255788054774E-3</v>
      </c>
      <c r="S119" s="2"/>
      <c r="T119" s="6">
        <v>1705</v>
      </c>
      <c r="U119" s="2"/>
      <c r="V119" s="7">
        <f t="shared" si="58"/>
        <v>2.7389514234152064E-3</v>
      </c>
      <c r="W119" s="2"/>
      <c r="X119" s="6">
        <f t="shared" si="59"/>
        <v>-362.51</v>
      </c>
      <c r="Y119" s="2"/>
      <c r="Z119" s="7">
        <f t="shared" si="60"/>
        <v>-0.21261583577712609</v>
      </c>
    </row>
    <row r="120" spans="1:26" s="26" customFormat="1" outlineLevel="1" collapsed="1" x14ac:dyDescent="0.25">
      <c r="A120" s="25"/>
      <c r="B120" s="12" t="str">
        <f>CONCATENATE("     ","Subscriptions &amp; Dues                              ")</f>
        <v xml:space="preserve">     Subscriptions &amp; Dues                              </v>
      </c>
      <c r="C120" s="12"/>
      <c r="D120" s="1">
        <f>SUM(OSRRefD22_15x_0)</f>
        <v>0</v>
      </c>
      <c r="E120" s="1"/>
      <c r="F120" s="5">
        <f t="shared" ref="F120:F122" si="61">IF(D$12=0,0,D120/D$12)</f>
        <v>0</v>
      </c>
      <c r="G120" s="1"/>
      <c r="H120" s="1">
        <f>SUM(OSRRefH22_15x_0)</f>
        <v>415</v>
      </c>
      <c r="I120" s="1"/>
      <c r="J120" s="5">
        <f t="shared" ref="J120:J122" si="62">IF(H$12=0,0,H120/H$12)</f>
        <v>6.4543068762311848E-3</v>
      </c>
      <c r="K120" s="1"/>
      <c r="L120" s="1">
        <f t="shared" ref="L120:L122" si="63">+D120-H120</f>
        <v>-415</v>
      </c>
      <c r="M120" s="1"/>
      <c r="N120" s="5">
        <f t="shared" ref="N120:N122" si="64">IF(H120=0,0,L120/H120)</f>
        <v>-1</v>
      </c>
      <c r="O120" s="12"/>
      <c r="P120" s="1">
        <f>SUM(OSRRefP22_15x_0)</f>
        <v>268.40999999999997</v>
      </c>
      <c r="Q120" s="1"/>
      <c r="R120" s="5">
        <f t="shared" ref="R120:R122" si="65">IF(P$12=0,0,P120/P$12)</f>
        <v>6.2444038883505886E-4</v>
      </c>
      <c r="S120" s="1"/>
      <c r="T120" s="1">
        <f>SUM(OSRRefT22_15x_0)</f>
        <v>3475</v>
      </c>
      <c r="U120" s="1"/>
      <c r="V120" s="5">
        <f t="shared" ref="V120:V122" si="66">IF(T$12=0,0,T120/T$12)</f>
        <v>5.5823203497758602E-3</v>
      </c>
      <c r="W120" s="1"/>
      <c r="X120" s="1">
        <f t="shared" ref="X120:X122" si="67">+P120-T120</f>
        <v>-3206.59</v>
      </c>
      <c r="Y120" s="1"/>
      <c r="Z120" s="5">
        <f t="shared" ref="Z120:Z122" si="68">IF(T120=0,0,X120/T120)</f>
        <v>-0.92275971223021591</v>
      </c>
    </row>
    <row r="121" spans="1:26" s="24" customFormat="1" hidden="1" outlineLevel="2" x14ac:dyDescent="0.25">
      <c r="A121" s="27"/>
      <c r="B121" s="11" t="str">
        <f>CONCATENATE("          ", "6258", " - ", "MEMBERSHIP DUES")</f>
        <v xml:space="preserve">          6258 - MEMBERSHIP DUES</v>
      </c>
      <c r="C121" s="11"/>
      <c r="D121" s="6"/>
      <c r="E121" s="2"/>
      <c r="F121" s="7">
        <f t="shared" si="61"/>
        <v>0</v>
      </c>
      <c r="G121" s="2"/>
      <c r="H121" s="6">
        <v>200</v>
      </c>
      <c r="I121" s="2"/>
      <c r="J121" s="7">
        <f t="shared" si="62"/>
        <v>3.1105093379427398E-3</v>
      </c>
      <c r="K121" s="2"/>
      <c r="L121" s="6">
        <f t="shared" si="63"/>
        <v>-200</v>
      </c>
      <c r="M121" s="2"/>
      <c r="N121" s="7">
        <f t="shared" si="64"/>
        <v>-1</v>
      </c>
      <c r="O121" s="11"/>
      <c r="P121" s="6">
        <v>29.99</v>
      </c>
      <c r="Q121" s="2"/>
      <c r="R121" s="7">
        <f t="shared" si="65"/>
        <v>6.9770005816338491E-5</v>
      </c>
      <c r="S121" s="2"/>
      <c r="T121" s="6">
        <v>595</v>
      </c>
      <c r="U121" s="2"/>
      <c r="V121" s="7">
        <f t="shared" si="66"/>
        <v>9.558217577314063E-4</v>
      </c>
      <c r="W121" s="2"/>
      <c r="X121" s="6">
        <f t="shared" si="67"/>
        <v>-565.01</v>
      </c>
      <c r="Y121" s="2"/>
      <c r="Z121" s="7">
        <f t="shared" si="68"/>
        <v>-0.94959663865546218</v>
      </c>
    </row>
    <row r="122" spans="1:26" s="24" customFormat="1" hidden="1" outlineLevel="2" x14ac:dyDescent="0.25">
      <c r="A122" s="27"/>
      <c r="B122" s="11" t="str">
        <f>CONCATENATE("          ", "6275", " - ", "SUBSCRIPTIONS")</f>
        <v xml:space="preserve">          6275 - SUBSCRIPTIONS</v>
      </c>
      <c r="C122" s="11"/>
      <c r="D122" s="6"/>
      <c r="E122" s="2"/>
      <c r="F122" s="7">
        <f t="shared" si="61"/>
        <v>0</v>
      </c>
      <c r="G122" s="2"/>
      <c r="H122" s="6">
        <v>215</v>
      </c>
      <c r="I122" s="2"/>
      <c r="J122" s="7">
        <f t="shared" si="62"/>
        <v>3.3437975382884454E-3</v>
      </c>
      <c r="K122" s="2"/>
      <c r="L122" s="6">
        <f t="shared" si="63"/>
        <v>-215</v>
      </c>
      <c r="M122" s="2"/>
      <c r="N122" s="7">
        <f t="shared" si="64"/>
        <v>-1</v>
      </c>
      <c r="O122" s="11"/>
      <c r="P122" s="6">
        <v>238.42</v>
      </c>
      <c r="Q122" s="2"/>
      <c r="R122" s="7">
        <f t="shared" si="65"/>
        <v>5.5467038301872042E-4</v>
      </c>
      <c r="S122" s="2"/>
      <c r="T122" s="6">
        <v>2880</v>
      </c>
      <c r="U122" s="2"/>
      <c r="V122" s="7">
        <f t="shared" si="66"/>
        <v>4.626498592044454E-3</v>
      </c>
      <c r="W122" s="2"/>
      <c r="X122" s="6">
        <f t="shared" si="67"/>
        <v>-2641.58</v>
      </c>
      <c r="Y122" s="2"/>
      <c r="Z122" s="7">
        <f t="shared" si="68"/>
        <v>-0.91721527777777778</v>
      </c>
    </row>
    <row r="123" spans="1:26" s="26" customFormat="1" outlineLevel="1" collapsed="1" x14ac:dyDescent="0.25">
      <c r="A123" s="25"/>
      <c r="B123" s="12" t="str">
        <f>CONCATENATE("     ","Supplies                                          ")</f>
        <v xml:space="preserve">     Supplies                                          </v>
      </c>
      <c r="C123" s="12"/>
      <c r="D123" s="1">
        <f>SUM(OSRRefD22_16x_0)</f>
        <v>3.96</v>
      </c>
      <c r="E123" s="1"/>
      <c r="F123" s="5">
        <f t="shared" ref="F123:F129" si="69">IF(D$12=0,0,D123/D$12)</f>
        <v>0</v>
      </c>
      <c r="G123" s="1"/>
      <c r="H123" s="1">
        <f>SUM(OSRRefH22_16x_0)</f>
        <v>3000</v>
      </c>
      <c r="I123" s="1"/>
      <c r="J123" s="5">
        <f t="shared" ref="J123:J129" si="70">IF(H$12=0,0,H123/H$12)</f>
        <v>4.6657640069141096E-2</v>
      </c>
      <c r="K123" s="1"/>
      <c r="L123" s="1">
        <f t="shared" ref="L123:L129" si="71">+D123-H123</f>
        <v>-2996.04</v>
      </c>
      <c r="M123" s="1"/>
      <c r="N123" s="5">
        <f t="shared" ref="N123:N129" si="72">IF(H123=0,0,L123/H123)</f>
        <v>-0.99868000000000001</v>
      </c>
      <c r="O123" s="12"/>
      <c r="P123" s="1">
        <f>SUM(OSRRefP22_16x_0)</f>
        <v>3815.02</v>
      </c>
      <c r="Q123" s="1"/>
      <c r="R123" s="5">
        <f t="shared" ref="R123:R129" si="73">IF(P$12=0,0,P123/P$12)</f>
        <v>8.8754240610019238E-3</v>
      </c>
      <c r="S123" s="1"/>
      <c r="T123" s="1">
        <f>SUM(OSRRefT22_16x_0)</f>
        <v>7890</v>
      </c>
      <c r="U123" s="1"/>
      <c r="V123" s="5">
        <f t="shared" ref="V123:V129" si="74">IF(T$12=0,0,T123/T$12)</f>
        <v>1.2674678434455119E-2</v>
      </c>
      <c r="W123" s="1"/>
      <c r="X123" s="1">
        <f t="shared" ref="X123:X129" si="75">+P123-T123</f>
        <v>-4074.98</v>
      </c>
      <c r="Y123" s="1"/>
      <c r="Z123" s="5">
        <f t="shared" ref="Z123:Z129" si="76">IF(T123=0,0,X123/T123)</f>
        <v>-0.51647401774397972</v>
      </c>
    </row>
    <row r="124" spans="1:26" s="24" customFormat="1" hidden="1" outlineLevel="2" x14ac:dyDescent="0.25">
      <c r="A124" s="27"/>
      <c r="B124" s="11" t="str">
        <f>CONCATENATE("          ", "6234", " - ", "EXPENDABLE SUPPLIES &amp; EQUIPMEN")</f>
        <v xml:space="preserve">          6234 - EXPENDABLE SUPPLIES &amp; EQUIPMEN</v>
      </c>
      <c r="C124" s="11"/>
      <c r="D124" s="6"/>
      <c r="E124" s="2"/>
      <c r="F124" s="7">
        <f t="shared" si="69"/>
        <v>0</v>
      </c>
      <c r="G124" s="2"/>
      <c r="H124" s="6">
        <v>1000</v>
      </c>
      <c r="I124" s="2"/>
      <c r="J124" s="7">
        <f t="shared" si="70"/>
        <v>1.5552546689713698E-2</v>
      </c>
      <c r="K124" s="2"/>
      <c r="L124" s="6">
        <f t="shared" si="71"/>
        <v>-1000</v>
      </c>
      <c r="M124" s="2"/>
      <c r="N124" s="7">
        <f t="shared" si="72"/>
        <v>-1</v>
      </c>
      <c r="O124" s="11"/>
      <c r="P124" s="6">
        <v>303.86</v>
      </c>
      <c r="Q124" s="2"/>
      <c r="R124" s="7">
        <f t="shared" si="73"/>
        <v>7.0691276983503228E-4</v>
      </c>
      <c r="S124" s="2"/>
      <c r="T124" s="6">
        <v>2750</v>
      </c>
      <c r="U124" s="2"/>
      <c r="V124" s="7">
        <f t="shared" si="74"/>
        <v>4.4176635861535585E-3</v>
      </c>
      <c r="W124" s="2"/>
      <c r="X124" s="6">
        <f t="shared" si="75"/>
        <v>-2446.14</v>
      </c>
      <c r="Y124" s="2"/>
      <c r="Z124" s="7">
        <f t="shared" si="76"/>
        <v>-0.88950545454545449</v>
      </c>
    </row>
    <row r="125" spans="1:26" s="24" customFormat="1" hidden="1" outlineLevel="2" x14ac:dyDescent="0.25">
      <c r="A125" s="27"/>
      <c r="B125" s="11" t="str">
        <f>CONCATENATE("          ", "6237", " - ", "JANITORIAL SUPPLIES")</f>
        <v xml:space="preserve">          6237 - JANITORIAL SUPPLIES</v>
      </c>
      <c r="C125" s="11"/>
      <c r="D125" s="6"/>
      <c r="E125" s="2"/>
      <c r="F125" s="7">
        <f t="shared" si="69"/>
        <v>0</v>
      </c>
      <c r="G125" s="2"/>
      <c r="H125" s="6">
        <v>200</v>
      </c>
      <c r="I125" s="2"/>
      <c r="J125" s="7">
        <f t="shared" si="70"/>
        <v>3.1105093379427398E-3</v>
      </c>
      <c r="K125" s="2"/>
      <c r="L125" s="6">
        <f t="shared" si="71"/>
        <v>-200</v>
      </c>
      <c r="M125" s="2"/>
      <c r="N125" s="7">
        <f t="shared" si="72"/>
        <v>-1</v>
      </c>
      <c r="O125" s="11"/>
      <c r="P125" s="6">
        <v>670.42</v>
      </c>
      <c r="Q125" s="2"/>
      <c r="R125" s="7">
        <f t="shared" si="73"/>
        <v>1.5596934744711455E-3</v>
      </c>
      <c r="S125" s="2"/>
      <c r="T125" s="6">
        <v>415</v>
      </c>
      <c r="U125" s="2"/>
      <c r="V125" s="7">
        <f t="shared" si="74"/>
        <v>6.6666559572862798E-4</v>
      </c>
      <c r="W125" s="2"/>
      <c r="X125" s="6">
        <f t="shared" si="75"/>
        <v>255.41999999999996</v>
      </c>
      <c r="Y125" s="2"/>
      <c r="Z125" s="7">
        <f t="shared" si="76"/>
        <v>0.61546987951807219</v>
      </c>
    </row>
    <row r="126" spans="1:26" s="24" customFormat="1" hidden="1" outlineLevel="2" x14ac:dyDescent="0.25">
      <c r="A126" s="27"/>
      <c r="B126" s="11" t="str">
        <f>CONCATENATE("          ", "6241", " - ", "OFFICE EXPENSE")</f>
        <v xml:space="preserve">          6241 - OFFICE EXPENSE</v>
      </c>
      <c r="C126" s="11"/>
      <c r="D126" s="6">
        <v>3.96</v>
      </c>
      <c r="E126" s="2"/>
      <c r="F126" s="7">
        <f t="shared" si="69"/>
        <v>0</v>
      </c>
      <c r="G126" s="2"/>
      <c r="H126" s="6">
        <v>1500</v>
      </c>
      <c r="I126" s="2"/>
      <c r="J126" s="7">
        <f t="shared" si="70"/>
        <v>2.3328820034570548E-2</v>
      </c>
      <c r="K126" s="2"/>
      <c r="L126" s="6">
        <f t="shared" si="71"/>
        <v>-1496.04</v>
      </c>
      <c r="M126" s="2"/>
      <c r="N126" s="7">
        <f t="shared" si="72"/>
        <v>-0.99736000000000002</v>
      </c>
      <c r="O126" s="11"/>
      <c r="P126" s="6">
        <v>2342.37</v>
      </c>
      <c r="Q126" s="2"/>
      <c r="R126" s="7">
        <f t="shared" si="73"/>
        <v>5.4493887470495762E-3</v>
      </c>
      <c r="S126" s="2"/>
      <c r="T126" s="6">
        <v>3625</v>
      </c>
      <c r="U126" s="2"/>
      <c r="V126" s="7">
        <f t="shared" si="74"/>
        <v>5.8232838181115094E-3</v>
      </c>
      <c r="W126" s="2"/>
      <c r="X126" s="6">
        <f t="shared" si="75"/>
        <v>-1282.6300000000001</v>
      </c>
      <c r="Y126" s="2"/>
      <c r="Z126" s="7">
        <f t="shared" si="76"/>
        <v>-0.35382896551724141</v>
      </c>
    </row>
    <row r="127" spans="1:26" s="24" customFormat="1" hidden="1" outlineLevel="2" x14ac:dyDescent="0.25">
      <c r="A127" s="27"/>
      <c r="B127" s="11" t="str">
        <f>CONCATENATE("          ", "6245", " - ", "PRINTING")</f>
        <v xml:space="preserve">          6245 - PRINTING</v>
      </c>
      <c r="C127" s="11"/>
      <c r="D127" s="6"/>
      <c r="E127" s="2"/>
      <c r="F127" s="7">
        <f t="shared" si="69"/>
        <v>0</v>
      </c>
      <c r="G127" s="2"/>
      <c r="H127" s="6"/>
      <c r="I127" s="2"/>
      <c r="J127" s="7">
        <f t="shared" si="70"/>
        <v>0</v>
      </c>
      <c r="K127" s="2"/>
      <c r="L127" s="6">
        <f t="shared" si="71"/>
        <v>0</v>
      </c>
      <c r="M127" s="2"/>
      <c r="N127" s="7">
        <f t="shared" si="72"/>
        <v>0</v>
      </c>
      <c r="O127" s="11"/>
      <c r="P127" s="6">
        <v>22.05</v>
      </c>
      <c r="Q127" s="2"/>
      <c r="R127" s="7">
        <f t="shared" si="73"/>
        <v>5.1298053626217537E-5</v>
      </c>
      <c r="S127" s="2"/>
      <c r="T127" s="6"/>
      <c r="U127" s="2"/>
      <c r="V127" s="7">
        <f t="shared" si="74"/>
        <v>0</v>
      </c>
      <c r="W127" s="2"/>
      <c r="X127" s="6">
        <f t="shared" si="75"/>
        <v>22.05</v>
      </c>
      <c r="Y127" s="2"/>
      <c r="Z127" s="7">
        <f t="shared" si="76"/>
        <v>0</v>
      </c>
    </row>
    <row r="128" spans="1:26" s="24" customFormat="1" hidden="1" outlineLevel="2" x14ac:dyDescent="0.25">
      <c r="A128" s="27"/>
      <c r="B128" s="11" t="str">
        <f>CONCATENATE("          ", "6247", " - ", "STORE SUPPLIES")</f>
        <v xml:space="preserve">          6247 - STORE SUPPLIES</v>
      </c>
      <c r="C128" s="11"/>
      <c r="D128" s="6"/>
      <c r="E128" s="2"/>
      <c r="F128" s="7">
        <f t="shared" si="69"/>
        <v>0</v>
      </c>
      <c r="G128" s="2"/>
      <c r="H128" s="6">
        <v>300</v>
      </c>
      <c r="I128" s="2"/>
      <c r="J128" s="7">
        <f t="shared" si="70"/>
        <v>4.6657640069141092E-3</v>
      </c>
      <c r="K128" s="2"/>
      <c r="L128" s="6">
        <f t="shared" si="71"/>
        <v>-300</v>
      </c>
      <c r="M128" s="2"/>
      <c r="N128" s="7">
        <f t="shared" si="72"/>
        <v>-1</v>
      </c>
      <c r="O128" s="11"/>
      <c r="P128" s="6">
        <v>476.32</v>
      </c>
      <c r="Q128" s="2"/>
      <c r="R128" s="7">
        <f t="shared" si="73"/>
        <v>1.1081310160199517E-3</v>
      </c>
      <c r="S128" s="2"/>
      <c r="T128" s="6">
        <v>600</v>
      </c>
      <c r="U128" s="2"/>
      <c r="V128" s="7">
        <f t="shared" si="74"/>
        <v>9.6385387334259462E-4</v>
      </c>
      <c r="W128" s="2"/>
      <c r="X128" s="6">
        <f t="shared" si="75"/>
        <v>-123.68</v>
      </c>
      <c r="Y128" s="2"/>
      <c r="Z128" s="7">
        <f t="shared" si="76"/>
        <v>-0.20613333333333334</v>
      </c>
    </row>
    <row r="129" spans="1:26" s="24" customFormat="1" hidden="1" outlineLevel="2" x14ac:dyDescent="0.25">
      <c r="A129" s="27"/>
      <c r="B129" s="11" t="str">
        <f>CONCATENATE("          ", "6248", " - ", "UNIFORMS")</f>
        <v xml:space="preserve">          6248 - UNIFORMS</v>
      </c>
      <c r="C129" s="11"/>
      <c r="D129" s="6"/>
      <c r="E129" s="2"/>
      <c r="F129" s="7">
        <f t="shared" si="69"/>
        <v>0</v>
      </c>
      <c r="G129" s="2"/>
      <c r="H129" s="6">
        <v>0</v>
      </c>
      <c r="I129" s="2"/>
      <c r="J129" s="7">
        <f t="shared" si="70"/>
        <v>0</v>
      </c>
      <c r="K129" s="2"/>
      <c r="L129" s="6">
        <f t="shared" si="71"/>
        <v>0</v>
      </c>
      <c r="M129" s="2"/>
      <c r="N129" s="7">
        <f t="shared" si="72"/>
        <v>0</v>
      </c>
      <c r="O129" s="11"/>
      <c r="P129" s="6"/>
      <c r="Q129" s="2"/>
      <c r="R129" s="7">
        <f t="shared" si="73"/>
        <v>0</v>
      </c>
      <c r="S129" s="2"/>
      <c r="T129" s="6">
        <v>500</v>
      </c>
      <c r="U129" s="2"/>
      <c r="V129" s="7">
        <f t="shared" si="74"/>
        <v>8.0321156111882888E-4</v>
      </c>
      <c r="W129" s="2"/>
      <c r="X129" s="6">
        <f t="shared" si="75"/>
        <v>-500</v>
      </c>
      <c r="Y129" s="2"/>
      <c r="Z129" s="7">
        <f t="shared" si="76"/>
        <v>-1</v>
      </c>
    </row>
    <row r="130" spans="1:26" s="26" customFormat="1" outlineLevel="1" collapsed="1" x14ac:dyDescent="0.25">
      <c r="A130" s="25"/>
      <c r="B130" s="12" t="str">
        <f>CONCATENATE("     ","Telephone/Data Lines                              ")</f>
        <v xml:space="preserve">     Telephone/Data Lines                              </v>
      </c>
      <c r="C130" s="12"/>
      <c r="D130" s="1">
        <f>SUM(OSRRefD22_17x_0)</f>
        <v>-210.96</v>
      </c>
      <c r="E130" s="1"/>
      <c r="F130" s="5">
        <f t="shared" ref="F130:F132" si="77">IF(D$12=0,0,D130/D$12)</f>
        <v>0</v>
      </c>
      <c r="G130" s="1"/>
      <c r="H130" s="1">
        <f>SUM(OSRRefH22_17x_0)</f>
        <v>450</v>
      </c>
      <c r="I130" s="1"/>
      <c r="J130" s="5">
        <f t="shared" ref="J130:J132" si="78">IF(H$12=0,0,H130/H$12)</f>
        <v>6.9986460103711647E-3</v>
      </c>
      <c r="K130" s="1"/>
      <c r="L130" s="1">
        <f t="shared" ref="L130:L132" si="79">+D130-H130</f>
        <v>-660.96</v>
      </c>
      <c r="M130" s="1"/>
      <c r="N130" s="5">
        <f t="shared" ref="N130:N132" si="80">IF(H130=0,0,L130/H130)</f>
        <v>-1.4688000000000001</v>
      </c>
      <c r="O130" s="12"/>
      <c r="P130" s="1">
        <f>SUM(OSRRefP22_17x_0)</f>
        <v>2707.43</v>
      </c>
      <c r="Q130" s="1"/>
      <c r="R130" s="5">
        <f t="shared" ref="R130:R132" si="81">IF(P$12=0,0,P130/P$12)</f>
        <v>6.2986797881737023E-3</v>
      </c>
      <c r="S130" s="1"/>
      <c r="T130" s="1">
        <f>SUM(OSRRefT22_17x_0)</f>
        <v>6725</v>
      </c>
      <c r="U130" s="1"/>
      <c r="V130" s="5">
        <f t="shared" ref="V130:V132" si="82">IF(T$12=0,0,T130/T$12)</f>
        <v>1.0803195497048248E-2</v>
      </c>
      <c r="W130" s="1"/>
      <c r="X130" s="1">
        <f t="shared" ref="X130:X132" si="83">+P130-T130</f>
        <v>-4017.57</v>
      </c>
      <c r="Y130" s="1"/>
      <c r="Z130" s="5">
        <f t="shared" ref="Z130:Z132" si="84">IF(T130=0,0,X130/T130)</f>
        <v>-0.59740817843866179</v>
      </c>
    </row>
    <row r="131" spans="1:26" s="24" customFormat="1" hidden="1" outlineLevel="2" x14ac:dyDescent="0.25">
      <c r="A131" s="27"/>
      <c r="B131" s="11" t="str">
        <f>CONCATENATE("          ", "6303", " - ", "DATA PHONE LINES")</f>
        <v xml:space="preserve">          6303 - DATA PHONE LINES</v>
      </c>
      <c r="C131" s="11"/>
      <c r="D131" s="6"/>
      <c r="E131" s="2"/>
      <c r="F131" s="7">
        <f t="shared" si="77"/>
        <v>0</v>
      </c>
      <c r="G131" s="2"/>
      <c r="H131" s="6">
        <v>450</v>
      </c>
      <c r="I131" s="2"/>
      <c r="J131" s="7">
        <f t="shared" si="78"/>
        <v>6.9986460103711647E-3</v>
      </c>
      <c r="K131" s="2"/>
      <c r="L131" s="6">
        <f t="shared" si="79"/>
        <v>-450</v>
      </c>
      <c r="M131" s="2"/>
      <c r="N131" s="7">
        <f t="shared" si="80"/>
        <v>-1</v>
      </c>
      <c r="O131" s="11"/>
      <c r="P131" s="6"/>
      <c r="Q131" s="2"/>
      <c r="R131" s="7">
        <f t="shared" si="81"/>
        <v>0</v>
      </c>
      <c r="S131" s="2"/>
      <c r="T131" s="6">
        <v>6725</v>
      </c>
      <c r="U131" s="2"/>
      <c r="V131" s="7">
        <f t="shared" si="82"/>
        <v>1.0803195497048248E-2</v>
      </c>
      <c r="W131" s="2"/>
      <c r="X131" s="6">
        <f t="shared" si="83"/>
        <v>-6725</v>
      </c>
      <c r="Y131" s="2"/>
      <c r="Z131" s="7">
        <f t="shared" si="84"/>
        <v>-1</v>
      </c>
    </row>
    <row r="132" spans="1:26" s="24" customFormat="1" hidden="1" outlineLevel="2" x14ac:dyDescent="0.25">
      <c r="A132" s="27"/>
      <c r="B132" s="11" t="str">
        <f>CONCATENATE("          ", "6309", " - ", "TELEPHONE")</f>
        <v xml:space="preserve">          6309 - TELEPHONE</v>
      </c>
      <c r="C132" s="11"/>
      <c r="D132" s="6">
        <v>-210.96</v>
      </c>
      <c r="E132" s="2"/>
      <c r="F132" s="7">
        <f t="shared" si="77"/>
        <v>0</v>
      </c>
      <c r="G132" s="2"/>
      <c r="H132" s="6"/>
      <c r="I132" s="2"/>
      <c r="J132" s="7">
        <f t="shared" si="78"/>
        <v>0</v>
      </c>
      <c r="K132" s="2"/>
      <c r="L132" s="6">
        <f t="shared" si="79"/>
        <v>-210.96</v>
      </c>
      <c r="M132" s="2"/>
      <c r="N132" s="7">
        <f t="shared" si="80"/>
        <v>0</v>
      </c>
      <c r="O132" s="11"/>
      <c r="P132" s="6">
        <v>2707.43</v>
      </c>
      <c r="Q132" s="2"/>
      <c r="R132" s="7">
        <f t="shared" si="81"/>
        <v>6.2986797881737023E-3</v>
      </c>
      <c r="S132" s="2"/>
      <c r="T132" s="6"/>
      <c r="U132" s="2"/>
      <c r="V132" s="7">
        <f t="shared" si="82"/>
        <v>0</v>
      </c>
      <c r="W132" s="2"/>
      <c r="X132" s="6">
        <f t="shared" si="83"/>
        <v>2707.43</v>
      </c>
      <c r="Y132" s="2"/>
      <c r="Z132" s="7">
        <f t="shared" si="84"/>
        <v>0</v>
      </c>
    </row>
    <row r="133" spans="1:26" s="26" customFormat="1" outlineLevel="1" collapsed="1" x14ac:dyDescent="0.25">
      <c r="A133" s="25"/>
      <c r="B133" s="12" t="str">
        <f>CONCATENATE("     ","Training                                          ")</f>
        <v xml:space="preserve">     Training                                          </v>
      </c>
      <c r="C133" s="12"/>
      <c r="D133" s="1">
        <f>SUM(OSRRefD22_18x_0)</f>
        <v>0</v>
      </c>
      <c r="E133" s="1"/>
      <c r="F133" s="5">
        <f t="shared" ref="F133:F138" si="85">IF(D$12=0,0,D133/D$12)</f>
        <v>0</v>
      </c>
      <c r="G133" s="1"/>
      <c r="H133" s="1">
        <f>SUM(OSRRefH22_18x_0)</f>
        <v>0</v>
      </c>
      <c r="I133" s="1"/>
      <c r="J133" s="5">
        <f t="shared" ref="J133:J138" si="86">IF(H$12=0,0,H133/H$12)</f>
        <v>0</v>
      </c>
      <c r="K133" s="1"/>
      <c r="L133" s="1">
        <f t="shared" ref="L133:L138" si="87">+D133-H133</f>
        <v>0</v>
      </c>
      <c r="M133" s="1"/>
      <c r="N133" s="5">
        <f t="shared" ref="N133:N138" si="88">IF(H133=0,0,L133/H133)</f>
        <v>0</v>
      </c>
      <c r="O133" s="12"/>
      <c r="P133" s="1">
        <f>SUM(OSRRefP22_18x_0)</f>
        <v>1613.4</v>
      </c>
      <c r="Q133" s="1"/>
      <c r="R133" s="5">
        <f t="shared" ref="R133:R138" si="89">IF(P$12=0,0,P133/P$12)</f>
        <v>3.7534820734938493E-3</v>
      </c>
      <c r="S133" s="1"/>
      <c r="T133" s="1">
        <f>SUM(OSRRefT22_18x_0)</f>
        <v>200</v>
      </c>
      <c r="U133" s="1"/>
      <c r="V133" s="5">
        <f t="shared" ref="V133:V138" si="90">IF(T$12=0,0,T133/T$12)</f>
        <v>3.2128462444753152E-4</v>
      </c>
      <c r="W133" s="1"/>
      <c r="X133" s="1">
        <f t="shared" ref="X133:X138" si="91">+P133-T133</f>
        <v>1413.4</v>
      </c>
      <c r="Y133" s="1"/>
      <c r="Z133" s="5">
        <f t="shared" ref="Z133:Z138" si="92">IF(T133=0,0,X133/T133)</f>
        <v>7.0670000000000002</v>
      </c>
    </row>
    <row r="134" spans="1:26" s="24" customFormat="1" hidden="1" outlineLevel="2" x14ac:dyDescent="0.25">
      <c r="A134" s="27"/>
      <c r="B134" s="11" t="str">
        <f>CONCATENATE("          ", "6376", " - ", "TRAINING")</f>
        <v xml:space="preserve">          6376 - TRAINING</v>
      </c>
      <c r="C134" s="11"/>
      <c r="D134" s="6"/>
      <c r="E134" s="2"/>
      <c r="F134" s="7">
        <f t="shared" si="85"/>
        <v>0</v>
      </c>
      <c r="G134" s="2"/>
      <c r="H134" s="6">
        <v>0</v>
      </c>
      <c r="I134" s="2"/>
      <c r="J134" s="7">
        <f t="shared" si="86"/>
        <v>0</v>
      </c>
      <c r="K134" s="2"/>
      <c r="L134" s="6">
        <f t="shared" si="87"/>
        <v>0</v>
      </c>
      <c r="M134" s="2"/>
      <c r="N134" s="7">
        <f t="shared" si="88"/>
        <v>0</v>
      </c>
      <c r="O134" s="11"/>
      <c r="P134" s="6">
        <v>1613.4</v>
      </c>
      <c r="Q134" s="2"/>
      <c r="R134" s="7">
        <f t="shared" si="89"/>
        <v>3.7534820734938493E-3</v>
      </c>
      <c r="S134" s="2"/>
      <c r="T134" s="6">
        <v>200</v>
      </c>
      <c r="U134" s="2"/>
      <c r="V134" s="7">
        <f t="shared" si="90"/>
        <v>3.2128462444753152E-4</v>
      </c>
      <c r="W134" s="2"/>
      <c r="X134" s="6">
        <f t="shared" si="91"/>
        <v>1413.4</v>
      </c>
      <c r="Y134" s="2"/>
      <c r="Z134" s="7">
        <f t="shared" si="92"/>
        <v>7.0670000000000002</v>
      </c>
    </row>
    <row r="135" spans="1:26" s="26" customFormat="1" outlineLevel="1" collapsed="1" x14ac:dyDescent="0.25">
      <c r="A135" s="25"/>
      <c r="B135" s="12" t="str">
        <f>CONCATENATE("     ","Travel                                            ")</f>
        <v xml:space="preserve">     Travel                                            </v>
      </c>
      <c r="C135" s="12"/>
      <c r="D135" s="1">
        <f>SUM(OSRRefD22_19x_0)</f>
        <v>0</v>
      </c>
      <c r="E135" s="1"/>
      <c r="F135" s="5">
        <f t="shared" si="85"/>
        <v>0</v>
      </c>
      <c r="G135" s="1"/>
      <c r="H135" s="1">
        <f>SUM(OSRRefH22_19x_0)</f>
        <v>75</v>
      </c>
      <c r="I135" s="1"/>
      <c r="J135" s="5">
        <f t="shared" si="86"/>
        <v>1.1664410017285273E-3</v>
      </c>
      <c r="K135" s="1"/>
      <c r="L135" s="1">
        <f t="shared" si="87"/>
        <v>-75</v>
      </c>
      <c r="M135" s="1"/>
      <c r="N135" s="5">
        <f t="shared" si="88"/>
        <v>-1</v>
      </c>
      <c r="O135" s="12"/>
      <c r="P135" s="1">
        <f>SUM(OSRRefP22_19x_0)</f>
        <v>712.14</v>
      </c>
      <c r="Q135" s="1"/>
      <c r="R135" s="5">
        <f t="shared" si="89"/>
        <v>1.656752648951227E-3</v>
      </c>
      <c r="S135" s="1"/>
      <c r="T135" s="1">
        <f>SUM(OSRRefT22_19x_0)</f>
        <v>585</v>
      </c>
      <c r="U135" s="1"/>
      <c r="V135" s="5">
        <f t="shared" si="90"/>
        <v>9.3975752650902978E-4</v>
      </c>
      <c r="W135" s="1"/>
      <c r="X135" s="1">
        <f t="shared" si="91"/>
        <v>127.13999999999999</v>
      </c>
      <c r="Y135" s="1"/>
      <c r="Z135" s="5">
        <f t="shared" si="92"/>
        <v>0.21733333333333332</v>
      </c>
    </row>
    <row r="136" spans="1:26" s="24" customFormat="1" hidden="1" outlineLevel="2" x14ac:dyDescent="0.25">
      <c r="A136" s="27"/>
      <c r="B136" s="11" t="str">
        <f>CONCATENATE("          ", "6294", " - ", "TRAVEL OPERATIONAL")</f>
        <v xml:space="preserve">          6294 - TRAVEL OPERATIONAL</v>
      </c>
      <c r="C136" s="11"/>
      <c r="D136" s="6"/>
      <c r="E136" s="2"/>
      <c r="F136" s="7">
        <f t="shared" si="85"/>
        <v>0</v>
      </c>
      <c r="G136" s="2"/>
      <c r="H136" s="6">
        <v>75</v>
      </c>
      <c r="I136" s="2"/>
      <c r="J136" s="7">
        <f t="shared" si="86"/>
        <v>1.1664410017285273E-3</v>
      </c>
      <c r="K136" s="2"/>
      <c r="L136" s="6">
        <f t="shared" si="87"/>
        <v>-75</v>
      </c>
      <c r="M136" s="2"/>
      <c r="N136" s="7">
        <f t="shared" si="88"/>
        <v>-1</v>
      </c>
      <c r="O136" s="11"/>
      <c r="P136" s="6">
        <v>712.14</v>
      </c>
      <c r="Q136" s="2"/>
      <c r="R136" s="7">
        <f t="shared" si="89"/>
        <v>1.656752648951227E-3</v>
      </c>
      <c r="S136" s="2"/>
      <c r="T136" s="6">
        <v>585</v>
      </c>
      <c r="U136" s="2"/>
      <c r="V136" s="7">
        <f t="shared" si="90"/>
        <v>9.3975752650902978E-4</v>
      </c>
      <c r="W136" s="2"/>
      <c r="X136" s="6">
        <f t="shared" si="91"/>
        <v>127.13999999999999</v>
      </c>
      <c r="Y136" s="2"/>
      <c r="Z136" s="7">
        <f t="shared" si="92"/>
        <v>0.21733333333333332</v>
      </c>
    </row>
    <row r="137" spans="1:26" s="26" customFormat="1" outlineLevel="1" collapsed="1" x14ac:dyDescent="0.25">
      <c r="A137" s="25"/>
      <c r="B137" s="12" t="str">
        <f>CONCATENATE("     ","Utilities                                         ")</f>
        <v xml:space="preserve">     Utilities                                         </v>
      </c>
      <c r="C137" s="12"/>
      <c r="D137" s="1">
        <f>SUM(OSRRefD22_20x_0)</f>
        <v>27.8</v>
      </c>
      <c r="E137" s="1"/>
      <c r="F137" s="5">
        <f t="shared" si="85"/>
        <v>0</v>
      </c>
      <c r="G137" s="1"/>
      <c r="H137" s="1">
        <f>SUM(OSRRefH22_20x_0)</f>
        <v>105</v>
      </c>
      <c r="I137" s="1"/>
      <c r="J137" s="5">
        <f t="shared" si="86"/>
        <v>1.6330174024199384E-3</v>
      </c>
      <c r="K137" s="1"/>
      <c r="L137" s="1">
        <f t="shared" si="87"/>
        <v>-77.2</v>
      </c>
      <c r="M137" s="1"/>
      <c r="N137" s="5">
        <f t="shared" si="88"/>
        <v>-0.73523809523809525</v>
      </c>
      <c r="O137" s="12"/>
      <c r="P137" s="1">
        <f>SUM(OSRRefP22_20x_0)</f>
        <v>2987.58</v>
      </c>
      <c r="Q137" s="1"/>
      <c r="R137" s="5">
        <f t="shared" si="89"/>
        <v>6.9504326100959177E-3</v>
      </c>
      <c r="S137" s="1"/>
      <c r="T137" s="1">
        <f>SUM(OSRRefT22_20x_0)</f>
        <v>4155</v>
      </c>
      <c r="U137" s="1"/>
      <c r="V137" s="5">
        <f t="shared" si="90"/>
        <v>6.6746880728974682E-3</v>
      </c>
      <c r="W137" s="1"/>
      <c r="X137" s="1">
        <f t="shared" si="91"/>
        <v>-1167.42</v>
      </c>
      <c r="Y137" s="1"/>
      <c r="Z137" s="5">
        <f t="shared" si="92"/>
        <v>-0.28096750902527079</v>
      </c>
    </row>
    <row r="138" spans="1:26" s="24" customFormat="1" hidden="1" outlineLevel="2" x14ac:dyDescent="0.25">
      <c r="A138" s="27"/>
      <c r="B138" s="11" t="str">
        <f>CONCATENATE("          ", "6274", " - ", "UTILITIES")</f>
        <v xml:space="preserve">          6274 - UTILITIES</v>
      </c>
      <c r="C138" s="11"/>
      <c r="D138" s="6">
        <v>27.8</v>
      </c>
      <c r="E138" s="2"/>
      <c r="F138" s="7">
        <f t="shared" si="85"/>
        <v>0</v>
      </c>
      <c r="G138" s="2"/>
      <c r="H138" s="6">
        <v>105</v>
      </c>
      <c r="I138" s="2"/>
      <c r="J138" s="7">
        <f t="shared" si="86"/>
        <v>1.6330174024199384E-3</v>
      </c>
      <c r="K138" s="2"/>
      <c r="L138" s="6">
        <f t="shared" si="87"/>
        <v>-77.2</v>
      </c>
      <c r="M138" s="2"/>
      <c r="N138" s="7">
        <f t="shared" si="88"/>
        <v>-0.73523809523809525</v>
      </c>
      <c r="O138" s="11"/>
      <c r="P138" s="6">
        <v>2987.58</v>
      </c>
      <c r="Q138" s="2"/>
      <c r="R138" s="7">
        <f t="shared" si="89"/>
        <v>6.9504326100959177E-3</v>
      </c>
      <c r="S138" s="2"/>
      <c r="T138" s="6">
        <v>4155</v>
      </c>
      <c r="U138" s="2"/>
      <c r="V138" s="7">
        <f t="shared" si="90"/>
        <v>6.6746880728974682E-3</v>
      </c>
      <c r="W138" s="2"/>
      <c r="X138" s="6">
        <f t="shared" si="91"/>
        <v>-1167.42</v>
      </c>
      <c r="Y138" s="2"/>
      <c r="Z138" s="7">
        <f t="shared" si="92"/>
        <v>-0.28096750902527079</v>
      </c>
    </row>
    <row r="139" spans="1:26" s="60" customFormat="1" x14ac:dyDescent="0.25">
      <c r="A139" s="36"/>
      <c r="B139" s="36"/>
      <c r="C139" s="36"/>
      <c r="D139" s="1"/>
      <c r="E139" s="1"/>
      <c r="F139" s="5"/>
      <c r="G139" s="1"/>
      <c r="H139" s="1"/>
      <c r="I139" s="1"/>
      <c r="J139" s="5"/>
      <c r="K139" s="1"/>
      <c r="L139" s="1"/>
      <c r="M139" s="1"/>
      <c r="N139" s="5"/>
      <c r="O139" s="36"/>
      <c r="P139" s="1"/>
      <c r="Q139" s="1"/>
      <c r="R139" s="5"/>
      <c r="S139" s="1"/>
      <c r="T139" s="1"/>
      <c r="U139" s="1"/>
      <c r="V139" s="5"/>
      <c r="W139" s="1"/>
      <c r="X139" s="1"/>
      <c r="Y139" s="1"/>
      <c r="Z139" s="5"/>
    </row>
    <row r="140" spans="1:26" s="23" customFormat="1" x14ac:dyDescent="0.25">
      <c r="A140" s="10"/>
      <c r="B140" s="28" t="s">
        <v>0</v>
      </c>
      <c r="C140" s="10"/>
      <c r="D140" s="4">
        <f>SUM(0)</f>
        <v>0</v>
      </c>
      <c r="E140" s="4"/>
      <c r="F140" s="13">
        <f>IF(D$12=0,0,D140/D$12)</f>
        <v>0</v>
      </c>
      <c r="G140" s="4"/>
      <c r="H140" s="4">
        <f>SUM(0)</f>
        <v>0</v>
      </c>
      <c r="I140" s="4"/>
      <c r="J140" s="13">
        <f>IF(H$12=0,0,H140/H$12)</f>
        <v>0</v>
      </c>
      <c r="K140" s="4"/>
      <c r="L140" s="4">
        <f>+D140-H140</f>
        <v>0</v>
      </c>
      <c r="M140" s="4"/>
      <c r="N140" s="13">
        <f>IF(H140=0,0,L140/H140)</f>
        <v>0</v>
      </c>
      <c r="O140" s="10"/>
      <c r="P140" s="4">
        <f>SUM(0)</f>
        <v>0</v>
      </c>
      <c r="Q140" s="4"/>
      <c r="R140" s="13">
        <f>IF(P$12=0,0,P140/P$12)</f>
        <v>0</v>
      </c>
      <c r="S140" s="4"/>
      <c r="T140" s="4">
        <f>SUM(0)</f>
        <v>0</v>
      </c>
      <c r="U140" s="4"/>
      <c r="V140" s="13">
        <f>IF(T$12=0,0,T140/T$12)</f>
        <v>0</v>
      </c>
      <c r="W140" s="4"/>
      <c r="X140" s="4">
        <f>+P140-T140</f>
        <v>0</v>
      </c>
      <c r="Y140" s="4"/>
      <c r="Z140" s="13">
        <f>IF(T140=0,0,X140/T140)</f>
        <v>0</v>
      </c>
    </row>
    <row r="141" spans="1:26" x14ac:dyDescent="0.25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10"/>
      <c r="B142" s="29" t="s">
        <v>3</v>
      </c>
      <c r="C142" s="29"/>
      <c r="D142" s="22">
        <f>+D54-D56+D140</f>
        <v>-96693.020000000019</v>
      </c>
      <c r="E142" s="14"/>
      <c r="F142" s="20">
        <f>IF(D$12=0,0,D142/D$12)</f>
        <v>0</v>
      </c>
      <c r="G142" s="14"/>
      <c r="H142" s="22">
        <f>+H54-H56+H140</f>
        <v>4985.2183459692278</v>
      </c>
      <c r="I142" s="14"/>
      <c r="J142" s="20">
        <f>IF(H$12=0,0,H142/H$12)</f>
        <v>7.7532841084103715E-2</v>
      </c>
      <c r="K142" s="15"/>
      <c r="L142" s="22">
        <f>+D142-H142</f>
        <v>-101678.23834596925</v>
      </c>
      <c r="M142" s="15"/>
      <c r="N142" s="20">
        <f>IF(H142=0,0,L142/H142)</f>
        <v>-20.395944829213079</v>
      </c>
      <c r="O142" s="28"/>
      <c r="P142" s="22">
        <f>+P54-P56+P140</f>
        <v>-170183.94000000009</v>
      </c>
      <c r="Q142" s="14"/>
      <c r="R142" s="20">
        <f>IF(P$12=0,0,P142/P$12)</f>
        <v>-0.39592312382952344</v>
      </c>
      <c r="S142" s="14"/>
      <c r="T142" s="22">
        <f>+T54-T56+T140</f>
        <v>31693.140211000049</v>
      </c>
      <c r="U142" s="14"/>
      <c r="V142" s="20">
        <f>IF(T$12=0,0,T142/T$12)</f>
        <v>5.0912593251270559E-2</v>
      </c>
      <c r="W142" s="15"/>
      <c r="X142" s="22">
        <f>+P142-T142</f>
        <v>-201877.08021100014</v>
      </c>
      <c r="Y142" s="15"/>
      <c r="Z142" s="20">
        <f>IF(T142=0,0,X142/T142)</f>
        <v>-6.3697405453351914</v>
      </c>
    </row>
    <row r="143" spans="1:26" x14ac:dyDescent="0.25">
      <c r="A143" s="9"/>
      <c r="B143" s="10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52"/>
      <c r="B144" s="10" t="s">
        <v>14</v>
      </c>
      <c r="C144" s="10"/>
      <c r="D144" s="4">
        <v>14192.56</v>
      </c>
      <c r="E144" s="4"/>
      <c r="F144" s="13">
        <f>IF(D$12=0,0,D144/D$12)</f>
        <v>0</v>
      </c>
      <c r="G144" s="4"/>
      <c r="H144" s="4">
        <v>15877</v>
      </c>
      <c r="I144" s="4"/>
      <c r="J144" s="13">
        <f>IF(H$12=0,0,H144/H$12)</f>
        <v>0.2469277837925844</v>
      </c>
      <c r="K144" s="4"/>
      <c r="L144" s="4">
        <f>+D144-H144</f>
        <v>-1684.4400000000005</v>
      </c>
      <c r="M144" s="4"/>
      <c r="N144" s="13">
        <f>IF(H144=0,0,L144/H144)</f>
        <v>-0.10609309063425083</v>
      </c>
      <c r="O144" s="10"/>
      <c r="P144" s="4">
        <v>65094.559999999998</v>
      </c>
      <c r="Q144" s="4"/>
      <c r="R144" s="13">
        <f>IF(P$12=0,0,P144/P$12)</f>
        <v>0.15143874057392448</v>
      </c>
      <c r="S144" s="4"/>
      <c r="T144" s="4">
        <v>80533</v>
      </c>
      <c r="U144" s="4"/>
      <c r="V144" s="13">
        <f>IF(T$12=0,0,T144/T$12)</f>
        <v>0.1293700733031653</v>
      </c>
      <c r="W144" s="4"/>
      <c r="X144" s="4">
        <f>+P144-T144</f>
        <v>-15438.440000000002</v>
      </c>
      <c r="Y144" s="4"/>
      <c r="Z144" s="13">
        <f>IF(T144=0,0,X144/T144)</f>
        <v>-0.19170327691753694</v>
      </c>
    </row>
    <row r="145" spans="1:26" x14ac:dyDescent="0.25">
      <c r="A145" s="9"/>
      <c r="B145" s="10"/>
      <c r="C145" s="10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0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9" t="s">
        <v>4</v>
      </c>
      <c r="C146" s="29"/>
      <c r="D146" s="31">
        <f>+D142-D144</f>
        <v>-110885.58000000002</v>
      </c>
      <c r="E146" s="14"/>
      <c r="F146" s="33">
        <f>IF(D$12=0,0,D146/D$12)</f>
        <v>0</v>
      </c>
      <c r="G146" s="14"/>
      <c r="H146" s="31">
        <f>+H142-H144</f>
        <v>-10891.781654030772</v>
      </c>
      <c r="I146" s="14"/>
      <c r="J146" s="33">
        <f>IF(H$12=0,0,H146/H$12)</f>
        <v>-0.16939494270848068</v>
      </c>
      <c r="K146" s="15"/>
      <c r="L146" s="31">
        <f>D146-H146</f>
        <v>-99993.798345969248</v>
      </c>
      <c r="M146" s="15"/>
      <c r="N146" s="33">
        <f>IF(H146=0,0,L146/H146)</f>
        <v>9.1806649749505471</v>
      </c>
      <c r="O146" s="28"/>
      <c r="P146" s="31">
        <f>+P142-P144</f>
        <v>-235278.50000000009</v>
      </c>
      <c r="Q146" s="14"/>
      <c r="R146" s="33">
        <f>IF(P$12=0,0,P146/P$12)</f>
        <v>-0.54736186440344792</v>
      </c>
      <c r="S146" s="14"/>
      <c r="T146" s="31">
        <f>+T142-T144</f>
        <v>-48839.859788999951</v>
      </c>
      <c r="U146" s="14"/>
      <c r="V146" s="33">
        <f>IF(T$12=0,0,T146/T$12)</f>
        <v>-7.8457480051894735E-2</v>
      </c>
      <c r="W146" s="15"/>
      <c r="X146" s="31">
        <f>P146-T146</f>
        <v>-186438.64021100014</v>
      </c>
      <c r="Y146" s="15"/>
      <c r="Z146" s="33">
        <f>IF(T146=0,0,X146/T146)</f>
        <v>3.8173459345800809</v>
      </c>
    </row>
    <row r="147" spans="1:26" ht="15.75" thickTop="1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9" t="s">
        <v>5</v>
      </c>
      <c r="C149" s="29"/>
      <c r="D149" s="34">
        <f>SUM(D146:D148)</f>
        <v>-110885.58000000002</v>
      </c>
      <c r="E149" s="14"/>
      <c r="F149" s="35">
        <f>IF(D$12=0,0,D149/D$12)</f>
        <v>0</v>
      </c>
      <c r="G149" s="14"/>
      <c r="H149" s="34">
        <f>SUM(H146:H148)</f>
        <v>-10891.781654030772</v>
      </c>
      <c r="I149" s="14"/>
      <c r="J149" s="35">
        <f>IF(H$12=0,0,H149/H$12)</f>
        <v>-0.16939494270848068</v>
      </c>
      <c r="K149" s="15"/>
      <c r="L149" s="34">
        <f>+D149-H149</f>
        <v>-99993.798345969248</v>
      </c>
      <c r="M149" s="15"/>
      <c r="N149" s="35">
        <f>IF(H149=0,0,L149/H149)</f>
        <v>9.1806649749505471</v>
      </c>
      <c r="O149" s="28"/>
      <c r="P149" s="34">
        <f>SUM(P146:P148)</f>
        <v>-235278.50000000009</v>
      </c>
      <c r="Q149" s="14"/>
      <c r="R149" s="35">
        <f>IF(P$12=0,0,P149/P$12)</f>
        <v>-0.54736186440344792</v>
      </c>
      <c r="S149" s="14"/>
      <c r="T149" s="34">
        <f>SUM(T146:T148)</f>
        <v>-48839.859788999951</v>
      </c>
      <c r="U149" s="14"/>
      <c r="V149" s="35">
        <f>IF(T$12=0,0,T149/T$12)</f>
        <v>-7.8457480051894735E-2</v>
      </c>
      <c r="W149" s="15"/>
      <c r="X149" s="34">
        <f>+P149-T149</f>
        <v>-186438.64021100014</v>
      </c>
      <c r="Y149" s="15"/>
      <c r="Z149" s="35">
        <f>IF(T149=0,0,X149/T149)</f>
        <v>3.8173459345800809</v>
      </c>
    </row>
    <row r="150" spans="1:26" ht="15.75" thickTop="1" x14ac:dyDescent="0.25">
      <c r="A150" s="9"/>
      <c r="C150" s="9"/>
      <c r="D150" s="17"/>
      <c r="E150" s="17"/>
      <c r="G150" s="17"/>
      <c r="H150" s="17"/>
      <c r="I150" s="17"/>
      <c r="J150" s="43"/>
      <c r="K150" s="17"/>
      <c r="L150" s="17"/>
      <c r="M150" s="17"/>
      <c r="P150" s="17"/>
      <c r="Q150" s="17"/>
      <c r="R150" s="43"/>
      <c r="S150" s="17"/>
      <c r="T150" s="17"/>
      <c r="U150" s="17"/>
      <c r="V150" s="43"/>
      <c r="W150" s="17"/>
      <c r="X150" s="17"/>
    </row>
    <row r="151" spans="1:26" x14ac:dyDescent="0.25">
      <c r="A151" s="9"/>
      <c r="B151" s="55">
        <v>44043.473619293982</v>
      </c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  <row r="152" spans="1:26" x14ac:dyDescent="0.25">
      <c r="A152" s="9"/>
      <c r="B152" s="62" t="s">
        <v>314</v>
      </c>
      <c r="D152" s="17"/>
      <c r="E152" s="17"/>
      <c r="G152" s="17"/>
      <c r="H152" s="17"/>
      <c r="I152" s="17"/>
      <c r="J152" s="43"/>
      <c r="K152" s="17"/>
      <c r="L152" s="17"/>
      <c r="M152" s="17"/>
      <c r="P152" s="17"/>
      <c r="Q152" s="17"/>
      <c r="R152" s="43"/>
      <c r="S152" s="17"/>
      <c r="T152" s="17"/>
      <c r="U152" s="17"/>
      <c r="V152" s="43"/>
      <c r="W152" s="17"/>
      <c r="X152" s="17"/>
    </row>
    <row r="153" spans="1:26" x14ac:dyDescent="0.25">
      <c r="A153" s="9"/>
      <c r="B153" s="63"/>
      <c r="D153" s="17"/>
      <c r="E153" s="17"/>
      <c r="G153" s="17"/>
      <c r="H153" s="17"/>
      <c r="I153" s="17"/>
      <c r="J153" s="43"/>
      <c r="K153" s="17"/>
      <c r="L153" s="17"/>
      <c r="M153" s="17"/>
      <c r="P153" s="17"/>
      <c r="Q153" s="17"/>
      <c r="R153" s="43"/>
      <c r="S153" s="17"/>
      <c r="T153" s="17"/>
      <c r="U153" s="17"/>
      <c r="V153" s="43"/>
      <c r="W153" s="17"/>
      <c r="X153" s="17"/>
    </row>
    <row r="154" spans="1:26" x14ac:dyDescent="0.25">
      <c r="D154" s="17"/>
      <c r="E154" s="17"/>
      <c r="G154" s="17"/>
      <c r="H154" s="17"/>
      <c r="I154" s="17"/>
      <c r="J154" s="43"/>
      <c r="K154" s="17"/>
      <c r="L154" s="17"/>
      <c r="M154" s="17"/>
      <c r="P154" s="17"/>
      <c r="Q154" s="17"/>
      <c r="R154" s="43"/>
      <c r="S154" s="17"/>
      <c r="T154" s="17"/>
      <c r="U154" s="17"/>
      <c r="V154" s="43"/>
      <c r="W154" s="17"/>
      <c r="X15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305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6866.2099999999991</v>
      </c>
      <c r="E12" s="4"/>
      <c r="F12" s="13"/>
      <c r="G12" s="4"/>
      <c r="H12" s="4">
        <f>SUM(OSRRefH13x_0)</f>
        <v>55575</v>
      </c>
      <c r="I12" s="4"/>
      <c r="J12" s="13"/>
      <c r="K12" s="4"/>
      <c r="L12" s="4">
        <f t="shared" ref="L12:L32" si="0">+D12-H12</f>
        <v>-48708.79</v>
      </c>
      <c r="M12" s="4"/>
      <c r="N12" s="13">
        <f t="shared" ref="N12:N32" si="1">IF(H12=0,0,L12/H12)</f>
        <v>-0.87645146198830415</v>
      </c>
      <c r="O12" s="10"/>
      <c r="P12" s="4">
        <f>SUM(OSRRefP13x_0)</f>
        <v>515238.01</v>
      </c>
      <c r="Q12" s="4"/>
      <c r="R12" s="13"/>
      <c r="S12" s="4"/>
      <c r="T12" s="4">
        <f>SUM(OSRRefT13x_0)</f>
        <v>1495402.5</v>
      </c>
      <c r="U12" s="4"/>
      <c r="V12" s="13"/>
      <c r="W12" s="4"/>
      <c r="X12" s="4">
        <f t="shared" ref="X12:X32" si="2">+P12-T12</f>
        <v>-980164.49</v>
      </c>
      <c r="Y12" s="4"/>
      <c r="Z12" s="13">
        <f t="shared" ref="Z12:Z32" si="3">IF(T12=0,0,X12/T12)</f>
        <v>-0.65545195357102848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53200</v>
      </c>
      <c r="I13" s="2"/>
      <c r="J13" s="19"/>
      <c r="K13" s="2"/>
      <c r="L13" s="2">
        <f t="shared" si="0"/>
        <v>-53200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899907.5</v>
      </c>
      <c r="U13" s="2"/>
      <c r="V13" s="19"/>
      <c r="W13" s="2"/>
      <c r="X13" s="2">
        <f t="shared" si="2"/>
        <v>-899907.5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--558.25</f>
        <v>558.25</v>
      </c>
      <c r="E14" s="2"/>
      <c r="F14" s="19"/>
      <c r="G14" s="2"/>
      <c r="H14" s="2"/>
      <c r="I14" s="2"/>
      <c r="J14" s="19"/>
      <c r="K14" s="2"/>
      <c r="L14" s="2">
        <f t="shared" si="0"/>
        <v>558.25</v>
      </c>
      <c r="M14" s="2"/>
      <c r="N14" s="19">
        <f t="shared" si="1"/>
        <v>0</v>
      </c>
      <c r="O14" s="11"/>
      <c r="P14" s="2">
        <f>--175578.6</f>
        <v>175578.6</v>
      </c>
      <c r="Q14" s="2"/>
      <c r="R14" s="19"/>
      <c r="S14" s="2"/>
      <c r="T14" s="2"/>
      <c r="U14" s="2"/>
      <c r="V14" s="19"/>
      <c r="W14" s="2"/>
      <c r="X14" s="2">
        <f t="shared" si="2"/>
        <v>175578.6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--83.91</f>
        <v>83.91</v>
      </c>
      <c r="E15" s="2"/>
      <c r="F15" s="19"/>
      <c r="G15" s="2"/>
      <c r="H15" s="2"/>
      <c r="I15" s="2"/>
      <c r="J15" s="19"/>
      <c r="K15" s="2"/>
      <c r="L15" s="2">
        <f t="shared" si="0"/>
        <v>83.91</v>
      </c>
      <c r="M15" s="2"/>
      <c r="N15" s="19">
        <f t="shared" si="1"/>
        <v>0</v>
      </c>
      <c r="O15" s="11"/>
      <c r="P15" s="2">
        <f>--76606.57</f>
        <v>76606.570000000007</v>
      </c>
      <c r="Q15" s="2"/>
      <c r="R15" s="19"/>
      <c r="S15" s="2"/>
      <c r="T15" s="2"/>
      <c r="U15" s="2"/>
      <c r="V15" s="19"/>
      <c r="W15" s="2"/>
      <c r="X15" s="2">
        <f t="shared" si="2"/>
        <v>76606.570000000007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--921.72</f>
        <v>921.72</v>
      </c>
      <c r="Q16" s="2"/>
      <c r="R16" s="19"/>
      <c r="S16" s="2"/>
      <c r="T16" s="2"/>
      <c r="U16" s="2"/>
      <c r="V16" s="19"/>
      <c r="W16" s="2"/>
      <c r="X16" s="2">
        <f t="shared" si="2"/>
        <v>921.72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--235.18</f>
        <v>235.18</v>
      </c>
      <c r="Q17" s="2"/>
      <c r="R17" s="19"/>
      <c r="S17" s="2"/>
      <c r="T17" s="2"/>
      <c r="U17" s="2"/>
      <c r="V17" s="19"/>
      <c r="W17" s="2"/>
      <c r="X17" s="2">
        <f t="shared" si="2"/>
        <v>235.18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--2676.14</f>
        <v>2676.14</v>
      </c>
      <c r="Q18" s="2"/>
      <c r="R18" s="19"/>
      <c r="S18" s="2"/>
      <c r="T18" s="2"/>
      <c r="U18" s="2"/>
      <c r="V18" s="19"/>
      <c r="W18" s="2"/>
      <c r="X18" s="2">
        <f t="shared" si="2"/>
        <v>2676.14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"4092", " - ", "TAXABLE SALES-GRAD MERCH")</f>
        <v xml:space="preserve">          4092 - TAXABLE SALES-GRAD MERCH</v>
      </c>
      <c r="C19" s="11"/>
      <c r="D19" s="2">
        <f>--6332.23</f>
        <v>6332.23</v>
      </c>
      <c r="E19" s="2"/>
      <c r="F19" s="19"/>
      <c r="G19" s="2"/>
      <c r="H19" s="2"/>
      <c r="I19" s="2"/>
      <c r="J19" s="19"/>
      <c r="K19" s="2"/>
      <c r="L19" s="2">
        <f t="shared" si="0"/>
        <v>6332.23</v>
      </c>
      <c r="M19" s="2"/>
      <c r="N19" s="19">
        <f t="shared" si="1"/>
        <v>0</v>
      </c>
      <c r="O19" s="11"/>
      <c r="P19" s="2">
        <f>--41725.89</f>
        <v>41725.89</v>
      </c>
      <c r="Q19" s="2"/>
      <c r="R19" s="19"/>
      <c r="S19" s="2"/>
      <c r="T19" s="2"/>
      <c r="U19" s="2"/>
      <c r="V19" s="19"/>
      <c r="W19" s="2"/>
      <c r="X19" s="2">
        <f t="shared" si="2"/>
        <v>41725.89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 t="shared" ref="D20:D21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--279.56</f>
        <v>279.56</v>
      </c>
      <c r="Q20" s="2"/>
      <c r="R20" s="19"/>
      <c r="S20" s="2"/>
      <c r="T20" s="2"/>
      <c r="U20" s="2"/>
      <c r="V20" s="19"/>
      <c r="W20" s="2"/>
      <c r="X20" s="2">
        <f t="shared" si="2"/>
        <v>279.56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2375</v>
      </c>
      <c r="I21" s="2"/>
      <c r="J21" s="19"/>
      <c r="K21" s="2"/>
      <c r="L21" s="2">
        <f t="shared" si="0"/>
        <v>-2375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595495</v>
      </c>
      <c r="U21" s="2"/>
      <c r="V21" s="19"/>
      <c r="W21" s="2"/>
      <c r="X21" s="2">
        <f t="shared" si="2"/>
        <v>-595495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"4141", " - ", "NON-TAXABLE SALES-LOGO GIFTS")</f>
        <v xml:space="preserve">          4141 - NON-TAXABLE SALES-LOGO GIFTS</v>
      </c>
      <c r="C22" s="11"/>
      <c r="D22" s="2">
        <f>--106.5</f>
        <v>106.5</v>
      </c>
      <c r="E22" s="2"/>
      <c r="F22" s="19"/>
      <c r="G22" s="2"/>
      <c r="H22" s="2"/>
      <c r="I22" s="2"/>
      <c r="J22" s="19"/>
      <c r="K22" s="2"/>
      <c r="L22" s="2">
        <f t="shared" si="0"/>
        <v>106.5</v>
      </c>
      <c r="M22" s="2"/>
      <c r="N22" s="19">
        <f t="shared" si="1"/>
        <v>0</v>
      </c>
      <c r="O22" s="11"/>
      <c r="P22" s="2">
        <f>--1028.1</f>
        <v>1028.0999999999999</v>
      </c>
      <c r="Q22" s="2"/>
      <c r="R22" s="19"/>
      <c r="S22" s="2"/>
      <c r="T22" s="2"/>
      <c r="U22" s="2"/>
      <c r="V22" s="19"/>
      <c r="W22" s="2"/>
      <c r="X22" s="2">
        <f t="shared" si="2"/>
        <v>1028.0999999999999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"4142", " - ", "NON-TAXABLE SALES-EVERYDAY GIF")</f>
        <v xml:space="preserve">          4142 - NON-TAXABLE SALES-EVERYDAY GIF</v>
      </c>
      <c r="C23" s="11"/>
      <c r="D23" s="2">
        <f t="shared" ref="D23:D28" si="6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--8924.02</f>
        <v>8924.02</v>
      </c>
      <c r="Q23" s="2"/>
      <c r="R23" s="19"/>
      <c r="S23" s="2"/>
      <c r="T23" s="2"/>
      <c r="U23" s="2"/>
      <c r="V23" s="19"/>
      <c r="W23" s="2"/>
      <c r="X23" s="2">
        <f t="shared" si="2"/>
        <v>8924.02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"4146", " - ", "NON-TAXABLE SALES-COIN OP MACH")</f>
        <v xml:space="preserve">          4146 - NON-TAXABLE SALES-COIN OP MACH</v>
      </c>
      <c r="C24" s="11"/>
      <c r="D24" s="2">
        <f t="shared" si="6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--205908.65</f>
        <v>205908.65</v>
      </c>
      <c r="Q24" s="2"/>
      <c r="R24" s="19"/>
      <c r="S24" s="2"/>
      <c r="T24" s="2"/>
      <c r="U24" s="2"/>
      <c r="V24" s="19"/>
      <c r="W24" s="2"/>
      <c r="X24" s="2">
        <f t="shared" si="2"/>
        <v>205908.65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"4147", " - ", "NON-TAXABLE SALES-MISC")</f>
        <v xml:space="preserve">          4147 - NON-TAXABLE SALES-MISC</v>
      </c>
      <c r="C25" s="11"/>
      <c r="D25" s="2">
        <f t="shared" si="6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--3446.37</f>
        <v>3446.37</v>
      </c>
      <c r="Q25" s="2"/>
      <c r="R25" s="19"/>
      <c r="S25" s="2"/>
      <c r="T25" s="2"/>
      <c r="U25" s="2"/>
      <c r="V25" s="19"/>
      <c r="W25" s="2"/>
      <c r="X25" s="2">
        <f t="shared" si="2"/>
        <v>3446.37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"4192", " - ", "NON-TAXABLE SALES-GRAD MERCH")</f>
        <v xml:space="preserve">          4192 - NON-TAXABLE SALES-GRAD MERCH</v>
      </c>
      <c r="C26" s="11"/>
      <c r="D26" s="2">
        <f t="shared" si="6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--119.4</f>
        <v>119.4</v>
      </c>
      <c r="Q26" s="2"/>
      <c r="R26" s="19"/>
      <c r="S26" s="2"/>
      <c r="T26" s="2"/>
      <c r="U26" s="2"/>
      <c r="V26" s="19"/>
      <c r="W26" s="2"/>
      <c r="X26" s="2">
        <f t="shared" si="2"/>
        <v>119.4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"4241", " - ", "SALES RETURN TAXABLE-LOGO GIFT")</f>
        <v xml:space="preserve">          4241 - SALES RETURN TAXABLE-LOGO GIFT</v>
      </c>
      <c r="C27" s="11"/>
      <c r="D27" s="2">
        <f t="shared" si="6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-1059.4</f>
        <v>-1059.4000000000001</v>
      </c>
      <c r="Q27" s="2"/>
      <c r="R27" s="19"/>
      <c r="S27" s="2"/>
      <c r="T27" s="2"/>
      <c r="U27" s="2"/>
      <c r="V27" s="19"/>
      <c r="W27" s="2"/>
      <c r="X27" s="2">
        <f t="shared" si="2"/>
        <v>-1059.4000000000001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"4242", " - ", "SALES RETURN TAXABLE-EVERYDAY")</f>
        <v xml:space="preserve">          4242 - SALES RETURN TAXABLE-EVERYDAY</v>
      </c>
      <c r="C28" s="11"/>
      <c r="D28" s="2">
        <f t="shared" si="6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-227.7</f>
        <v>-227.7</v>
      </c>
      <c r="Q28" s="2"/>
      <c r="R28" s="19"/>
      <c r="S28" s="2"/>
      <c r="T28" s="2"/>
      <c r="U28" s="2"/>
      <c r="V28" s="19"/>
      <c r="W28" s="2"/>
      <c r="X28" s="2">
        <f t="shared" si="2"/>
        <v>-227.7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"4292", " - ", "SALES RETURN TAXABLE-GRAD MERC")</f>
        <v xml:space="preserve">          4292 - SALES RETURN TAXABLE-GRAD MERC</v>
      </c>
      <c r="C29" s="11"/>
      <c r="D29" s="2">
        <f>-214.68</f>
        <v>-214.68</v>
      </c>
      <c r="E29" s="2"/>
      <c r="F29" s="19"/>
      <c r="G29" s="2"/>
      <c r="H29" s="2"/>
      <c r="I29" s="2"/>
      <c r="J29" s="19"/>
      <c r="K29" s="2"/>
      <c r="L29" s="2">
        <f t="shared" si="0"/>
        <v>-214.68</v>
      </c>
      <c r="M29" s="2"/>
      <c r="N29" s="19">
        <f t="shared" si="1"/>
        <v>0</v>
      </c>
      <c r="O29" s="11"/>
      <c r="P29" s="2">
        <f>-793.52</f>
        <v>-793.52</v>
      </c>
      <c r="Q29" s="2"/>
      <c r="R29" s="19"/>
      <c r="S29" s="2"/>
      <c r="T29" s="2"/>
      <c r="U29" s="2"/>
      <c r="V29" s="19"/>
      <c r="W29" s="2"/>
      <c r="X29" s="2">
        <f t="shared" si="2"/>
        <v>-793.52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"4342", " - ", "SALES RETURN NON TAXABLE-EVERY")</f>
        <v xml:space="preserve">          4342 - SALES RETURN NON TAXABLE-EVERY</v>
      </c>
      <c r="C30" s="11"/>
      <c r="D30" s="2">
        <f t="shared" ref="D30:D32" si="7"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-39.42</f>
        <v>-39.42</v>
      </c>
      <c r="Q30" s="2"/>
      <c r="R30" s="19"/>
      <c r="S30" s="2"/>
      <c r="T30" s="2"/>
      <c r="U30" s="2"/>
      <c r="V30" s="19"/>
      <c r="W30" s="2"/>
      <c r="X30" s="2">
        <f t="shared" si="2"/>
        <v>-39.42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"4346", " - ", "SALES RETURN NON TAXABLE-COIN-")</f>
        <v xml:space="preserve">          4346 - SALES RETURN NON TAXABLE-COIN-</v>
      </c>
      <c r="C31" s="11"/>
      <c r="D31" s="2">
        <f t="shared" si="7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-8.15</f>
        <v>-8.15</v>
      </c>
      <c r="Q31" s="2"/>
      <c r="R31" s="19"/>
      <c r="S31" s="2"/>
      <c r="T31" s="2"/>
      <c r="U31" s="2"/>
      <c r="V31" s="19"/>
      <c r="W31" s="2"/>
      <c r="X31" s="2">
        <f t="shared" si="2"/>
        <v>-8.15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"4347", " - ", "SALES RETURN NON TAXABLE-MISC")</f>
        <v xml:space="preserve">          4347 - SALES RETURN NON TAXABLE-MISC</v>
      </c>
      <c r="C32" s="11"/>
      <c r="D32" s="2">
        <f t="shared" si="7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-84</f>
        <v>-84</v>
      </c>
      <c r="Q32" s="2"/>
      <c r="R32" s="19"/>
      <c r="S32" s="2"/>
      <c r="T32" s="2"/>
      <c r="U32" s="2"/>
      <c r="V32" s="19"/>
      <c r="W32" s="2"/>
      <c r="X32" s="2">
        <f t="shared" si="2"/>
        <v>-84</v>
      </c>
      <c r="Y32" s="2"/>
      <c r="Z32" s="19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8" t="s">
        <v>8</v>
      </c>
      <c r="C34" s="10"/>
      <c r="D34" s="4">
        <f>SUM(OSRRefD16x_0)</f>
        <v>-898.07999999999981</v>
      </c>
      <c r="E34" s="4"/>
      <c r="F34" s="13">
        <f t="shared" ref="F34:F40" si="8">IF(D$12=0,0,D34/D$12)</f>
        <v>-0.13079704815320242</v>
      </c>
      <c r="G34" s="4"/>
      <c r="H34" s="4">
        <f>SUM(OSRRefH16x_0)</f>
        <v>0</v>
      </c>
      <c r="I34" s="4"/>
      <c r="J34" s="13">
        <f t="shared" ref="J34:J40" si="9">IF(H$12=0,0,H34/H$12)</f>
        <v>0</v>
      </c>
      <c r="K34" s="4"/>
      <c r="L34" s="4">
        <f t="shared" ref="L34:L40" si="10">+D34-H34</f>
        <v>-898.07999999999981</v>
      </c>
      <c r="M34" s="4"/>
      <c r="N34" s="13">
        <f t="shared" ref="N34:N40" si="11">IF(H34=0,0,L34/H34)</f>
        <v>0</v>
      </c>
      <c r="O34" s="10"/>
      <c r="P34" s="4">
        <f>SUM(OSRRefP16x_0)</f>
        <v>13729.05</v>
      </c>
      <c r="Q34" s="4"/>
      <c r="R34" s="13">
        <f t="shared" ref="R34:R40" si="12">IF(P$12=0,0,P34/P$12)</f>
        <v>2.6646034907246069E-2</v>
      </c>
      <c r="S34" s="4"/>
      <c r="T34" s="4">
        <f>SUM(OSRRefT16x_0)</f>
        <v>309962.97499999998</v>
      </c>
      <c r="U34" s="4"/>
      <c r="V34" s="13">
        <f t="shared" ref="V34:V40" si="13">IF(T$12=0,0,T34/T$12)</f>
        <v>0.20727728822173294</v>
      </c>
      <c r="W34" s="4"/>
      <c r="X34" s="4">
        <f t="shared" ref="X34:X40" si="14">+P34-T34</f>
        <v>-296233.92499999999</v>
      </c>
      <c r="Y34" s="4"/>
      <c r="Z34" s="13">
        <f t="shared" ref="Z34:Z40" si="15">IF(T34=0,0,X34/T34)</f>
        <v>-0.95570745183356176</v>
      </c>
    </row>
    <row r="35" spans="1:26" s="24" customFormat="1" hidden="1" outlineLevel="1" x14ac:dyDescent="0.25">
      <c r="A35" s="44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19">
        <f t="shared" si="8"/>
        <v>0</v>
      </c>
      <c r="G35" s="2"/>
      <c r="H35" s="2"/>
      <c r="I35" s="2"/>
      <c r="J35" s="19">
        <f t="shared" si="9"/>
        <v>0</v>
      </c>
      <c r="K35" s="2"/>
      <c r="L35" s="2">
        <f t="shared" si="10"/>
        <v>0</v>
      </c>
      <c r="M35" s="2"/>
      <c r="N35" s="19">
        <f t="shared" si="11"/>
        <v>0</v>
      </c>
      <c r="O35" s="11"/>
      <c r="P35" s="2"/>
      <c r="Q35" s="2"/>
      <c r="R35" s="19">
        <f t="shared" si="12"/>
        <v>0</v>
      </c>
      <c r="S35" s="2"/>
      <c r="T35" s="2">
        <v>309962.97499999998</v>
      </c>
      <c r="U35" s="2"/>
      <c r="V35" s="19">
        <f t="shared" si="13"/>
        <v>0.20727728822173294</v>
      </c>
      <c r="W35" s="2"/>
      <c r="X35" s="2">
        <f t="shared" si="14"/>
        <v>-309962.97499999998</v>
      </c>
      <c r="Y35" s="2"/>
      <c r="Z35" s="19">
        <f t="shared" si="15"/>
        <v>-1</v>
      </c>
    </row>
    <row r="36" spans="1:26" s="24" customFormat="1" hidden="1" outlineLevel="1" x14ac:dyDescent="0.25">
      <c r="A36" s="44"/>
      <c r="B36" s="11" t="str">
        <f>CONCATENATE("          ", "5092", " - ", "PURCHASES @ COST-GRAD MERCH")</f>
        <v xml:space="preserve">          5092 - PURCHASES @ COST-GRAD MERCH</v>
      </c>
      <c r="C36" s="11"/>
      <c r="D36" s="2">
        <v>9354.1</v>
      </c>
      <c r="E36" s="2"/>
      <c r="F36" s="19">
        <f t="shared" si="8"/>
        <v>1.3623381749174583</v>
      </c>
      <c r="G36" s="2"/>
      <c r="H36" s="2"/>
      <c r="I36" s="2"/>
      <c r="J36" s="19">
        <f t="shared" si="9"/>
        <v>0</v>
      </c>
      <c r="K36" s="2"/>
      <c r="L36" s="2">
        <f t="shared" si="10"/>
        <v>9354.1</v>
      </c>
      <c r="M36" s="2"/>
      <c r="N36" s="19">
        <f t="shared" si="11"/>
        <v>0</v>
      </c>
      <c r="O36" s="11"/>
      <c r="P36" s="2">
        <v>13900.33</v>
      </c>
      <c r="Q36" s="2"/>
      <c r="R36" s="19">
        <f t="shared" si="12"/>
        <v>2.697846379773107E-2</v>
      </c>
      <c r="S36" s="2"/>
      <c r="T36" s="2"/>
      <c r="U36" s="2"/>
      <c r="V36" s="19">
        <f t="shared" si="13"/>
        <v>0</v>
      </c>
      <c r="W36" s="2"/>
      <c r="X36" s="2">
        <f t="shared" si="14"/>
        <v>13900.33</v>
      </c>
      <c r="Y36" s="2"/>
      <c r="Z36" s="19">
        <f t="shared" si="15"/>
        <v>0</v>
      </c>
    </row>
    <row r="37" spans="1:26" s="24" customFormat="1" hidden="1" outlineLevel="1" x14ac:dyDescent="0.25">
      <c r="A37" s="44"/>
      <c r="B37" s="11" t="str">
        <f>CONCATENATE("          ", "5095", " - ", "PURCHASES @ COST-CUSTOMER SERV")</f>
        <v xml:space="preserve">          5095 - PURCHASES @ COST-CUSTOMER SERV</v>
      </c>
      <c r="C37" s="11"/>
      <c r="D37" s="2">
        <v>18.989999999999998</v>
      </c>
      <c r="E37" s="2"/>
      <c r="F37" s="19">
        <f t="shared" si="8"/>
        <v>2.7657179142496369E-3</v>
      </c>
      <c r="G37" s="2"/>
      <c r="H37" s="2"/>
      <c r="I37" s="2"/>
      <c r="J37" s="19">
        <f t="shared" si="9"/>
        <v>0</v>
      </c>
      <c r="K37" s="2"/>
      <c r="L37" s="2">
        <f t="shared" si="10"/>
        <v>18.989999999999998</v>
      </c>
      <c r="M37" s="2"/>
      <c r="N37" s="19">
        <f t="shared" si="11"/>
        <v>0</v>
      </c>
      <c r="O37" s="11"/>
      <c r="P37" s="2">
        <v>30.84</v>
      </c>
      <c r="Q37" s="2"/>
      <c r="R37" s="19">
        <f t="shared" si="12"/>
        <v>5.9855832453044372E-5</v>
      </c>
      <c r="S37" s="2"/>
      <c r="T37" s="2"/>
      <c r="U37" s="2"/>
      <c r="V37" s="19">
        <f t="shared" si="13"/>
        <v>0</v>
      </c>
      <c r="W37" s="2"/>
      <c r="X37" s="2">
        <f t="shared" si="14"/>
        <v>30.84</v>
      </c>
      <c r="Y37" s="2"/>
      <c r="Z37" s="19">
        <f t="shared" si="15"/>
        <v>0</v>
      </c>
    </row>
    <row r="38" spans="1:26" s="24" customFormat="1" hidden="1" outlineLevel="1" x14ac:dyDescent="0.25">
      <c r="A38" s="44"/>
      <c r="B38" s="11" t="str">
        <f>CONCATENATE("          ", "5200", " - ", "PURCHASES OFFSET")</f>
        <v xml:space="preserve">          5200 - PURCHASES OFFSET</v>
      </c>
      <c r="C38" s="11"/>
      <c r="D38" s="2">
        <v>-9384</v>
      </c>
      <c r="E38" s="2"/>
      <c r="F38" s="19">
        <f t="shared" si="8"/>
        <v>-1.3666928334554289</v>
      </c>
      <c r="G38" s="2"/>
      <c r="H38" s="2"/>
      <c r="I38" s="2"/>
      <c r="J38" s="19">
        <f t="shared" si="9"/>
        <v>0</v>
      </c>
      <c r="K38" s="2"/>
      <c r="L38" s="2">
        <f t="shared" si="10"/>
        <v>-9384</v>
      </c>
      <c r="M38" s="2"/>
      <c r="N38" s="19">
        <f t="shared" si="11"/>
        <v>0</v>
      </c>
      <c r="O38" s="11"/>
      <c r="P38" s="2">
        <v>-14103</v>
      </c>
      <c r="Q38" s="2"/>
      <c r="R38" s="19">
        <f t="shared" si="12"/>
        <v>-2.7371815988498208E-2</v>
      </c>
      <c r="S38" s="2"/>
      <c r="T38" s="2"/>
      <c r="U38" s="2"/>
      <c r="V38" s="19">
        <f t="shared" si="13"/>
        <v>0</v>
      </c>
      <c r="W38" s="2"/>
      <c r="X38" s="2">
        <f t="shared" si="14"/>
        <v>-14103</v>
      </c>
      <c r="Y38" s="2"/>
      <c r="Z38" s="19">
        <f t="shared" si="15"/>
        <v>0</v>
      </c>
    </row>
    <row r="39" spans="1:26" s="24" customFormat="1" hidden="1" outlineLevel="1" x14ac:dyDescent="0.25">
      <c r="A39" s="44"/>
      <c r="B39" s="11" t="str">
        <f>CONCATENATE("          ", "5300", " - ", "COG$ OFFSET")</f>
        <v xml:space="preserve">          5300 - COG$ OFFSET</v>
      </c>
      <c r="C39" s="11"/>
      <c r="D39" s="2">
        <v>-898</v>
      </c>
      <c r="E39" s="2"/>
      <c r="F39" s="19">
        <f t="shared" si="8"/>
        <v>-0.13078539689290017</v>
      </c>
      <c r="G39" s="2"/>
      <c r="H39" s="2"/>
      <c r="I39" s="2"/>
      <c r="J39" s="19">
        <f t="shared" si="9"/>
        <v>0</v>
      </c>
      <c r="K39" s="2"/>
      <c r="L39" s="2">
        <f t="shared" si="10"/>
        <v>-898</v>
      </c>
      <c r="M39" s="2"/>
      <c r="N39" s="19">
        <f t="shared" si="11"/>
        <v>0</v>
      </c>
      <c r="O39" s="11"/>
      <c r="P39" s="2">
        <v>13730</v>
      </c>
      <c r="Q39" s="2"/>
      <c r="R39" s="19">
        <f t="shared" si="12"/>
        <v>2.6647878715314502E-2</v>
      </c>
      <c r="S39" s="2"/>
      <c r="T39" s="2"/>
      <c r="U39" s="2"/>
      <c r="V39" s="19">
        <f t="shared" si="13"/>
        <v>0</v>
      </c>
      <c r="W39" s="2"/>
      <c r="X39" s="2">
        <f t="shared" si="14"/>
        <v>13730</v>
      </c>
      <c r="Y39" s="2"/>
      <c r="Z39" s="19">
        <f t="shared" si="15"/>
        <v>0</v>
      </c>
    </row>
    <row r="40" spans="1:26" s="24" customFormat="1" hidden="1" outlineLevel="1" x14ac:dyDescent="0.25">
      <c r="A40" s="44"/>
      <c r="B40" s="11" t="str">
        <f>CONCATENATE("          ", "5592", " - ", "FREIGHT-IN-GRAD MERCH")</f>
        <v xml:space="preserve">          5592 - FREIGHT-IN-GRAD MERCH</v>
      </c>
      <c r="C40" s="11"/>
      <c r="D40" s="2">
        <v>10.83</v>
      </c>
      <c r="E40" s="2"/>
      <c r="F40" s="19">
        <f t="shared" si="8"/>
        <v>1.5772893634188295E-3</v>
      </c>
      <c r="G40" s="2"/>
      <c r="H40" s="2"/>
      <c r="I40" s="2"/>
      <c r="J40" s="19">
        <f t="shared" si="9"/>
        <v>0</v>
      </c>
      <c r="K40" s="2"/>
      <c r="L40" s="2">
        <f t="shared" si="10"/>
        <v>10.83</v>
      </c>
      <c r="M40" s="2"/>
      <c r="N40" s="19">
        <f t="shared" si="11"/>
        <v>0</v>
      </c>
      <c r="O40" s="11"/>
      <c r="P40" s="2">
        <v>170.88</v>
      </c>
      <c r="Q40" s="2"/>
      <c r="R40" s="19">
        <f t="shared" si="12"/>
        <v>3.3165255024566217E-4</v>
      </c>
      <c r="S40" s="2"/>
      <c r="T40" s="2"/>
      <c r="U40" s="2"/>
      <c r="V40" s="19">
        <f t="shared" si="13"/>
        <v>0</v>
      </c>
      <c r="W40" s="2"/>
      <c r="X40" s="2">
        <f t="shared" si="14"/>
        <v>170.88</v>
      </c>
      <c r="Y40" s="2"/>
      <c r="Z40" s="19">
        <f t="shared" si="15"/>
        <v>0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10"/>
      <c r="B42" s="29" t="s">
        <v>6</v>
      </c>
      <c r="C42" s="29"/>
      <c r="D42" s="22">
        <f>D12-D34</f>
        <v>7764.2899999999991</v>
      </c>
      <c r="E42" s="14"/>
      <c r="F42" s="20">
        <f>IF(D$12=0,0,D42/D$12)</f>
        <v>1.1307970481532024</v>
      </c>
      <c r="G42" s="14"/>
      <c r="H42" s="22">
        <f>H12-H34</f>
        <v>55575</v>
      </c>
      <c r="I42" s="14"/>
      <c r="J42" s="20">
        <f>IF(H$12=0,0,H42/H$12)</f>
        <v>1</v>
      </c>
      <c r="K42" s="15"/>
      <c r="L42" s="22">
        <f>+D42-H42</f>
        <v>-47810.71</v>
      </c>
      <c r="M42" s="15"/>
      <c r="N42" s="20">
        <f>IF(H42=0,0,L42/H42)</f>
        <v>-0.86029167791273053</v>
      </c>
      <c r="O42" s="28"/>
      <c r="P42" s="22">
        <f>P12-P34</f>
        <v>501508.96</v>
      </c>
      <c r="Q42" s="14"/>
      <c r="R42" s="20">
        <f>IF(P$12=0,0,P42/P$12)</f>
        <v>0.97335396509275396</v>
      </c>
      <c r="S42" s="14"/>
      <c r="T42" s="22">
        <f>T12-T34</f>
        <v>1185439.5249999999</v>
      </c>
      <c r="U42" s="14"/>
      <c r="V42" s="20">
        <f>IF(T$12=0,0,T42/T$12)</f>
        <v>0.79272271177826703</v>
      </c>
      <c r="W42" s="15"/>
      <c r="X42" s="22">
        <f>+P42-T42</f>
        <v>-683930.56499999994</v>
      </c>
      <c r="Y42" s="15"/>
      <c r="Z42" s="20">
        <f>IF(T42=0,0,X42/T42)</f>
        <v>-0.57694260278692833</v>
      </c>
    </row>
    <row r="43" spans="1:26" x14ac:dyDescent="0.25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6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8" t="s">
        <v>9</v>
      </c>
      <c r="C44" s="10"/>
      <c r="D44" s="21">
        <f>SUM(OSRRefD22x_0)</f>
        <v>51826.539999999994</v>
      </c>
      <c r="E44" s="21"/>
      <c r="F44" s="32">
        <f t="shared" ref="F44:F54" si="16">IF(D$12=0,0,D44/D$12)</f>
        <v>7.5480563513204517</v>
      </c>
      <c r="G44" s="21"/>
      <c r="H44" s="21">
        <f>SUM(OSRRefH22x_0)</f>
        <v>51343.934822394789</v>
      </c>
      <c r="I44" s="21"/>
      <c r="J44" s="32">
        <f t="shared" ref="J44:J54" si="17">IF(H$12=0,0,H44/H$12)</f>
        <v>0.92386747318749063</v>
      </c>
      <c r="K44" s="4"/>
      <c r="L44" s="21">
        <f t="shared" ref="L44:L54" si="18">+D44-H44</f>
        <v>482.60517760520452</v>
      </c>
      <c r="M44" s="4"/>
      <c r="N44" s="32">
        <f t="shared" ref="N44:N54" si="19">IF(H44=0,0,L44/H44)</f>
        <v>9.3994583639644552E-3</v>
      </c>
      <c r="O44" s="10"/>
      <c r="P44" s="21">
        <f>SUM(OSRRefP22x_0)</f>
        <v>529919.16999999993</v>
      </c>
      <c r="Q44" s="21"/>
      <c r="R44" s="32">
        <f t="shared" ref="R44:R54" si="20">IF(P$12=0,0,P44/P$12)</f>
        <v>1.0284939381704388</v>
      </c>
      <c r="S44" s="21"/>
      <c r="T44" s="21">
        <f>SUM(OSRRefT22x_0)</f>
        <v>646164.81546002324</v>
      </c>
      <c r="U44" s="21"/>
      <c r="V44" s="32">
        <f t="shared" ref="V44:V54" si="21">IF(T$12=0,0,T44/T$12)</f>
        <v>0.43210093299965946</v>
      </c>
      <c r="W44" s="4"/>
      <c r="X44" s="21">
        <f t="shared" ref="X44:X54" si="22">+P44-T44</f>
        <v>-116245.64546002331</v>
      </c>
      <c r="Y44" s="4"/>
      <c r="Z44" s="32">
        <f t="shared" ref="Z44:Z54" si="23">IF(T44=0,0,X44/T44)</f>
        <v>-0.17990092106340502</v>
      </c>
    </row>
    <row r="45" spans="1:26" s="26" customFormat="1" outlineLevel="1" collapsed="1" x14ac:dyDescent="0.25">
      <c r="A45" s="25"/>
      <c r="B45" s="12" t="str">
        <f>CONCATENATE("     ","*Benefits                                         ")</f>
        <v xml:space="preserve">     *Benefits                                         </v>
      </c>
      <c r="C45" s="12"/>
      <c r="D45" s="1">
        <f>SUM(OSRRefD22_0x_0)</f>
        <v>6119.46</v>
      </c>
      <c r="E45" s="1"/>
      <c r="F45" s="5">
        <f t="shared" si="16"/>
        <v>0.89124276711606565</v>
      </c>
      <c r="G45" s="1"/>
      <c r="H45" s="1">
        <f>SUM(OSRRefH22_0x_0)</f>
        <v>6820.4935922032773</v>
      </c>
      <c r="I45" s="1"/>
      <c r="J45" s="5">
        <f t="shared" si="17"/>
        <v>0.1227259305839546</v>
      </c>
      <c r="K45" s="1"/>
      <c r="L45" s="1">
        <f t="shared" si="18"/>
        <v>-701.03359220327729</v>
      </c>
      <c r="M45" s="1"/>
      <c r="N45" s="5">
        <f t="shared" si="19"/>
        <v>-0.10278341042716484</v>
      </c>
      <c r="O45" s="12"/>
      <c r="P45" s="1">
        <f>SUM(OSRRefP22_0x_0)</f>
        <v>95960.94</v>
      </c>
      <c r="Q45" s="1"/>
      <c r="R45" s="5">
        <f t="shared" si="20"/>
        <v>0.18624584781701178</v>
      </c>
      <c r="S45" s="1"/>
      <c r="T45" s="1">
        <f>SUM(OSRRefT22_0x_0)</f>
        <v>87147.718229048871</v>
      </c>
      <c r="U45" s="1"/>
      <c r="V45" s="5">
        <f t="shared" si="21"/>
        <v>5.8277098125119407E-2</v>
      </c>
      <c r="W45" s="1"/>
      <c r="X45" s="1">
        <f t="shared" si="22"/>
        <v>8813.2217709511315</v>
      </c>
      <c r="Y45" s="1"/>
      <c r="Z45" s="5">
        <f t="shared" si="23"/>
        <v>0.10112969048469508</v>
      </c>
    </row>
    <row r="46" spans="1:26" s="24" customFormat="1" hidden="1" outlineLevel="2" x14ac:dyDescent="0.25">
      <c r="A46" s="27"/>
      <c r="B46" s="11" t="str">
        <f>CONCATENATE("          ", "6111", " - ", "F.I.C.A.")</f>
        <v xml:space="preserve">          6111 - F.I.C.A.</v>
      </c>
      <c r="C46" s="11"/>
      <c r="D46" s="6">
        <v>870.7</v>
      </c>
      <c r="E46" s="2"/>
      <c r="F46" s="7">
        <f t="shared" si="16"/>
        <v>0.12680940431475299</v>
      </c>
      <c r="G46" s="2"/>
      <c r="H46" s="6">
        <v>1380.0924661920951</v>
      </c>
      <c r="I46" s="2"/>
      <c r="J46" s="7">
        <f t="shared" si="17"/>
        <v>2.4832972850959877E-2</v>
      </c>
      <c r="K46" s="2"/>
      <c r="L46" s="6">
        <f t="shared" si="18"/>
        <v>-509.39246619209507</v>
      </c>
      <c r="M46" s="2"/>
      <c r="N46" s="7">
        <f t="shared" si="19"/>
        <v>-0.36910024412899933</v>
      </c>
      <c r="O46" s="11"/>
      <c r="P46" s="6">
        <v>14893.729999999998</v>
      </c>
      <c r="Q46" s="2"/>
      <c r="R46" s="7">
        <f t="shared" si="20"/>
        <v>2.8906504782129715E-2</v>
      </c>
      <c r="S46" s="2"/>
      <c r="T46" s="6">
        <v>18314.163032898585</v>
      </c>
      <c r="U46" s="2"/>
      <c r="V46" s="7">
        <f t="shared" si="21"/>
        <v>1.2246979012606027E-2</v>
      </c>
      <c r="W46" s="2"/>
      <c r="X46" s="6">
        <f t="shared" si="22"/>
        <v>-3420.433032898587</v>
      </c>
      <c r="Y46" s="2"/>
      <c r="Z46" s="7">
        <f t="shared" si="23"/>
        <v>-0.18676436519399242</v>
      </c>
    </row>
    <row r="47" spans="1:26" s="24" customFormat="1" hidden="1" outlineLevel="2" x14ac:dyDescent="0.25">
      <c r="A47" s="27"/>
      <c r="B47" s="11" t="str">
        <f>CONCATENATE("          ", "6112", " - ", "COMPENSATION INSURANCE")</f>
        <v xml:space="preserve">          6112 - COMPENSATION INSURANCE</v>
      </c>
      <c r="C47" s="11"/>
      <c r="D47" s="6">
        <v>216.26</v>
      </c>
      <c r="E47" s="2"/>
      <c r="F47" s="7">
        <f t="shared" si="16"/>
        <v>3.1496269412091972E-2</v>
      </c>
      <c r="G47" s="2"/>
      <c r="H47" s="6">
        <v>239.85392461538467</v>
      </c>
      <c r="I47" s="2"/>
      <c r="J47" s="7">
        <f t="shared" si="17"/>
        <v>4.3158600920447081E-3</v>
      </c>
      <c r="K47" s="2"/>
      <c r="L47" s="6">
        <f t="shared" si="18"/>
        <v>-23.59392461538468</v>
      </c>
      <c r="M47" s="2"/>
      <c r="N47" s="7">
        <f t="shared" si="19"/>
        <v>-9.8367890595154855E-2</v>
      </c>
      <c r="O47" s="11"/>
      <c r="P47" s="6">
        <v>2657.11</v>
      </c>
      <c r="Q47" s="2"/>
      <c r="R47" s="7">
        <f t="shared" si="20"/>
        <v>5.1570535333757698E-3</v>
      </c>
      <c r="S47" s="2"/>
      <c r="T47" s="6">
        <v>3735.6162200000003</v>
      </c>
      <c r="U47" s="2"/>
      <c r="V47" s="7">
        <f t="shared" si="21"/>
        <v>2.4980673898833258E-3</v>
      </c>
      <c r="W47" s="2"/>
      <c r="X47" s="6">
        <f t="shared" si="22"/>
        <v>-1078.5062200000002</v>
      </c>
      <c r="Y47" s="2"/>
      <c r="Z47" s="7">
        <f t="shared" si="23"/>
        <v>-0.28870905266601504</v>
      </c>
    </row>
    <row r="48" spans="1:26" s="24" customFormat="1" hidden="1" outlineLevel="2" x14ac:dyDescent="0.25">
      <c r="A48" s="27"/>
      <c r="B48" s="11" t="str">
        <f>CONCATENATE("          ", "6113", " - ", "GROUP INSURANCE")</f>
        <v xml:space="preserve">          6113 - GROUP INSURANCE</v>
      </c>
      <c r="C48" s="11"/>
      <c r="D48" s="6">
        <v>2724.48</v>
      </c>
      <c r="E48" s="2"/>
      <c r="F48" s="7">
        <f t="shared" si="16"/>
        <v>0.39679532085386265</v>
      </c>
      <c r="G48" s="2"/>
      <c r="H48" s="6">
        <v>2704</v>
      </c>
      <c r="I48" s="2"/>
      <c r="J48" s="7">
        <f t="shared" si="17"/>
        <v>4.8654970760233916E-2</v>
      </c>
      <c r="K48" s="2"/>
      <c r="L48" s="6">
        <f t="shared" si="18"/>
        <v>20.480000000000018</v>
      </c>
      <c r="M48" s="2"/>
      <c r="N48" s="7">
        <f t="shared" si="19"/>
        <v>7.573964497041427E-3</v>
      </c>
      <c r="O48" s="11"/>
      <c r="P48" s="6">
        <v>35516.230000000003</v>
      </c>
      <c r="Q48" s="2"/>
      <c r="R48" s="7">
        <f t="shared" si="20"/>
        <v>6.893169624655604E-2</v>
      </c>
      <c r="S48" s="2"/>
      <c r="T48" s="6">
        <v>32448</v>
      </c>
      <c r="U48" s="2"/>
      <c r="V48" s="7">
        <f t="shared" si="21"/>
        <v>2.1698505920646781E-2</v>
      </c>
      <c r="W48" s="2"/>
      <c r="X48" s="6">
        <f t="shared" si="22"/>
        <v>3068.2300000000032</v>
      </c>
      <c r="Y48" s="2"/>
      <c r="Z48" s="7">
        <f t="shared" si="23"/>
        <v>9.4558370315581952E-2</v>
      </c>
    </row>
    <row r="49" spans="1:26" s="24" customFormat="1" hidden="1" outlineLevel="2" x14ac:dyDescent="0.25">
      <c r="A49" s="27"/>
      <c r="B49" s="11" t="str">
        <f>CONCATENATE("          ", "6114", " - ", "STATE UNEMPLOYMENT INSURANCE")</f>
        <v xml:space="preserve">          6114 - STATE UNEMPLOYMENT INSURANCE</v>
      </c>
      <c r="C49" s="11"/>
      <c r="D49" s="6">
        <v>-528.47</v>
      </c>
      <c r="E49" s="2"/>
      <c r="F49" s="7">
        <f t="shared" si="16"/>
        <v>-7.6966769149210426E-2</v>
      </c>
      <c r="G49" s="2"/>
      <c r="H49" s="6">
        <v>46.886716478497902</v>
      </c>
      <c r="I49" s="2"/>
      <c r="J49" s="7">
        <f t="shared" si="17"/>
        <v>8.4366561364818539E-4</v>
      </c>
      <c r="K49" s="2"/>
      <c r="L49" s="6">
        <f t="shared" si="18"/>
        <v>-575.3567164784979</v>
      </c>
      <c r="M49" s="2"/>
      <c r="N49" s="7">
        <f t="shared" si="19"/>
        <v>-12.271209410502324</v>
      </c>
      <c r="O49" s="11"/>
      <c r="P49" s="6">
        <v>0</v>
      </c>
      <c r="Q49" s="2"/>
      <c r="R49" s="7">
        <f t="shared" si="20"/>
        <v>0</v>
      </c>
      <c r="S49" s="2"/>
      <c r="T49" s="6">
        <v>727.70361984053352</v>
      </c>
      <c r="U49" s="2"/>
      <c r="V49" s="7">
        <f t="shared" si="21"/>
        <v>4.8662725910952637E-4</v>
      </c>
      <c r="W49" s="2"/>
      <c r="X49" s="6">
        <f t="shared" si="22"/>
        <v>-727.70361984053352</v>
      </c>
      <c r="Y49" s="2"/>
      <c r="Z49" s="7">
        <f t="shared" si="23"/>
        <v>-1</v>
      </c>
    </row>
    <row r="50" spans="1:26" s="24" customFormat="1" hidden="1" outlineLevel="2" x14ac:dyDescent="0.25">
      <c r="A50" s="27"/>
      <c r="B50" s="11" t="str">
        <f>CONCATENATE("          ", "6115", " - ", "P.E.R.S.")</f>
        <v xml:space="preserve">          6115 - P.E.R.S.</v>
      </c>
      <c r="C50" s="11"/>
      <c r="D50" s="6">
        <v>1166.77</v>
      </c>
      <c r="E50" s="2"/>
      <c r="F50" s="7">
        <f t="shared" si="16"/>
        <v>0.16992926228588989</v>
      </c>
      <c r="G50" s="2"/>
      <c r="H50" s="6">
        <v>1085.6546061538459</v>
      </c>
      <c r="I50" s="2"/>
      <c r="J50" s="7">
        <f t="shared" si="17"/>
        <v>1.9534945679781302E-2</v>
      </c>
      <c r="K50" s="2"/>
      <c r="L50" s="6">
        <f t="shared" si="18"/>
        <v>81.11539384615412</v>
      </c>
      <c r="M50" s="2"/>
      <c r="N50" s="7">
        <f t="shared" si="19"/>
        <v>7.4715653934838491E-2</v>
      </c>
      <c r="O50" s="11"/>
      <c r="P50" s="6">
        <v>15553.42</v>
      </c>
      <c r="Q50" s="2"/>
      <c r="R50" s="7">
        <f t="shared" si="20"/>
        <v>3.0186864513353742E-2</v>
      </c>
      <c r="S50" s="2"/>
      <c r="T50" s="6">
        <v>14070.578679999993</v>
      </c>
      <c r="U50" s="2"/>
      <c r="V50" s="7">
        <f t="shared" si="21"/>
        <v>9.409225061480099E-3</v>
      </c>
      <c r="W50" s="2"/>
      <c r="X50" s="6">
        <f t="shared" si="22"/>
        <v>1482.8413200000068</v>
      </c>
      <c r="Y50" s="2"/>
      <c r="Z50" s="7">
        <f t="shared" si="23"/>
        <v>0.10538595133316916</v>
      </c>
    </row>
    <row r="51" spans="1:26" s="24" customFormat="1" hidden="1" outlineLevel="2" x14ac:dyDescent="0.25">
      <c r="A51" s="27"/>
      <c r="B51" s="11" t="str">
        <f>CONCATENATE("          ", "6116", " - ", "EDUCATIONAL BENEFITS")</f>
        <v xml:space="preserve">          6116 - EDUCATIONAL BENEFITS</v>
      </c>
      <c r="C51" s="11"/>
      <c r="D51" s="6"/>
      <c r="E51" s="2"/>
      <c r="F51" s="7">
        <f t="shared" si="16"/>
        <v>0</v>
      </c>
      <c r="G51" s="2"/>
      <c r="H51" s="6">
        <v>0</v>
      </c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/>
      <c r="Q51" s="2"/>
      <c r="R51" s="7">
        <f t="shared" si="20"/>
        <v>0</v>
      </c>
      <c r="S51" s="2"/>
      <c r="T51" s="6">
        <v>0</v>
      </c>
      <c r="U51" s="2"/>
      <c r="V51" s="7">
        <f t="shared" si="21"/>
        <v>0</v>
      </c>
      <c r="W51" s="2"/>
      <c r="X51" s="6">
        <f t="shared" si="22"/>
        <v>0</v>
      </c>
      <c r="Y51" s="2"/>
      <c r="Z51" s="7">
        <f t="shared" si="23"/>
        <v>0</v>
      </c>
    </row>
    <row r="52" spans="1:26" s="24" customFormat="1" hidden="1" outlineLevel="2" x14ac:dyDescent="0.25">
      <c r="A52" s="27"/>
      <c r="B52" s="11" t="str">
        <f>CONCATENATE("          ", "6118", " - ", "VACATION")</f>
        <v xml:space="preserve">          6118 - VACATION</v>
      </c>
      <c r="C52" s="11"/>
      <c r="D52" s="6">
        <v>1039.18</v>
      </c>
      <c r="E52" s="2"/>
      <c r="F52" s="7">
        <f t="shared" si="16"/>
        <v>0.15134695851131849</v>
      </c>
      <c r="G52" s="2"/>
      <c r="H52" s="6">
        <v>631.19453846153897</v>
      </c>
      <c r="I52" s="2"/>
      <c r="J52" s="7">
        <f t="shared" si="17"/>
        <v>1.1357526558012396E-2</v>
      </c>
      <c r="K52" s="2"/>
      <c r="L52" s="6">
        <f t="shared" si="18"/>
        <v>407.9854615384611</v>
      </c>
      <c r="M52" s="2"/>
      <c r="N52" s="7">
        <f t="shared" si="19"/>
        <v>0.64637039245123507</v>
      </c>
      <c r="O52" s="11"/>
      <c r="P52" s="6">
        <v>15532.1</v>
      </c>
      <c r="Q52" s="2"/>
      <c r="R52" s="7">
        <f t="shared" si="20"/>
        <v>3.0145485578596969E-2</v>
      </c>
      <c r="S52" s="2"/>
      <c r="T52" s="6">
        <v>8180.5690000000022</v>
      </c>
      <c r="U52" s="2"/>
      <c r="V52" s="7">
        <f t="shared" si="21"/>
        <v>5.4704796869070385E-3</v>
      </c>
      <c r="W52" s="2"/>
      <c r="X52" s="6">
        <f t="shared" si="22"/>
        <v>7351.5309999999981</v>
      </c>
      <c r="Y52" s="2"/>
      <c r="Z52" s="7">
        <f t="shared" si="23"/>
        <v>0.89865766061016006</v>
      </c>
    </row>
    <row r="53" spans="1:26" s="24" customFormat="1" hidden="1" outlineLevel="2" x14ac:dyDescent="0.25">
      <c r="A53" s="27"/>
      <c r="B53" s="11" t="str">
        <f>CONCATENATE("          ", "6119", " - ", "SICK LEAVE")</f>
        <v xml:space="preserve">          6119 - SICK LEAVE</v>
      </c>
      <c r="C53" s="11"/>
      <c r="D53" s="6">
        <v>526.54</v>
      </c>
      <c r="E53" s="2"/>
      <c r="F53" s="7">
        <f t="shared" si="16"/>
        <v>7.6685682494418317E-2</v>
      </c>
      <c r="G53" s="2"/>
      <c r="H53" s="6">
        <v>432.81134030191549</v>
      </c>
      <c r="I53" s="2"/>
      <c r="J53" s="7">
        <f t="shared" si="17"/>
        <v>7.787878368005677E-3</v>
      </c>
      <c r="K53" s="2"/>
      <c r="L53" s="6">
        <f t="shared" si="18"/>
        <v>93.728659698084471</v>
      </c>
      <c r="M53" s="2"/>
      <c r="N53" s="7">
        <f t="shared" si="19"/>
        <v>0.21655777233725512</v>
      </c>
      <c r="O53" s="11"/>
      <c r="P53" s="6">
        <v>9221.84</v>
      </c>
      <c r="Q53" s="2"/>
      <c r="R53" s="7">
        <f t="shared" si="20"/>
        <v>1.7898213681867142E-2</v>
      </c>
      <c r="S53" s="2"/>
      <c r="T53" s="6">
        <v>6071.0876763097476</v>
      </c>
      <c r="U53" s="2"/>
      <c r="V53" s="7">
        <f t="shared" si="21"/>
        <v>4.0598351790302259E-3</v>
      </c>
      <c r="W53" s="2"/>
      <c r="X53" s="6">
        <f t="shared" si="22"/>
        <v>3150.7523236902525</v>
      </c>
      <c r="Y53" s="2"/>
      <c r="Z53" s="7">
        <f t="shared" si="23"/>
        <v>0.51897658075091535</v>
      </c>
    </row>
    <row r="54" spans="1:26" s="24" customFormat="1" hidden="1" outlineLevel="2" x14ac:dyDescent="0.25">
      <c r="A54" s="27"/>
      <c r="B54" s="11" t="str">
        <f>CONCATENATE("          ", "6156", " - ", "EMPLOYEE MEALS")</f>
        <v xml:space="preserve">          6156 - EMPLOYEE MEALS</v>
      </c>
      <c r="C54" s="11"/>
      <c r="D54" s="6">
        <v>104</v>
      </c>
      <c r="E54" s="2"/>
      <c r="F54" s="7">
        <f t="shared" si="16"/>
        <v>1.5146638392941669E-2</v>
      </c>
      <c r="G54" s="2"/>
      <c r="H54" s="6">
        <v>300</v>
      </c>
      <c r="I54" s="2"/>
      <c r="J54" s="7">
        <f t="shared" si="17"/>
        <v>5.3981106612685558E-3</v>
      </c>
      <c r="K54" s="2"/>
      <c r="L54" s="6">
        <f t="shared" si="18"/>
        <v>-196</v>
      </c>
      <c r="M54" s="2"/>
      <c r="N54" s="7">
        <f t="shared" si="19"/>
        <v>-0.65333333333333332</v>
      </c>
      <c r="O54" s="11"/>
      <c r="P54" s="6">
        <v>2586.5100000000002</v>
      </c>
      <c r="Q54" s="2"/>
      <c r="R54" s="7">
        <f t="shared" si="20"/>
        <v>5.0200294811324191E-3</v>
      </c>
      <c r="S54" s="2"/>
      <c r="T54" s="6">
        <v>3600</v>
      </c>
      <c r="U54" s="2"/>
      <c r="V54" s="7">
        <f t="shared" si="21"/>
        <v>2.4073786154563737E-3</v>
      </c>
      <c r="W54" s="2"/>
      <c r="X54" s="6">
        <f t="shared" si="22"/>
        <v>-1013.4899999999998</v>
      </c>
      <c r="Y54" s="2"/>
      <c r="Z54" s="7">
        <f t="shared" si="23"/>
        <v>-0.28152499999999991</v>
      </c>
    </row>
    <row r="55" spans="1:26" s="26" customFormat="1" outlineLevel="1" collapsed="1" x14ac:dyDescent="0.25">
      <c r="A55" s="25"/>
      <c r="B55" s="12" t="str">
        <f>CONCATENATE("     ","*Payroll                                          ")</f>
        <v xml:space="preserve">     *Payroll                                          </v>
      </c>
      <c r="C55" s="12"/>
      <c r="D55" s="1">
        <f>SUM(OSRRefD22_1x_0)</f>
        <v>9110.02</v>
      </c>
      <c r="E55" s="1"/>
      <c r="F55" s="5">
        <f t="shared" ref="F55:F65" si="24">IF(D$12=0,0,D55/D$12)</f>
        <v>1.3267901797352544</v>
      </c>
      <c r="G55" s="1"/>
      <c r="H55" s="1">
        <f>SUM(OSRRefH22_1x_0)</f>
        <v>17023.441230191511</v>
      </c>
      <c r="I55" s="1"/>
      <c r="J55" s="5">
        <f t="shared" ref="J55:J65" si="25">IF(H$12=0,0,H55/H$12)</f>
        <v>0.30631473198725168</v>
      </c>
      <c r="K55" s="1"/>
      <c r="L55" s="1">
        <f t="shared" ref="L55:L65" si="26">+D55-H55</f>
        <v>-7913.4212301915104</v>
      </c>
      <c r="M55" s="1"/>
      <c r="N55" s="5">
        <f t="shared" ref="N55:N65" si="27">IF(H55=0,0,L55/H55)</f>
        <v>-0.46485438068519624</v>
      </c>
      <c r="O55" s="12"/>
      <c r="P55" s="1">
        <f>SUM(OSRRefP22_1x_0)</f>
        <v>187988.82</v>
      </c>
      <c r="Q55" s="1"/>
      <c r="R55" s="5">
        <f t="shared" ref="R55:R65" si="28">IF(P$12=0,0,P55/P$12)</f>
        <v>0.36485821377968602</v>
      </c>
      <c r="S55" s="1"/>
      <c r="T55" s="1">
        <f>SUM(OSRRefT22_1x_0)</f>
        <v>266467.09723097447</v>
      </c>
      <c r="U55" s="1"/>
      <c r="V55" s="5">
        <f t="shared" ref="V55:V65" si="29">IF(T$12=0,0,T55/T$12)</f>
        <v>0.17819088655460619</v>
      </c>
      <c r="W55" s="1"/>
      <c r="X55" s="1">
        <f t="shared" ref="X55:X65" si="30">+P55-T55</f>
        <v>-78478.277230974461</v>
      </c>
      <c r="Y55" s="1"/>
      <c r="Z55" s="5">
        <f t="shared" ref="Z55:Z65" si="31">IF(T55=0,0,X55/T55)</f>
        <v>-0.29451394955133714</v>
      </c>
    </row>
    <row r="56" spans="1:26" s="24" customFormat="1" hidden="1" outlineLevel="2" x14ac:dyDescent="0.25">
      <c r="A56" s="27"/>
      <c r="B56" s="11" t="str">
        <f>CONCATENATE("          ", "6001", " - ", "ADMINISTRATIVE SALARIES")</f>
        <v xml:space="preserve">          6001 - ADMINISTRATIVE SALARIES</v>
      </c>
      <c r="C56" s="11"/>
      <c r="D56" s="6"/>
      <c r="E56" s="2"/>
      <c r="F56" s="7">
        <f t="shared" si="24"/>
        <v>0</v>
      </c>
      <c r="G56" s="2"/>
      <c r="H56" s="6">
        <v>5990.5432000000001</v>
      </c>
      <c r="I56" s="2"/>
      <c r="J56" s="7">
        <f t="shared" si="25"/>
        <v>0.10779205038236617</v>
      </c>
      <c r="K56" s="2"/>
      <c r="L56" s="6">
        <f t="shared" si="26"/>
        <v>-5990.5432000000001</v>
      </c>
      <c r="M56" s="2"/>
      <c r="N56" s="7">
        <f t="shared" si="27"/>
        <v>-1</v>
      </c>
      <c r="O56" s="11"/>
      <c r="P56" s="6"/>
      <c r="Q56" s="2"/>
      <c r="R56" s="7">
        <f t="shared" si="28"/>
        <v>0</v>
      </c>
      <c r="S56" s="2"/>
      <c r="T56" s="6">
        <v>77877.061600000001</v>
      </c>
      <c r="U56" s="2"/>
      <c r="V56" s="7">
        <f t="shared" si="29"/>
        <v>5.2077659091782982E-2</v>
      </c>
      <c r="W56" s="2"/>
      <c r="X56" s="6">
        <f t="shared" si="30"/>
        <v>-77877.061600000001</v>
      </c>
      <c r="Y56" s="2"/>
      <c r="Z56" s="7">
        <f t="shared" si="31"/>
        <v>-1</v>
      </c>
    </row>
    <row r="57" spans="1:26" s="24" customFormat="1" hidden="1" outlineLevel="2" x14ac:dyDescent="0.25">
      <c r="A57" s="27"/>
      <c r="B57" s="11" t="str">
        <f>CONCATENATE("          ", "6002", " - ", "STAFF SALARIES")</f>
        <v xml:space="preserve">          6002 - STAFF SALARIES</v>
      </c>
      <c r="C57" s="11"/>
      <c r="D57" s="6">
        <v>9110.02</v>
      </c>
      <c r="E57" s="2"/>
      <c r="F57" s="7">
        <f t="shared" si="24"/>
        <v>1.3267901797352544</v>
      </c>
      <c r="G57" s="2"/>
      <c r="H57" s="6">
        <v>5623.43630769231</v>
      </c>
      <c r="I57" s="2"/>
      <c r="J57" s="7">
        <f t="shared" si="25"/>
        <v>0.10118643828506181</v>
      </c>
      <c r="K57" s="2"/>
      <c r="L57" s="6">
        <f t="shared" si="26"/>
        <v>3486.5836923076904</v>
      </c>
      <c r="M57" s="2"/>
      <c r="N57" s="7">
        <f t="shared" si="27"/>
        <v>0.62000945712470956</v>
      </c>
      <c r="O57" s="11"/>
      <c r="P57" s="6">
        <v>131327.66</v>
      </c>
      <c r="Q57" s="2"/>
      <c r="R57" s="7">
        <f t="shared" si="28"/>
        <v>0.25488736749060886</v>
      </c>
      <c r="S57" s="2"/>
      <c r="T57" s="6">
        <v>72645.408000000039</v>
      </c>
      <c r="U57" s="2"/>
      <c r="V57" s="7">
        <f t="shared" si="29"/>
        <v>4.8579167147306521E-2</v>
      </c>
      <c r="W57" s="2"/>
      <c r="X57" s="6">
        <f t="shared" si="30"/>
        <v>58682.251999999964</v>
      </c>
      <c r="Y57" s="2"/>
      <c r="Z57" s="7">
        <f t="shared" si="31"/>
        <v>0.80779024601252059</v>
      </c>
    </row>
    <row r="58" spans="1:26" s="24" customFormat="1" hidden="1" outlineLevel="2" x14ac:dyDescent="0.25">
      <c r="A58" s="27"/>
      <c r="B58" s="11" t="str">
        <f>CONCATENATE("          ", "6003", " - ", "STAFF HOURLY-9 MONTH")</f>
        <v xml:space="preserve">          6003 - STAFF HOURLY-9 MONTH</v>
      </c>
      <c r="C58" s="11"/>
      <c r="D58" s="6"/>
      <c r="E58" s="2"/>
      <c r="F58" s="7">
        <f t="shared" si="24"/>
        <v>0</v>
      </c>
      <c r="G58" s="2"/>
      <c r="H58" s="6">
        <v>0</v>
      </c>
      <c r="I58" s="2"/>
      <c r="J58" s="7">
        <f t="shared" si="25"/>
        <v>0</v>
      </c>
      <c r="K58" s="2"/>
      <c r="L58" s="6">
        <f t="shared" si="26"/>
        <v>0</v>
      </c>
      <c r="M58" s="2"/>
      <c r="N58" s="7">
        <f t="shared" si="27"/>
        <v>0</v>
      </c>
      <c r="O58" s="11"/>
      <c r="P58" s="6"/>
      <c r="Q58" s="2"/>
      <c r="R58" s="7">
        <f t="shared" si="28"/>
        <v>0</v>
      </c>
      <c r="S58" s="2"/>
      <c r="T58" s="6">
        <v>0</v>
      </c>
      <c r="U58" s="2"/>
      <c r="V58" s="7">
        <f t="shared" si="29"/>
        <v>0</v>
      </c>
      <c r="W58" s="2"/>
      <c r="X58" s="6">
        <f t="shared" si="30"/>
        <v>0</v>
      </c>
      <c r="Y58" s="2"/>
      <c r="Z58" s="7">
        <f t="shared" si="31"/>
        <v>0</v>
      </c>
    </row>
    <row r="59" spans="1:26" s="24" customFormat="1" hidden="1" outlineLevel="2" x14ac:dyDescent="0.25">
      <c r="A59" s="27"/>
      <c r="B59" s="11" t="str">
        <f>CONCATENATE("          ", "6004", " - ", "STAFF HOURLY")</f>
        <v xml:space="preserve">          6004 - STAFF HOURLY</v>
      </c>
      <c r="C59" s="11"/>
      <c r="D59" s="6"/>
      <c r="E59" s="2"/>
      <c r="F59" s="7">
        <f t="shared" si="24"/>
        <v>0</v>
      </c>
      <c r="G59" s="2"/>
      <c r="H59" s="6">
        <v>3010</v>
      </c>
      <c r="I59" s="2"/>
      <c r="J59" s="7">
        <f t="shared" si="25"/>
        <v>5.4161043634727846E-2</v>
      </c>
      <c r="K59" s="2"/>
      <c r="L59" s="6">
        <f t="shared" si="26"/>
        <v>-3010</v>
      </c>
      <c r="M59" s="2"/>
      <c r="N59" s="7">
        <f t="shared" si="27"/>
        <v>-1</v>
      </c>
      <c r="O59" s="11"/>
      <c r="P59" s="6">
        <v>491.67</v>
      </c>
      <c r="Q59" s="2"/>
      <c r="R59" s="7">
        <f t="shared" si="28"/>
        <v>9.5425801368963442E-4</v>
      </c>
      <c r="S59" s="2"/>
      <c r="T59" s="6">
        <v>36540</v>
      </c>
      <c r="U59" s="2"/>
      <c r="V59" s="7">
        <f t="shared" si="29"/>
        <v>2.4434892946882194E-2</v>
      </c>
      <c r="W59" s="2"/>
      <c r="X59" s="6">
        <f t="shared" si="30"/>
        <v>-36048.33</v>
      </c>
      <c r="Y59" s="2"/>
      <c r="Z59" s="7">
        <f t="shared" si="31"/>
        <v>-0.98654433497536953</v>
      </c>
    </row>
    <row r="60" spans="1:26" s="24" customFormat="1" hidden="1" outlineLevel="2" x14ac:dyDescent="0.25">
      <c r="A60" s="27"/>
      <c r="B60" s="11" t="str">
        <f>CONCATENATE("          ", "6005", " - ", "TEMPORARY WAGES-HOURLY")</f>
        <v xml:space="preserve">          6005 - TEMPORARY WAGES-HOURLY</v>
      </c>
      <c r="C60" s="11"/>
      <c r="D60" s="6"/>
      <c r="E60" s="2"/>
      <c r="F60" s="7">
        <f t="shared" si="24"/>
        <v>0</v>
      </c>
      <c r="G60" s="2"/>
      <c r="H60" s="6">
        <v>0</v>
      </c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18251.969999999998</v>
      </c>
      <c r="Q60" s="2"/>
      <c r="R60" s="7">
        <f t="shared" si="28"/>
        <v>3.5424346895525038E-2</v>
      </c>
      <c r="S60" s="2"/>
      <c r="T60" s="6">
        <v>0</v>
      </c>
      <c r="U60" s="2"/>
      <c r="V60" s="7">
        <f t="shared" si="29"/>
        <v>0</v>
      </c>
      <c r="W60" s="2"/>
      <c r="X60" s="6">
        <f t="shared" si="30"/>
        <v>18251.969999999998</v>
      </c>
      <c r="Y60" s="2"/>
      <c r="Z60" s="7">
        <f t="shared" si="31"/>
        <v>0</v>
      </c>
    </row>
    <row r="61" spans="1:26" s="24" customFormat="1" hidden="1" outlineLevel="2" x14ac:dyDescent="0.25">
      <c r="A61" s="27"/>
      <c r="B61" s="11" t="str">
        <f>CONCATENATE("          ", "6006", " - ", "TEMPORARY PART TIME")</f>
        <v xml:space="preserve">          6006 - TEMPORARY PART TIME</v>
      </c>
      <c r="C61" s="11"/>
      <c r="D61" s="6"/>
      <c r="E61" s="2"/>
      <c r="F61" s="7">
        <f t="shared" si="24"/>
        <v>0</v>
      </c>
      <c r="G61" s="2"/>
      <c r="H61" s="6">
        <v>0</v>
      </c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2571.56</v>
      </c>
      <c r="Q61" s="2"/>
      <c r="R61" s="7">
        <f t="shared" si="28"/>
        <v>4.9910137646871199E-3</v>
      </c>
      <c r="S61" s="2"/>
      <c r="T61" s="6">
        <v>0</v>
      </c>
      <c r="U61" s="2"/>
      <c r="V61" s="7">
        <f t="shared" si="29"/>
        <v>0</v>
      </c>
      <c r="W61" s="2"/>
      <c r="X61" s="6">
        <f t="shared" si="30"/>
        <v>2571.56</v>
      </c>
      <c r="Y61" s="2"/>
      <c r="Z61" s="7">
        <f t="shared" si="31"/>
        <v>0</v>
      </c>
    </row>
    <row r="62" spans="1:26" s="24" customFormat="1" hidden="1" outlineLevel="2" x14ac:dyDescent="0.25">
      <c r="A62" s="27"/>
      <c r="B62" s="11" t="str">
        <f>CONCATENATE("          ", "6007", " - ", "STUDENT HOURLY")</f>
        <v xml:space="preserve">          6007 - STUDENT HOURLY</v>
      </c>
      <c r="C62" s="11"/>
      <c r="D62" s="6"/>
      <c r="E62" s="2"/>
      <c r="F62" s="7">
        <f t="shared" si="24"/>
        <v>0</v>
      </c>
      <c r="G62" s="2"/>
      <c r="H62" s="6">
        <v>2399.4617224991998</v>
      </c>
      <c r="I62" s="2"/>
      <c r="J62" s="7">
        <f t="shared" si="25"/>
        <v>4.3175199685095811E-2</v>
      </c>
      <c r="K62" s="2"/>
      <c r="L62" s="6">
        <f t="shared" si="26"/>
        <v>-2399.4617224991998</v>
      </c>
      <c r="M62" s="2"/>
      <c r="N62" s="7">
        <f t="shared" si="27"/>
        <v>-1</v>
      </c>
      <c r="O62" s="11"/>
      <c r="P62" s="6">
        <v>35345.96</v>
      </c>
      <c r="Q62" s="2"/>
      <c r="R62" s="7">
        <f t="shared" si="28"/>
        <v>6.8601227615175356E-2</v>
      </c>
      <c r="S62" s="2"/>
      <c r="T62" s="6">
        <v>38825.598085699203</v>
      </c>
      <c r="U62" s="2"/>
      <c r="V62" s="7">
        <f t="shared" si="29"/>
        <v>2.5963309601060049E-2</v>
      </c>
      <c r="W62" s="2"/>
      <c r="X62" s="6">
        <f t="shared" si="30"/>
        <v>-3479.6380856992037</v>
      </c>
      <c r="Y62" s="2"/>
      <c r="Z62" s="7">
        <f t="shared" si="31"/>
        <v>-8.9622266166219697E-2</v>
      </c>
    </row>
    <row r="63" spans="1:26" s="24" customFormat="1" hidden="1" outlineLevel="2" x14ac:dyDescent="0.25">
      <c r="A63" s="27"/>
      <c r="B63" s="11" t="str">
        <f>CONCATENATE("          ", "6008", " - ", "STUDENT HOURLY-FICA EXEMPT")</f>
        <v xml:space="preserve">          6008 - STUDENT HOURLY-FICA EXEMPT</v>
      </c>
      <c r="C63" s="11"/>
      <c r="D63" s="6"/>
      <c r="E63" s="2"/>
      <c r="F63" s="7">
        <f t="shared" si="24"/>
        <v>0</v>
      </c>
      <c r="G63" s="2"/>
      <c r="H63" s="6">
        <v>0</v>
      </c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1"/>
      <c r="P63" s="6"/>
      <c r="Q63" s="2"/>
      <c r="R63" s="7">
        <f t="shared" si="28"/>
        <v>0</v>
      </c>
      <c r="S63" s="2"/>
      <c r="T63" s="6">
        <v>40579.029545275203</v>
      </c>
      <c r="U63" s="2"/>
      <c r="V63" s="7">
        <f t="shared" si="29"/>
        <v>2.7135857767574417E-2</v>
      </c>
      <c r="W63" s="2"/>
      <c r="X63" s="6">
        <f t="shared" si="30"/>
        <v>-40579.029545275203</v>
      </c>
      <c r="Y63" s="2"/>
      <c r="Z63" s="7">
        <f t="shared" si="31"/>
        <v>-1</v>
      </c>
    </row>
    <row r="64" spans="1:26" s="24" customFormat="1" hidden="1" outlineLevel="2" x14ac:dyDescent="0.25">
      <c r="A64" s="27"/>
      <c r="B64" s="11" t="str">
        <f>CONCATENATE("          ", "6009", " - ", "TEMPORARY-SEASONAL")</f>
        <v xml:space="preserve">          6009 - TEMPORARY-SEASONAL</v>
      </c>
      <c r="C64" s="11"/>
      <c r="D64" s="6"/>
      <c r="E64" s="2"/>
      <c r="F64" s="7">
        <f t="shared" si="24"/>
        <v>0</v>
      </c>
      <c r="G64" s="2"/>
      <c r="H64" s="6">
        <v>0</v>
      </c>
      <c r="I64" s="2"/>
      <c r="J64" s="7">
        <f t="shared" si="25"/>
        <v>0</v>
      </c>
      <c r="K64" s="2"/>
      <c r="L64" s="6">
        <f t="shared" si="26"/>
        <v>0</v>
      </c>
      <c r="M64" s="2"/>
      <c r="N64" s="7">
        <f t="shared" si="27"/>
        <v>0</v>
      </c>
      <c r="O64" s="11"/>
      <c r="P64" s="6"/>
      <c r="Q64" s="2"/>
      <c r="R64" s="7">
        <f t="shared" si="28"/>
        <v>0</v>
      </c>
      <c r="S64" s="2"/>
      <c r="T64" s="6">
        <v>0</v>
      </c>
      <c r="U64" s="2"/>
      <c r="V64" s="7">
        <f t="shared" si="29"/>
        <v>0</v>
      </c>
      <c r="W64" s="2"/>
      <c r="X64" s="6">
        <f t="shared" si="30"/>
        <v>0</v>
      </c>
      <c r="Y64" s="2"/>
      <c r="Z64" s="7">
        <f t="shared" si="31"/>
        <v>0</v>
      </c>
    </row>
    <row r="65" spans="1:26" s="24" customFormat="1" hidden="1" outlineLevel="2" x14ac:dyDescent="0.25">
      <c r="A65" s="27"/>
      <c r="B65" s="11" t="str">
        <f>CONCATENATE("          ", "6010", " - ", "GRATUITY")</f>
        <v xml:space="preserve">          6010 - GRATUITY</v>
      </c>
      <c r="C65" s="11"/>
      <c r="D65" s="6"/>
      <c r="E65" s="2"/>
      <c r="F65" s="7">
        <f t="shared" si="24"/>
        <v>0</v>
      </c>
      <c r="G65" s="2"/>
      <c r="H65" s="6">
        <v>0</v>
      </c>
      <c r="I65" s="2"/>
      <c r="J65" s="7">
        <f t="shared" si="25"/>
        <v>0</v>
      </c>
      <c r="K65" s="2"/>
      <c r="L65" s="6">
        <f t="shared" si="26"/>
        <v>0</v>
      </c>
      <c r="M65" s="2"/>
      <c r="N65" s="7">
        <f t="shared" si="27"/>
        <v>0</v>
      </c>
      <c r="O65" s="11"/>
      <c r="P65" s="6"/>
      <c r="Q65" s="2"/>
      <c r="R65" s="7">
        <f t="shared" si="28"/>
        <v>0</v>
      </c>
      <c r="S65" s="2"/>
      <c r="T65" s="6">
        <v>0</v>
      </c>
      <c r="U65" s="2"/>
      <c r="V65" s="7">
        <f t="shared" si="29"/>
        <v>0</v>
      </c>
      <c r="W65" s="2"/>
      <c r="X65" s="6">
        <f t="shared" si="30"/>
        <v>0</v>
      </c>
      <c r="Y65" s="2"/>
      <c r="Z65" s="7">
        <f t="shared" si="31"/>
        <v>0</v>
      </c>
    </row>
    <row r="66" spans="1:26" s="26" customFormat="1" outlineLevel="1" collapsed="1" x14ac:dyDescent="0.25">
      <c r="A66" s="25"/>
      <c r="B66" s="12" t="str">
        <f>CONCATENATE("     ","Advertising/Promo                                 ")</f>
        <v xml:space="preserve">     Advertising/Promo                                 </v>
      </c>
      <c r="C66" s="12"/>
      <c r="D66" s="1">
        <f>SUM(OSRRefD22_2x_0)</f>
        <v>0</v>
      </c>
      <c r="E66" s="1"/>
      <c r="F66" s="5">
        <f t="shared" ref="F66:F78" si="32">IF(D$12=0,0,D66/D$12)</f>
        <v>0</v>
      </c>
      <c r="G66" s="1"/>
      <c r="H66" s="1">
        <f>SUM(OSRRefH22_2x_0)</f>
        <v>100</v>
      </c>
      <c r="I66" s="1"/>
      <c r="J66" s="5">
        <f t="shared" ref="J66:J78" si="33">IF(H$12=0,0,H66/H$12)</f>
        <v>1.7993702204228521E-3</v>
      </c>
      <c r="K66" s="1"/>
      <c r="L66" s="1">
        <f t="shared" ref="L66:L78" si="34">+D66-H66</f>
        <v>-100</v>
      </c>
      <c r="M66" s="1"/>
      <c r="N66" s="5">
        <f t="shared" ref="N66:N78" si="35">IF(H66=0,0,L66/H66)</f>
        <v>-1</v>
      </c>
      <c r="O66" s="12"/>
      <c r="P66" s="1">
        <f>SUM(OSRRefP22_2x_0)</f>
        <v>1915.77</v>
      </c>
      <c r="Q66" s="1"/>
      <c r="R66" s="5">
        <f t="shared" ref="R66:R78" si="36">IF(P$12=0,0,P66/P$12)</f>
        <v>3.718223350796654E-3</v>
      </c>
      <c r="S66" s="1"/>
      <c r="T66" s="1">
        <f>SUM(OSRRefT22_2x_0)</f>
        <v>5200</v>
      </c>
      <c r="U66" s="1"/>
      <c r="V66" s="5">
        <f t="shared" ref="V66:V78" si="37">IF(T$12=0,0,T66/T$12)</f>
        <v>3.4773246667703177E-3</v>
      </c>
      <c r="W66" s="1"/>
      <c r="X66" s="1">
        <f t="shared" ref="X66:X78" si="38">+P66-T66</f>
        <v>-3284.23</v>
      </c>
      <c r="Y66" s="1"/>
      <c r="Z66" s="5">
        <f t="shared" ref="Z66:Z78" si="39">IF(T66=0,0,X66/T66)</f>
        <v>-0.63158269230769226</v>
      </c>
    </row>
    <row r="67" spans="1:26" s="24" customFormat="1" hidden="1" outlineLevel="2" x14ac:dyDescent="0.25">
      <c r="A67" s="27"/>
      <c r="B67" s="11" t="str">
        <f>CONCATENATE("          ", "6362", " - ", "ADVERTISING EXPENSE")</f>
        <v xml:space="preserve">          6362 - ADVERTISING EXPENSE</v>
      </c>
      <c r="C67" s="11"/>
      <c r="D67" s="6"/>
      <c r="E67" s="2"/>
      <c r="F67" s="7">
        <f t="shared" si="32"/>
        <v>0</v>
      </c>
      <c r="G67" s="2"/>
      <c r="H67" s="6">
        <v>100</v>
      </c>
      <c r="I67" s="2"/>
      <c r="J67" s="7">
        <f t="shared" si="33"/>
        <v>1.7993702204228521E-3</v>
      </c>
      <c r="K67" s="2"/>
      <c r="L67" s="6">
        <f t="shared" si="34"/>
        <v>-100</v>
      </c>
      <c r="M67" s="2"/>
      <c r="N67" s="7">
        <f t="shared" si="35"/>
        <v>-1</v>
      </c>
      <c r="O67" s="11"/>
      <c r="P67" s="6">
        <v>1915.77</v>
      </c>
      <c r="Q67" s="2"/>
      <c r="R67" s="7">
        <f t="shared" si="36"/>
        <v>3.718223350796654E-3</v>
      </c>
      <c r="S67" s="2"/>
      <c r="T67" s="6">
        <v>5200</v>
      </c>
      <c r="U67" s="2"/>
      <c r="V67" s="7">
        <f t="shared" si="37"/>
        <v>3.4773246667703177E-3</v>
      </c>
      <c r="W67" s="2"/>
      <c r="X67" s="6">
        <f t="shared" si="38"/>
        <v>-3284.23</v>
      </c>
      <c r="Y67" s="2"/>
      <c r="Z67" s="7">
        <f t="shared" si="39"/>
        <v>-0.63158269230769226</v>
      </c>
    </row>
    <row r="68" spans="1:26" s="26" customFormat="1" outlineLevel="1" collapsed="1" x14ac:dyDescent="0.25">
      <c r="A68" s="25"/>
      <c r="B68" s="12" t="str">
        <f>CONCATENATE("     ","Depreciation                                      ")</f>
        <v xml:space="preserve">     Depreciation                                      </v>
      </c>
      <c r="C68" s="12"/>
      <c r="D68" s="1">
        <f>SUM(OSRRefD22_3x_0)</f>
        <v>169.9</v>
      </c>
      <c r="E68" s="1"/>
      <c r="F68" s="5">
        <f t="shared" si="32"/>
        <v>2.4744364066930667E-2</v>
      </c>
      <c r="G68" s="1"/>
      <c r="H68" s="1">
        <f>SUM(OSRRefH22_3x_0)</f>
        <v>0</v>
      </c>
      <c r="I68" s="1"/>
      <c r="J68" s="5">
        <f t="shared" si="33"/>
        <v>0</v>
      </c>
      <c r="K68" s="1"/>
      <c r="L68" s="1">
        <f t="shared" si="34"/>
        <v>169.9</v>
      </c>
      <c r="M68" s="1"/>
      <c r="N68" s="5">
        <f t="shared" si="35"/>
        <v>0</v>
      </c>
      <c r="O68" s="12"/>
      <c r="P68" s="1">
        <f>SUM(OSRRefP22_3x_0)</f>
        <v>1189.18</v>
      </c>
      <c r="Q68" s="1"/>
      <c r="R68" s="5">
        <f t="shared" si="36"/>
        <v>2.3080207145431682E-3</v>
      </c>
      <c r="S68" s="1"/>
      <c r="T68" s="1">
        <f>SUM(OSRRefT22_3x_0)</f>
        <v>0</v>
      </c>
      <c r="U68" s="1"/>
      <c r="V68" s="5">
        <f t="shared" si="37"/>
        <v>0</v>
      </c>
      <c r="W68" s="1"/>
      <c r="X68" s="1">
        <f t="shared" si="38"/>
        <v>1189.18</v>
      </c>
      <c r="Y68" s="1"/>
      <c r="Z68" s="5">
        <f t="shared" si="39"/>
        <v>0</v>
      </c>
    </row>
    <row r="69" spans="1:26" s="24" customFormat="1" hidden="1" outlineLevel="2" x14ac:dyDescent="0.25">
      <c r="A69" s="27"/>
      <c r="B69" s="11" t="str">
        <f>CONCATENATE("          ", "6322", " - ", "EQUIPMENT DEPRECIATION EXPENSE")</f>
        <v xml:space="preserve">          6322 - EQUIPMENT DEPRECIATION EXPENSE</v>
      </c>
      <c r="C69" s="11"/>
      <c r="D69" s="6">
        <v>169.9</v>
      </c>
      <c r="E69" s="2"/>
      <c r="F69" s="7">
        <f t="shared" si="32"/>
        <v>2.4744364066930667E-2</v>
      </c>
      <c r="G69" s="2"/>
      <c r="H69" s="6">
        <v>0</v>
      </c>
      <c r="I69" s="2"/>
      <c r="J69" s="7">
        <f t="shared" si="33"/>
        <v>0</v>
      </c>
      <c r="K69" s="2"/>
      <c r="L69" s="6">
        <f t="shared" si="34"/>
        <v>169.9</v>
      </c>
      <c r="M69" s="2"/>
      <c r="N69" s="7">
        <f t="shared" si="35"/>
        <v>0</v>
      </c>
      <c r="O69" s="11"/>
      <c r="P69" s="6">
        <v>1189.18</v>
      </c>
      <c r="Q69" s="2"/>
      <c r="R69" s="7">
        <f t="shared" si="36"/>
        <v>2.3080207145431682E-3</v>
      </c>
      <c r="S69" s="2"/>
      <c r="T69" s="6">
        <v>0</v>
      </c>
      <c r="U69" s="2"/>
      <c r="V69" s="7">
        <f t="shared" si="37"/>
        <v>0</v>
      </c>
      <c r="W69" s="2"/>
      <c r="X69" s="6">
        <f t="shared" si="38"/>
        <v>1189.18</v>
      </c>
      <c r="Y69" s="2"/>
      <c r="Z69" s="7">
        <f t="shared" si="39"/>
        <v>0</v>
      </c>
    </row>
    <row r="70" spans="1:26" s="26" customFormat="1" outlineLevel="1" collapsed="1" x14ac:dyDescent="0.25">
      <c r="A70" s="25"/>
      <c r="B70" s="12" t="str">
        <f>CONCATENATE("     ","Discounts and Markdowns                           ")</f>
        <v xml:space="preserve">     Discounts and Markdowns                           </v>
      </c>
      <c r="C70" s="12"/>
      <c r="D70" s="1">
        <f>SUM(OSRRefD22_4x_0)</f>
        <v>7.99</v>
      </c>
      <c r="E70" s="1"/>
      <c r="F70" s="5">
        <f t="shared" si="32"/>
        <v>1.1636696226884993E-3</v>
      </c>
      <c r="G70" s="1"/>
      <c r="H70" s="1">
        <f>SUM(OSRRefH22_4x_0)</f>
        <v>500</v>
      </c>
      <c r="I70" s="1"/>
      <c r="J70" s="5">
        <f t="shared" si="33"/>
        <v>8.9968511021142599E-3</v>
      </c>
      <c r="K70" s="1"/>
      <c r="L70" s="1">
        <f t="shared" si="34"/>
        <v>-492.01</v>
      </c>
      <c r="M70" s="1"/>
      <c r="N70" s="5">
        <f t="shared" si="35"/>
        <v>-0.98402000000000001</v>
      </c>
      <c r="O70" s="12"/>
      <c r="P70" s="1">
        <f>SUM(OSRRefP22_4x_0)</f>
        <v>1289.18</v>
      </c>
      <c r="Q70" s="1"/>
      <c r="R70" s="5">
        <f t="shared" si="36"/>
        <v>2.5021057743779425E-3</v>
      </c>
      <c r="S70" s="1"/>
      <c r="T70" s="1">
        <f>SUM(OSRRefT22_4x_0)</f>
        <v>8300</v>
      </c>
      <c r="U70" s="1"/>
      <c r="V70" s="5">
        <f t="shared" si="37"/>
        <v>5.5503451411910839E-3</v>
      </c>
      <c r="W70" s="1"/>
      <c r="X70" s="1">
        <f t="shared" si="38"/>
        <v>-7010.82</v>
      </c>
      <c r="Y70" s="1"/>
      <c r="Z70" s="5">
        <f t="shared" si="39"/>
        <v>-0.84467710843373489</v>
      </c>
    </row>
    <row r="71" spans="1:26" s="24" customFormat="1" hidden="1" outlineLevel="2" x14ac:dyDescent="0.25">
      <c r="A71" s="27"/>
      <c r="B71" s="11" t="str">
        <f>CONCATENATE("          ", "6382", " - ", "DISCOUNTS/MARK DOWNS")</f>
        <v xml:space="preserve">          6382 - DISCOUNTS/MARK DOWNS</v>
      </c>
      <c r="C71" s="11"/>
      <c r="D71" s="6">
        <v>7.99</v>
      </c>
      <c r="E71" s="2"/>
      <c r="F71" s="7">
        <f t="shared" si="32"/>
        <v>1.1636696226884993E-3</v>
      </c>
      <c r="G71" s="2"/>
      <c r="H71" s="6">
        <v>500</v>
      </c>
      <c r="I71" s="2"/>
      <c r="J71" s="7">
        <f t="shared" si="33"/>
        <v>8.9968511021142599E-3</v>
      </c>
      <c r="K71" s="2"/>
      <c r="L71" s="6">
        <f t="shared" si="34"/>
        <v>-492.01</v>
      </c>
      <c r="M71" s="2"/>
      <c r="N71" s="7">
        <f t="shared" si="35"/>
        <v>-0.98402000000000001</v>
      </c>
      <c r="O71" s="11"/>
      <c r="P71" s="6">
        <v>1289.18</v>
      </c>
      <c r="Q71" s="2"/>
      <c r="R71" s="7">
        <f t="shared" si="36"/>
        <v>2.5021057743779425E-3</v>
      </c>
      <c r="S71" s="2"/>
      <c r="T71" s="6">
        <v>8300</v>
      </c>
      <c r="U71" s="2"/>
      <c r="V71" s="7">
        <f t="shared" si="37"/>
        <v>5.5503451411910839E-3</v>
      </c>
      <c r="W71" s="2"/>
      <c r="X71" s="6">
        <f t="shared" si="38"/>
        <v>-7010.82</v>
      </c>
      <c r="Y71" s="2"/>
      <c r="Z71" s="7">
        <f t="shared" si="39"/>
        <v>-0.84467710843373489</v>
      </c>
    </row>
    <row r="72" spans="1:26" s="26" customFormat="1" outlineLevel="1" collapsed="1" x14ac:dyDescent="0.25">
      <c r="A72" s="25"/>
      <c r="B72" s="12" t="str">
        <f>CONCATENATE("     ","Employees' Appreciation                           ")</f>
        <v xml:space="preserve">     Employees' Appreciation                           </v>
      </c>
      <c r="C72" s="12"/>
      <c r="D72" s="1">
        <f>SUM(OSRRefD22_5x_0)</f>
        <v>0</v>
      </c>
      <c r="E72" s="1"/>
      <c r="F72" s="5">
        <f t="shared" si="32"/>
        <v>0</v>
      </c>
      <c r="G72" s="1"/>
      <c r="H72" s="1">
        <f>SUM(OSRRefH22_5x_0)</f>
        <v>100</v>
      </c>
      <c r="I72" s="1"/>
      <c r="J72" s="5">
        <f t="shared" si="33"/>
        <v>1.7993702204228521E-3</v>
      </c>
      <c r="K72" s="1"/>
      <c r="L72" s="1">
        <f t="shared" si="34"/>
        <v>-100</v>
      </c>
      <c r="M72" s="1"/>
      <c r="N72" s="5">
        <f t="shared" si="35"/>
        <v>-1</v>
      </c>
      <c r="O72" s="12"/>
      <c r="P72" s="1">
        <f>SUM(OSRRefP22_5x_0)</f>
        <v>0</v>
      </c>
      <c r="Q72" s="1"/>
      <c r="R72" s="5">
        <f t="shared" si="36"/>
        <v>0</v>
      </c>
      <c r="S72" s="1"/>
      <c r="T72" s="1">
        <f>SUM(OSRRefT22_5x_0)</f>
        <v>1200</v>
      </c>
      <c r="U72" s="1"/>
      <c r="V72" s="5">
        <f t="shared" si="37"/>
        <v>8.0245953848545788E-4</v>
      </c>
      <c r="W72" s="1"/>
      <c r="X72" s="1">
        <f t="shared" si="38"/>
        <v>-1200</v>
      </c>
      <c r="Y72" s="1"/>
      <c r="Z72" s="5">
        <f t="shared" si="39"/>
        <v>-1</v>
      </c>
    </row>
    <row r="73" spans="1:26" s="24" customFormat="1" hidden="1" outlineLevel="2" x14ac:dyDescent="0.25">
      <c r="A73" s="27"/>
      <c r="B73" s="11" t="str">
        <f>CONCATENATE("          ", "6277", " - ", "EMPLOYEE APPRECIATION")</f>
        <v xml:space="preserve">          6277 - EMPLOYEE APPRECIATION</v>
      </c>
      <c r="C73" s="11"/>
      <c r="D73" s="6"/>
      <c r="E73" s="2"/>
      <c r="F73" s="7">
        <f t="shared" si="32"/>
        <v>0</v>
      </c>
      <c r="G73" s="2"/>
      <c r="H73" s="6">
        <v>100</v>
      </c>
      <c r="I73" s="2"/>
      <c r="J73" s="7">
        <f t="shared" si="33"/>
        <v>1.7993702204228521E-3</v>
      </c>
      <c r="K73" s="2"/>
      <c r="L73" s="6">
        <f t="shared" si="34"/>
        <v>-100</v>
      </c>
      <c r="M73" s="2"/>
      <c r="N73" s="7">
        <f t="shared" si="35"/>
        <v>-1</v>
      </c>
      <c r="O73" s="11"/>
      <c r="P73" s="6"/>
      <c r="Q73" s="2"/>
      <c r="R73" s="7">
        <f t="shared" si="36"/>
        <v>0</v>
      </c>
      <c r="S73" s="2"/>
      <c r="T73" s="6">
        <v>1200</v>
      </c>
      <c r="U73" s="2"/>
      <c r="V73" s="7">
        <f t="shared" si="37"/>
        <v>8.0245953848545788E-4</v>
      </c>
      <c r="W73" s="2"/>
      <c r="X73" s="6">
        <f t="shared" si="38"/>
        <v>-1200</v>
      </c>
      <c r="Y73" s="2"/>
      <c r="Z73" s="7">
        <f t="shared" si="39"/>
        <v>-1</v>
      </c>
    </row>
    <row r="74" spans="1:26" s="26" customFormat="1" outlineLevel="1" collapsed="1" x14ac:dyDescent="0.25">
      <c r="A74" s="25"/>
      <c r="B74" s="12" t="str">
        <f>CONCATENATE("     ","Equipment Rental                                  ")</f>
        <v xml:space="preserve">     Equipment Rental                                  </v>
      </c>
      <c r="C74" s="12"/>
      <c r="D74" s="1">
        <f>SUM(OSRRefD22_6x_0)</f>
        <v>1205.6400000000001</v>
      </c>
      <c r="E74" s="1"/>
      <c r="F74" s="5">
        <f t="shared" si="32"/>
        <v>0.17559031838525188</v>
      </c>
      <c r="G74" s="1"/>
      <c r="H74" s="1">
        <f>SUM(OSRRefH22_6x_0)</f>
        <v>3000</v>
      </c>
      <c r="I74" s="1"/>
      <c r="J74" s="5">
        <f t="shared" si="33"/>
        <v>5.3981106612685563E-2</v>
      </c>
      <c r="K74" s="1"/>
      <c r="L74" s="1">
        <f t="shared" si="34"/>
        <v>-1794.36</v>
      </c>
      <c r="M74" s="1"/>
      <c r="N74" s="5">
        <f t="shared" si="35"/>
        <v>-0.59811999999999999</v>
      </c>
      <c r="O74" s="12"/>
      <c r="P74" s="1">
        <f>SUM(OSRRefP22_6x_0)</f>
        <v>17287.350000000002</v>
      </c>
      <c r="Q74" s="1"/>
      <c r="R74" s="5">
        <f t="shared" si="36"/>
        <v>3.3552163591346842E-2</v>
      </c>
      <c r="S74" s="1"/>
      <c r="T74" s="1">
        <f>SUM(OSRRefT22_6x_0)</f>
        <v>36000</v>
      </c>
      <c r="U74" s="1"/>
      <c r="V74" s="5">
        <f t="shared" si="37"/>
        <v>2.4073786154563737E-2</v>
      </c>
      <c r="W74" s="1"/>
      <c r="X74" s="1">
        <f t="shared" si="38"/>
        <v>-18712.649999999998</v>
      </c>
      <c r="Y74" s="1"/>
      <c r="Z74" s="5">
        <f t="shared" si="39"/>
        <v>-0.51979583333333323</v>
      </c>
    </row>
    <row r="75" spans="1:26" s="24" customFormat="1" hidden="1" outlineLevel="2" x14ac:dyDescent="0.25">
      <c r="A75" s="27"/>
      <c r="B75" s="11" t="str">
        <f>CONCATENATE("          ", "6351", " - ", "EQUIPMENT RENTAL")</f>
        <v xml:space="preserve">          6351 - EQUIPMENT RENTAL</v>
      </c>
      <c r="C75" s="11"/>
      <c r="D75" s="6">
        <v>1205.6400000000001</v>
      </c>
      <c r="E75" s="2"/>
      <c r="F75" s="7">
        <f t="shared" si="32"/>
        <v>0.17559031838525188</v>
      </c>
      <c r="G75" s="2"/>
      <c r="H75" s="6">
        <v>3000</v>
      </c>
      <c r="I75" s="2"/>
      <c r="J75" s="7">
        <f t="shared" si="33"/>
        <v>5.3981106612685563E-2</v>
      </c>
      <c r="K75" s="2"/>
      <c r="L75" s="6">
        <f t="shared" si="34"/>
        <v>-1794.36</v>
      </c>
      <c r="M75" s="2"/>
      <c r="N75" s="7">
        <f t="shared" si="35"/>
        <v>-0.59811999999999999</v>
      </c>
      <c r="O75" s="11"/>
      <c r="P75" s="6">
        <v>17287.350000000002</v>
      </c>
      <c r="Q75" s="2"/>
      <c r="R75" s="7">
        <f t="shared" si="36"/>
        <v>3.3552163591346842E-2</v>
      </c>
      <c r="S75" s="2"/>
      <c r="T75" s="6">
        <v>36000</v>
      </c>
      <c r="U75" s="2"/>
      <c r="V75" s="7">
        <f t="shared" si="37"/>
        <v>2.4073786154563737E-2</v>
      </c>
      <c r="W75" s="2"/>
      <c r="X75" s="6">
        <f t="shared" si="38"/>
        <v>-18712.649999999998</v>
      </c>
      <c r="Y75" s="2"/>
      <c r="Z75" s="7">
        <f t="shared" si="39"/>
        <v>-0.51979583333333323</v>
      </c>
    </row>
    <row r="76" spans="1:26" s="26" customFormat="1" outlineLevel="1" collapsed="1" x14ac:dyDescent="0.25">
      <c r="A76" s="25"/>
      <c r="B76" s="12" t="str">
        <f>CONCATENATE("     ","Freight out/Postage                               ")</f>
        <v xml:space="preserve">     Freight out/Postage                               </v>
      </c>
      <c r="C76" s="12"/>
      <c r="D76" s="1">
        <f>SUM(OSRRefD22_7x_0)</f>
        <v>18433.239999999998</v>
      </c>
      <c r="E76" s="1"/>
      <c r="F76" s="5">
        <f t="shared" si="32"/>
        <v>2.6846309681760387</v>
      </c>
      <c r="G76" s="1"/>
      <c r="H76" s="1">
        <f>SUM(OSRRefH22_7x_0)</f>
        <v>-1300</v>
      </c>
      <c r="I76" s="1"/>
      <c r="J76" s="5">
        <f t="shared" si="33"/>
        <v>-2.3391812865497075E-2</v>
      </c>
      <c r="K76" s="1"/>
      <c r="L76" s="1">
        <f t="shared" si="34"/>
        <v>19733.239999999998</v>
      </c>
      <c r="M76" s="1"/>
      <c r="N76" s="5">
        <f t="shared" si="35"/>
        <v>-15.179415384615384</v>
      </c>
      <c r="O76" s="12"/>
      <c r="P76" s="1">
        <f>SUM(OSRRefP22_7x_0)</f>
        <v>6172.25</v>
      </c>
      <c r="Q76" s="1"/>
      <c r="R76" s="5">
        <f t="shared" si="36"/>
        <v>1.1979415105651852E-2</v>
      </c>
      <c r="S76" s="1"/>
      <c r="T76" s="1">
        <f>SUM(OSRRefT22_7x_0)</f>
        <v>-84600</v>
      </c>
      <c r="U76" s="1"/>
      <c r="V76" s="5">
        <f t="shared" si="37"/>
        <v>-5.6573397463224782E-2</v>
      </c>
      <c r="W76" s="1"/>
      <c r="X76" s="1">
        <f t="shared" si="38"/>
        <v>90772.25</v>
      </c>
      <c r="Y76" s="1"/>
      <c r="Z76" s="5">
        <f t="shared" si="39"/>
        <v>-1.0729580378250592</v>
      </c>
    </row>
    <row r="77" spans="1:26" s="24" customFormat="1" hidden="1" outlineLevel="2" x14ac:dyDescent="0.25">
      <c r="A77" s="27"/>
      <c r="B77" s="11" t="str">
        <f>CONCATENATE("          ", "6305", " - ", "FREIGHT OUT")</f>
        <v xml:space="preserve">          6305 - FREIGHT OUT</v>
      </c>
      <c r="C77" s="11"/>
      <c r="D77" s="6">
        <v>26023.289999999997</v>
      </c>
      <c r="E77" s="2"/>
      <c r="F77" s="7">
        <f t="shared" si="32"/>
        <v>3.7900515713909129</v>
      </c>
      <c r="G77" s="2"/>
      <c r="H77" s="6">
        <v>-1300</v>
      </c>
      <c r="I77" s="2"/>
      <c r="J77" s="7">
        <f t="shared" si="33"/>
        <v>-2.3391812865497075E-2</v>
      </c>
      <c r="K77" s="2"/>
      <c r="L77" s="6">
        <f t="shared" si="34"/>
        <v>27323.289999999997</v>
      </c>
      <c r="M77" s="2"/>
      <c r="N77" s="7">
        <f t="shared" si="35"/>
        <v>-21.017915384615382</v>
      </c>
      <c r="O77" s="11"/>
      <c r="P77" s="6">
        <v>71942.320000000007</v>
      </c>
      <c r="Q77" s="2"/>
      <c r="R77" s="7">
        <f t="shared" si="36"/>
        <v>0.13962929481852476</v>
      </c>
      <c r="S77" s="2"/>
      <c r="T77" s="6">
        <v>-84600</v>
      </c>
      <c r="U77" s="2"/>
      <c r="V77" s="7">
        <f t="shared" si="37"/>
        <v>-5.6573397463224782E-2</v>
      </c>
      <c r="W77" s="2"/>
      <c r="X77" s="6">
        <f t="shared" si="38"/>
        <v>156542.32</v>
      </c>
      <c r="Y77" s="2"/>
      <c r="Z77" s="7">
        <f t="shared" si="39"/>
        <v>-1.8503820330969267</v>
      </c>
    </row>
    <row r="78" spans="1:26" s="24" customFormat="1" hidden="1" outlineLevel="2" x14ac:dyDescent="0.25">
      <c r="A78" s="27"/>
      <c r="B78" s="11" t="str">
        <f>CONCATENATE("          ", "6307", " - ", "POSTAGE")</f>
        <v xml:space="preserve">          6307 - POSTAGE</v>
      </c>
      <c r="C78" s="11"/>
      <c r="D78" s="6">
        <v>-7590.05</v>
      </c>
      <c r="E78" s="2"/>
      <c r="F78" s="7">
        <f t="shared" si="32"/>
        <v>-1.1054206032148741</v>
      </c>
      <c r="G78" s="2"/>
      <c r="H78" s="6"/>
      <c r="I78" s="2"/>
      <c r="J78" s="7">
        <f t="shared" si="33"/>
        <v>0</v>
      </c>
      <c r="K78" s="2"/>
      <c r="L78" s="6">
        <f t="shared" si="34"/>
        <v>-7590.05</v>
      </c>
      <c r="M78" s="2"/>
      <c r="N78" s="7">
        <f t="shared" si="35"/>
        <v>0</v>
      </c>
      <c r="O78" s="11"/>
      <c r="P78" s="6">
        <v>-65770.070000000007</v>
      </c>
      <c r="Q78" s="2"/>
      <c r="R78" s="7">
        <f t="shared" si="36"/>
        <v>-0.12764987971287289</v>
      </c>
      <c r="S78" s="2"/>
      <c r="T78" s="6"/>
      <c r="U78" s="2"/>
      <c r="V78" s="7">
        <f t="shared" si="37"/>
        <v>0</v>
      </c>
      <c r="W78" s="2"/>
      <c r="X78" s="6">
        <f t="shared" si="38"/>
        <v>-65770.070000000007</v>
      </c>
      <c r="Y78" s="2"/>
      <c r="Z78" s="7">
        <f t="shared" si="39"/>
        <v>0</v>
      </c>
    </row>
    <row r="79" spans="1:26" s="26" customFormat="1" outlineLevel="1" collapsed="1" x14ac:dyDescent="0.25">
      <c r="A79" s="25"/>
      <c r="B79" s="12" t="str">
        <f>CONCATENATE("     ","General                                           ")</f>
        <v xml:space="preserve">     General                                           </v>
      </c>
      <c r="C79" s="12"/>
      <c r="D79" s="1">
        <f>SUM(OSRRefD22_8x_0)</f>
        <v>0</v>
      </c>
      <c r="E79" s="1"/>
      <c r="F79" s="5">
        <f t="shared" ref="F79:F84" si="40">IF(D$12=0,0,D79/D$12)</f>
        <v>0</v>
      </c>
      <c r="G79" s="1"/>
      <c r="H79" s="1">
        <f>SUM(OSRRefH22_8x_0)</f>
        <v>300</v>
      </c>
      <c r="I79" s="1"/>
      <c r="J79" s="5">
        <f t="shared" ref="J79:J84" si="41">IF(H$12=0,0,H79/H$12)</f>
        <v>5.3981106612685558E-3</v>
      </c>
      <c r="K79" s="1"/>
      <c r="L79" s="1">
        <f t="shared" ref="L79:L84" si="42">+D79-H79</f>
        <v>-300</v>
      </c>
      <c r="M79" s="1"/>
      <c r="N79" s="5">
        <f t="shared" ref="N79:N84" si="43">IF(H79=0,0,L79/H79)</f>
        <v>-1</v>
      </c>
      <c r="O79" s="12"/>
      <c r="P79" s="1">
        <f>SUM(OSRRefP22_8x_0)</f>
        <v>155.16999999999999</v>
      </c>
      <c r="Q79" s="1"/>
      <c r="R79" s="5">
        <f t="shared" ref="R79:R84" si="44">IF(P$12=0,0,P79/P$12)</f>
        <v>3.0116178734561913E-4</v>
      </c>
      <c r="S79" s="1"/>
      <c r="T79" s="1">
        <f>SUM(OSRRefT22_8x_0)</f>
        <v>3500</v>
      </c>
      <c r="U79" s="1"/>
      <c r="V79" s="5">
        <f t="shared" ref="V79:V84" si="45">IF(T$12=0,0,T79/T$12)</f>
        <v>2.3405069872492524E-3</v>
      </c>
      <c r="W79" s="1"/>
      <c r="X79" s="1">
        <f t="shared" ref="X79:X84" si="46">+P79-T79</f>
        <v>-3344.83</v>
      </c>
      <c r="Y79" s="1"/>
      <c r="Z79" s="5">
        <f t="shared" ref="Z79:Z84" si="47">IF(T79=0,0,X79/T79)</f>
        <v>-0.95566571428571423</v>
      </c>
    </row>
    <row r="80" spans="1:26" s="24" customFormat="1" hidden="1" outlineLevel="2" x14ac:dyDescent="0.25">
      <c r="A80" s="27"/>
      <c r="B80" s="11" t="str">
        <f>CONCATENATE("          ", "6279", " - ", "GENERAL EXPENSE")</f>
        <v xml:space="preserve">          6279 - GENERAL EXPENSE</v>
      </c>
      <c r="C80" s="11"/>
      <c r="D80" s="6"/>
      <c r="E80" s="2"/>
      <c r="F80" s="7">
        <f t="shared" si="40"/>
        <v>0</v>
      </c>
      <c r="G80" s="2"/>
      <c r="H80" s="6">
        <v>300</v>
      </c>
      <c r="I80" s="2"/>
      <c r="J80" s="7">
        <f t="shared" si="41"/>
        <v>5.3981106612685558E-3</v>
      </c>
      <c r="K80" s="2"/>
      <c r="L80" s="6">
        <f t="shared" si="42"/>
        <v>-300</v>
      </c>
      <c r="M80" s="2"/>
      <c r="N80" s="7">
        <f t="shared" si="43"/>
        <v>-1</v>
      </c>
      <c r="O80" s="11"/>
      <c r="P80" s="6">
        <v>155.16999999999999</v>
      </c>
      <c r="Q80" s="2"/>
      <c r="R80" s="7">
        <f t="shared" si="44"/>
        <v>3.0116178734561913E-4</v>
      </c>
      <c r="S80" s="2"/>
      <c r="T80" s="6">
        <v>3500</v>
      </c>
      <c r="U80" s="2"/>
      <c r="V80" s="7">
        <f t="shared" si="45"/>
        <v>2.3405069872492524E-3</v>
      </c>
      <c r="W80" s="2"/>
      <c r="X80" s="6">
        <f t="shared" si="46"/>
        <v>-3344.83</v>
      </c>
      <c r="Y80" s="2"/>
      <c r="Z80" s="7">
        <f t="shared" si="47"/>
        <v>-0.95566571428571423</v>
      </c>
    </row>
    <row r="81" spans="1:26" s="26" customFormat="1" outlineLevel="1" collapsed="1" x14ac:dyDescent="0.25">
      <c r="A81" s="25"/>
      <c r="B81" s="12" t="str">
        <f>CONCATENATE("     ","Inventory Adjustment                              ")</f>
        <v xml:space="preserve">     Inventory Adjustment                              </v>
      </c>
      <c r="C81" s="12"/>
      <c r="D81" s="1">
        <f>SUM(OSRRefD22_9x_0)</f>
        <v>-631</v>
      </c>
      <c r="E81" s="1"/>
      <c r="F81" s="5">
        <f t="shared" si="40"/>
        <v>-9.1899315634098006E-2</v>
      </c>
      <c r="G81" s="1"/>
      <c r="H81" s="1">
        <f>SUM(OSRRefH22_9x_0)</f>
        <v>100</v>
      </c>
      <c r="I81" s="1"/>
      <c r="J81" s="5">
        <f t="shared" si="41"/>
        <v>1.7993702204228521E-3</v>
      </c>
      <c r="K81" s="1"/>
      <c r="L81" s="1">
        <f t="shared" si="42"/>
        <v>-731</v>
      </c>
      <c r="M81" s="1"/>
      <c r="N81" s="5">
        <f t="shared" si="43"/>
        <v>-7.31</v>
      </c>
      <c r="O81" s="12"/>
      <c r="P81" s="1">
        <f>SUM(OSRRefP22_9x_0)</f>
        <v>369</v>
      </c>
      <c r="Q81" s="1"/>
      <c r="R81" s="5">
        <f t="shared" si="44"/>
        <v>7.1617387079031688E-4</v>
      </c>
      <c r="S81" s="1"/>
      <c r="T81" s="1">
        <f>SUM(OSRRefT22_9x_0)</f>
        <v>1100</v>
      </c>
      <c r="U81" s="1"/>
      <c r="V81" s="5">
        <f t="shared" si="45"/>
        <v>7.3558791027833643E-4</v>
      </c>
      <c r="W81" s="1"/>
      <c r="X81" s="1">
        <f t="shared" si="46"/>
        <v>-731</v>
      </c>
      <c r="Y81" s="1"/>
      <c r="Z81" s="5">
        <f t="shared" si="47"/>
        <v>-0.66454545454545455</v>
      </c>
    </row>
    <row r="82" spans="1:26" s="24" customFormat="1" hidden="1" outlineLevel="2" x14ac:dyDescent="0.25">
      <c r="A82" s="27"/>
      <c r="B82" s="11" t="str">
        <f>CONCATENATE("          ", "6408", " - ", "INVENTORY ADJUSTMENT")</f>
        <v xml:space="preserve">          6408 - INVENTORY ADJUSTMENT</v>
      </c>
      <c r="C82" s="11"/>
      <c r="D82" s="6">
        <v>-1000</v>
      </c>
      <c r="E82" s="2"/>
      <c r="F82" s="7">
        <f t="shared" si="40"/>
        <v>-0.14564075377828528</v>
      </c>
      <c r="G82" s="2"/>
      <c r="H82" s="6">
        <v>100</v>
      </c>
      <c r="I82" s="2"/>
      <c r="J82" s="7">
        <f t="shared" si="41"/>
        <v>1.7993702204228521E-3</v>
      </c>
      <c r="K82" s="2"/>
      <c r="L82" s="6">
        <f t="shared" si="42"/>
        <v>-1100</v>
      </c>
      <c r="M82" s="2"/>
      <c r="N82" s="7">
        <f t="shared" si="43"/>
        <v>-11</v>
      </c>
      <c r="O82" s="11"/>
      <c r="P82" s="6">
        <v>0</v>
      </c>
      <c r="Q82" s="2"/>
      <c r="R82" s="7">
        <f t="shared" si="44"/>
        <v>0</v>
      </c>
      <c r="S82" s="2"/>
      <c r="T82" s="6">
        <v>1100</v>
      </c>
      <c r="U82" s="2"/>
      <c r="V82" s="7">
        <f t="shared" si="45"/>
        <v>7.3558791027833643E-4</v>
      </c>
      <c r="W82" s="2"/>
      <c r="X82" s="6">
        <f t="shared" si="46"/>
        <v>-1100</v>
      </c>
      <c r="Y82" s="2"/>
      <c r="Z82" s="7">
        <f t="shared" si="47"/>
        <v>-1</v>
      </c>
    </row>
    <row r="83" spans="1:26" s="24" customFormat="1" hidden="1" outlineLevel="2" x14ac:dyDescent="0.25">
      <c r="A83" s="27"/>
      <c r="B83" s="11" t="str">
        <f>CONCATENATE("          ", "7792", " - ", "INV. SHRINKAGE-GRAD MERCH")</f>
        <v xml:space="preserve">          7792 - INV. SHRINKAGE-GRAD MERCH</v>
      </c>
      <c r="C83" s="11"/>
      <c r="D83" s="6">
        <v>495</v>
      </c>
      <c r="E83" s="2"/>
      <c r="F83" s="7">
        <f t="shared" si="40"/>
        <v>7.2092173120251207E-2</v>
      </c>
      <c r="G83" s="2"/>
      <c r="H83" s="6"/>
      <c r="I83" s="2"/>
      <c r="J83" s="7">
        <f t="shared" si="41"/>
        <v>0</v>
      </c>
      <c r="K83" s="2"/>
      <c r="L83" s="6">
        <f t="shared" si="42"/>
        <v>495</v>
      </c>
      <c r="M83" s="2"/>
      <c r="N83" s="7">
        <f t="shared" si="43"/>
        <v>0</v>
      </c>
      <c r="O83" s="11"/>
      <c r="P83" s="6">
        <v>495</v>
      </c>
      <c r="Q83" s="2"/>
      <c r="R83" s="7">
        <f t="shared" si="44"/>
        <v>9.6072104618213244E-4</v>
      </c>
      <c r="S83" s="2"/>
      <c r="T83" s="6"/>
      <c r="U83" s="2"/>
      <c r="V83" s="7">
        <f t="shared" si="45"/>
        <v>0</v>
      </c>
      <c r="W83" s="2"/>
      <c r="X83" s="6">
        <f t="shared" si="46"/>
        <v>495</v>
      </c>
      <c r="Y83" s="2"/>
      <c r="Z83" s="7">
        <f t="shared" si="47"/>
        <v>0</v>
      </c>
    </row>
    <row r="84" spans="1:26" s="24" customFormat="1" hidden="1" outlineLevel="2" x14ac:dyDescent="0.25">
      <c r="A84" s="27"/>
      <c r="B84" s="11" t="str">
        <f>CONCATENATE("          ", "7795", " - ", "INV. SHRINKAGE-CUSTOMER SERVIC")</f>
        <v xml:space="preserve">          7795 - INV. SHRINKAGE-CUSTOMER SERVIC</v>
      </c>
      <c r="C84" s="11"/>
      <c r="D84" s="6">
        <v>-126</v>
      </c>
      <c r="E84" s="2"/>
      <c r="F84" s="7">
        <f t="shared" si="40"/>
        <v>-1.8350734976063945E-2</v>
      </c>
      <c r="G84" s="2"/>
      <c r="H84" s="6"/>
      <c r="I84" s="2"/>
      <c r="J84" s="7">
        <f t="shared" si="41"/>
        <v>0</v>
      </c>
      <c r="K84" s="2"/>
      <c r="L84" s="6">
        <f t="shared" si="42"/>
        <v>-126</v>
      </c>
      <c r="M84" s="2"/>
      <c r="N84" s="7">
        <f t="shared" si="43"/>
        <v>0</v>
      </c>
      <c r="O84" s="11"/>
      <c r="P84" s="6">
        <v>-126</v>
      </c>
      <c r="Q84" s="2"/>
      <c r="R84" s="7">
        <f t="shared" si="44"/>
        <v>-2.4454717539181551E-4</v>
      </c>
      <c r="S84" s="2"/>
      <c r="T84" s="6"/>
      <c r="U84" s="2"/>
      <c r="V84" s="7">
        <f t="shared" si="45"/>
        <v>0</v>
      </c>
      <c r="W84" s="2"/>
      <c r="X84" s="6">
        <f t="shared" si="46"/>
        <v>-126</v>
      </c>
      <c r="Y84" s="2"/>
      <c r="Z84" s="7">
        <f t="shared" si="47"/>
        <v>0</v>
      </c>
    </row>
    <row r="85" spans="1:26" s="26" customFormat="1" outlineLevel="1" collapsed="1" x14ac:dyDescent="0.25">
      <c r="A85" s="25"/>
      <c r="B85" s="12" t="str">
        <f>CONCATENATE("     ","Repair and Maintenance                            ")</f>
        <v xml:space="preserve">     Repair and Maintenance                            </v>
      </c>
      <c r="C85" s="12"/>
      <c r="D85" s="1">
        <f>SUM(OSRRefD22_10x_0)</f>
        <v>8710.14</v>
      </c>
      <c r="E85" s="1"/>
      <c r="F85" s="5">
        <f t="shared" ref="F85:F87" si="48">IF(D$12=0,0,D85/D$12)</f>
        <v>1.2685513551143937</v>
      </c>
      <c r="G85" s="1"/>
      <c r="H85" s="1">
        <f>SUM(OSRRefH22_10x_0)</f>
        <v>7000</v>
      </c>
      <c r="I85" s="1"/>
      <c r="J85" s="5">
        <f t="shared" ref="J85:J87" si="49">IF(H$12=0,0,H85/H$12)</f>
        <v>0.12595591542959964</v>
      </c>
      <c r="K85" s="1"/>
      <c r="L85" s="1">
        <f t="shared" ref="L85:L87" si="50">+D85-H85</f>
        <v>1710.1399999999994</v>
      </c>
      <c r="M85" s="1"/>
      <c r="N85" s="5">
        <f t="shared" ref="N85:N87" si="51">IF(H85=0,0,L85/H85)</f>
        <v>0.24430571428571421</v>
      </c>
      <c r="O85" s="12"/>
      <c r="P85" s="1">
        <f>SUM(OSRRefP22_10x_0)</f>
        <v>74977.819999999992</v>
      </c>
      <c r="Q85" s="1"/>
      <c r="R85" s="5">
        <f t="shared" ref="R85:R87" si="52">IF(P$12=0,0,P85/P$12)</f>
        <v>0.14552074680980931</v>
      </c>
      <c r="S85" s="1"/>
      <c r="T85" s="1">
        <f>SUM(OSRRefT22_10x_0)</f>
        <v>84000</v>
      </c>
      <c r="U85" s="1"/>
      <c r="V85" s="5">
        <f t="shared" ref="V85:V87" si="53">IF(T$12=0,0,T85/T$12)</f>
        <v>5.6172167693982054E-2</v>
      </c>
      <c r="W85" s="1"/>
      <c r="X85" s="1">
        <f t="shared" ref="X85:X87" si="54">+P85-T85</f>
        <v>-9022.1800000000076</v>
      </c>
      <c r="Y85" s="1"/>
      <c r="Z85" s="5">
        <f t="shared" ref="Z85:Z87" si="55">IF(T85=0,0,X85/T85)</f>
        <v>-0.10740690476190486</v>
      </c>
    </row>
    <row r="86" spans="1:26" s="24" customFormat="1" hidden="1" outlineLevel="2" x14ac:dyDescent="0.25">
      <c r="A86" s="27"/>
      <c r="B86" s="11" t="str">
        <f>CONCATENATE("          ", "6373", " - ", "MAINTENANCE CONTRACTS")</f>
        <v xml:space="preserve">          6373 - MAINTENANCE CONTRACTS</v>
      </c>
      <c r="C86" s="11"/>
      <c r="D86" s="6">
        <v>8710.14</v>
      </c>
      <c r="E86" s="2"/>
      <c r="F86" s="7">
        <f t="shared" si="48"/>
        <v>1.2685513551143937</v>
      </c>
      <c r="G86" s="2"/>
      <c r="H86" s="6">
        <v>7000</v>
      </c>
      <c r="I86" s="2"/>
      <c r="J86" s="7">
        <f t="shared" si="49"/>
        <v>0.12595591542959964</v>
      </c>
      <c r="K86" s="2"/>
      <c r="L86" s="6">
        <f t="shared" si="50"/>
        <v>1710.1399999999994</v>
      </c>
      <c r="M86" s="2"/>
      <c r="N86" s="7">
        <f t="shared" si="51"/>
        <v>0.24430571428571421</v>
      </c>
      <c r="O86" s="11"/>
      <c r="P86" s="6">
        <v>73576.06</v>
      </c>
      <c r="Q86" s="2"/>
      <c r="R86" s="7">
        <f t="shared" si="52"/>
        <v>0.14280014007506939</v>
      </c>
      <c r="S86" s="2"/>
      <c r="T86" s="6">
        <v>84000</v>
      </c>
      <c r="U86" s="2"/>
      <c r="V86" s="7">
        <f t="shared" si="53"/>
        <v>5.6172167693982054E-2</v>
      </c>
      <c r="W86" s="2"/>
      <c r="X86" s="6">
        <f t="shared" si="54"/>
        <v>-10423.940000000002</v>
      </c>
      <c r="Y86" s="2"/>
      <c r="Z86" s="7">
        <f t="shared" si="55"/>
        <v>-0.12409452380952384</v>
      </c>
    </row>
    <row r="87" spans="1:26" s="24" customFormat="1" hidden="1" outlineLevel="2" x14ac:dyDescent="0.25">
      <c r="A87" s="27"/>
      <c r="B87" s="11" t="str">
        <f>CONCATENATE("          ", "6375", " - ", "OUTSIDE REPAIRS &amp; MAINTENANCE")</f>
        <v xml:space="preserve">          6375 - OUTSIDE REPAIRS &amp; MAINTENANCE</v>
      </c>
      <c r="C87" s="11"/>
      <c r="D87" s="6"/>
      <c r="E87" s="2"/>
      <c r="F87" s="7">
        <f t="shared" si="48"/>
        <v>0</v>
      </c>
      <c r="G87" s="2"/>
      <c r="H87" s="6"/>
      <c r="I87" s="2"/>
      <c r="J87" s="7">
        <f t="shared" si="49"/>
        <v>0</v>
      </c>
      <c r="K87" s="2"/>
      <c r="L87" s="6">
        <f t="shared" si="50"/>
        <v>0</v>
      </c>
      <c r="M87" s="2"/>
      <c r="N87" s="7">
        <f t="shared" si="51"/>
        <v>0</v>
      </c>
      <c r="O87" s="11"/>
      <c r="P87" s="6">
        <v>1401.76</v>
      </c>
      <c r="Q87" s="2"/>
      <c r="R87" s="7">
        <f t="shared" si="52"/>
        <v>2.7206067347399312E-3</v>
      </c>
      <c r="S87" s="2"/>
      <c r="T87" s="6"/>
      <c r="U87" s="2"/>
      <c r="V87" s="7">
        <f t="shared" si="53"/>
        <v>0</v>
      </c>
      <c r="W87" s="2"/>
      <c r="X87" s="6">
        <f t="shared" si="54"/>
        <v>1401.76</v>
      </c>
      <c r="Y87" s="2"/>
      <c r="Z87" s="7">
        <f t="shared" si="55"/>
        <v>0</v>
      </c>
    </row>
    <row r="88" spans="1:26" s="26" customFormat="1" outlineLevel="1" collapsed="1" x14ac:dyDescent="0.25">
      <c r="A88" s="25"/>
      <c r="B88" s="12" t="str">
        <f>CONCATENATE("     ","Royalty &amp; Commissions                             ")</f>
        <v xml:space="preserve">     Royalty &amp; Commissions                             </v>
      </c>
      <c r="C88" s="12"/>
      <c r="D88" s="1">
        <f>SUM(OSRRefD22_11x_0)</f>
        <v>0</v>
      </c>
      <c r="E88" s="1"/>
      <c r="F88" s="5">
        <f t="shared" ref="F88:F90" si="56">IF(D$12=0,0,D88/D$12)</f>
        <v>0</v>
      </c>
      <c r="G88" s="1"/>
      <c r="H88" s="1">
        <f>SUM(OSRRefH22_11x_0)</f>
        <v>11000</v>
      </c>
      <c r="I88" s="1"/>
      <c r="J88" s="5">
        <f t="shared" ref="J88:J90" si="57">IF(H$12=0,0,H88/H$12)</f>
        <v>0.19793072424651373</v>
      </c>
      <c r="K88" s="1"/>
      <c r="L88" s="1">
        <f t="shared" ref="L88:L90" si="58">+D88-H88</f>
        <v>-11000</v>
      </c>
      <c r="M88" s="1"/>
      <c r="N88" s="5">
        <f t="shared" ref="N88:N90" si="59">IF(H88=0,0,L88/H88)</f>
        <v>-1</v>
      </c>
      <c r="O88" s="12"/>
      <c r="P88" s="1">
        <f>SUM(OSRRefP22_11x_0)</f>
        <v>82607.740000000005</v>
      </c>
      <c r="Q88" s="1"/>
      <c r="R88" s="5">
        <f t="shared" ref="R88:R90" si="60">IF(P$12=0,0,P88/P$12)</f>
        <v>0.16032928160715473</v>
      </c>
      <c r="S88" s="1"/>
      <c r="T88" s="1">
        <f>SUM(OSRRefT22_11x_0)</f>
        <v>132000</v>
      </c>
      <c r="U88" s="1"/>
      <c r="V88" s="5">
        <f t="shared" ref="V88:V90" si="61">IF(T$12=0,0,T88/T$12)</f>
        <v>8.8270549233400372E-2</v>
      </c>
      <c r="W88" s="1"/>
      <c r="X88" s="1">
        <f t="shared" ref="X88:X90" si="62">+P88-T88</f>
        <v>-49392.259999999995</v>
      </c>
      <c r="Y88" s="1"/>
      <c r="Z88" s="5">
        <f t="shared" ref="Z88:Z90" si="63">IF(T88=0,0,X88/T88)</f>
        <v>-0.37418378787878787</v>
      </c>
    </row>
    <row r="89" spans="1:26" s="24" customFormat="1" hidden="1" outlineLevel="2" x14ac:dyDescent="0.25">
      <c r="A89" s="27"/>
      <c r="B89" s="11" t="str">
        <f>CONCATENATE("          ", "6254", " - ", "ROYALTY &amp; COMMISSIONS")</f>
        <v xml:space="preserve">          6254 - ROYALTY &amp; COMMISSIONS</v>
      </c>
      <c r="C89" s="11"/>
      <c r="D89" s="6"/>
      <c r="E89" s="2"/>
      <c r="F89" s="7">
        <f t="shared" si="56"/>
        <v>0</v>
      </c>
      <c r="G89" s="2"/>
      <c r="H89" s="6">
        <v>11000</v>
      </c>
      <c r="I89" s="2"/>
      <c r="J89" s="7">
        <f t="shared" si="57"/>
        <v>0.19793072424651373</v>
      </c>
      <c r="K89" s="2"/>
      <c r="L89" s="6">
        <f t="shared" si="58"/>
        <v>-11000</v>
      </c>
      <c r="M89" s="2"/>
      <c r="N89" s="7">
        <f t="shared" si="59"/>
        <v>-1</v>
      </c>
      <c r="O89" s="11"/>
      <c r="P89" s="6"/>
      <c r="Q89" s="2"/>
      <c r="R89" s="7">
        <f t="shared" si="60"/>
        <v>0</v>
      </c>
      <c r="S89" s="2"/>
      <c r="T89" s="6">
        <v>132000</v>
      </c>
      <c r="U89" s="2"/>
      <c r="V89" s="7">
        <f t="shared" si="61"/>
        <v>8.8270549233400372E-2</v>
      </c>
      <c r="W89" s="2"/>
      <c r="X89" s="6">
        <f t="shared" si="62"/>
        <v>-132000</v>
      </c>
      <c r="Y89" s="2"/>
      <c r="Z89" s="7">
        <f t="shared" si="63"/>
        <v>-1</v>
      </c>
    </row>
    <row r="90" spans="1:26" s="24" customFormat="1" hidden="1" outlineLevel="2" x14ac:dyDescent="0.25">
      <c r="A90" s="27"/>
      <c r="B90" s="11" t="str">
        <f>CONCATENATE("          ", "6259", " - ", "ROYALTY &amp; COMMISSIONS")</f>
        <v xml:space="preserve">          6259 - ROYALTY &amp; COMMISSIONS</v>
      </c>
      <c r="C90" s="11"/>
      <c r="D90" s="6"/>
      <c r="E90" s="2"/>
      <c r="F90" s="7">
        <f t="shared" si="56"/>
        <v>0</v>
      </c>
      <c r="G90" s="2"/>
      <c r="H90" s="6"/>
      <c r="I90" s="2"/>
      <c r="J90" s="7">
        <f t="shared" si="57"/>
        <v>0</v>
      </c>
      <c r="K90" s="2"/>
      <c r="L90" s="6">
        <f t="shared" si="58"/>
        <v>0</v>
      </c>
      <c r="M90" s="2"/>
      <c r="N90" s="7">
        <f t="shared" si="59"/>
        <v>0</v>
      </c>
      <c r="O90" s="11"/>
      <c r="P90" s="6">
        <v>82607.740000000005</v>
      </c>
      <c r="Q90" s="2"/>
      <c r="R90" s="7">
        <f t="shared" si="60"/>
        <v>0.16032928160715473</v>
      </c>
      <c r="S90" s="2"/>
      <c r="T90" s="6"/>
      <c r="U90" s="2"/>
      <c r="V90" s="7">
        <f t="shared" si="61"/>
        <v>0</v>
      </c>
      <c r="W90" s="2"/>
      <c r="X90" s="6">
        <f t="shared" si="62"/>
        <v>82607.740000000005</v>
      </c>
      <c r="Y90" s="2"/>
      <c r="Z90" s="7">
        <f t="shared" si="63"/>
        <v>0</v>
      </c>
    </row>
    <row r="91" spans="1:26" s="26" customFormat="1" outlineLevel="1" collapsed="1" x14ac:dyDescent="0.25">
      <c r="A91" s="25"/>
      <c r="B91" s="12" t="str">
        <f>CONCATENATE("     ","Supplies                                          ")</f>
        <v xml:space="preserve">     Supplies                                          </v>
      </c>
      <c r="C91" s="12"/>
      <c r="D91" s="1">
        <f>SUM(OSRRefD22_12x_0)</f>
        <v>8576.25</v>
      </c>
      <c r="E91" s="1"/>
      <c r="F91" s="5">
        <f t="shared" ref="F91:F96" si="64">IF(D$12=0,0,D91/D$12)</f>
        <v>1.249051514591019</v>
      </c>
      <c r="G91" s="1"/>
      <c r="H91" s="1">
        <f>SUM(OSRRefH22_12x_0)</f>
        <v>6500</v>
      </c>
      <c r="I91" s="1"/>
      <c r="J91" s="5">
        <f t="shared" ref="J91:J96" si="65">IF(H$12=0,0,H91/H$12)</f>
        <v>0.11695906432748537</v>
      </c>
      <c r="K91" s="1"/>
      <c r="L91" s="1">
        <f t="shared" ref="L91:L96" si="66">+D91-H91</f>
        <v>2076.25</v>
      </c>
      <c r="M91" s="1"/>
      <c r="N91" s="5">
        <f t="shared" ref="N91:N96" si="67">IF(H91=0,0,L91/H91)</f>
        <v>0.31942307692307692</v>
      </c>
      <c r="O91" s="12"/>
      <c r="P91" s="1">
        <f>SUM(OSRRefP22_12x_0)</f>
        <v>57569.740000000005</v>
      </c>
      <c r="Q91" s="1"/>
      <c r="R91" s="5">
        <f t="shared" ref="R91:R96" si="68">IF(P$12=0,0,P91/P$12)</f>
        <v>0.11173426432572396</v>
      </c>
      <c r="S91" s="1"/>
      <c r="T91" s="1">
        <f>SUM(OSRRefT22_12x_0)</f>
        <v>103450</v>
      </c>
      <c r="U91" s="1"/>
      <c r="V91" s="5">
        <f t="shared" ref="V91:V96" si="69">IF(T$12=0,0,T91/T$12)</f>
        <v>6.9178699380267189E-2</v>
      </c>
      <c r="W91" s="1"/>
      <c r="X91" s="1">
        <f t="shared" ref="X91:X96" si="70">+P91-T91</f>
        <v>-45880.259999999995</v>
      </c>
      <c r="Y91" s="1"/>
      <c r="Z91" s="5">
        <f t="shared" ref="Z91:Z96" si="71">IF(T91=0,0,X91/T91)</f>
        <v>-0.44350178830352821</v>
      </c>
    </row>
    <row r="92" spans="1:26" s="24" customFormat="1" hidden="1" outlineLevel="2" x14ac:dyDescent="0.25">
      <c r="A92" s="27"/>
      <c r="B92" s="11" t="str">
        <f>CONCATENATE("          ", "6234", " - ", "EXPENDABLE SUPPLIES &amp; EQUIPMEN")</f>
        <v xml:space="preserve">          6234 - EXPENDABLE SUPPLIES &amp; EQUIPMEN</v>
      </c>
      <c r="C92" s="11"/>
      <c r="D92" s="6">
        <v>4356.1000000000004</v>
      </c>
      <c r="E92" s="2"/>
      <c r="F92" s="7">
        <f t="shared" si="64"/>
        <v>0.63442568753358852</v>
      </c>
      <c r="G92" s="2"/>
      <c r="H92" s="6"/>
      <c r="I92" s="2"/>
      <c r="J92" s="7">
        <f t="shared" si="65"/>
        <v>0</v>
      </c>
      <c r="K92" s="2"/>
      <c r="L92" s="6">
        <f t="shared" si="66"/>
        <v>4356.1000000000004</v>
      </c>
      <c r="M92" s="2"/>
      <c r="N92" s="7">
        <f t="shared" si="67"/>
        <v>0</v>
      </c>
      <c r="O92" s="11"/>
      <c r="P92" s="6">
        <v>5373.37</v>
      </c>
      <c r="Q92" s="2"/>
      <c r="R92" s="7">
        <f t="shared" si="68"/>
        <v>1.0428908379643807E-2</v>
      </c>
      <c r="S92" s="2"/>
      <c r="T92" s="6"/>
      <c r="U92" s="2"/>
      <c r="V92" s="7">
        <f t="shared" si="69"/>
        <v>0</v>
      </c>
      <c r="W92" s="2"/>
      <c r="X92" s="6">
        <f t="shared" si="70"/>
        <v>5373.37</v>
      </c>
      <c r="Y92" s="2"/>
      <c r="Z92" s="7">
        <f t="shared" si="71"/>
        <v>0</v>
      </c>
    </row>
    <row r="93" spans="1:26" s="24" customFormat="1" hidden="1" outlineLevel="2" x14ac:dyDescent="0.25">
      <c r="A93" s="27"/>
      <c r="B93" s="11" t="str">
        <f>CONCATENATE("          ", "6241", " - ", "OFFICE EXPENSE")</f>
        <v xml:space="preserve">          6241 - OFFICE EXPENSE</v>
      </c>
      <c r="C93" s="11"/>
      <c r="D93" s="6"/>
      <c r="E93" s="2"/>
      <c r="F93" s="7">
        <f t="shared" si="64"/>
        <v>0</v>
      </c>
      <c r="G93" s="2"/>
      <c r="H93" s="6"/>
      <c r="I93" s="2"/>
      <c r="J93" s="7">
        <f t="shared" si="65"/>
        <v>0</v>
      </c>
      <c r="K93" s="2"/>
      <c r="L93" s="6">
        <f t="shared" si="66"/>
        <v>0</v>
      </c>
      <c r="M93" s="2"/>
      <c r="N93" s="7">
        <f t="shared" si="67"/>
        <v>0</v>
      </c>
      <c r="O93" s="11"/>
      <c r="P93" s="6">
        <v>1713.32</v>
      </c>
      <c r="Q93" s="2"/>
      <c r="R93" s="7">
        <f t="shared" si="68"/>
        <v>3.3252981471611535E-3</v>
      </c>
      <c r="S93" s="2"/>
      <c r="T93" s="6"/>
      <c r="U93" s="2"/>
      <c r="V93" s="7">
        <f t="shared" si="69"/>
        <v>0</v>
      </c>
      <c r="W93" s="2"/>
      <c r="X93" s="6">
        <f t="shared" si="70"/>
        <v>1713.32</v>
      </c>
      <c r="Y93" s="2"/>
      <c r="Z93" s="7">
        <f t="shared" si="71"/>
        <v>0</v>
      </c>
    </row>
    <row r="94" spans="1:26" s="24" customFormat="1" hidden="1" outlineLevel="2" x14ac:dyDescent="0.25">
      <c r="A94" s="27"/>
      <c r="B94" s="11" t="str">
        <f>CONCATENATE("          ", "6243", " - ", "PAPER SUPPLIES")</f>
        <v xml:space="preserve">          6243 - PAPER SUPPLIES</v>
      </c>
      <c r="C94" s="11"/>
      <c r="D94" s="6">
        <v>508.47</v>
      </c>
      <c r="E94" s="2"/>
      <c r="F94" s="7">
        <f t="shared" si="64"/>
        <v>7.405395407364472E-2</v>
      </c>
      <c r="G94" s="2"/>
      <c r="H94" s="6">
        <v>250</v>
      </c>
      <c r="I94" s="2"/>
      <c r="J94" s="7">
        <f t="shared" si="65"/>
        <v>4.49842555105713E-3</v>
      </c>
      <c r="K94" s="2"/>
      <c r="L94" s="6">
        <f t="shared" si="66"/>
        <v>258.47000000000003</v>
      </c>
      <c r="M94" s="2"/>
      <c r="N94" s="7">
        <f t="shared" si="67"/>
        <v>1.0338800000000001</v>
      </c>
      <c r="O94" s="11"/>
      <c r="P94" s="6">
        <v>18447.68</v>
      </c>
      <c r="Q94" s="2"/>
      <c r="R94" s="7">
        <f t="shared" si="68"/>
        <v>3.5804190766127675E-2</v>
      </c>
      <c r="S94" s="2"/>
      <c r="T94" s="6">
        <v>3000</v>
      </c>
      <c r="U94" s="2"/>
      <c r="V94" s="7">
        <f t="shared" si="69"/>
        <v>2.0061488462136449E-3</v>
      </c>
      <c r="W94" s="2"/>
      <c r="X94" s="6">
        <f t="shared" si="70"/>
        <v>15447.68</v>
      </c>
      <c r="Y94" s="2"/>
      <c r="Z94" s="7">
        <f t="shared" si="71"/>
        <v>5.1492266666666664</v>
      </c>
    </row>
    <row r="95" spans="1:26" s="24" customFormat="1" hidden="1" outlineLevel="2" x14ac:dyDescent="0.25">
      <c r="A95" s="27"/>
      <c r="B95" s="11" t="str">
        <f>CONCATENATE("          ", "6245", " - ", "PRINTING")</f>
        <v xml:space="preserve">          6245 - PRINTING</v>
      </c>
      <c r="C95" s="11"/>
      <c r="D95" s="6"/>
      <c r="E95" s="2"/>
      <c r="F95" s="7">
        <f t="shared" si="64"/>
        <v>0</v>
      </c>
      <c r="G95" s="2"/>
      <c r="H95" s="6"/>
      <c r="I95" s="2"/>
      <c r="J95" s="7">
        <f t="shared" si="65"/>
        <v>0</v>
      </c>
      <c r="K95" s="2"/>
      <c r="L95" s="6">
        <f t="shared" si="66"/>
        <v>0</v>
      </c>
      <c r="M95" s="2"/>
      <c r="N95" s="7">
        <f t="shared" si="67"/>
        <v>0</v>
      </c>
      <c r="O95" s="11"/>
      <c r="P95" s="6">
        <v>5894.17</v>
      </c>
      <c r="Q95" s="2"/>
      <c r="R95" s="7">
        <f t="shared" si="68"/>
        <v>1.1439703371263312E-2</v>
      </c>
      <c r="S95" s="2"/>
      <c r="T95" s="6"/>
      <c r="U95" s="2"/>
      <c r="V95" s="7">
        <f t="shared" si="69"/>
        <v>0</v>
      </c>
      <c r="W95" s="2"/>
      <c r="X95" s="6">
        <f t="shared" si="70"/>
        <v>5894.17</v>
      </c>
      <c r="Y95" s="2"/>
      <c r="Z95" s="7">
        <f t="shared" si="71"/>
        <v>0</v>
      </c>
    </row>
    <row r="96" spans="1:26" s="24" customFormat="1" hidden="1" outlineLevel="2" x14ac:dyDescent="0.25">
      <c r="A96" s="27"/>
      <c r="B96" s="11" t="str">
        <f>CONCATENATE("          ", "6247", " - ", "STORE SUPPLIES")</f>
        <v xml:space="preserve">          6247 - STORE SUPPLIES</v>
      </c>
      <c r="C96" s="11"/>
      <c r="D96" s="6">
        <v>3711.68</v>
      </c>
      <c r="E96" s="2"/>
      <c r="F96" s="7">
        <f t="shared" si="64"/>
        <v>0.54057187298378584</v>
      </c>
      <c r="G96" s="2"/>
      <c r="H96" s="6">
        <v>6250</v>
      </c>
      <c r="I96" s="2"/>
      <c r="J96" s="7">
        <f t="shared" si="65"/>
        <v>0.11246063877642826</v>
      </c>
      <c r="K96" s="2"/>
      <c r="L96" s="6">
        <f t="shared" si="66"/>
        <v>-2538.3200000000002</v>
      </c>
      <c r="M96" s="2"/>
      <c r="N96" s="7">
        <f t="shared" si="67"/>
        <v>-0.40613120000000003</v>
      </c>
      <c r="O96" s="11"/>
      <c r="P96" s="6">
        <v>26141.200000000001</v>
      </c>
      <c r="Q96" s="2"/>
      <c r="R96" s="7">
        <f t="shared" si="68"/>
        <v>5.0736163661528E-2</v>
      </c>
      <c r="S96" s="2"/>
      <c r="T96" s="6">
        <v>100450</v>
      </c>
      <c r="U96" s="2"/>
      <c r="V96" s="7">
        <f t="shared" si="69"/>
        <v>6.7172550534053535E-2</v>
      </c>
      <c r="W96" s="2"/>
      <c r="X96" s="6">
        <f t="shared" si="70"/>
        <v>-74308.800000000003</v>
      </c>
      <c r="Y96" s="2"/>
      <c r="Z96" s="7">
        <f t="shared" si="71"/>
        <v>-0.73975908412145353</v>
      </c>
    </row>
    <row r="97" spans="1:26" s="26" customFormat="1" outlineLevel="1" collapsed="1" x14ac:dyDescent="0.25">
      <c r="A97" s="25"/>
      <c r="B97" s="12" t="str">
        <f>CONCATENATE("     ","Telephone/Data Lines                              ")</f>
        <v xml:space="preserve">     Telephone/Data Lines                              </v>
      </c>
      <c r="C97" s="12"/>
      <c r="D97" s="1">
        <f>SUM(OSRRefD22_13x_0)</f>
        <v>124.9</v>
      </c>
      <c r="E97" s="1"/>
      <c r="F97" s="5">
        <f t="shared" ref="F97:F99" si="72">IF(D$12=0,0,D97/D$12)</f>
        <v>1.8190530146907833E-2</v>
      </c>
      <c r="G97" s="1"/>
      <c r="H97" s="1">
        <f>SUM(OSRRefH22_13x_0)</f>
        <v>200</v>
      </c>
      <c r="I97" s="1"/>
      <c r="J97" s="5">
        <f t="shared" ref="J97:J99" si="73">IF(H$12=0,0,H97/H$12)</f>
        <v>3.5987404408457041E-3</v>
      </c>
      <c r="K97" s="1"/>
      <c r="L97" s="1">
        <f t="shared" ref="L97:L99" si="74">+D97-H97</f>
        <v>-75.099999999999994</v>
      </c>
      <c r="M97" s="1"/>
      <c r="N97" s="5">
        <f t="shared" ref="N97:N99" si="75">IF(H97=0,0,L97/H97)</f>
        <v>-0.37549999999999994</v>
      </c>
      <c r="O97" s="12"/>
      <c r="P97" s="1">
        <f>SUM(OSRRefP22_13x_0)</f>
        <v>2338.5</v>
      </c>
      <c r="Q97" s="1"/>
      <c r="R97" s="5">
        <f t="shared" ref="R97:R99" si="76">IF(P$12=0,0,P97/P$12)</f>
        <v>4.5386791242361954E-3</v>
      </c>
      <c r="S97" s="1"/>
      <c r="T97" s="1">
        <f>SUM(OSRRefT22_13x_0)</f>
        <v>2400</v>
      </c>
      <c r="U97" s="1"/>
      <c r="V97" s="5">
        <f t="shared" ref="V97:V99" si="77">IF(T$12=0,0,T97/T$12)</f>
        <v>1.6049190769709158E-3</v>
      </c>
      <c r="W97" s="1"/>
      <c r="X97" s="1">
        <f t="shared" ref="X97:X99" si="78">+P97-T97</f>
        <v>-61.5</v>
      </c>
      <c r="Y97" s="1"/>
      <c r="Z97" s="5">
        <f t="shared" ref="Z97:Z99" si="79">IF(T97=0,0,X97/T97)</f>
        <v>-2.5624999999999998E-2</v>
      </c>
    </row>
    <row r="98" spans="1:26" s="24" customFormat="1" hidden="1" outlineLevel="2" x14ac:dyDescent="0.25">
      <c r="A98" s="27"/>
      <c r="B98" s="11" t="str">
        <f>CONCATENATE("          ", "6303", " - ", "DATA PHONE LINES")</f>
        <v xml:space="preserve">          6303 - DATA PHONE LINES</v>
      </c>
      <c r="C98" s="11"/>
      <c r="D98" s="6"/>
      <c r="E98" s="2"/>
      <c r="F98" s="7">
        <f t="shared" si="72"/>
        <v>0</v>
      </c>
      <c r="G98" s="2"/>
      <c r="H98" s="6">
        <v>200</v>
      </c>
      <c r="I98" s="2"/>
      <c r="J98" s="7">
        <f t="shared" si="73"/>
        <v>3.5987404408457041E-3</v>
      </c>
      <c r="K98" s="2"/>
      <c r="L98" s="6">
        <f t="shared" si="74"/>
        <v>-200</v>
      </c>
      <c r="M98" s="2"/>
      <c r="N98" s="7">
        <f t="shared" si="75"/>
        <v>-1</v>
      </c>
      <c r="O98" s="11"/>
      <c r="P98" s="6"/>
      <c r="Q98" s="2"/>
      <c r="R98" s="7">
        <f t="shared" si="76"/>
        <v>0</v>
      </c>
      <c r="S98" s="2"/>
      <c r="T98" s="6">
        <v>2400</v>
      </c>
      <c r="U98" s="2"/>
      <c r="V98" s="7">
        <f t="shared" si="77"/>
        <v>1.6049190769709158E-3</v>
      </c>
      <c r="W98" s="2"/>
      <c r="X98" s="6">
        <f t="shared" si="78"/>
        <v>-2400</v>
      </c>
      <c r="Y98" s="2"/>
      <c r="Z98" s="7">
        <f t="shared" si="79"/>
        <v>-1</v>
      </c>
    </row>
    <row r="99" spans="1:26" s="24" customFormat="1" hidden="1" outlineLevel="2" x14ac:dyDescent="0.25">
      <c r="A99" s="27"/>
      <c r="B99" s="11" t="str">
        <f>CONCATENATE("          ", "6309", " - ", "TELEPHONE")</f>
        <v xml:space="preserve">          6309 - TELEPHONE</v>
      </c>
      <c r="C99" s="11"/>
      <c r="D99" s="6">
        <v>124.9</v>
      </c>
      <c r="E99" s="2"/>
      <c r="F99" s="7">
        <f t="shared" si="72"/>
        <v>1.8190530146907833E-2</v>
      </c>
      <c r="G99" s="2"/>
      <c r="H99" s="6"/>
      <c r="I99" s="2"/>
      <c r="J99" s="7">
        <f t="shared" si="73"/>
        <v>0</v>
      </c>
      <c r="K99" s="2"/>
      <c r="L99" s="6">
        <f t="shared" si="74"/>
        <v>124.9</v>
      </c>
      <c r="M99" s="2"/>
      <c r="N99" s="7">
        <f t="shared" si="75"/>
        <v>0</v>
      </c>
      <c r="O99" s="11"/>
      <c r="P99" s="6">
        <v>2338.5</v>
      </c>
      <c r="Q99" s="2"/>
      <c r="R99" s="7">
        <f t="shared" si="76"/>
        <v>4.5386791242361954E-3</v>
      </c>
      <c r="S99" s="2"/>
      <c r="T99" s="6"/>
      <c r="U99" s="2"/>
      <c r="V99" s="7">
        <f t="shared" si="77"/>
        <v>0</v>
      </c>
      <c r="W99" s="2"/>
      <c r="X99" s="6">
        <f t="shared" si="78"/>
        <v>2338.5</v>
      </c>
      <c r="Y99" s="2"/>
      <c r="Z99" s="7">
        <f t="shared" si="79"/>
        <v>0</v>
      </c>
    </row>
    <row r="100" spans="1:26" s="26" customFormat="1" outlineLevel="1" collapsed="1" x14ac:dyDescent="0.25">
      <c r="A100" s="25"/>
      <c r="B100" s="12" t="str">
        <f>CONCATENATE("     ","Training                                          ")</f>
        <v xml:space="preserve">     Training                                          </v>
      </c>
      <c r="C100" s="12"/>
      <c r="D100" s="1">
        <f>SUM(OSRRefD22_14x_0)</f>
        <v>0</v>
      </c>
      <c r="E100" s="1"/>
      <c r="F100" s="5">
        <f t="shared" ref="F100:F101" si="80">IF(D$12=0,0,D100/D$12)</f>
        <v>0</v>
      </c>
      <c r="G100" s="1"/>
      <c r="H100" s="1">
        <f>SUM(OSRRefH22_14x_0)</f>
        <v>0</v>
      </c>
      <c r="I100" s="1"/>
      <c r="J100" s="5">
        <f t="shared" ref="J100:J101" si="81">IF(H$12=0,0,H100/H$12)</f>
        <v>0</v>
      </c>
      <c r="K100" s="1"/>
      <c r="L100" s="1">
        <f t="shared" ref="L100:L101" si="82">+D100-H100</f>
        <v>0</v>
      </c>
      <c r="M100" s="1"/>
      <c r="N100" s="5">
        <f t="shared" ref="N100:N101" si="83">IF(H100=0,0,L100/H100)</f>
        <v>0</v>
      </c>
      <c r="O100" s="12"/>
      <c r="P100" s="1">
        <f>SUM(OSRRefP22_14x_0)</f>
        <v>97.71</v>
      </c>
      <c r="Q100" s="1"/>
      <c r="R100" s="5">
        <f t="shared" ref="R100:R101" si="84">IF(P$12=0,0,P100/P$12)</f>
        <v>1.8964051196455789E-4</v>
      </c>
      <c r="S100" s="1"/>
      <c r="T100" s="1">
        <f>SUM(OSRRefT22_14x_0)</f>
        <v>0</v>
      </c>
      <c r="U100" s="1"/>
      <c r="V100" s="5">
        <f t="shared" ref="V100:V101" si="85">IF(T$12=0,0,T100/T$12)</f>
        <v>0</v>
      </c>
      <c r="W100" s="1"/>
      <c r="X100" s="1">
        <f t="shared" ref="X100:X101" si="86">+P100-T100</f>
        <v>97.71</v>
      </c>
      <c r="Y100" s="1"/>
      <c r="Z100" s="5">
        <f t="shared" ref="Z100:Z101" si="87">IF(T100=0,0,X100/T100)</f>
        <v>0</v>
      </c>
    </row>
    <row r="101" spans="1:26" s="24" customFormat="1" hidden="1" outlineLevel="2" x14ac:dyDescent="0.25">
      <c r="A101" s="27"/>
      <c r="B101" s="11" t="str">
        <f>CONCATENATE("          ", "6376", " - ", "TRAINING")</f>
        <v xml:space="preserve">          6376 - TRAINING</v>
      </c>
      <c r="C101" s="11"/>
      <c r="D101" s="6"/>
      <c r="E101" s="2"/>
      <c r="F101" s="7">
        <f t="shared" si="80"/>
        <v>0</v>
      </c>
      <c r="G101" s="2"/>
      <c r="H101" s="6"/>
      <c r="I101" s="2"/>
      <c r="J101" s="7">
        <f t="shared" si="81"/>
        <v>0</v>
      </c>
      <c r="K101" s="2"/>
      <c r="L101" s="6">
        <f t="shared" si="82"/>
        <v>0</v>
      </c>
      <c r="M101" s="2"/>
      <c r="N101" s="7">
        <f t="shared" si="83"/>
        <v>0</v>
      </c>
      <c r="O101" s="11"/>
      <c r="P101" s="6">
        <v>97.71</v>
      </c>
      <c r="Q101" s="2"/>
      <c r="R101" s="7">
        <f t="shared" si="84"/>
        <v>1.8964051196455789E-4</v>
      </c>
      <c r="S101" s="2"/>
      <c r="T101" s="6"/>
      <c r="U101" s="2"/>
      <c r="V101" s="7">
        <f t="shared" si="85"/>
        <v>0</v>
      </c>
      <c r="W101" s="2"/>
      <c r="X101" s="6">
        <f t="shared" si="86"/>
        <v>97.71</v>
      </c>
      <c r="Y101" s="2"/>
      <c r="Z101" s="7">
        <f t="shared" si="87"/>
        <v>0</v>
      </c>
    </row>
    <row r="102" spans="1:26" s="60" customFormat="1" x14ac:dyDescent="0.25">
      <c r="A102" s="36"/>
      <c r="B102" s="36"/>
      <c r="C102" s="36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6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collapsed="1" x14ac:dyDescent="0.25">
      <c r="A103" s="10"/>
      <c r="B103" s="28" t="s">
        <v>0</v>
      </c>
      <c r="C103" s="10"/>
      <c r="D103" s="4">
        <f>SUM(OSRRefD25x_0)</f>
        <v>13269</v>
      </c>
      <c r="E103" s="4"/>
      <c r="F103" s="13">
        <f t="shared" ref="F103:F110" si="88">IF(D$12=0,0,D103/D$12)</f>
        <v>1.9325071618840672</v>
      </c>
      <c r="G103" s="4"/>
      <c r="H103" s="4">
        <f>SUM(OSRRefH25x_0)</f>
        <v>26250</v>
      </c>
      <c r="I103" s="4"/>
      <c r="J103" s="13">
        <f t="shared" ref="J103:J110" si="89">IF(H$12=0,0,H103/H$12)</f>
        <v>0.47233468286099867</v>
      </c>
      <c r="K103" s="4"/>
      <c r="L103" s="4">
        <f t="shared" ref="L103:L110" si="90">+D103-H103</f>
        <v>-12981</v>
      </c>
      <c r="M103" s="4"/>
      <c r="N103" s="13">
        <f t="shared" ref="N103:N110" si="91">IF(H103=0,0,L103/H103)</f>
        <v>-0.49451428571428574</v>
      </c>
      <c r="O103" s="10"/>
      <c r="P103" s="4">
        <f>SUM(OSRRefP25x_0)</f>
        <v>671250.55</v>
      </c>
      <c r="Q103" s="4"/>
      <c r="R103" s="13">
        <f t="shared" ref="R103:R110" si="92">IF(P$12=0,0,P103/P$12)</f>
        <v>1.3027970316087512</v>
      </c>
      <c r="S103" s="4"/>
      <c r="T103" s="4">
        <f>SUM(OSRRefT25x_0)</f>
        <v>312000</v>
      </c>
      <c r="U103" s="4"/>
      <c r="V103" s="13">
        <f t="shared" ref="V103:V110" si="93">IF(T$12=0,0,T103/T$12)</f>
        <v>0.20863948000621907</v>
      </c>
      <c r="W103" s="4"/>
      <c r="X103" s="4">
        <f t="shared" ref="X103:X110" si="94">+P103-T103</f>
        <v>359250.55000000005</v>
      </c>
      <c r="Y103" s="4"/>
      <c r="Z103" s="13">
        <f t="shared" ref="Z103:Z110" si="95">IF(T103=0,0,X103/T103)</f>
        <v>1.1514440705128206</v>
      </c>
    </row>
    <row r="104" spans="1:26" s="24" customFormat="1" hidden="1" outlineLevel="1" x14ac:dyDescent="0.25">
      <c r="A104" s="44"/>
      <c r="B104" s="11" t="str">
        <f>CONCATENATE("          ", "4098", " - ", "TAXABLE SALES-GRAD RENTALS")</f>
        <v xml:space="preserve">          4098 - TAXABLE SALES-GRAD RENTALS</v>
      </c>
      <c r="C104" s="11"/>
      <c r="D104" s="2">
        <f t="shared" ref="D104:D106" si="96">0</f>
        <v>0</v>
      </c>
      <c r="E104" s="2"/>
      <c r="F104" s="19">
        <f t="shared" si="88"/>
        <v>0</v>
      </c>
      <c r="G104" s="2"/>
      <c r="H104" s="2"/>
      <c r="I104" s="2"/>
      <c r="J104" s="19">
        <f t="shared" si="89"/>
        <v>0</v>
      </c>
      <c r="K104" s="2"/>
      <c r="L104" s="2">
        <f t="shared" si="90"/>
        <v>0</v>
      </c>
      <c r="M104" s="2"/>
      <c r="N104" s="19">
        <f t="shared" si="91"/>
        <v>0</v>
      </c>
      <c r="O104" s="11"/>
      <c r="P104" s="2">
        <f>--1946.85</f>
        <v>1946.85</v>
      </c>
      <c r="Q104" s="2"/>
      <c r="R104" s="19">
        <f t="shared" si="92"/>
        <v>3.7785449873933017E-3</v>
      </c>
      <c r="S104" s="2"/>
      <c r="T104" s="2"/>
      <c r="U104" s="2"/>
      <c r="V104" s="19">
        <f t="shared" si="93"/>
        <v>0</v>
      </c>
      <c r="W104" s="2"/>
      <c r="X104" s="2">
        <f t="shared" si="94"/>
        <v>1946.85</v>
      </c>
      <c r="Y104" s="2"/>
      <c r="Z104" s="19">
        <f t="shared" si="95"/>
        <v>0</v>
      </c>
    </row>
    <row r="105" spans="1:26" s="24" customFormat="1" hidden="1" outlineLevel="1" x14ac:dyDescent="0.25">
      <c r="A105" s="44"/>
      <c r="B105" s="11" t="str">
        <f>CONCATENATE("          ", "4197", " - ", "NON-TAXABLE SALES-RETURNED CHE")</f>
        <v xml:space="preserve">          4197 - NON-TAXABLE SALES-RETURNED CHE</v>
      </c>
      <c r="C105" s="11"/>
      <c r="D105" s="2">
        <f t="shared" si="96"/>
        <v>0</v>
      </c>
      <c r="E105" s="2"/>
      <c r="F105" s="19">
        <f t="shared" si="88"/>
        <v>0</v>
      </c>
      <c r="G105" s="2"/>
      <c r="H105" s="2"/>
      <c r="I105" s="2"/>
      <c r="J105" s="19">
        <f t="shared" si="89"/>
        <v>0</v>
      </c>
      <c r="K105" s="2"/>
      <c r="L105" s="2">
        <f t="shared" si="90"/>
        <v>0</v>
      </c>
      <c r="M105" s="2"/>
      <c r="N105" s="19">
        <f t="shared" si="91"/>
        <v>0</v>
      </c>
      <c r="O105" s="11"/>
      <c r="P105" s="2">
        <f>--30</f>
        <v>30</v>
      </c>
      <c r="Q105" s="2"/>
      <c r="R105" s="19">
        <f t="shared" si="92"/>
        <v>5.8225517950432265E-5</v>
      </c>
      <c r="S105" s="2"/>
      <c r="T105" s="2"/>
      <c r="U105" s="2"/>
      <c r="V105" s="19">
        <f t="shared" si="93"/>
        <v>0</v>
      </c>
      <c r="W105" s="2"/>
      <c r="X105" s="2">
        <f t="shared" si="94"/>
        <v>30</v>
      </c>
      <c r="Y105" s="2"/>
      <c r="Z105" s="19">
        <f t="shared" si="95"/>
        <v>0</v>
      </c>
    </row>
    <row r="106" spans="1:26" s="24" customFormat="1" hidden="1" outlineLevel="1" x14ac:dyDescent="0.25">
      <c r="A106" s="44"/>
      <c r="B106" s="11" t="str">
        <f>CONCATENATE("          ", "4198", " - ", "NON-TAXABLE SALES-GRAD RENTALS")</f>
        <v xml:space="preserve">          4198 - NON-TAXABLE SALES-GRAD RENTALS</v>
      </c>
      <c r="C106" s="11"/>
      <c r="D106" s="2">
        <f t="shared" si="96"/>
        <v>0</v>
      </c>
      <c r="E106" s="2"/>
      <c r="F106" s="19">
        <f t="shared" si="88"/>
        <v>0</v>
      </c>
      <c r="G106" s="2"/>
      <c r="H106" s="2"/>
      <c r="I106" s="2"/>
      <c r="J106" s="19">
        <f t="shared" si="89"/>
        <v>0</v>
      </c>
      <c r="K106" s="2"/>
      <c r="L106" s="2">
        <f t="shared" si="90"/>
        <v>0</v>
      </c>
      <c r="M106" s="2"/>
      <c r="N106" s="19">
        <f t="shared" si="91"/>
        <v>0</v>
      </c>
      <c r="O106" s="11"/>
      <c r="P106" s="2">
        <f>--163.76</f>
        <v>163.76</v>
      </c>
      <c r="Q106" s="2"/>
      <c r="R106" s="19">
        <f t="shared" si="92"/>
        <v>3.1783369398542626E-4</v>
      </c>
      <c r="S106" s="2"/>
      <c r="T106" s="2"/>
      <c r="U106" s="2"/>
      <c r="V106" s="19">
        <f t="shared" si="93"/>
        <v>0</v>
      </c>
      <c r="W106" s="2"/>
      <c r="X106" s="2">
        <f t="shared" si="94"/>
        <v>163.76</v>
      </c>
      <c r="Y106" s="2"/>
      <c r="Z106" s="19">
        <f t="shared" si="95"/>
        <v>0</v>
      </c>
    </row>
    <row r="107" spans="1:26" s="24" customFormat="1" hidden="1" outlineLevel="1" x14ac:dyDescent="0.25">
      <c r="A107" s="44"/>
      <c r="B107" s="11" t="str">
        <f>CONCATENATE("          ", "9150", " - ", "MISC. INCOME")</f>
        <v xml:space="preserve">          9150 - MISC. INCOME</v>
      </c>
      <c r="C107" s="11"/>
      <c r="D107" s="2">
        <f>--13269</f>
        <v>13269</v>
      </c>
      <c r="E107" s="2"/>
      <c r="F107" s="19">
        <f t="shared" si="88"/>
        <v>1.9325071618840672</v>
      </c>
      <c r="G107" s="2"/>
      <c r="H107" s="2"/>
      <c r="I107" s="2"/>
      <c r="J107" s="19">
        <f t="shared" si="89"/>
        <v>0</v>
      </c>
      <c r="K107" s="2"/>
      <c r="L107" s="2">
        <f t="shared" si="90"/>
        <v>13269</v>
      </c>
      <c r="M107" s="2"/>
      <c r="N107" s="19">
        <f t="shared" si="91"/>
        <v>0</v>
      </c>
      <c r="O107" s="11"/>
      <c r="P107" s="2">
        <f>--157901.1</f>
        <v>157901.1</v>
      </c>
      <c r="Q107" s="2"/>
      <c r="R107" s="19">
        <f t="shared" si="92"/>
        <v>0.30646244441476667</v>
      </c>
      <c r="S107" s="2"/>
      <c r="T107" s="2">
        <v>12250</v>
      </c>
      <c r="U107" s="2"/>
      <c r="V107" s="19">
        <f t="shared" si="93"/>
        <v>8.1917744553723828E-3</v>
      </c>
      <c r="W107" s="2"/>
      <c r="X107" s="2">
        <f t="shared" si="94"/>
        <v>145651.1</v>
      </c>
      <c r="Y107" s="2"/>
      <c r="Z107" s="19">
        <f t="shared" si="95"/>
        <v>11.889885714285715</v>
      </c>
    </row>
    <row r="108" spans="1:26" s="24" customFormat="1" hidden="1" outlineLevel="1" x14ac:dyDescent="0.25">
      <c r="A108" s="44"/>
      <c r="B108" s="11" t="str">
        <f>CONCATENATE("          ", "9151", " - ", "MISC. INCOME")</f>
        <v xml:space="preserve">          9151 - MISC. INCOME</v>
      </c>
      <c r="C108" s="11"/>
      <c r="D108" s="2">
        <f t="shared" ref="D108:D110" si="97">0</f>
        <v>0</v>
      </c>
      <c r="E108" s="2"/>
      <c r="F108" s="19">
        <f t="shared" si="88"/>
        <v>0</v>
      </c>
      <c r="G108" s="2"/>
      <c r="H108" s="2">
        <v>12250</v>
      </c>
      <c r="I108" s="2"/>
      <c r="J108" s="19">
        <f t="shared" si="89"/>
        <v>0.22042285200179937</v>
      </c>
      <c r="K108" s="2"/>
      <c r="L108" s="2">
        <f t="shared" si="90"/>
        <v>-12250</v>
      </c>
      <c r="M108" s="2"/>
      <c r="N108" s="19">
        <f t="shared" si="91"/>
        <v>-1</v>
      </c>
      <c r="O108" s="11"/>
      <c r="P108" s="2">
        <f>0</f>
        <v>0</v>
      </c>
      <c r="Q108" s="2"/>
      <c r="R108" s="19">
        <f t="shared" si="92"/>
        <v>0</v>
      </c>
      <c r="S108" s="2"/>
      <c r="T108" s="2">
        <v>134750</v>
      </c>
      <c r="U108" s="2"/>
      <c r="V108" s="19">
        <f t="shared" si="93"/>
        <v>9.0109519009096209E-2</v>
      </c>
      <c r="W108" s="2"/>
      <c r="X108" s="2">
        <f t="shared" si="94"/>
        <v>-134750</v>
      </c>
      <c r="Y108" s="2"/>
      <c r="Z108" s="19">
        <f t="shared" si="95"/>
        <v>-1</v>
      </c>
    </row>
    <row r="109" spans="1:26" s="24" customFormat="1" hidden="1" outlineLevel="1" x14ac:dyDescent="0.25">
      <c r="A109" s="44"/>
      <c r="B109" s="11" t="str">
        <f>CONCATENATE("          ", "9160", " - ", "MISC. INCOME")</f>
        <v xml:space="preserve">          9160 - MISC. INCOME</v>
      </c>
      <c r="C109" s="11"/>
      <c r="D109" s="2">
        <f t="shared" si="97"/>
        <v>0</v>
      </c>
      <c r="E109" s="2"/>
      <c r="F109" s="19">
        <f t="shared" si="88"/>
        <v>0</v>
      </c>
      <c r="G109" s="2"/>
      <c r="H109" s="2">
        <v>14000</v>
      </c>
      <c r="I109" s="2"/>
      <c r="J109" s="19">
        <f t="shared" si="89"/>
        <v>0.25191183085919927</v>
      </c>
      <c r="K109" s="2"/>
      <c r="L109" s="2">
        <f t="shared" si="90"/>
        <v>-14000</v>
      </c>
      <c r="M109" s="2"/>
      <c r="N109" s="19">
        <f t="shared" si="91"/>
        <v>-1</v>
      </c>
      <c r="O109" s="11"/>
      <c r="P109" s="2">
        <f>--22475</f>
        <v>22475</v>
      </c>
      <c r="Q109" s="2"/>
      <c r="R109" s="19">
        <f t="shared" si="92"/>
        <v>4.3620617197865509E-2</v>
      </c>
      <c r="S109" s="2"/>
      <c r="T109" s="2">
        <v>165000</v>
      </c>
      <c r="U109" s="2"/>
      <c r="V109" s="19">
        <f t="shared" si="93"/>
        <v>0.11033818654175047</v>
      </c>
      <c r="W109" s="2"/>
      <c r="X109" s="2">
        <f t="shared" si="94"/>
        <v>-142525</v>
      </c>
      <c r="Y109" s="2"/>
      <c r="Z109" s="19">
        <f t="shared" si="95"/>
        <v>-0.86378787878787877</v>
      </c>
    </row>
    <row r="110" spans="1:26" s="24" customFormat="1" hidden="1" outlineLevel="1" x14ac:dyDescent="0.25">
      <c r="A110" s="44"/>
      <c r="B110" s="11" t="str">
        <f>CONCATENATE("          ", "9163", " - ", "MISC. INCOME")</f>
        <v xml:space="preserve">          9163 - MISC. INCOME</v>
      </c>
      <c r="C110" s="11"/>
      <c r="D110" s="2">
        <f t="shared" si="97"/>
        <v>0</v>
      </c>
      <c r="E110" s="2"/>
      <c r="F110" s="19">
        <f t="shared" si="88"/>
        <v>0</v>
      </c>
      <c r="G110" s="2"/>
      <c r="H110" s="2"/>
      <c r="I110" s="2"/>
      <c r="J110" s="19">
        <f t="shared" si="89"/>
        <v>0</v>
      </c>
      <c r="K110" s="2"/>
      <c r="L110" s="2">
        <f t="shared" si="90"/>
        <v>0</v>
      </c>
      <c r="M110" s="2"/>
      <c r="N110" s="19">
        <f t="shared" si="91"/>
        <v>0</v>
      </c>
      <c r="O110" s="11"/>
      <c r="P110" s="2">
        <f>--488733.84</f>
        <v>488733.84</v>
      </c>
      <c r="Q110" s="2"/>
      <c r="R110" s="19">
        <f t="shared" si="92"/>
        <v>0.94855936579678979</v>
      </c>
      <c r="S110" s="2"/>
      <c r="T110" s="2"/>
      <c r="U110" s="2"/>
      <c r="V110" s="19">
        <f t="shared" si="93"/>
        <v>0</v>
      </c>
      <c r="W110" s="2"/>
      <c r="X110" s="2">
        <f t="shared" si="94"/>
        <v>488733.84</v>
      </c>
      <c r="Y110" s="2"/>
      <c r="Z110" s="19">
        <f t="shared" si="95"/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9" t="s">
        <v>3</v>
      </c>
      <c r="C112" s="29"/>
      <c r="D112" s="22">
        <f>+D42-D44+D103</f>
        <v>-30793.249999999993</v>
      </c>
      <c r="E112" s="14"/>
      <c r="F112" s="20">
        <f>IF(D$12=0,0,D112/D$12)</f>
        <v>-4.4847521412831819</v>
      </c>
      <c r="G112" s="14"/>
      <c r="H112" s="22">
        <f>+H42-H44+H103</f>
        <v>30481.065177605211</v>
      </c>
      <c r="I112" s="14"/>
      <c r="J112" s="20">
        <f>IF(H$12=0,0,H112/H$12)</f>
        <v>0.54846720967350804</v>
      </c>
      <c r="K112" s="15"/>
      <c r="L112" s="22">
        <f>+D112-H112</f>
        <v>-61274.315177605204</v>
      </c>
      <c r="M112" s="15"/>
      <c r="N112" s="20">
        <f>IF(H112=0,0,L112/H112)</f>
        <v>-2.0102419262770432</v>
      </c>
      <c r="O112" s="28"/>
      <c r="P112" s="22">
        <f>+P42-P44+P103</f>
        <v>642840.34000000008</v>
      </c>
      <c r="Q112" s="14"/>
      <c r="R112" s="20">
        <f>IF(P$12=0,0,P112/P$12)</f>
        <v>1.2476570585310662</v>
      </c>
      <c r="S112" s="14"/>
      <c r="T112" s="22">
        <f>+T42-T44+T103</f>
        <v>851274.70953997667</v>
      </c>
      <c r="U112" s="14"/>
      <c r="V112" s="20">
        <f>IF(T$12=0,0,T112/T$12)</f>
        <v>0.56926125878482658</v>
      </c>
      <c r="W112" s="15"/>
      <c r="X112" s="22">
        <f>+P112-T112</f>
        <v>-208434.36953997659</v>
      </c>
      <c r="Y112" s="15"/>
      <c r="Z112" s="20">
        <f>IF(T112=0,0,X112/T112)</f>
        <v>-0.2448497144389655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17825.310000000001</v>
      </c>
      <c r="E114" s="4"/>
      <c r="F114" s="13">
        <f>IF(D$12=0,0,D114/D$12)</f>
        <v>2.5960915847316066</v>
      </c>
      <c r="G114" s="4"/>
      <c r="H114" s="4">
        <v>26692</v>
      </c>
      <c r="I114" s="4"/>
      <c r="J114" s="13">
        <f>IF(H$12=0,0,H114/H$12)</f>
        <v>0.48028789923526766</v>
      </c>
      <c r="K114" s="4"/>
      <c r="L114" s="4">
        <f>+D114-H114</f>
        <v>-8866.6899999999987</v>
      </c>
      <c r="M114" s="4"/>
      <c r="N114" s="13">
        <f>IF(H114=0,0,L114/H114)</f>
        <v>-0.33218529896598226</v>
      </c>
      <c r="O114" s="10"/>
      <c r="P114" s="4">
        <v>78026.989999999991</v>
      </c>
      <c r="Q114" s="4"/>
      <c r="R114" s="13">
        <f>IF(P$12=0,0,P114/P$12)</f>
        <v>0.15143873022877327</v>
      </c>
      <c r="S114" s="4"/>
      <c r="T114" s="4">
        <v>193461</v>
      </c>
      <c r="U114" s="4"/>
      <c r="V114" s="13">
        <f>IF(T$12=0,0,T114/T$12)</f>
        <v>0.12937052064577931</v>
      </c>
      <c r="W114" s="4"/>
      <c r="X114" s="4">
        <f>+P114-T114</f>
        <v>-115434.01000000001</v>
      </c>
      <c r="Y114" s="4"/>
      <c r="Z114" s="13">
        <f>IF(T114=0,0,X114/T114)</f>
        <v>-0.59667845198773917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4</v>
      </c>
      <c r="C116" s="29"/>
      <c r="D116" s="31">
        <f>+D112-D114</f>
        <v>-48618.559999999998</v>
      </c>
      <c r="E116" s="14"/>
      <c r="F116" s="33">
        <f>IF(D$12=0,0,D116/D$12)</f>
        <v>-7.0808437260147885</v>
      </c>
      <c r="G116" s="14"/>
      <c r="H116" s="31">
        <f>+H112-H114</f>
        <v>3789.0651776052109</v>
      </c>
      <c r="I116" s="14"/>
      <c r="J116" s="33">
        <f>IF(H$12=0,0,H116/H$12)</f>
        <v>6.8179310438240409E-2</v>
      </c>
      <c r="K116" s="15"/>
      <c r="L116" s="31">
        <f>D116-H116</f>
        <v>-52407.625177605209</v>
      </c>
      <c r="M116" s="15"/>
      <c r="N116" s="33">
        <f>IF(H116=0,0,L116/H116)</f>
        <v>-13.831280994413564</v>
      </c>
      <c r="O116" s="28"/>
      <c r="P116" s="31">
        <f>+P112-P114</f>
        <v>564813.35000000009</v>
      </c>
      <c r="Q116" s="14"/>
      <c r="R116" s="33">
        <f>IF(P$12=0,0,P116/P$12)</f>
        <v>1.0962183283022928</v>
      </c>
      <c r="S116" s="14"/>
      <c r="T116" s="31">
        <f>+T112-T114</f>
        <v>657813.70953997667</v>
      </c>
      <c r="U116" s="14"/>
      <c r="V116" s="33">
        <f>IF(T$12=0,0,T116/T$12)</f>
        <v>0.43989073813904728</v>
      </c>
      <c r="W116" s="15"/>
      <c r="X116" s="31">
        <f>P116-T116</f>
        <v>-93000.359539976576</v>
      </c>
      <c r="Y116" s="15"/>
      <c r="Z116" s="33">
        <f>IF(T116=0,0,X116/T116)</f>
        <v>-0.14137795882213178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5</v>
      </c>
      <c r="C119" s="29"/>
      <c r="D119" s="34">
        <f>SUM(D116:D118)</f>
        <v>-48618.559999999998</v>
      </c>
      <c r="E119" s="14"/>
      <c r="F119" s="35">
        <f>IF(D$12=0,0,D119/D$12)</f>
        <v>-7.0808437260147885</v>
      </c>
      <c r="G119" s="14"/>
      <c r="H119" s="34">
        <f>SUM(H116:H118)</f>
        <v>3789.0651776052109</v>
      </c>
      <c r="I119" s="14"/>
      <c r="J119" s="35">
        <f>IF(H$12=0,0,H119/H$12)</f>
        <v>6.8179310438240409E-2</v>
      </c>
      <c r="K119" s="15"/>
      <c r="L119" s="34">
        <f>+D119-H119</f>
        <v>-52407.625177605209</v>
      </c>
      <c r="M119" s="15"/>
      <c r="N119" s="35">
        <f>IF(H119=0,0,L119/H119)</f>
        <v>-13.831280994413564</v>
      </c>
      <c r="O119" s="28"/>
      <c r="P119" s="34">
        <f>SUM(P116:P118)</f>
        <v>564813.35000000009</v>
      </c>
      <c r="Q119" s="14"/>
      <c r="R119" s="35">
        <f>IF(P$12=0,0,P119/P$12)</f>
        <v>1.0962183283022928</v>
      </c>
      <c r="S119" s="14"/>
      <c r="T119" s="34">
        <f>SUM(T116:T118)</f>
        <v>657813.70953997667</v>
      </c>
      <c r="U119" s="14"/>
      <c r="V119" s="35">
        <f>IF(T$12=0,0,T119/T$12)</f>
        <v>0.43989073813904728</v>
      </c>
      <c r="W119" s="15"/>
      <c r="X119" s="34">
        <f>+P119-T119</f>
        <v>-93000.359539976576</v>
      </c>
      <c r="Y119" s="15"/>
      <c r="Z119" s="35">
        <f>IF(T119=0,0,X119/T119)</f>
        <v>-0.14137795882213178</v>
      </c>
    </row>
    <row r="120" spans="1:26" ht="15.75" thickTop="1" x14ac:dyDescent="0.25">
      <c r="A120" s="9"/>
      <c r="C120" s="9"/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55">
        <v>44043.472988692127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A122" s="9"/>
      <c r="B122" s="62" t="s">
        <v>314</v>
      </c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A123" s="9"/>
      <c r="B123" s="63"/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","316", " - ", "Campus Copy Center")</f>
        <v>Department 316 - Campus Copy Center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748.66</v>
      </c>
      <c r="E12" s="4"/>
      <c r="F12" s="13"/>
      <c r="G12" s="4"/>
      <c r="H12" s="4">
        <f>SUM(OSRRefH13x_0)</f>
        <v>55575</v>
      </c>
      <c r="I12" s="4"/>
      <c r="J12" s="13"/>
      <c r="K12" s="4"/>
      <c r="L12" s="4">
        <f t="shared" ref="L12:L28" si="0">+D12-H12</f>
        <v>-54826.34</v>
      </c>
      <c r="M12" s="4"/>
      <c r="N12" s="13">
        <f t="shared" ref="N12:N28" si="1">IF(H12=0,0,L12/H12)</f>
        <v>-0.9865288349077822</v>
      </c>
      <c r="O12" s="10"/>
      <c r="P12" s="4">
        <f>SUM(OSRRefP13x_0)</f>
        <v>473906.67999999993</v>
      </c>
      <c r="Q12" s="4"/>
      <c r="R12" s="13"/>
      <c r="S12" s="4"/>
      <c r="T12" s="4">
        <f>SUM(OSRRefT13x_0)</f>
        <v>722427.5</v>
      </c>
      <c r="U12" s="4"/>
      <c r="V12" s="13"/>
      <c r="W12" s="4"/>
      <c r="X12" s="4">
        <f t="shared" ref="X12:X28" si="2">+P12-T12</f>
        <v>-248520.82000000007</v>
      </c>
      <c r="Y12" s="4"/>
      <c r="Z12" s="13">
        <f t="shared" ref="Z12:Z28" si="3">IF(T12=0,0,X12/T12)</f>
        <v>-0.34400797311840992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53200</v>
      </c>
      <c r="I13" s="2"/>
      <c r="J13" s="19"/>
      <c r="K13" s="2"/>
      <c r="L13" s="2">
        <f t="shared" si="0"/>
        <v>-53200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635407.5</v>
      </c>
      <c r="U13" s="2"/>
      <c r="V13" s="19"/>
      <c r="W13" s="2"/>
      <c r="X13" s="2">
        <f t="shared" si="2"/>
        <v>-635407.5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--558.25</f>
        <v>558.25</v>
      </c>
      <c r="E14" s="2"/>
      <c r="F14" s="19"/>
      <c r="G14" s="2"/>
      <c r="H14" s="2"/>
      <c r="I14" s="2"/>
      <c r="J14" s="19"/>
      <c r="K14" s="2"/>
      <c r="L14" s="2">
        <f t="shared" si="0"/>
        <v>558.25</v>
      </c>
      <c r="M14" s="2"/>
      <c r="N14" s="19">
        <f t="shared" si="1"/>
        <v>0</v>
      </c>
      <c r="O14" s="11"/>
      <c r="P14" s="2">
        <f>--175578.6</f>
        <v>175578.6</v>
      </c>
      <c r="Q14" s="2"/>
      <c r="R14" s="19"/>
      <c r="S14" s="2"/>
      <c r="T14" s="2"/>
      <c r="U14" s="2"/>
      <c r="V14" s="19"/>
      <c r="W14" s="2"/>
      <c r="X14" s="2">
        <f t="shared" si="2"/>
        <v>175578.6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--83.91</f>
        <v>83.91</v>
      </c>
      <c r="E15" s="2"/>
      <c r="F15" s="19"/>
      <c r="G15" s="2"/>
      <c r="H15" s="2"/>
      <c r="I15" s="2"/>
      <c r="J15" s="19"/>
      <c r="K15" s="2"/>
      <c r="L15" s="2">
        <f t="shared" si="0"/>
        <v>83.91</v>
      </c>
      <c r="M15" s="2"/>
      <c r="N15" s="19">
        <f t="shared" si="1"/>
        <v>0</v>
      </c>
      <c r="O15" s="11"/>
      <c r="P15" s="2">
        <f>--76606.57</f>
        <v>76606.570000000007</v>
      </c>
      <c r="Q15" s="2"/>
      <c r="R15" s="19"/>
      <c r="S15" s="2"/>
      <c r="T15" s="2"/>
      <c r="U15" s="2"/>
      <c r="V15" s="19"/>
      <c r="W15" s="2"/>
      <c r="X15" s="2">
        <f t="shared" si="2"/>
        <v>76606.570000000007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ref="D16:D19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--921.72</f>
        <v>921.72</v>
      </c>
      <c r="Q16" s="2"/>
      <c r="R16" s="19"/>
      <c r="S16" s="2"/>
      <c r="T16" s="2"/>
      <c r="U16" s="2"/>
      <c r="V16" s="19"/>
      <c r="W16" s="2"/>
      <c r="X16" s="2">
        <f t="shared" si="2"/>
        <v>921.72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--235.18</f>
        <v>235.18</v>
      </c>
      <c r="Q17" s="2"/>
      <c r="R17" s="19"/>
      <c r="S17" s="2"/>
      <c r="T17" s="2"/>
      <c r="U17" s="2"/>
      <c r="V17" s="19"/>
      <c r="W17" s="2"/>
      <c r="X17" s="2">
        <f t="shared" si="2"/>
        <v>235.18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--2676.14</f>
        <v>2676.14</v>
      </c>
      <c r="Q18" s="2"/>
      <c r="R18" s="19"/>
      <c r="S18" s="2"/>
      <c r="T18" s="2"/>
      <c r="U18" s="2"/>
      <c r="V18" s="19"/>
      <c r="W18" s="2"/>
      <c r="X18" s="2">
        <f t="shared" si="2"/>
        <v>2676.14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4"/>
        <v>0</v>
      </c>
      <c r="E19" s="2"/>
      <c r="F19" s="19"/>
      <c r="G19" s="2"/>
      <c r="H19" s="2">
        <v>2375</v>
      </c>
      <c r="I19" s="2"/>
      <c r="J19" s="19"/>
      <c r="K19" s="2"/>
      <c r="L19" s="2">
        <f t="shared" si="0"/>
        <v>-2375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87020</v>
      </c>
      <c r="U19" s="2"/>
      <c r="V19" s="19"/>
      <c r="W19" s="2"/>
      <c r="X19" s="2">
        <f t="shared" si="2"/>
        <v>-87020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--106.5</f>
        <v>106.5</v>
      </c>
      <c r="E20" s="2"/>
      <c r="F20" s="19"/>
      <c r="G20" s="2"/>
      <c r="H20" s="2"/>
      <c r="I20" s="2"/>
      <c r="J20" s="19"/>
      <c r="K20" s="2"/>
      <c r="L20" s="2">
        <f t="shared" si="0"/>
        <v>106.5</v>
      </c>
      <c r="M20" s="2"/>
      <c r="N20" s="19">
        <f t="shared" si="1"/>
        <v>0</v>
      </c>
      <c r="O20" s="11"/>
      <c r="P20" s="2">
        <f>--1028.1</f>
        <v>1028.0999999999999</v>
      </c>
      <c r="Q20" s="2"/>
      <c r="R20" s="19"/>
      <c r="S20" s="2"/>
      <c r="T20" s="2"/>
      <c r="U20" s="2"/>
      <c r="V20" s="19"/>
      <c r="W20" s="2"/>
      <c r="X20" s="2">
        <f t="shared" si="2"/>
        <v>1028.0999999999999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 t="shared" ref="D21:D28" si="5"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--8924.02</f>
        <v>8924.02</v>
      </c>
      <c r="Q21" s="2"/>
      <c r="R21" s="19"/>
      <c r="S21" s="2"/>
      <c r="T21" s="2"/>
      <c r="U21" s="2"/>
      <c r="V21" s="19"/>
      <c r="W21" s="2"/>
      <c r="X21" s="2">
        <f t="shared" si="2"/>
        <v>8924.02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--205908.65</f>
        <v>205908.65</v>
      </c>
      <c r="Q22" s="2"/>
      <c r="R22" s="19"/>
      <c r="S22" s="2"/>
      <c r="T22" s="2"/>
      <c r="U22" s="2"/>
      <c r="V22" s="19"/>
      <c r="W22" s="2"/>
      <c r="X22" s="2">
        <f t="shared" si="2"/>
        <v>205908.65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--3446.37</f>
        <v>3446.37</v>
      </c>
      <c r="Q23" s="2"/>
      <c r="R23" s="19"/>
      <c r="S23" s="2"/>
      <c r="T23" s="2"/>
      <c r="U23" s="2"/>
      <c r="V23" s="19"/>
      <c r="W23" s="2"/>
      <c r="X23" s="2">
        <f t="shared" si="2"/>
        <v>3446.37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-1059.4</f>
        <v>-1059.4000000000001</v>
      </c>
      <c r="Q24" s="2"/>
      <c r="R24" s="19"/>
      <c r="S24" s="2"/>
      <c r="T24" s="2"/>
      <c r="U24" s="2"/>
      <c r="V24" s="19"/>
      <c r="W24" s="2"/>
      <c r="X24" s="2">
        <f t="shared" si="2"/>
        <v>-1059.4000000000001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-227.7</f>
        <v>-227.7</v>
      </c>
      <c r="Q25" s="2"/>
      <c r="R25" s="19"/>
      <c r="S25" s="2"/>
      <c r="T25" s="2"/>
      <c r="U25" s="2"/>
      <c r="V25" s="19"/>
      <c r="W25" s="2"/>
      <c r="X25" s="2">
        <f t="shared" si="2"/>
        <v>-227.7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"4342", " - ", "SALES RETURN NON TAXABLE-EVERY")</f>
        <v xml:space="preserve">          4342 - SALES RETURN NON TAXABLE-EVERY</v>
      </c>
      <c r="C26" s="11"/>
      <c r="D26" s="2">
        <f t="shared" si="5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-39.42</f>
        <v>-39.42</v>
      </c>
      <c r="Q26" s="2"/>
      <c r="R26" s="19"/>
      <c r="S26" s="2"/>
      <c r="T26" s="2"/>
      <c r="U26" s="2"/>
      <c r="V26" s="19"/>
      <c r="W26" s="2"/>
      <c r="X26" s="2">
        <f t="shared" si="2"/>
        <v>-39.42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"4346", " - ", "SALES RETURN NON TAXABLE-COIN-")</f>
        <v xml:space="preserve">          4346 - SALES RETURN NON TAXABLE-COIN-</v>
      </c>
      <c r="C27" s="11"/>
      <c r="D27" s="2">
        <f t="shared" si="5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-8.15</f>
        <v>-8.15</v>
      </c>
      <c r="Q27" s="2"/>
      <c r="R27" s="19"/>
      <c r="S27" s="2"/>
      <c r="T27" s="2"/>
      <c r="U27" s="2"/>
      <c r="V27" s="19"/>
      <c r="W27" s="2"/>
      <c r="X27" s="2">
        <f t="shared" si="2"/>
        <v>-8.15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"4347", " - ", "SALES RETURN NON TAXABLE-MISC")</f>
        <v xml:space="preserve">          4347 - SALES RETURN NON TAXABLE-MISC</v>
      </c>
      <c r="C28" s="11"/>
      <c r="D28" s="2">
        <f t="shared" si="5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-84</f>
        <v>-84</v>
      </c>
      <c r="Q28" s="2"/>
      <c r="R28" s="19"/>
      <c r="S28" s="2"/>
      <c r="T28" s="2"/>
      <c r="U28" s="2"/>
      <c r="V28" s="19"/>
      <c r="W28" s="2"/>
      <c r="X28" s="2">
        <f t="shared" si="2"/>
        <v>-84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8</v>
      </c>
      <c r="C30" s="10"/>
      <c r="D30" s="4">
        <f>SUM(0)</f>
        <v>0</v>
      </c>
      <c r="E30" s="4"/>
      <c r="F30" s="13">
        <f>IF(D$12=0,0,D30/D$12)</f>
        <v>0</v>
      </c>
      <c r="G30" s="4"/>
      <c r="H30" s="4">
        <f>SUM(0)</f>
        <v>0</v>
      </c>
      <c r="I30" s="4"/>
      <c r="J30" s="13">
        <f>IF(H$12=0,0,H30/H$12)</f>
        <v>0</v>
      </c>
      <c r="K30" s="4"/>
      <c r="L30" s="4">
        <f>+D30-H30</f>
        <v>0</v>
      </c>
      <c r="M30" s="4"/>
      <c r="N30" s="13">
        <f>IF(H30=0,0,L30/H30)</f>
        <v>0</v>
      </c>
      <c r="O30" s="10"/>
      <c r="P30" s="4">
        <f>SUM(0)</f>
        <v>0</v>
      </c>
      <c r="Q30" s="4"/>
      <c r="R30" s="13">
        <f>IF(P$12=0,0,P30/P$12)</f>
        <v>0</v>
      </c>
      <c r="S30" s="4"/>
      <c r="T30" s="4">
        <f>SUM(0)</f>
        <v>0</v>
      </c>
      <c r="U30" s="4"/>
      <c r="V30" s="13">
        <f>IF(T$12=0,0,T30/T$12)</f>
        <v>0</v>
      </c>
      <c r="W30" s="4"/>
      <c r="X30" s="4">
        <f>+P30-T30</f>
        <v>0</v>
      </c>
      <c r="Y30" s="4"/>
      <c r="Z30" s="13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6</v>
      </c>
      <c r="C32" s="29"/>
      <c r="D32" s="22">
        <f>D12-D30</f>
        <v>748.66</v>
      </c>
      <c r="E32" s="14"/>
      <c r="F32" s="20">
        <f>IF(D$12=0,0,D32/D$12)</f>
        <v>1</v>
      </c>
      <c r="G32" s="14"/>
      <c r="H32" s="22">
        <f>H12-H30</f>
        <v>55575</v>
      </c>
      <c r="I32" s="14"/>
      <c r="J32" s="20">
        <f>IF(H$12=0,0,H32/H$12)</f>
        <v>1</v>
      </c>
      <c r="K32" s="15"/>
      <c r="L32" s="22">
        <f>+D32-H32</f>
        <v>-54826.34</v>
      </c>
      <c r="M32" s="15"/>
      <c r="N32" s="20">
        <f>IF(H32=0,0,L32/H32)</f>
        <v>-0.9865288349077822</v>
      </c>
      <c r="O32" s="28"/>
      <c r="P32" s="22">
        <f>P12-P30</f>
        <v>473906.67999999993</v>
      </c>
      <c r="Q32" s="14"/>
      <c r="R32" s="20">
        <f>IF(P$12=0,0,P32/P$12)</f>
        <v>1</v>
      </c>
      <c r="S32" s="14"/>
      <c r="T32" s="22">
        <f>T12-T30</f>
        <v>722427.5</v>
      </c>
      <c r="U32" s="14"/>
      <c r="V32" s="20">
        <f>IF(T$12=0,0,T32/T$12)</f>
        <v>1</v>
      </c>
      <c r="W32" s="15"/>
      <c r="X32" s="22">
        <f>+P32-T32</f>
        <v>-248520.82000000007</v>
      </c>
      <c r="Y32" s="15"/>
      <c r="Z32" s="20">
        <f>IF(T32=0,0,X32/T32)</f>
        <v>-0.34400797311840992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8" t="s">
        <v>9</v>
      </c>
      <c r="C34" s="10"/>
      <c r="D34" s="21">
        <f>SUM(OSRRefD22x_0)</f>
        <v>30237.630000000005</v>
      </c>
      <c r="E34" s="21"/>
      <c r="F34" s="32">
        <f t="shared" ref="F34:F44" si="6">IF(D$12=0,0,D34/D$12)</f>
        <v>40.389001683006981</v>
      </c>
      <c r="G34" s="21"/>
      <c r="H34" s="21">
        <f>SUM(OSRRefH22x_0)</f>
        <v>48218.3870462794</v>
      </c>
      <c r="I34" s="21"/>
      <c r="J34" s="32">
        <f t="shared" ref="J34:J44" si="7">IF(H$12=0,0,H34/H$12)</f>
        <v>0.86762729727898158</v>
      </c>
      <c r="K34" s="4"/>
      <c r="L34" s="21">
        <f t="shared" ref="L34:L44" si="8">+D34-H34</f>
        <v>-17980.757046279396</v>
      </c>
      <c r="M34" s="4"/>
      <c r="N34" s="32">
        <f t="shared" ref="N34:N44" si="9">IF(H34=0,0,L34/H34)</f>
        <v>-0.37290249939347186</v>
      </c>
      <c r="O34" s="10"/>
      <c r="P34" s="21">
        <f>SUM(OSRRefP22x_0)</f>
        <v>502001.7699999999</v>
      </c>
      <c r="Q34" s="21"/>
      <c r="R34" s="32">
        <f t="shared" ref="R34:R44" si="10">IF(P$12=0,0,P34/P$12)</f>
        <v>1.0592840134686432</v>
      </c>
      <c r="S34" s="21"/>
      <c r="T34" s="21">
        <f>SUM(OSRRefT22x_0)</f>
        <v>627045.52206652332</v>
      </c>
      <c r="U34" s="21"/>
      <c r="V34" s="32">
        <f t="shared" ref="V34:V44" si="11">IF(T$12=0,0,T34/T$12)</f>
        <v>0.86797017287758749</v>
      </c>
      <c r="W34" s="4"/>
      <c r="X34" s="21">
        <f t="shared" ref="X34:X44" si="12">+P34-T34</f>
        <v>-125043.75206652342</v>
      </c>
      <c r="Y34" s="4"/>
      <c r="Z34" s="32">
        <f t="shared" ref="Z34:Z44" si="13">IF(T34=0,0,X34/T34)</f>
        <v>-0.19941734318494586</v>
      </c>
    </row>
    <row r="35" spans="1:26" s="26" customFormat="1" outlineLevel="1" collapsed="1" x14ac:dyDescent="0.25">
      <c r="A35" s="25"/>
      <c r="B35" s="12" t="str">
        <f>CONCATENATE("     ","*Benefits                                         ")</f>
        <v xml:space="preserve">     *Benefits                                         </v>
      </c>
      <c r="C35" s="12"/>
      <c r="D35" s="1">
        <f>SUM(OSRRefD22_0x_0)</f>
        <v>6124.46</v>
      </c>
      <c r="E35" s="1"/>
      <c r="F35" s="5">
        <f t="shared" si="6"/>
        <v>8.1805626051879354</v>
      </c>
      <c r="G35" s="1"/>
      <c r="H35" s="1">
        <f>SUM(OSRRefH22_0x_0)</f>
        <v>5621.685662241739</v>
      </c>
      <c r="I35" s="1"/>
      <c r="J35" s="5">
        <f t="shared" si="7"/>
        <v>0.10115493769215905</v>
      </c>
      <c r="K35" s="1"/>
      <c r="L35" s="1">
        <f t="shared" si="8"/>
        <v>502.77433775826103</v>
      </c>
      <c r="M35" s="1"/>
      <c r="N35" s="5">
        <f t="shared" si="9"/>
        <v>8.9434800870344569E-2</v>
      </c>
      <c r="O35" s="12"/>
      <c r="P35" s="1">
        <f>SUM(OSRRefP22_0x_0)</f>
        <v>95091.499999999985</v>
      </c>
      <c r="Q35" s="1"/>
      <c r="R35" s="5">
        <f t="shared" si="10"/>
        <v>0.20065448328350213</v>
      </c>
      <c r="S35" s="1"/>
      <c r="T35" s="1">
        <f>SUM(OSRRefT22_0x_0)</f>
        <v>68786.778835548874</v>
      </c>
      <c r="U35" s="1"/>
      <c r="V35" s="5">
        <f t="shared" si="11"/>
        <v>9.5216168868916082E-2</v>
      </c>
      <c r="W35" s="1"/>
      <c r="X35" s="1">
        <f t="shared" si="12"/>
        <v>26304.721164451112</v>
      </c>
      <c r="Y35" s="1"/>
      <c r="Z35" s="5">
        <f t="shared" si="13"/>
        <v>0.38240955034889468</v>
      </c>
    </row>
    <row r="36" spans="1:26" s="24" customFormat="1" hidden="1" outlineLevel="2" x14ac:dyDescent="0.25">
      <c r="A36" s="27"/>
      <c r="B36" s="11" t="str">
        <f>CONCATENATE("          ", "6111", " - ", "F.I.C.A.")</f>
        <v xml:space="preserve">          6111 - F.I.C.A.</v>
      </c>
      <c r="C36" s="11"/>
      <c r="D36" s="6">
        <v>870.7</v>
      </c>
      <c r="E36" s="2"/>
      <c r="F36" s="7">
        <f t="shared" si="6"/>
        <v>1.1630112467608795</v>
      </c>
      <c r="G36" s="2"/>
      <c r="H36" s="6">
        <v>1223.9762700767101</v>
      </c>
      <c r="I36" s="2"/>
      <c r="J36" s="7">
        <f t="shared" si="7"/>
        <v>2.2023864508802702E-2</v>
      </c>
      <c r="K36" s="2"/>
      <c r="L36" s="6">
        <f t="shared" si="8"/>
        <v>-353.27627007671003</v>
      </c>
      <c r="M36" s="2"/>
      <c r="N36" s="7">
        <f t="shared" si="9"/>
        <v>-0.28862999938272432</v>
      </c>
      <c r="O36" s="11"/>
      <c r="P36" s="6">
        <v>14684.92</v>
      </c>
      <c r="Q36" s="2"/>
      <c r="R36" s="7">
        <f t="shared" si="10"/>
        <v>3.0986944518275206E-2</v>
      </c>
      <c r="S36" s="2"/>
      <c r="T36" s="6">
        <v>13797.36625939859</v>
      </c>
      <c r="U36" s="2"/>
      <c r="V36" s="7">
        <f t="shared" si="11"/>
        <v>1.9098617175285534E-2</v>
      </c>
      <c r="W36" s="2"/>
      <c r="X36" s="6">
        <f t="shared" si="12"/>
        <v>887.55374060141003</v>
      </c>
      <c r="Y36" s="2"/>
      <c r="Z36" s="7">
        <f t="shared" si="13"/>
        <v>6.4327765452831961E-2</v>
      </c>
    </row>
    <row r="37" spans="1:26" s="24" customFormat="1" hidden="1" outlineLevel="2" x14ac:dyDescent="0.25">
      <c r="A37" s="27"/>
      <c r="B37" s="11" t="str">
        <f>CONCATENATE("          ", "6112", " - ", "COMPENSATION INSURANCE")</f>
        <v xml:space="preserve">          6112 - COMPENSATION INSURANCE</v>
      </c>
      <c r="C37" s="11"/>
      <c r="D37" s="6">
        <v>216.26</v>
      </c>
      <c r="E37" s="2"/>
      <c r="F37" s="7">
        <f t="shared" si="6"/>
        <v>0.28886276814575373</v>
      </c>
      <c r="G37" s="2"/>
      <c r="H37" s="6">
        <v>201.09516692307699</v>
      </c>
      <c r="I37" s="2"/>
      <c r="J37" s="7">
        <f t="shared" si="7"/>
        <v>3.6184465483234726E-3</v>
      </c>
      <c r="K37" s="2"/>
      <c r="L37" s="6">
        <f t="shared" si="8"/>
        <v>15.164833076923003</v>
      </c>
      <c r="M37" s="2"/>
      <c r="N37" s="7">
        <f t="shared" si="9"/>
        <v>7.5411225982988744E-2</v>
      </c>
      <c r="O37" s="11"/>
      <c r="P37" s="6">
        <v>2635.06</v>
      </c>
      <c r="Q37" s="2"/>
      <c r="R37" s="7">
        <f t="shared" si="10"/>
        <v>5.5602930095857697E-3</v>
      </c>
      <c r="S37" s="2"/>
      <c r="T37" s="6">
        <v>2614.2371699999999</v>
      </c>
      <c r="U37" s="2"/>
      <c r="V37" s="7">
        <f t="shared" si="11"/>
        <v>3.6186844631468209E-3</v>
      </c>
      <c r="W37" s="2"/>
      <c r="X37" s="6">
        <f t="shared" si="12"/>
        <v>20.822830000000067</v>
      </c>
      <c r="Y37" s="2"/>
      <c r="Z37" s="7">
        <f t="shared" si="13"/>
        <v>7.9651648438615347E-3</v>
      </c>
    </row>
    <row r="38" spans="1:26" s="24" customFormat="1" hidden="1" outlineLevel="2" x14ac:dyDescent="0.25">
      <c r="A38" s="27"/>
      <c r="B38" s="11" t="str">
        <f>CONCATENATE("          ", "6113", " - ", "GROUP INSURANCE")</f>
        <v xml:space="preserve">          6113 - GROUP INSURANCE</v>
      </c>
      <c r="C38" s="11"/>
      <c r="D38" s="6">
        <v>2724.48</v>
      </c>
      <c r="E38" s="2"/>
      <c r="F38" s="7">
        <f t="shared" si="6"/>
        <v>3.6391419335880109</v>
      </c>
      <c r="G38" s="2"/>
      <c r="H38" s="6">
        <v>2044</v>
      </c>
      <c r="I38" s="2"/>
      <c r="J38" s="7">
        <f t="shared" si="7"/>
        <v>3.6779127305443096E-2</v>
      </c>
      <c r="K38" s="2"/>
      <c r="L38" s="6">
        <f t="shared" si="8"/>
        <v>680.48</v>
      </c>
      <c r="M38" s="2"/>
      <c r="N38" s="7">
        <f t="shared" si="9"/>
        <v>0.33291585127201567</v>
      </c>
      <c r="O38" s="11"/>
      <c r="P38" s="6">
        <v>35210.97</v>
      </c>
      <c r="Q38" s="2"/>
      <c r="R38" s="7">
        <f t="shared" si="10"/>
        <v>7.4299374720778369E-2</v>
      </c>
      <c r="S38" s="2"/>
      <c r="T38" s="6">
        <v>24528</v>
      </c>
      <c r="U38" s="2"/>
      <c r="V38" s="7">
        <f t="shared" si="11"/>
        <v>3.3952195895089819E-2</v>
      </c>
      <c r="W38" s="2"/>
      <c r="X38" s="6">
        <f t="shared" si="12"/>
        <v>10682.970000000001</v>
      </c>
      <c r="Y38" s="2"/>
      <c r="Z38" s="7">
        <f t="shared" si="13"/>
        <v>0.43554182974559691</v>
      </c>
    </row>
    <row r="39" spans="1:26" s="24" customFormat="1" hidden="1" outlineLevel="2" x14ac:dyDescent="0.25">
      <c r="A39" s="27"/>
      <c r="B39" s="11" t="str">
        <f>CONCATENATE("          ", "6114", " - ", "STATE UNEMPLOYMENT INSURANCE")</f>
        <v xml:space="preserve">          6114 - STATE UNEMPLOYMENT INSURANCE</v>
      </c>
      <c r="C39" s="11"/>
      <c r="D39" s="6">
        <v>-523.47</v>
      </c>
      <c r="E39" s="2"/>
      <c r="F39" s="7">
        <f t="shared" si="6"/>
        <v>-0.69920925386690891</v>
      </c>
      <c r="G39" s="2"/>
      <c r="H39" s="6">
        <v>41.582886478497898</v>
      </c>
      <c r="I39" s="2"/>
      <c r="J39" s="7">
        <f t="shared" si="7"/>
        <v>7.4823007608633191E-4</v>
      </c>
      <c r="K39" s="2"/>
      <c r="L39" s="6">
        <f t="shared" si="8"/>
        <v>-565.05288647849795</v>
      </c>
      <c r="M39" s="2"/>
      <c r="N39" s="7">
        <f t="shared" si="9"/>
        <v>-13.588592190940888</v>
      </c>
      <c r="O39" s="11"/>
      <c r="P39" s="6">
        <v>0</v>
      </c>
      <c r="Q39" s="2"/>
      <c r="R39" s="7">
        <f t="shared" si="10"/>
        <v>0</v>
      </c>
      <c r="S39" s="2"/>
      <c r="T39" s="6">
        <v>574.25174984053353</v>
      </c>
      <c r="U39" s="2"/>
      <c r="V39" s="7">
        <f t="shared" si="11"/>
        <v>7.9489187474249463E-4</v>
      </c>
      <c r="W39" s="2"/>
      <c r="X39" s="6">
        <f t="shared" si="12"/>
        <v>-574.25174984053353</v>
      </c>
      <c r="Y39" s="2"/>
      <c r="Z39" s="7">
        <f t="shared" si="13"/>
        <v>-1</v>
      </c>
    </row>
    <row r="40" spans="1:26" s="24" customFormat="1" hidden="1" outlineLevel="2" x14ac:dyDescent="0.25">
      <c r="A40" s="27"/>
      <c r="B40" s="11" t="str">
        <f>CONCATENATE("          ", "6115", " - ", "P.E.R.S.")</f>
        <v xml:space="preserve">          6115 - P.E.R.S.</v>
      </c>
      <c r="C40" s="11"/>
      <c r="D40" s="6">
        <v>1166.77</v>
      </c>
      <c r="E40" s="2"/>
      <c r="F40" s="7">
        <f t="shared" si="6"/>
        <v>1.5584778136937996</v>
      </c>
      <c r="G40" s="2"/>
      <c r="H40" s="6">
        <v>910.22022923076906</v>
      </c>
      <c r="I40" s="2"/>
      <c r="J40" s="7">
        <f t="shared" si="7"/>
        <v>1.6378231745043079E-2</v>
      </c>
      <c r="K40" s="2"/>
      <c r="L40" s="6">
        <f t="shared" si="8"/>
        <v>256.54977076923092</v>
      </c>
      <c r="M40" s="2"/>
      <c r="N40" s="7">
        <f t="shared" si="9"/>
        <v>0.28185461334565393</v>
      </c>
      <c r="O40" s="11"/>
      <c r="P40" s="6">
        <v>15419.3</v>
      </c>
      <c r="Q40" s="2"/>
      <c r="R40" s="7">
        <f t="shared" si="10"/>
        <v>3.2536574500279254E-2</v>
      </c>
      <c r="S40" s="2"/>
      <c r="T40" s="6">
        <v>11832.862979999991</v>
      </c>
      <c r="U40" s="2"/>
      <c r="V40" s="7">
        <f t="shared" si="11"/>
        <v>1.6379308622664544E-2</v>
      </c>
      <c r="W40" s="2"/>
      <c r="X40" s="6">
        <f t="shared" si="12"/>
        <v>3586.4370200000085</v>
      </c>
      <c r="Y40" s="2"/>
      <c r="Z40" s="7">
        <f t="shared" si="13"/>
        <v>0.30309123211025396</v>
      </c>
    </row>
    <row r="41" spans="1:26" s="24" customFormat="1" hidden="1" outlineLevel="2" x14ac:dyDescent="0.25">
      <c r="A41" s="27"/>
      <c r="B41" s="11" t="str">
        <f>CONCATENATE("          ", "6116", " - ", "EDUCATIONAL BENEFITS")</f>
        <v xml:space="preserve">          6116 - EDUCATIONAL BENEFITS</v>
      </c>
      <c r="C41" s="11"/>
      <c r="D41" s="6"/>
      <c r="E41" s="2"/>
      <c r="F41" s="7">
        <f t="shared" si="6"/>
        <v>0</v>
      </c>
      <c r="G41" s="2"/>
      <c r="H41" s="6">
        <v>0</v>
      </c>
      <c r="I41" s="2"/>
      <c r="J41" s="7">
        <f t="shared" si="7"/>
        <v>0</v>
      </c>
      <c r="K41" s="2"/>
      <c r="L41" s="6">
        <f t="shared" si="8"/>
        <v>0</v>
      </c>
      <c r="M41" s="2"/>
      <c r="N41" s="7">
        <f t="shared" si="9"/>
        <v>0</v>
      </c>
      <c r="O41" s="11"/>
      <c r="P41" s="6"/>
      <c r="Q41" s="2"/>
      <c r="R41" s="7">
        <f t="shared" si="10"/>
        <v>0</v>
      </c>
      <c r="S41" s="2"/>
      <c r="T41" s="6">
        <v>0</v>
      </c>
      <c r="U41" s="2"/>
      <c r="V41" s="7">
        <f t="shared" si="11"/>
        <v>0</v>
      </c>
      <c r="W41" s="2"/>
      <c r="X41" s="6">
        <f t="shared" si="12"/>
        <v>0</v>
      </c>
      <c r="Y41" s="2"/>
      <c r="Z41" s="7">
        <f t="shared" si="13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6">
        <v>1039.18</v>
      </c>
      <c r="E42" s="2"/>
      <c r="F42" s="7">
        <f t="shared" si="6"/>
        <v>1.3880533219351909</v>
      </c>
      <c r="G42" s="2"/>
      <c r="H42" s="6">
        <v>529.19780769230795</v>
      </c>
      <c r="I42" s="2"/>
      <c r="J42" s="7">
        <f t="shared" si="7"/>
        <v>9.5222277587459821E-3</v>
      </c>
      <c r="K42" s="2"/>
      <c r="L42" s="6">
        <f t="shared" si="8"/>
        <v>509.98219230769212</v>
      </c>
      <c r="M42" s="2"/>
      <c r="N42" s="7">
        <f t="shared" si="9"/>
        <v>0.96368916290789253</v>
      </c>
      <c r="O42" s="11"/>
      <c r="P42" s="6">
        <v>15421.46</v>
      </c>
      <c r="Q42" s="2"/>
      <c r="R42" s="7">
        <f t="shared" si="10"/>
        <v>3.2541132359645154E-2</v>
      </c>
      <c r="S42" s="2"/>
      <c r="T42" s="6">
        <v>6879.5715000000037</v>
      </c>
      <c r="U42" s="2"/>
      <c r="V42" s="7">
        <f t="shared" si="11"/>
        <v>9.5228538503863754E-3</v>
      </c>
      <c r="W42" s="2"/>
      <c r="X42" s="6">
        <f t="shared" si="12"/>
        <v>8541.8884999999955</v>
      </c>
      <c r="Y42" s="2"/>
      <c r="Z42" s="7">
        <f t="shared" si="13"/>
        <v>1.2416308922728676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6">
        <v>526.54</v>
      </c>
      <c r="E43" s="2"/>
      <c r="F43" s="7">
        <f t="shared" si="6"/>
        <v>0.70330991371249962</v>
      </c>
      <c r="G43" s="2"/>
      <c r="H43" s="6">
        <v>371.61330184037701</v>
      </c>
      <c r="I43" s="2"/>
      <c r="J43" s="7">
        <f t="shared" si="7"/>
        <v>6.6866990884458305E-3</v>
      </c>
      <c r="K43" s="2"/>
      <c r="L43" s="6">
        <f t="shared" si="8"/>
        <v>154.92669815962296</v>
      </c>
      <c r="M43" s="2"/>
      <c r="N43" s="7">
        <f t="shared" si="9"/>
        <v>0.41690299403267933</v>
      </c>
      <c r="O43" s="11"/>
      <c r="P43" s="6">
        <v>9133.2800000000007</v>
      </c>
      <c r="Q43" s="2"/>
      <c r="R43" s="7">
        <f t="shared" si="10"/>
        <v>1.9272317495081525E-2</v>
      </c>
      <c r="S43" s="2"/>
      <c r="T43" s="6">
        <v>4960.4891763097485</v>
      </c>
      <c r="U43" s="2"/>
      <c r="V43" s="7">
        <f t="shared" si="11"/>
        <v>6.866417981471841E-3</v>
      </c>
      <c r="W43" s="2"/>
      <c r="X43" s="6">
        <f t="shared" si="12"/>
        <v>4172.7908236902522</v>
      </c>
      <c r="Y43" s="2"/>
      <c r="Z43" s="7">
        <f t="shared" si="13"/>
        <v>0.84120550925070503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6">
        <v>104</v>
      </c>
      <c r="E44" s="2"/>
      <c r="F44" s="7">
        <f t="shared" si="6"/>
        <v>0.13891486121871077</v>
      </c>
      <c r="G44" s="2"/>
      <c r="H44" s="6">
        <v>300</v>
      </c>
      <c r="I44" s="2"/>
      <c r="J44" s="7">
        <f t="shared" si="7"/>
        <v>5.3981106612685558E-3</v>
      </c>
      <c r="K44" s="2"/>
      <c r="L44" s="6">
        <f t="shared" si="8"/>
        <v>-196</v>
      </c>
      <c r="M44" s="2"/>
      <c r="N44" s="7">
        <f t="shared" si="9"/>
        <v>-0.65333333333333332</v>
      </c>
      <c r="O44" s="11"/>
      <c r="P44" s="6">
        <v>2586.5100000000002</v>
      </c>
      <c r="Q44" s="2"/>
      <c r="R44" s="7">
        <f t="shared" si="10"/>
        <v>5.4578466798568875E-3</v>
      </c>
      <c r="S44" s="2"/>
      <c r="T44" s="6">
        <v>3600</v>
      </c>
      <c r="U44" s="2"/>
      <c r="V44" s="7">
        <f t="shared" si="11"/>
        <v>4.9831990061286425E-3</v>
      </c>
      <c r="W44" s="2"/>
      <c r="X44" s="6">
        <f t="shared" si="12"/>
        <v>-1013.4899999999998</v>
      </c>
      <c r="Y44" s="2"/>
      <c r="Z44" s="7">
        <f t="shared" si="13"/>
        <v>-0.28152499999999991</v>
      </c>
    </row>
    <row r="45" spans="1:26" s="26" customFormat="1" outlineLevel="1" collapsed="1" x14ac:dyDescent="0.25">
      <c r="A45" s="25"/>
      <c r="B45" s="12" t="str">
        <f>CONCATENATE("     ","*Payroll                                          ")</f>
        <v xml:space="preserve">     *Payroll                                          </v>
      </c>
      <c r="C45" s="12"/>
      <c r="D45" s="1">
        <f>SUM(OSRRefD22_1x_0)</f>
        <v>9110.02</v>
      </c>
      <c r="E45" s="1"/>
      <c r="F45" s="5">
        <f t="shared" ref="F45:F55" si="14">IF(D$12=0,0,D45/D$12)</f>
        <v>12.168434269227689</v>
      </c>
      <c r="G45" s="1"/>
      <c r="H45" s="1">
        <f>SUM(OSRRefH22_1x_0)</f>
        <v>15146.70138403766</v>
      </c>
      <c r="I45" s="1"/>
      <c r="J45" s="5">
        <f t="shared" ref="J45:J55" si="15">IF(H$12=0,0,H45/H$12)</f>
        <v>0.2725452340807496</v>
      </c>
      <c r="K45" s="1"/>
      <c r="L45" s="1">
        <f t="shared" ref="L45:L55" si="16">+D45-H45</f>
        <v>-6036.6813840376599</v>
      </c>
      <c r="M45" s="1"/>
      <c r="N45" s="5">
        <f t="shared" ref="N45:N55" si="17">IF(H45=0,0,L45/H45)</f>
        <v>-0.3985475933657352</v>
      </c>
      <c r="O45" s="12"/>
      <c r="P45" s="1">
        <f>SUM(OSRRefP22_1x_0)</f>
        <v>181885.82</v>
      </c>
      <c r="Q45" s="1"/>
      <c r="R45" s="5">
        <f t="shared" ref="R45:R55" si="18">IF(P$12=0,0,P45/P$12)</f>
        <v>0.38380092046813952</v>
      </c>
      <c r="S45" s="1"/>
      <c r="T45" s="1">
        <f>SUM(OSRRefT22_1x_0)</f>
        <v>209858.74323097442</v>
      </c>
      <c r="U45" s="1"/>
      <c r="V45" s="5">
        <f t="shared" ref="V45:V55" si="19">IF(T$12=0,0,T45/T$12)</f>
        <v>0.29049107797111046</v>
      </c>
      <c r="W45" s="1"/>
      <c r="X45" s="1">
        <f t="shared" ref="X45:X55" si="20">+P45-T45</f>
        <v>-27972.923230974411</v>
      </c>
      <c r="Y45" s="1"/>
      <c r="Z45" s="5">
        <f t="shared" ref="Z45:Z55" si="21">IF(T45=0,0,X45/T45)</f>
        <v>-0.13329405675600989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14"/>
        <v>0</v>
      </c>
      <c r="G46" s="2"/>
      <c r="H46" s="6">
        <v>5990.5432000000001</v>
      </c>
      <c r="I46" s="2"/>
      <c r="J46" s="7">
        <f t="shared" si="15"/>
        <v>0.10779205038236617</v>
      </c>
      <c r="K46" s="2"/>
      <c r="L46" s="6">
        <f t="shared" si="16"/>
        <v>-5990.5432000000001</v>
      </c>
      <c r="M46" s="2"/>
      <c r="N46" s="7">
        <f t="shared" si="17"/>
        <v>-1</v>
      </c>
      <c r="O46" s="11"/>
      <c r="P46" s="6"/>
      <c r="Q46" s="2"/>
      <c r="R46" s="7">
        <f t="shared" si="18"/>
        <v>0</v>
      </c>
      <c r="S46" s="2"/>
      <c r="T46" s="6">
        <v>77877.061600000001</v>
      </c>
      <c r="U46" s="2"/>
      <c r="V46" s="7">
        <f t="shared" si="19"/>
        <v>0.10779913776814974</v>
      </c>
      <c r="W46" s="2"/>
      <c r="X46" s="6">
        <f t="shared" si="20"/>
        <v>-77877.061600000001</v>
      </c>
      <c r="Y46" s="2"/>
      <c r="Z46" s="7">
        <f t="shared" si="21"/>
        <v>-1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6">
        <v>9110.02</v>
      </c>
      <c r="E47" s="2"/>
      <c r="F47" s="7">
        <f t="shared" si="14"/>
        <v>12.168434269227689</v>
      </c>
      <c r="G47" s="2"/>
      <c r="H47" s="6">
        <v>3746.6964615384595</v>
      </c>
      <c r="I47" s="2"/>
      <c r="J47" s="7">
        <f t="shared" si="15"/>
        <v>6.7416940378559775E-2</v>
      </c>
      <c r="K47" s="2"/>
      <c r="L47" s="6">
        <f t="shared" si="16"/>
        <v>5363.3235384615409</v>
      </c>
      <c r="M47" s="2"/>
      <c r="N47" s="7">
        <f t="shared" si="17"/>
        <v>1.431480663971179</v>
      </c>
      <c r="O47" s="11"/>
      <c r="P47" s="6">
        <v>129455.66</v>
      </c>
      <c r="Q47" s="2"/>
      <c r="R47" s="7">
        <f t="shared" si="18"/>
        <v>0.2731669872220413</v>
      </c>
      <c r="S47" s="2"/>
      <c r="T47" s="6">
        <v>48707.054000000004</v>
      </c>
      <c r="U47" s="2"/>
      <c r="V47" s="7">
        <f t="shared" si="19"/>
        <v>6.7421373078959485E-2</v>
      </c>
      <c r="W47" s="2"/>
      <c r="X47" s="6">
        <f t="shared" si="20"/>
        <v>80748.606</v>
      </c>
      <c r="Y47" s="2"/>
      <c r="Z47" s="7">
        <f t="shared" si="21"/>
        <v>1.6578421269329899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14"/>
        <v>0</v>
      </c>
      <c r="G48" s="2"/>
      <c r="H48" s="6">
        <v>0</v>
      </c>
      <c r="I48" s="2"/>
      <c r="J48" s="7">
        <f t="shared" si="15"/>
        <v>0</v>
      </c>
      <c r="K48" s="2"/>
      <c r="L48" s="6">
        <f t="shared" si="16"/>
        <v>0</v>
      </c>
      <c r="M48" s="2"/>
      <c r="N48" s="7">
        <f t="shared" si="17"/>
        <v>0</v>
      </c>
      <c r="O48" s="11"/>
      <c r="P48" s="6"/>
      <c r="Q48" s="2"/>
      <c r="R48" s="7">
        <f t="shared" si="18"/>
        <v>0</v>
      </c>
      <c r="S48" s="2"/>
      <c r="T48" s="6">
        <v>0</v>
      </c>
      <c r="U48" s="2"/>
      <c r="V48" s="7">
        <f t="shared" si="19"/>
        <v>0</v>
      </c>
      <c r="W48" s="2"/>
      <c r="X48" s="6">
        <f t="shared" si="20"/>
        <v>0</v>
      </c>
      <c r="Y48" s="2"/>
      <c r="Z48" s="7">
        <f t="shared" si="21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6"/>
      <c r="E49" s="2"/>
      <c r="F49" s="7">
        <f t="shared" si="14"/>
        <v>0</v>
      </c>
      <c r="G49" s="2"/>
      <c r="H49" s="6">
        <v>3010</v>
      </c>
      <c r="I49" s="2"/>
      <c r="J49" s="7">
        <f t="shared" si="15"/>
        <v>5.4161043634727846E-2</v>
      </c>
      <c r="K49" s="2"/>
      <c r="L49" s="6">
        <f t="shared" si="16"/>
        <v>-3010</v>
      </c>
      <c r="M49" s="2"/>
      <c r="N49" s="7">
        <f t="shared" si="17"/>
        <v>-1</v>
      </c>
      <c r="O49" s="11"/>
      <c r="P49" s="6"/>
      <c r="Q49" s="2"/>
      <c r="R49" s="7">
        <f t="shared" si="18"/>
        <v>0</v>
      </c>
      <c r="S49" s="2"/>
      <c r="T49" s="6">
        <v>36540</v>
      </c>
      <c r="U49" s="2"/>
      <c r="V49" s="7">
        <f t="shared" si="19"/>
        <v>5.0579469912205723E-2</v>
      </c>
      <c r="W49" s="2"/>
      <c r="X49" s="6">
        <f t="shared" si="20"/>
        <v>-36540</v>
      </c>
      <c r="Y49" s="2"/>
      <c r="Z49" s="7">
        <f t="shared" si="21"/>
        <v>-1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6"/>
      <c r="E50" s="2"/>
      <c r="F50" s="7">
        <f t="shared" si="14"/>
        <v>0</v>
      </c>
      <c r="G50" s="2"/>
      <c r="H50" s="6">
        <v>0</v>
      </c>
      <c r="I50" s="2"/>
      <c r="J50" s="7">
        <f t="shared" si="15"/>
        <v>0</v>
      </c>
      <c r="K50" s="2"/>
      <c r="L50" s="6">
        <f t="shared" si="16"/>
        <v>0</v>
      </c>
      <c r="M50" s="2"/>
      <c r="N50" s="7">
        <f t="shared" si="17"/>
        <v>0</v>
      </c>
      <c r="O50" s="11"/>
      <c r="P50" s="6">
        <v>18111.36</v>
      </c>
      <c r="Q50" s="2"/>
      <c r="R50" s="7">
        <f t="shared" si="18"/>
        <v>3.8217144354242914E-2</v>
      </c>
      <c r="S50" s="2"/>
      <c r="T50" s="6">
        <v>0</v>
      </c>
      <c r="U50" s="2"/>
      <c r="V50" s="7">
        <f t="shared" si="19"/>
        <v>0</v>
      </c>
      <c r="W50" s="2"/>
      <c r="X50" s="6">
        <f t="shared" si="20"/>
        <v>18111.36</v>
      </c>
      <c r="Y50" s="2"/>
      <c r="Z50" s="7">
        <f t="shared" si="21"/>
        <v>0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14"/>
        <v>0</v>
      </c>
      <c r="G51" s="2"/>
      <c r="H51" s="6">
        <v>0</v>
      </c>
      <c r="I51" s="2"/>
      <c r="J51" s="7">
        <f t="shared" si="15"/>
        <v>0</v>
      </c>
      <c r="K51" s="2"/>
      <c r="L51" s="6">
        <f t="shared" si="16"/>
        <v>0</v>
      </c>
      <c r="M51" s="2"/>
      <c r="N51" s="7">
        <f t="shared" si="17"/>
        <v>0</v>
      </c>
      <c r="O51" s="11"/>
      <c r="P51" s="6">
        <v>2451.21</v>
      </c>
      <c r="Q51" s="2"/>
      <c r="R51" s="7">
        <f t="shared" si="18"/>
        <v>5.1723474334651716E-3</v>
      </c>
      <c r="S51" s="2"/>
      <c r="T51" s="6">
        <v>0</v>
      </c>
      <c r="U51" s="2"/>
      <c r="V51" s="7">
        <f t="shared" si="19"/>
        <v>0</v>
      </c>
      <c r="W51" s="2"/>
      <c r="X51" s="6">
        <f t="shared" si="20"/>
        <v>2451.21</v>
      </c>
      <c r="Y51" s="2"/>
      <c r="Z51" s="7">
        <f t="shared" si="21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6"/>
      <c r="E52" s="2"/>
      <c r="F52" s="7">
        <f t="shared" si="14"/>
        <v>0</v>
      </c>
      <c r="G52" s="2"/>
      <c r="H52" s="6">
        <v>2399.4617224991998</v>
      </c>
      <c r="I52" s="2"/>
      <c r="J52" s="7">
        <f t="shared" si="15"/>
        <v>4.3175199685095811E-2</v>
      </c>
      <c r="K52" s="2"/>
      <c r="L52" s="6">
        <f t="shared" si="16"/>
        <v>-2399.4617224991998</v>
      </c>
      <c r="M52" s="2"/>
      <c r="N52" s="7">
        <f t="shared" si="17"/>
        <v>-1</v>
      </c>
      <c r="O52" s="11"/>
      <c r="P52" s="6">
        <v>31867.59</v>
      </c>
      <c r="Q52" s="2"/>
      <c r="R52" s="7">
        <f t="shared" si="18"/>
        <v>6.7244441458390092E-2</v>
      </c>
      <c r="S52" s="2"/>
      <c r="T52" s="6">
        <v>6155.5980856992001</v>
      </c>
      <c r="U52" s="2"/>
      <c r="V52" s="7">
        <f t="shared" si="19"/>
        <v>8.5207139618843422E-3</v>
      </c>
      <c r="W52" s="2"/>
      <c r="X52" s="6">
        <f t="shared" si="20"/>
        <v>25711.991914300801</v>
      </c>
      <c r="Y52" s="2"/>
      <c r="Z52" s="7">
        <f t="shared" si="21"/>
        <v>4.1770095377141949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14"/>
        <v>0</v>
      </c>
      <c r="G53" s="2"/>
      <c r="H53" s="6">
        <v>0</v>
      </c>
      <c r="I53" s="2"/>
      <c r="J53" s="7">
        <f t="shared" si="15"/>
        <v>0</v>
      </c>
      <c r="K53" s="2"/>
      <c r="L53" s="6">
        <f t="shared" si="16"/>
        <v>0</v>
      </c>
      <c r="M53" s="2"/>
      <c r="N53" s="7">
        <f t="shared" si="17"/>
        <v>0</v>
      </c>
      <c r="O53" s="11"/>
      <c r="P53" s="6"/>
      <c r="Q53" s="2"/>
      <c r="R53" s="7">
        <f t="shared" si="18"/>
        <v>0</v>
      </c>
      <c r="S53" s="2"/>
      <c r="T53" s="6">
        <v>40579.029545275203</v>
      </c>
      <c r="U53" s="2"/>
      <c r="V53" s="7">
        <f t="shared" si="19"/>
        <v>5.6170383249911172E-2</v>
      </c>
      <c r="W53" s="2"/>
      <c r="X53" s="6">
        <f t="shared" si="20"/>
        <v>-40579.029545275203</v>
      </c>
      <c r="Y53" s="2"/>
      <c r="Z53" s="7">
        <f t="shared" si="21"/>
        <v>-1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14"/>
        <v>0</v>
      </c>
      <c r="G54" s="2"/>
      <c r="H54" s="6">
        <v>0</v>
      </c>
      <c r="I54" s="2"/>
      <c r="J54" s="7">
        <f t="shared" si="15"/>
        <v>0</v>
      </c>
      <c r="K54" s="2"/>
      <c r="L54" s="6">
        <f t="shared" si="16"/>
        <v>0</v>
      </c>
      <c r="M54" s="2"/>
      <c r="N54" s="7">
        <f t="shared" si="17"/>
        <v>0</v>
      </c>
      <c r="O54" s="11"/>
      <c r="P54" s="6"/>
      <c r="Q54" s="2"/>
      <c r="R54" s="7">
        <f t="shared" si="18"/>
        <v>0</v>
      </c>
      <c r="S54" s="2"/>
      <c r="T54" s="6">
        <v>0</v>
      </c>
      <c r="U54" s="2"/>
      <c r="V54" s="7">
        <f t="shared" si="19"/>
        <v>0</v>
      </c>
      <c r="W54" s="2"/>
      <c r="X54" s="6">
        <f t="shared" si="20"/>
        <v>0</v>
      </c>
      <c r="Y54" s="2"/>
      <c r="Z54" s="7">
        <f t="shared" si="21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14"/>
        <v>0</v>
      </c>
      <c r="G55" s="2"/>
      <c r="H55" s="6">
        <v>0</v>
      </c>
      <c r="I55" s="2"/>
      <c r="J55" s="7">
        <f t="shared" si="15"/>
        <v>0</v>
      </c>
      <c r="K55" s="2"/>
      <c r="L55" s="6">
        <f t="shared" si="16"/>
        <v>0</v>
      </c>
      <c r="M55" s="2"/>
      <c r="N55" s="7">
        <f t="shared" si="17"/>
        <v>0</v>
      </c>
      <c r="O55" s="11"/>
      <c r="P55" s="6"/>
      <c r="Q55" s="2"/>
      <c r="R55" s="7">
        <f t="shared" si="18"/>
        <v>0</v>
      </c>
      <c r="S55" s="2"/>
      <c r="T55" s="6">
        <v>0</v>
      </c>
      <c r="U55" s="2"/>
      <c r="V55" s="7">
        <f t="shared" si="19"/>
        <v>0</v>
      </c>
      <c r="W55" s="2"/>
      <c r="X55" s="6">
        <f t="shared" si="20"/>
        <v>0</v>
      </c>
      <c r="Y55" s="2"/>
      <c r="Z55" s="7">
        <f t="shared" si="21"/>
        <v>0</v>
      </c>
    </row>
    <row r="56" spans="1:26" s="26" customFormat="1" outlineLevel="1" collapsed="1" x14ac:dyDescent="0.25">
      <c r="A56" s="25"/>
      <c r="B56" s="12" t="str">
        <f>CONCATENATE("     ","Advertising/Promo                                 ")</f>
        <v xml:space="preserve">     Advertising/Promo                                 </v>
      </c>
      <c r="C56" s="12"/>
      <c r="D56" s="1">
        <f>SUM(OSRRefD22_2x_0)</f>
        <v>0</v>
      </c>
      <c r="E56" s="1"/>
      <c r="F56" s="5">
        <f t="shared" ref="F56:F72" si="22">IF(D$12=0,0,D56/D$12)</f>
        <v>0</v>
      </c>
      <c r="G56" s="1"/>
      <c r="H56" s="1">
        <f>SUM(OSRRefH22_2x_0)</f>
        <v>100</v>
      </c>
      <c r="I56" s="1"/>
      <c r="J56" s="5">
        <f t="shared" ref="J56:J72" si="23">IF(H$12=0,0,H56/H$12)</f>
        <v>1.7993702204228521E-3</v>
      </c>
      <c r="K56" s="1"/>
      <c r="L56" s="1">
        <f t="shared" ref="L56:L72" si="24">+D56-H56</f>
        <v>-100</v>
      </c>
      <c r="M56" s="1"/>
      <c r="N56" s="5">
        <f t="shared" ref="N56:N72" si="25">IF(H56=0,0,L56/H56)</f>
        <v>-1</v>
      </c>
      <c r="O56" s="12"/>
      <c r="P56" s="1">
        <f>SUM(OSRRefP22_2x_0)</f>
        <v>751</v>
      </c>
      <c r="Q56" s="1"/>
      <c r="R56" s="5">
        <f t="shared" ref="R56:R72" si="26">IF(P$12=0,0,P56/P$12)</f>
        <v>1.5847001776805511E-3</v>
      </c>
      <c r="S56" s="1"/>
      <c r="T56" s="1">
        <f>SUM(OSRRefT22_2x_0)</f>
        <v>1200</v>
      </c>
      <c r="U56" s="1"/>
      <c r="V56" s="5">
        <f t="shared" ref="V56:V72" si="27">IF(T$12=0,0,T56/T$12)</f>
        <v>1.6610663353762143E-3</v>
      </c>
      <c r="W56" s="1"/>
      <c r="X56" s="1">
        <f t="shared" ref="X56:X72" si="28">+P56-T56</f>
        <v>-449</v>
      </c>
      <c r="Y56" s="1"/>
      <c r="Z56" s="5">
        <f t="shared" ref="Z56:Z72" si="29">IF(T56=0,0,X56/T56)</f>
        <v>-0.37416666666666665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6"/>
      <c r="E57" s="2"/>
      <c r="F57" s="7">
        <f t="shared" si="22"/>
        <v>0</v>
      </c>
      <c r="G57" s="2"/>
      <c r="H57" s="6">
        <v>100</v>
      </c>
      <c r="I57" s="2"/>
      <c r="J57" s="7">
        <f t="shared" si="23"/>
        <v>1.7993702204228521E-3</v>
      </c>
      <c r="K57" s="2"/>
      <c r="L57" s="6">
        <f t="shared" si="24"/>
        <v>-100</v>
      </c>
      <c r="M57" s="2"/>
      <c r="N57" s="7">
        <f t="shared" si="25"/>
        <v>-1</v>
      </c>
      <c r="O57" s="11"/>
      <c r="P57" s="6">
        <v>751</v>
      </c>
      <c r="Q57" s="2"/>
      <c r="R57" s="7">
        <f t="shared" si="26"/>
        <v>1.5847001776805511E-3</v>
      </c>
      <c r="S57" s="2"/>
      <c r="T57" s="6">
        <v>1200</v>
      </c>
      <c r="U57" s="2"/>
      <c r="V57" s="7">
        <f t="shared" si="27"/>
        <v>1.6610663353762143E-3</v>
      </c>
      <c r="W57" s="2"/>
      <c r="X57" s="6">
        <f t="shared" si="28"/>
        <v>-449</v>
      </c>
      <c r="Y57" s="2"/>
      <c r="Z57" s="7">
        <f t="shared" si="29"/>
        <v>-0.37416666666666665</v>
      </c>
    </row>
    <row r="58" spans="1:26" s="26" customFormat="1" outlineLevel="1" collapsed="1" x14ac:dyDescent="0.25">
      <c r="A58" s="25"/>
      <c r="B58" s="12" t="str">
        <f>CONCATENATE("     ","Depreciation                                      ")</f>
        <v xml:space="preserve">     Depreciation                                      </v>
      </c>
      <c r="C58" s="12"/>
      <c r="D58" s="1">
        <f>SUM(OSRRefD22_3x_0)</f>
        <v>169.9</v>
      </c>
      <c r="E58" s="1"/>
      <c r="F58" s="5">
        <f t="shared" si="22"/>
        <v>0.22693879731787461</v>
      </c>
      <c r="G58" s="1"/>
      <c r="H58" s="1">
        <f>SUM(OSRRefH22_3x_0)</f>
        <v>0</v>
      </c>
      <c r="I58" s="1"/>
      <c r="J58" s="5">
        <f t="shared" si="23"/>
        <v>0</v>
      </c>
      <c r="K58" s="1"/>
      <c r="L58" s="1">
        <f t="shared" si="24"/>
        <v>169.9</v>
      </c>
      <c r="M58" s="1"/>
      <c r="N58" s="5">
        <f t="shared" si="25"/>
        <v>0</v>
      </c>
      <c r="O58" s="12"/>
      <c r="P58" s="1">
        <f>SUM(OSRRefP22_3x_0)</f>
        <v>1189.18</v>
      </c>
      <c r="Q58" s="1"/>
      <c r="R58" s="5">
        <f t="shared" si="26"/>
        <v>2.5093125929349638E-3</v>
      </c>
      <c r="S58" s="1"/>
      <c r="T58" s="1">
        <f>SUM(OSRRefT22_3x_0)</f>
        <v>0</v>
      </c>
      <c r="U58" s="1"/>
      <c r="V58" s="5">
        <f t="shared" si="27"/>
        <v>0</v>
      </c>
      <c r="W58" s="1"/>
      <c r="X58" s="1">
        <f t="shared" si="28"/>
        <v>1189.18</v>
      </c>
      <c r="Y58" s="1"/>
      <c r="Z58" s="5">
        <f t="shared" si="29"/>
        <v>0</v>
      </c>
    </row>
    <row r="59" spans="1:26" s="24" customFormat="1" hidden="1" outlineLevel="2" x14ac:dyDescent="0.25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169.9</v>
      </c>
      <c r="E59" s="2"/>
      <c r="F59" s="7">
        <f t="shared" si="22"/>
        <v>0.22693879731787461</v>
      </c>
      <c r="G59" s="2"/>
      <c r="H59" s="6">
        <v>0</v>
      </c>
      <c r="I59" s="2"/>
      <c r="J59" s="7">
        <f t="shared" si="23"/>
        <v>0</v>
      </c>
      <c r="K59" s="2"/>
      <c r="L59" s="6">
        <f t="shared" si="24"/>
        <v>169.9</v>
      </c>
      <c r="M59" s="2"/>
      <c r="N59" s="7">
        <f t="shared" si="25"/>
        <v>0</v>
      </c>
      <c r="O59" s="11"/>
      <c r="P59" s="6">
        <v>1189.18</v>
      </c>
      <c r="Q59" s="2"/>
      <c r="R59" s="7">
        <f t="shared" si="26"/>
        <v>2.5093125929349638E-3</v>
      </c>
      <c r="S59" s="2"/>
      <c r="T59" s="6">
        <v>0</v>
      </c>
      <c r="U59" s="2"/>
      <c r="V59" s="7">
        <f t="shared" si="27"/>
        <v>0</v>
      </c>
      <c r="W59" s="2"/>
      <c r="X59" s="6">
        <f t="shared" si="28"/>
        <v>1189.18</v>
      </c>
      <c r="Y59" s="2"/>
      <c r="Z59" s="7">
        <f t="shared" si="29"/>
        <v>0</v>
      </c>
    </row>
    <row r="60" spans="1:26" s="26" customFormat="1" outlineLevel="1" collapsed="1" x14ac:dyDescent="0.25">
      <c r="A60" s="25"/>
      <c r="B60" s="12" t="str">
        <f>CONCATENATE("     ","Discounts and Markdowns                           ")</f>
        <v xml:space="preserve">     Discounts and Markdowns                           </v>
      </c>
      <c r="C60" s="12"/>
      <c r="D60" s="1">
        <f>SUM(OSRRefD22_4x_0)</f>
        <v>0</v>
      </c>
      <c r="E60" s="1"/>
      <c r="F60" s="5">
        <f t="shared" si="22"/>
        <v>0</v>
      </c>
      <c r="G60" s="1"/>
      <c r="H60" s="1">
        <f>SUM(OSRRefH22_4x_0)</f>
        <v>400</v>
      </c>
      <c r="I60" s="1"/>
      <c r="J60" s="5">
        <f t="shared" si="23"/>
        <v>7.1974808816914083E-3</v>
      </c>
      <c r="K60" s="1"/>
      <c r="L60" s="1">
        <f t="shared" si="24"/>
        <v>-400</v>
      </c>
      <c r="M60" s="1"/>
      <c r="N60" s="5">
        <f t="shared" si="25"/>
        <v>-1</v>
      </c>
      <c r="O60" s="12"/>
      <c r="P60" s="1">
        <f>SUM(OSRRefP22_4x_0)</f>
        <v>726.07</v>
      </c>
      <c r="Q60" s="1"/>
      <c r="R60" s="5">
        <f t="shared" si="26"/>
        <v>1.5320948841658028E-3</v>
      </c>
      <c r="S60" s="1"/>
      <c r="T60" s="1">
        <f>SUM(OSRRefT22_4x_0)</f>
        <v>7100</v>
      </c>
      <c r="U60" s="1"/>
      <c r="V60" s="5">
        <f t="shared" si="27"/>
        <v>9.8279758176426004E-3</v>
      </c>
      <c r="W60" s="1"/>
      <c r="X60" s="1">
        <f t="shared" si="28"/>
        <v>-6373.93</v>
      </c>
      <c r="Y60" s="1"/>
      <c r="Z60" s="5">
        <f t="shared" si="29"/>
        <v>-0.89773661971830987</v>
      </c>
    </row>
    <row r="61" spans="1:26" s="24" customFormat="1" hidden="1" outlineLevel="2" x14ac:dyDescent="0.25">
      <c r="A61" s="27"/>
      <c r="B61" s="11" t="str">
        <f>CONCATENATE("          ", "6382", " - ", "DISCOUNTS/MARK DOWNS")</f>
        <v xml:space="preserve">          6382 - DISCOUNTS/MARK DOWNS</v>
      </c>
      <c r="C61" s="11"/>
      <c r="D61" s="6"/>
      <c r="E61" s="2"/>
      <c r="F61" s="7">
        <f t="shared" si="22"/>
        <v>0</v>
      </c>
      <c r="G61" s="2"/>
      <c r="H61" s="6">
        <v>400</v>
      </c>
      <c r="I61" s="2"/>
      <c r="J61" s="7">
        <f t="shared" si="23"/>
        <v>7.1974808816914083E-3</v>
      </c>
      <c r="K61" s="2"/>
      <c r="L61" s="6">
        <f t="shared" si="24"/>
        <v>-400</v>
      </c>
      <c r="M61" s="2"/>
      <c r="N61" s="7">
        <f t="shared" si="25"/>
        <v>-1</v>
      </c>
      <c r="O61" s="11"/>
      <c r="P61" s="6">
        <v>726.07</v>
      </c>
      <c r="Q61" s="2"/>
      <c r="R61" s="7">
        <f t="shared" si="26"/>
        <v>1.5320948841658028E-3</v>
      </c>
      <c r="S61" s="2"/>
      <c r="T61" s="6">
        <v>7100</v>
      </c>
      <c r="U61" s="2"/>
      <c r="V61" s="7">
        <f t="shared" si="27"/>
        <v>9.8279758176426004E-3</v>
      </c>
      <c r="W61" s="2"/>
      <c r="X61" s="6">
        <f t="shared" si="28"/>
        <v>-6373.93</v>
      </c>
      <c r="Y61" s="2"/>
      <c r="Z61" s="7">
        <f t="shared" si="29"/>
        <v>-0.89773661971830987</v>
      </c>
    </row>
    <row r="62" spans="1:26" s="26" customFormat="1" outlineLevel="1" collapsed="1" x14ac:dyDescent="0.25">
      <c r="A62" s="25"/>
      <c r="B62" s="12" t="str">
        <f>CONCATENATE("     ","Employees' Appreciation                           ")</f>
        <v xml:space="preserve">     Employees' Appreciation                           </v>
      </c>
      <c r="C62" s="12"/>
      <c r="D62" s="1">
        <f>SUM(OSRRefD22_5x_0)</f>
        <v>0</v>
      </c>
      <c r="E62" s="1"/>
      <c r="F62" s="5">
        <f t="shared" si="22"/>
        <v>0</v>
      </c>
      <c r="G62" s="1"/>
      <c r="H62" s="1">
        <f>SUM(OSRRefH22_5x_0)</f>
        <v>100</v>
      </c>
      <c r="I62" s="1"/>
      <c r="J62" s="5">
        <f t="shared" si="23"/>
        <v>1.7993702204228521E-3</v>
      </c>
      <c r="K62" s="1"/>
      <c r="L62" s="1">
        <f t="shared" si="24"/>
        <v>-100</v>
      </c>
      <c r="M62" s="1"/>
      <c r="N62" s="5">
        <f t="shared" si="25"/>
        <v>-1</v>
      </c>
      <c r="O62" s="12"/>
      <c r="P62" s="1">
        <f>SUM(OSRRefP22_5x_0)</f>
        <v>0</v>
      </c>
      <c r="Q62" s="1"/>
      <c r="R62" s="5">
        <f t="shared" si="26"/>
        <v>0</v>
      </c>
      <c r="S62" s="1"/>
      <c r="T62" s="1">
        <f>SUM(OSRRefT22_5x_0)</f>
        <v>1200</v>
      </c>
      <c r="U62" s="1"/>
      <c r="V62" s="5">
        <f t="shared" si="27"/>
        <v>1.6610663353762143E-3</v>
      </c>
      <c r="W62" s="1"/>
      <c r="X62" s="1">
        <f t="shared" si="28"/>
        <v>-1200</v>
      </c>
      <c r="Y62" s="1"/>
      <c r="Z62" s="5">
        <f t="shared" si="29"/>
        <v>-1</v>
      </c>
    </row>
    <row r="63" spans="1:26" s="24" customFormat="1" hidden="1" outlineLevel="2" x14ac:dyDescent="0.25">
      <c r="A63" s="27"/>
      <c r="B63" s="11" t="str">
        <f>CONCATENATE("          ", "6277", " - ", "EMPLOYEE APPRECIATION")</f>
        <v xml:space="preserve">          6277 - EMPLOYEE APPRECIATION</v>
      </c>
      <c r="C63" s="11"/>
      <c r="D63" s="6"/>
      <c r="E63" s="2"/>
      <c r="F63" s="7">
        <f t="shared" si="22"/>
        <v>0</v>
      </c>
      <c r="G63" s="2"/>
      <c r="H63" s="6">
        <v>100</v>
      </c>
      <c r="I63" s="2"/>
      <c r="J63" s="7">
        <f t="shared" si="23"/>
        <v>1.7993702204228521E-3</v>
      </c>
      <c r="K63" s="2"/>
      <c r="L63" s="6">
        <f t="shared" si="24"/>
        <v>-100</v>
      </c>
      <c r="M63" s="2"/>
      <c r="N63" s="7">
        <f t="shared" si="25"/>
        <v>-1</v>
      </c>
      <c r="O63" s="11"/>
      <c r="P63" s="6"/>
      <c r="Q63" s="2"/>
      <c r="R63" s="7">
        <f t="shared" si="26"/>
        <v>0</v>
      </c>
      <c r="S63" s="2"/>
      <c r="T63" s="6">
        <v>1200</v>
      </c>
      <c r="U63" s="2"/>
      <c r="V63" s="7">
        <f t="shared" si="27"/>
        <v>1.6610663353762143E-3</v>
      </c>
      <c r="W63" s="2"/>
      <c r="X63" s="6">
        <f t="shared" si="28"/>
        <v>-1200</v>
      </c>
      <c r="Y63" s="2"/>
      <c r="Z63" s="7">
        <f t="shared" si="29"/>
        <v>-1</v>
      </c>
    </row>
    <row r="64" spans="1:26" s="26" customFormat="1" outlineLevel="1" collapsed="1" x14ac:dyDescent="0.25">
      <c r="A64" s="25"/>
      <c r="B64" s="12" t="str">
        <f>CONCATENATE("     ","Equipment Rental                                  ")</f>
        <v xml:space="preserve">     Equipment Rental                                  </v>
      </c>
      <c r="C64" s="12"/>
      <c r="D64" s="1">
        <f>SUM(OSRRefD22_6x_0)</f>
        <v>1205.6400000000001</v>
      </c>
      <c r="E64" s="1"/>
      <c r="F64" s="5">
        <f t="shared" si="22"/>
        <v>1.610397243074293</v>
      </c>
      <c r="G64" s="1"/>
      <c r="H64" s="1">
        <f>SUM(OSRRefH22_6x_0)</f>
        <v>3000</v>
      </c>
      <c r="I64" s="1"/>
      <c r="J64" s="5">
        <f t="shared" si="23"/>
        <v>5.3981106612685563E-2</v>
      </c>
      <c r="K64" s="1"/>
      <c r="L64" s="1">
        <f t="shared" si="24"/>
        <v>-1794.36</v>
      </c>
      <c r="M64" s="1"/>
      <c r="N64" s="5">
        <f t="shared" si="25"/>
        <v>-0.59811999999999999</v>
      </c>
      <c r="O64" s="12"/>
      <c r="P64" s="1">
        <f>SUM(OSRRefP22_6x_0)</f>
        <v>17287.350000000002</v>
      </c>
      <c r="Q64" s="1"/>
      <c r="R64" s="5">
        <f t="shared" si="26"/>
        <v>3.6478384309754835E-2</v>
      </c>
      <c r="S64" s="1"/>
      <c r="T64" s="1">
        <f>SUM(OSRRefT22_6x_0)</f>
        <v>36000</v>
      </c>
      <c r="U64" s="1"/>
      <c r="V64" s="5">
        <f t="shared" si="27"/>
        <v>4.9831990061286427E-2</v>
      </c>
      <c r="W64" s="1"/>
      <c r="X64" s="1">
        <f t="shared" si="28"/>
        <v>-18712.649999999998</v>
      </c>
      <c r="Y64" s="1"/>
      <c r="Z64" s="5">
        <f t="shared" si="29"/>
        <v>-0.51979583333333323</v>
      </c>
    </row>
    <row r="65" spans="1:26" s="24" customFormat="1" hidden="1" outlineLevel="2" x14ac:dyDescent="0.25">
      <c r="A65" s="27"/>
      <c r="B65" s="11" t="str">
        <f>CONCATENATE("          ", "6351", " - ", "EQUIPMENT RENTAL")</f>
        <v xml:space="preserve">          6351 - EQUIPMENT RENTAL</v>
      </c>
      <c r="C65" s="11"/>
      <c r="D65" s="6">
        <v>1205.6400000000001</v>
      </c>
      <c r="E65" s="2"/>
      <c r="F65" s="7">
        <f t="shared" si="22"/>
        <v>1.610397243074293</v>
      </c>
      <c r="G65" s="2"/>
      <c r="H65" s="6">
        <v>3000</v>
      </c>
      <c r="I65" s="2"/>
      <c r="J65" s="7">
        <f t="shared" si="23"/>
        <v>5.3981106612685563E-2</v>
      </c>
      <c r="K65" s="2"/>
      <c r="L65" s="6">
        <f t="shared" si="24"/>
        <v>-1794.36</v>
      </c>
      <c r="M65" s="2"/>
      <c r="N65" s="7">
        <f t="shared" si="25"/>
        <v>-0.59811999999999999</v>
      </c>
      <c r="O65" s="11"/>
      <c r="P65" s="6">
        <v>17287.350000000002</v>
      </c>
      <c r="Q65" s="2"/>
      <c r="R65" s="7">
        <f t="shared" si="26"/>
        <v>3.6478384309754835E-2</v>
      </c>
      <c r="S65" s="2"/>
      <c r="T65" s="6">
        <v>36000</v>
      </c>
      <c r="U65" s="2"/>
      <c r="V65" s="7">
        <f t="shared" si="27"/>
        <v>4.9831990061286427E-2</v>
      </c>
      <c r="W65" s="2"/>
      <c r="X65" s="6">
        <f t="shared" si="28"/>
        <v>-18712.649999999998</v>
      </c>
      <c r="Y65" s="2"/>
      <c r="Z65" s="7">
        <f t="shared" si="29"/>
        <v>-0.51979583333333323</v>
      </c>
    </row>
    <row r="66" spans="1:26" s="26" customFormat="1" outlineLevel="1" collapsed="1" x14ac:dyDescent="0.25">
      <c r="A66" s="25"/>
      <c r="B66" s="12" t="str">
        <f>CONCATENATE("     ","Freight out/Postage                               ")</f>
        <v xml:space="preserve">     Freight out/Postage                               </v>
      </c>
      <c r="C66" s="12"/>
      <c r="D66" s="1">
        <f>SUM(OSRRefD22_7x_0)</f>
        <v>0</v>
      </c>
      <c r="E66" s="1"/>
      <c r="F66" s="5">
        <f t="shared" si="22"/>
        <v>0</v>
      </c>
      <c r="G66" s="1"/>
      <c r="H66" s="1">
        <f>SUM(OSRRefH22_7x_0)</f>
        <v>-300</v>
      </c>
      <c r="I66" s="1"/>
      <c r="J66" s="5">
        <f t="shared" si="23"/>
        <v>-5.3981106612685558E-3</v>
      </c>
      <c r="K66" s="1"/>
      <c r="L66" s="1">
        <f t="shared" si="24"/>
        <v>300</v>
      </c>
      <c r="M66" s="1"/>
      <c r="N66" s="5">
        <f t="shared" si="25"/>
        <v>-1</v>
      </c>
      <c r="O66" s="12"/>
      <c r="P66" s="1">
        <f>SUM(OSRRefP22_7x_0)</f>
        <v>15.02</v>
      </c>
      <c r="Q66" s="1"/>
      <c r="R66" s="5">
        <f t="shared" si="26"/>
        <v>3.1694003553611024E-5</v>
      </c>
      <c r="S66" s="1"/>
      <c r="T66" s="1">
        <f>SUM(OSRRefT22_7x_0)</f>
        <v>-3600</v>
      </c>
      <c r="U66" s="1"/>
      <c r="V66" s="5">
        <f t="shared" si="27"/>
        <v>-4.9831990061286425E-3</v>
      </c>
      <c r="W66" s="1"/>
      <c r="X66" s="1">
        <f t="shared" si="28"/>
        <v>3615.02</v>
      </c>
      <c r="Y66" s="1"/>
      <c r="Z66" s="5">
        <f t="shared" si="29"/>
        <v>-1.0041722222222222</v>
      </c>
    </row>
    <row r="67" spans="1:26" s="24" customFormat="1" hidden="1" outlineLevel="2" x14ac:dyDescent="0.25">
      <c r="A67" s="27"/>
      <c r="B67" s="11" t="str">
        <f>CONCATENATE("          ", "6305", " - ", "FREIGHT OUT")</f>
        <v xml:space="preserve">          6305 - FREIGHT OUT</v>
      </c>
      <c r="C67" s="11"/>
      <c r="D67" s="6"/>
      <c r="E67" s="2"/>
      <c r="F67" s="7">
        <f t="shared" si="22"/>
        <v>0</v>
      </c>
      <c r="G67" s="2"/>
      <c r="H67" s="6">
        <v>-300</v>
      </c>
      <c r="I67" s="2"/>
      <c r="J67" s="7">
        <f t="shared" si="23"/>
        <v>-5.3981106612685558E-3</v>
      </c>
      <c r="K67" s="2"/>
      <c r="L67" s="6">
        <f t="shared" si="24"/>
        <v>300</v>
      </c>
      <c r="M67" s="2"/>
      <c r="N67" s="7">
        <f t="shared" si="25"/>
        <v>-1</v>
      </c>
      <c r="O67" s="11"/>
      <c r="P67" s="6">
        <v>15.02</v>
      </c>
      <c r="Q67" s="2"/>
      <c r="R67" s="7">
        <f t="shared" si="26"/>
        <v>3.1694003553611024E-5</v>
      </c>
      <c r="S67" s="2"/>
      <c r="T67" s="6">
        <v>-3600</v>
      </c>
      <c r="U67" s="2"/>
      <c r="V67" s="7">
        <f t="shared" si="27"/>
        <v>-4.9831990061286425E-3</v>
      </c>
      <c r="W67" s="2"/>
      <c r="X67" s="6">
        <f t="shared" si="28"/>
        <v>3615.02</v>
      </c>
      <c r="Y67" s="2"/>
      <c r="Z67" s="7">
        <f t="shared" si="29"/>
        <v>-1.0041722222222222</v>
      </c>
    </row>
    <row r="68" spans="1:26" s="26" customFormat="1" outlineLevel="1" collapsed="1" x14ac:dyDescent="0.25">
      <c r="A68" s="25"/>
      <c r="B68" s="12" t="str">
        <f>CONCATENATE("     ","General                                           ")</f>
        <v xml:space="preserve">     General                                           </v>
      </c>
      <c r="C68" s="12"/>
      <c r="D68" s="1">
        <f>SUM(OSRRefD22_8x_0)</f>
        <v>0</v>
      </c>
      <c r="E68" s="1"/>
      <c r="F68" s="5">
        <f t="shared" si="22"/>
        <v>0</v>
      </c>
      <c r="G68" s="1"/>
      <c r="H68" s="1">
        <f>SUM(OSRRefH22_8x_0)</f>
        <v>200</v>
      </c>
      <c r="I68" s="1"/>
      <c r="J68" s="5">
        <f t="shared" si="23"/>
        <v>3.5987404408457041E-3</v>
      </c>
      <c r="K68" s="1"/>
      <c r="L68" s="1">
        <f t="shared" si="24"/>
        <v>-200</v>
      </c>
      <c r="M68" s="1"/>
      <c r="N68" s="5">
        <f t="shared" si="25"/>
        <v>-1</v>
      </c>
      <c r="O68" s="12"/>
      <c r="P68" s="1">
        <f>SUM(OSRRefP22_8x_0)</f>
        <v>75</v>
      </c>
      <c r="Q68" s="1"/>
      <c r="R68" s="5">
        <f t="shared" si="26"/>
        <v>1.5825900576037463E-4</v>
      </c>
      <c r="S68" s="1"/>
      <c r="T68" s="1">
        <f>SUM(OSRRefT22_8x_0)</f>
        <v>2400</v>
      </c>
      <c r="U68" s="1"/>
      <c r="V68" s="5">
        <f t="shared" si="27"/>
        <v>3.3221326707524286E-3</v>
      </c>
      <c r="W68" s="1"/>
      <c r="X68" s="1">
        <f t="shared" si="28"/>
        <v>-2325</v>
      </c>
      <c r="Y68" s="1"/>
      <c r="Z68" s="5">
        <f t="shared" si="29"/>
        <v>-0.96875</v>
      </c>
    </row>
    <row r="69" spans="1:26" s="24" customFormat="1" hidden="1" outlineLevel="2" x14ac:dyDescent="0.25">
      <c r="A69" s="27"/>
      <c r="B69" s="11" t="str">
        <f>CONCATENATE("          ", "6279", " - ", "GENERAL EXPENSE")</f>
        <v xml:space="preserve">          6279 - GENERAL EXPENSE</v>
      </c>
      <c r="C69" s="11"/>
      <c r="D69" s="6"/>
      <c r="E69" s="2"/>
      <c r="F69" s="7">
        <f t="shared" si="22"/>
        <v>0</v>
      </c>
      <c r="G69" s="2"/>
      <c r="H69" s="6">
        <v>200</v>
      </c>
      <c r="I69" s="2"/>
      <c r="J69" s="7">
        <f t="shared" si="23"/>
        <v>3.5987404408457041E-3</v>
      </c>
      <c r="K69" s="2"/>
      <c r="L69" s="6">
        <f t="shared" si="24"/>
        <v>-200</v>
      </c>
      <c r="M69" s="2"/>
      <c r="N69" s="7">
        <f t="shared" si="25"/>
        <v>-1</v>
      </c>
      <c r="O69" s="11"/>
      <c r="P69" s="6">
        <v>75</v>
      </c>
      <c r="Q69" s="2"/>
      <c r="R69" s="7">
        <f t="shared" si="26"/>
        <v>1.5825900576037463E-4</v>
      </c>
      <c r="S69" s="2"/>
      <c r="T69" s="6">
        <v>2400</v>
      </c>
      <c r="U69" s="2"/>
      <c r="V69" s="7">
        <f t="shared" si="27"/>
        <v>3.3221326707524286E-3</v>
      </c>
      <c r="W69" s="2"/>
      <c r="X69" s="6">
        <f t="shared" si="28"/>
        <v>-2325</v>
      </c>
      <c r="Y69" s="2"/>
      <c r="Z69" s="7">
        <f t="shared" si="29"/>
        <v>-0.96875</v>
      </c>
    </row>
    <row r="70" spans="1:26" s="26" customFormat="1" outlineLevel="1" collapsed="1" x14ac:dyDescent="0.25">
      <c r="A70" s="25"/>
      <c r="B70" s="12" t="str">
        <f>CONCATENATE("     ","Repair and Maintenance                            ")</f>
        <v xml:space="preserve">     Repair and Maintenance                            </v>
      </c>
      <c r="C70" s="12"/>
      <c r="D70" s="1">
        <f>SUM(OSRRefD22_9x_0)</f>
        <v>8710.14</v>
      </c>
      <c r="E70" s="1"/>
      <c r="F70" s="5">
        <f t="shared" si="22"/>
        <v>11.634306627841744</v>
      </c>
      <c r="G70" s="1"/>
      <c r="H70" s="1">
        <f>SUM(OSRRefH22_9x_0)</f>
        <v>7000</v>
      </c>
      <c r="I70" s="1"/>
      <c r="J70" s="5">
        <f t="shared" si="23"/>
        <v>0.12595591542959964</v>
      </c>
      <c r="K70" s="1"/>
      <c r="L70" s="1">
        <f t="shared" si="24"/>
        <v>1710.1399999999994</v>
      </c>
      <c r="M70" s="1"/>
      <c r="N70" s="5">
        <f t="shared" si="25"/>
        <v>0.24430571428571421</v>
      </c>
      <c r="O70" s="12"/>
      <c r="P70" s="1">
        <f>SUM(OSRRefP22_9x_0)</f>
        <v>74977.819999999992</v>
      </c>
      <c r="Q70" s="1"/>
      <c r="R70" s="5">
        <f t="shared" si="26"/>
        <v>0.15821220329707106</v>
      </c>
      <c r="S70" s="1"/>
      <c r="T70" s="1">
        <f>SUM(OSRRefT22_9x_0)</f>
        <v>84000</v>
      </c>
      <c r="U70" s="1"/>
      <c r="V70" s="5">
        <f t="shared" si="27"/>
        <v>0.116274643476335</v>
      </c>
      <c r="W70" s="1"/>
      <c r="X70" s="1">
        <f t="shared" si="28"/>
        <v>-9022.1800000000076</v>
      </c>
      <c r="Y70" s="1"/>
      <c r="Z70" s="5">
        <f t="shared" si="29"/>
        <v>-0.10740690476190486</v>
      </c>
    </row>
    <row r="71" spans="1:26" s="24" customFormat="1" hidden="1" outlineLevel="2" x14ac:dyDescent="0.25">
      <c r="A71" s="27"/>
      <c r="B71" s="11" t="str">
        <f>CONCATENATE("          ", "6373", " - ", "MAINTENANCE CONTRACTS")</f>
        <v xml:space="preserve">          6373 - MAINTENANCE CONTRACTS</v>
      </c>
      <c r="C71" s="11"/>
      <c r="D71" s="6">
        <v>8710.14</v>
      </c>
      <c r="E71" s="2"/>
      <c r="F71" s="7">
        <f t="shared" si="22"/>
        <v>11.634306627841744</v>
      </c>
      <c r="G71" s="2"/>
      <c r="H71" s="6">
        <v>7000</v>
      </c>
      <c r="I71" s="2"/>
      <c r="J71" s="7">
        <f t="shared" si="23"/>
        <v>0.12595591542959964</v>
      </c>
      <c r="K71" s="2"/>
      <c r="L71" s="6">
        <f t="shared" si="24"/>
        <v>1710.1399999999994</v>
      </c>
      <c r="M71" s="2"/>
      <c r="N71" s="7">
        <f t="shared" si="25"/>
        <v>0.24430571428571421</v>
      </c>
      <c r="O71" s="11"/>
      <c r="P71" s="6">
        <v>73576.06</v>
      </c>
      <c r="Q71" s="2"/>
      <c r="R71" s="7">
        <f t="shared" si="26"/>
        <v>0.15525432137820891</v>
      </c>
      <c r="S71" s="2"/>
      <c r="T71" s="6">
        <v>84000</v>
      </c>
      <c r="U71" s="2"/>
      <c r="V71" s="7">
        <f t="shared" si="27"/>
        <v>0.116274643476335</v>
      </c>
      <c r="W71" s="2"/>
      <c r="X71" s="6">
        <f t="shared" si="28"/>
        <v>-10423.940000000002</v>
      </c>
      <c r="Y71" s="2"/>
      <c r="Z71" s="7">
        <f t="shared" si="29"/>
        <v>-0.12409452380952384</v>
      </c>
    </row>
    <row r="72" spans="1:26" s="24" customFormat="1" hidden="1" outlineLevel="2" x14ac:dyDescent="0.25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6"/>
      <c r="E72" s="2"/>
      <c r="F72" s="7">
        <f t="shared" si="22"/>
        <v>0</v>
      </c>
      <c r="G72" s="2"/>
      <c r="H72" s="6"/>
      <c r="I72" s="2"/>
      <c r="J72" s="7">
        <f t="shared" si="23"/>
        <v>0</v>
      </c>
      <c r="K72" s="2"/>
      <c r="L72" s="6">
        <f t="shared" si="24"/>
        <v>0</v>
      </c>
      <c r="M72" s="2"/>
      <c r="N72" s="7">
        <f t="shared" si="25"/>
        <v>0</v>
      </c>
      <c r="O72" s="11"/>
      <c r="P72" s="6">
        <v>1401.76</v>
      </c>
      <c r="Q72" s="2"/>
      <c r="R72" s="7">
        <f t="shared" si="26"/>
        <v>2.9578819188621698E-3</v>
      </c>
      <c r="S72" s="2"/>
      <c r="T72" s="6"/>
      <c r="U72" s="2"/>
      <c r="V72" s="7">
        <f t="shared" si="27"/>
        <v>0</v>
      </c>
      <c r="W72" s="2"/>
      <c r="X72" s="6">
        <f t="shared" si="28"/>
        <v>1401.76</v>
      </c>
      <c r="Y72" s="2"/>
      <c r="Z72" s="7">
        <f t="shared" si="29"/>
        <v>0</v>
      </c>
    </row>
    <row r="73" spans="1:26" s="26" customFormat="1" outlineLevel="1" collapsed="1" x14ac:dyDescent="0.25">
      <c r="A73" s="25"/>
      <c r="B73" s="12" t="str">
        <f>CONCATENATE("     ","Royalty &amp; Commissions                             ")</f>
        <v xml:space="preserve">     Royalty &amp; Commissions                             </v>
      </c>
      <c r="C73" s="12"/>
      <c r="D73" s="1">
        <f>SUM(OSRRefD22_10x_0)</f>
        <v>0</v>
      </c>
      <c r="E73" s="1"/>
      <c r="F73" s="5">
        <f t="shared" ref="F73:F75" si="30">IF(D$12=0,0,D73/D$12)</f>
        <v>0</v>
      </c>
      <c r="G73" s="1"/>
      <c r="H73" s="1">
        <f>SUM(OSRRefH22_10x_0)</f>
        <v>11000</v>
      </c>
      <c r="I73" s="1"/>
      <c r="J73" s="5">
        <f t="shared" ref="J73:J75" si="31">IF(H$12=0,0,H73/H$12)</f>
        <v>0.19793072424651373</v>
      </c>
      <c r="K73" s="1"/>
      <c r="L73" s="1">
        <f t="shared" ref="L73:L75" si="32">+D73-H73</f>
        <v>-11000</v>
      </c>
      <c r="M73" s="1"/>
      <c r="N73" s="5">
        <f t="shared" ref="N73:N75" si="33">IF(H73=0,0,L73/H73)</f>
        <v>-1</v>
      </c>
      <c r="O73" s="12"/>
      <c r="P73" s="1">
        <f>SUM(OSRRefP22_10x_0)</f>
        <v>82607.740000000005</v>
      </c>
      <c r="Q73" s="1"/>
      <c r="R73" s="5">
        <f t="shared" ref="R73:R75" si="34">IF(P$12=0,0,P73/P$12)</f>
        <v>0.17431225067348707</v>
      </c>
      <c r="S73" s="1"/>
      <c r="T73" s="1">
        <f>SUM(OSRRefT22_10x_0)</f>
        <v>132000</v>
      </c>
      <c r="U73" s="1"/>
      <c r="V73" s="5">
        <f t="shared" ref="V73:V75" si="35">IF(T$12=0,0,T73/T$12)</f>
        <v>0.18271729689138355</v>
      </c>
      <c r="W73" s="1"/>
      <c r="X73" s="1">
        <f t="shared" ref="X73:X75" si="36">+P73-T73</f>
        <v>-49392.259999999995</v>
      </c>
      <c r="Y73" s="1"/>
      <c r="Z73" s="5">
        <f t="shared" ref="Z73:Z75" si="37">IF(T73=0,0,X73/T73)</f>
        <v>-0.37418378787878787</v>
      </c>
    </row>
    <row r="74" spans="1:26" s="24" customFormat="1" hidden="1" outlineLevel="2" x14ac:dyDescent="0.25">
      <c r="A74" s="27"/>
      <c r="B74" s="11" t="str">
        <f>CONCATENATE("          ", "6254", " - ", "ROYALTY &amp; COMMISSIONS")</f>
        <v xml:space="preserve">          6254 - ROYALTY &amp; COMMISSIONS</v>
      </c>
      <c r="C74" s="11"/>
      <c r="D74" s="6"/>
      <c r="E74" s="2"/>
      <c r="F74" s="7">
        <f t="shared" si="30"/>
        <v>0</v>
      </c>
      <c r="G74" s="2"/>
      <c r="H74" s="6">
        <v>11000</v>
      </c>
      <c r="I74" s="2"/>
      <c r="J74" s="7">
        <f t="shared" si="31"/>
        <v>0.19793072424651373</v>
      </c>
      <c r="K74" s="2"/>
      <c r="L74" s="6">
        <f t="shared" si="32"/>
        <v>-11000</v>
      </c>
      <c r="M74" s="2"/>
      <c r="N74" s="7">
        <f t="shared" si="33"/>
        <v>-1</v>
      </c>
      <c r="O74" s="11"/>
      <c r="P74" s="6"/>
      <c r="Q74" s="2"/>
      <c r="R74" s="7">
        <f t="shared" si="34"/>
        <v>0</v>
      </c>
      <c r="S74" s="2"/>
      <c r="T74" s="6">
        <v>132000</v>
      </c>
      <c r="U74" s="2"/>
      <c r="V74" s="7">
        <f t="shared" si="35"/>
        <v>0.18271729689138355</v>
      </c>
      <c r="W74" s="2"/>
      <c r="X74" s="6">
        <f t="shared" si="36"/>
        <v>-132000</v>
      </c>
      <c r="Y74" s="2"/>
      <c r="Z74" s="7">
        <f t="shared" si="37"/>
        <v>-1</v>
      </c>
    </row>
    <row r="75" spans="1:26" s="24" customFormat="1" hidden="1" outlineLevel="2" x14ac:dyDescent="0.25">
      <c r="A75" s="27"/>
      <c r="B75" s="11" t="str">
        <f>CONCATENATE("          ", "6259", " - ", "ROYALTY &amp; COMMISSIONS")</f>
        <v xml:space="preserve">          6259 - ROYALTY &amp; COMMISSIONS</v>
      </c>
      <c r="C75" s="11"/>
      <c r="D75" s="6"/>
      <c r="E75" s="2"/>
      <c r="F75" s="7">
        <f t="shared" si="30"/>
        <v>0</v>
      </c>
      <c r="G75" s="2"/>
      <c r="H75" s="6"/>
      <c r="I75" s="2"/>
      <c r="J75" s="7">
        <f t="shared" si="31"/>
        <v>0</v>
      </c>
      <c r="K75" s="2"/>
      <c r="L75" s="6">
        <f t="shared" si="32"/>
        <v>0</v>
      </c>
      <c r="M75" s="2"/>
      <c r="N75" s="7">
        <f t="shared" si="33"/>
        <v>0</v>
      </c>
      <c r="O75" s="11"/>
      <c r="P75" s="6">
        <v>82607.740000000005</v>
      </c>
      <c r="Q75" s="2"/>
      <c r="R75" s="7">
        <f t="shared" si="34"/>
        <v>0.17431225067348707</v>
      </c>
      <c r="S75" s="2"/>
      <c r="T75" s="6"/>
      <c r="U75" s="2"/>
      <c r="V75" s="7">
        <f t="shared" si="35"/>
        <v>0</v>
      </c>
      <c r="W75" s="2"/>
      <c r="X75" s="6">
        <f t="shared" si="36"/>
        <v>82607.740000000005</v>
      </c>
      <c r="Y75" s="2"/>
      <c r="Z75" s="7">
        <f t="shared" si="37"/>
        <v>0</v>
      </c>
    </row>
    <row r="76" spans="1:26" s="26" customFormat="1" outlineLevel="1" collapsed="1" x14ac:dyDescent="0.25">
      <c r="A76" s="25"/>
      <c r="B76" s="12" t="str">
        <f>CONCATENATE("     ","Supplies                                          ")</f>
        <v xml:space="preserve">     Supplies                                          </v>
      </c>
      <c r="C76" s="12"/>
      <c r="D76" s="1">
        <f>SUM(OSRRefD22_11x_0)</f>
        <v>4864.5700000000006</v>
      </c>
      <c r="E76" s="1"/>
      <c r="F76" s="5">
        <f t="shared" ref="F76:F81" si="38">IF(D$12=0,0,D76/D$12)</f>
        <v>6.4977025619106143</v>
      </c>
      <c r="G76" s="1"/>
      <c r="H76" s="1">
        <f>SUM(OSRRefH22_11x_0)</f>
        <v>5750</v>
      </c>
      <c r="I76" s="1"/>
      <c r="J76" s="5">
        <f t="shared" ref="J76:J81" si="39">IF(H$12=0,0,H76/H$12)</f>
        <v>0.103463787674314</v>
      </c>
      <c r="K76" s="1"/>
      <c r="L76" s="1">
        <f t="shared" ref="L76:L81" si="40">+D76-H76</f>
        <v>-885.42999999999938</v>
      </c>
      <c r="M76" s="1"/>
      <c r="N76" s="5">
        <f t="shared" ref="N76:N81" si="41">IF(H76=0,0,L76/H76)</f>
        <v>-0.15398782608695641</v>
      </c>
      <c r="O76" s="12"/>
      <c r="P76" s="1">
        <f>SUM(OSRRefP22_11x_0)</f>
        <v>45644.959999999999</v>
      </c>
      <c r="Q76" s="1"/>
      <c r="R76" s="5">
        <f t="shared" ref="R76:R81" si="42">IF(P$12=0,0,P76/P$12)</f>
        <v>9.6316346500960923E-2</v>
      </c>
      <c r="S76" s="1"/>
      <c r="T76" s="1">
        <f>SUM(OSRRefT22_11x_0)</f>
        <v>85700</v>
      </c>
      <c r="U76" s="1"/>
      <c r="V76" s="5">
        <f t="shared" ref="V76:V81" si="43">IF(T$12=0,0,T76/T$12)</f>
        <v>0.11862782078478463</v>
      </c>
      <c r="W76" s="1"/>
      <c r="X76" s="1">
        <f t="shared" ref="X76:X81" si="44">+P76-T76</f>
        <v>-40055.040000000001</v>
      </c>
      <c r="Y76" s="1"/>
      <c r="Z76" s="5">
        <f t="shared" ref="Z76:Z81" si="45">IF(T76=0,0,X76/T76)</f>
        <v>-0.46738669778296382</v>
      </c>
    </row>
    <row r="77" spans="1:26" s="24" customFormat="1" hidden="1" outlineLevel="2" x14ac:dyDescent="0.25">
      <c r="A77" s="27"/>
      <c r="B77" s="11" t="str">
        <f>CONCATENATE("          ", "6234", " - ", "EXPENDABLE SUPPLIES &amp; EQUIPMEN")</f>
        <v xml:space="preserve">          6234 - EXPENDABLE SUPPLIES &amp; EQUIPMEN</v>
      </c>
      <c r="C77" s="11"/>
      <c r="D77" s="6">
        <v>4356.1000000000004</v>
      </c>
      <c r="E77" s="2"/>
      <c r="F77" s="7">
        <f t="shared" si="38"/>
        <v>5.818529105334866</v>
      </c>
      <c r="G77" s="2"/>
      <c r="H77" s="6"/>
      <c r="I77" s="2"/>
      <c r="J77" s="7">
        <f t="shared" si="39"/>
        <v>0</v>
      </c>
      <c r="K77" s="2"/>
      <c r="L77" s="6">
        <f t="shared" si="40"/>
        <v>4356.1000000000004</v>
      </c>
      <c r="M77" s="2"/>
      <c r="N77" s="7">
        <f t="shared" si="41"/>
        <v>0</v>
      </c>
      <c r="O77" s="11"/>
      <c r="P77" s="6">
        <v>5373.37</v>
      </c>
      <c r="Q77" s="2"/>
      <c r="R77" s="7">
        <f t="shared" si="42"/>
        <v>1.1338455917101656E-2</v>
      </c>
      <c r="S77" s="2"/>
      <c r="T77" s="6"/>
      <c r="U77" s="2"/>
      <c r="V77" s="7">
        <f t="shared" si="43"/>
        <v>0</v>
      </c>
      <c r="W77" s="2"/>
      <c r="X77" s="6">
        <f t="shared" si="44"/>
        <v>5373.37</v>
      </c>
      <c r="Y77" s="2"/>
      <c r="Z77" s="7">
        <f t="shared" si="45"/>
        <v>0</v>
      </c>
    </row>
    <row r="78" spans="1:26" s="24" customFormat="1" hidden="1" outlineLevel="2" x14ac:dyDescent="0.25">
      <c r="A78" s="27"/>
      <c r="B78" s="11" t="str">
        <f>CONCATENATE("          ", "6241", " - ", "OFFICE EXPENSE")</f>
        <v xml:space="preserve">          6241 - OFFICE EXPENSE</v>
      </c>
      <c r="C78" s="11"/>
      <c r="D78" s="6"/>
      <c r="E78" s="2"/>
      <c r="F78" s="7">
        <f t="shared" si="38"/>
        <v>0</v>
      </c>
      <c r="G78" s="2"/>
      <c r="H78" s="6"/>
      <c r="I78" s="2"/>
      <c r="J78" s="7">
        <f t="shared" si="39"/>
        <v>0</v>
      </c>
      <c r="K78" s="2"/>
      <c r="L78" s="6">
        <f t="shared" si="40"/>
        <v>0</v>
      </c>
      <c r="M78" s="2"/>
      <c r="N78" s="7">
        <f t="shared" si="41"/>
        <v>0</v>
      </c>
      <c r="O78" s="11"/>
      <c r="P78" s="6">
        <v>1578.06</v>
      </c>
      <c r="Q78" s="2"/>
      <c r="R78" s="7">
        <f t="shared" si="42"/>
        <v>3.3298960884028902E-3</v>
      </c>
      <c r="S78" s="2"/>
      <c r="T78" s="6"/>
      <c r="U78" s="2"/>
      <c r="V78" s="7">
        <f t="shared" si="43"/>
        <v>0</v>
      </c>
      <c r="W78" s="2"/>
      <c r="X78" s="6">
        <f t="shared" si="44"/>
        <v>1578.06</v>
      </c>
      <c r="Y78" s="2"/>
      <c r="Z78" s="7">
        <f t="shared" si="45"/>
        <v>0</v>
      </c>
    </row>
    <row r="79" spans="1:26" s="24" customFormat="1" hidden="1" outlineLevel="2" x14ac:dyDescent="0.25">
      <c r="A79" s="27"/>
      <c r="B79" s="11" t="str">
        <f>CONCATENATE("          ", "6243", " - ", "PAPER SUPPLIES")</f>
        <v xml:space="preserve">          6243 - PAPER SUPPLIES</v>
      </c>
      <c r="C79" s="11"/>
      <c r="D79" s="6">
        <v>508.47</v>
      </c>
      <c r="E79" s="2"/>
      <c r="F79" s="7">
        <f t="shared" si="38"/>
        <v>0.67917345657574879</v>
      </c>
      <c r="G79" s="2"/>
      <c r="H79" s="6">
        <v>250</v>
      </c>
      <c r="I79" s="2"/>
      <c r="J79" s="7">
        <f t="shared" si="39"/>
        <v>4.49842555105713E-3</v>
      </c>
      <c r="K79" s="2"/>
      <c r="L79" s="6">
        <f t="shared" si="40"/>
        <v>258.47000000000003</v>
      </c>
      <c r="M79" s="2"/>
      <c r="N79" s="7">
        <f t="shared" si="41"/>
        <v>1.0338800000000001</v>
      </c>
      <c r="O79" s="11"/>
      <c r="P79" s="6">
        <v>18447.68</v>
      </c>
      <c r="Q79" s="2"/>
      <c r="R79" s="7">
        <f t="shared" si="42"/>
        <v>3.8926819938473967E-2</v>
      </c>
      <c r="S79" s="2"/>
      <c r="T79" s="6">
        <v>3000</v>
      </c>
      <c r="U79" s="2"/>
      <c r="V79" s="7">
        <f t="shared" si="43"/>
        <v>4.1526658384405356E-3</v>
      </c>
      <c r="W79" s="2"/>
      <c r="X79" s="6">
        <f t="shared" si="44"/>
        <v>15447.68</v>
      </c>
      <c r="Y79" s="2"/>
      <c r="Z79" s="7">
        <f t="shared" si="45"/>
        <v>5.1492266666666664</v>
      </c>
    </row>
    <row r="80" spans="1:26" s="24" customFormat="1" hidden="1" outlineLevel="2" x14ac:dyDescent="0.25">
      <c r="A80" s="27"/>
      <c r="B80" s="11" t="str">
        <f>CONCATENATE("          ", "6245", " - ", "PRINTING")</f>
        <v xml:space="preserve">          6245 - PRINTING</v>
      </c>
      <c r="C80" s="11"/>
      <c r="D80" s="6"/>
      <c r="E80" s="2"/>
      <c r="F80" s="7">
        <f t="shared" si="38"/>
        <v>0</v>
      </c>
      <c r="G80" s="2"/>
      <c r="H80" s="6"/>
      <c r="I80" s="2"/>
      <c r="J80" s="7">
        <f t="shared" si="39"/>
        <v>0</v>
      </c>
      <c r="K80" s="2"/>
      <c r="L80" s="6">
        <f t="shared" si="40"/>
        <v>0</v>
      </c>
      <c r="M80" s="2"/>
      <c r="N80" s="7">
        <f t="shared" si="41"/>
        <v>0</v>
      </c>
      <c r="O80" s="11"/>
      <c r="P80" s="6">
        <v>5894.17</v>
      </c>
      <c r="Q80" s="2"/>
      <c r="R80" s="7">
        <f t="shared" si="42"/>
        <v>1.2437406453101697E-2</v>
      </c>
      <c r="S80" s="2"/>
      <c r="T80" s="6"/>
      <c r="U80" s="2"/>
      <c r="V80" s="7">
        <f t="shared" si="43"/>
        <v>0</v>
      </c>
      <c r="W80" s="2"/>
      <c r="X80" s="6">
        <f t="shared" si="44"/>
        <v>5894.17</v>
      </c>
      <c r="Y80" s="2"/>
      <c r="Z80" s="7">
        <f t="shared" si="45"/>
        <v>0</v>
      </c>
    </row>
    <row r="81" spans="1:26" s="24" customFormat="1" hidden="1" outlineLevel="2" x14ac:dyDescent="0.25">
      <c r="A81" s="27"/>
      <c r="B81" s="11" t="str">
        <f>CONCATENATE("          ", "6247", " - ", "STORE SUPPLIES")</f>
        <v xml:space="preserve">          6247 - STORE SUPPLIES</v>
      </c>
      <c r="C81" s="11"/>
      <c r="D81" s="6"/>
      <c r="E81" s="2"/>
      <c r="F81" s="7">
        <f t="shared" si="38"/>
        <v>0</v>
      </c>
      <c r="G81" s="2"/>
      <c r="H81" s="6">
        <v>5500</v>
      </c>
      <c r="I81" s="2"/>
      <c r="J81" s="7">
        <f t="shared" si="39"/>
        <v>9.8965362123256864E-2</v>
      </c>
      <c r="K81" s="2"/>
      <c r="L81" s="6">
        <f t="shared" si="40"/>
        <v>-5500</v>
      </c>
      <c r="M81" s="2"/>
      <c r="N81" s="7">
        <f t="shared" si="41"/>
        <v>-1</v>
      </c>
      <c r="O81" s="11"/>
      <c r="P81" s="6">
        <v>14351.68</v>
      </c>
      <c r="Q81" s="2"/>
      <c r="R81" s="7">
        <f t="shared" si="42"/>
        <v>3.0283768103880709E-2</v>
      </c>
      <c r="S81" s="2"/>
      <c r="T81" s="6">
        <v>82700</v>
      </c>
      <c r="U81" s="2"/>
      <c r="V81" s="7">
        <f t="shared" si="43"/>
        <v>0.1144751549463441</v>
      </c>
      <c r="W81" s="2"/>
      <c r="X81" s="6">
        <f t="shared" si="44"/>
        <v>-68348.320000000007</v>
      </c>
      <c r="Y81" s="2"/>
      <c r="Z81" s="7">
        <f t="shared" si="45"/>
        <v>-0.8264609431680775</v>
      </c>
    </row>
    <row r="82" spans="1:26" s="26" customFormat="1" outlineLevel="1" collapsed="1" x14ac:dyDescent="0.25">
      <c r="A82" s="25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SUM(OSRRefD22_12x_0)</f>
        <v>52.9</v>
      </c>
      <c r="E82" s="1"/>
      <c r="F82" s="5">
        <f t="shared" ref="F82:F84" si="46">IF(D$12=0,0,D82/D$12)</f>
        <v>7.0659578446824994E-2</v>
      </c>
      <c r="G82" s="1"/>
      <c r="H82" s="1">
        <f>SUM(OSRRefH22_12x_0)</f>
        <v>200</v>
      </c>
      <c r="I82" s="1"/>
      <c r="J82" s="5">
        <f t="shared" ref="J82:J84" si="47">IF(H$12=0,0,H82/H$12)</f>
        <v>3.5987404408457041E-3</v>
      </c>
      <c r="K82" s="1"/>
      <c r="L82" s="1">
        <f t="shared" ref="L82:L84" si="48">+D82-H82</f>
        <v>-147.1</v>
      </c>
      <c r="M82" s="1"/>
      <c r="N82" s="5">
        <f t="shared" ref="N82:N84" si="49">IF(H82=0,0,L82/H82)</f>
        <v>-0.73549999999999993</v>
      </c>
      <c r="O82" s="12"/>
      <c r="P82" s="1">
        <f>SUM(OSRRefP22_12x_0)</f>
        <v>1652.6</v>
      </c>
      <c r="Q82" s="1"/>
      <c r="R82" s="5">
        <f t="shared" ref="R82:R84" si="50">IF(P$12=0,0,P82/P$12)</f>
        <v>3.4871844389279343E-3</v>
      </c>
      <c r="S82" s="1"/>
      <c r="T82" s="1">
        <f>SUM(OSRRefT22_12x_0)</f>
        <v>2400</v>
      </c>
      <c r="U82" s="1"/>
      <c r="V82" s="5">
        <f t="shared" ref="V82:V84" si="51">IF(T$12=0,0,T82/T$12)</f>
        <v>3.3221326707524286E-3</v>
      </c>
      <c r="W82" s="1"/>
      <c r="X82" s="1">
        <f t="shared" ref="X82:X84" si="52">+P82-T82</f>
        <v>-747.40000000000009</v>
      </c>
      <c r="Y82" s="1"/>
      <c r="Z82" s="5">
        <f t="shared" ref="Z82:Z84" si="53">IF(T82=0,0,X82/T82)</f>
        <v>-0.31141666666666673</v>
      </c>
    </row>
    <row r="83" spans="1:26" s="24" customFormat="1" hidden="1" outlineLevel="2" x14ac:dyDescent="0.25">
      <c r="A83" s="27"/>
      <c r="B83" s="11" t="str">
        <f>CONCATENATE("          ", "6303", " - ", "DATA PHONE LINES")</f>
        <v xml:space="preserve">          6303 - DATA PHONE LINES</v>
      </c>
      <c r="C83" s="11"/>
      <c r="D83" s="6"/>
      <c r="E83" s="2"/>
      <c r="F83" s="7">
        <f t="shared" si="46"/>
        <v>0</v>
      </c>
      <c r="G83" s="2"/>
      <c r="H83" s="6">
        <v>200</v>
      </c>
      <c r="I83" s="2"/>
      <c r="J83" s="7">
        <f t="shared" si="47"/>
        <v>3.5987404408457041E-3</v>
      </c>
      <c r="K83" s="2"/>
      <c r="L83" s="6">
        <f t="shared" si="48"/>
        <v>-200</v>
      </c>
      <c r="M83" s="2"/>
      <c r="N83" s="7">
        <f t="shared" si="49"/>
        <v>-1</v>
      </c>
      <c r="O83" s="11"/>
      <c r="P83" s="6"/>
      <c r="Q83" s="2"/>
      <c r="R83" s="7">
        <f t="shared" si="50"/>
        <v>0</v>
      </c>
      <c r="S83" s="2"/>
      <c r="T83" s="6">
        <v>2400</v>
      </c>
      <c r="U83" s="2"/>
      <c r="V83" s="7">
        <f t="shared" si="51"/>
        <v>3.3221326707524286E-3</v>
      </c>
      <c r="W83" s="2"/>
      <c r="X83" s="6">
        <f t="shared" si="52"/>
        <v>-2400</v>
      </c>
      <c r="Y83" s="2"/>
      <c r="Z83" s="7">
        <f t="shared" si="53"/>
        <v>-1</v>
      </c>
    </row>
    <row r="84" spans="1:26" s="24" customFormat="1" hidden="1" outlineLevel="2" x14ac:dyDescent="0.25">
      <c r="A84" s="27"/>
      <c r="B84" s="11" t="str">
        <f>CONCATENATE("          ", "6309", " - ", "TELEPHONE")</f>
        <v xml:space="preserve">          6309 - TELEPHONE</v>
      </c>
      <c r="C84" s="11"/>
      <c r="D84" s="6">
        <v>52.9</v>
      </c>
      <c r="E84" s="2"/>
      <c r="F84" s="7">
        <f t="shared" si="46"/>
        <v>7.0659578446824994E-2</v>
      </c>
      <c r="G84" s="2"/>
      <c r="H84" s="6"/>
      <c r="I84" s="2"/>
      <c r="J84" s="7">
        <f t="shared" si="47"/>
        <v>0</v>
      </c>
      <c r="K84" s="2"/>
      <c r="L84" s="6">
        <f t="shared" si="48"/>
        <v>52.9</v>
      </c>
      <c r="M84" s="2"/>
      <c r="N84" s="7">
        <f t="shared" si="49"/>
        <v>0</v>
      </c>
      <c r="O84" s="11"/>
      <c r="P84" s="6">
        <v>1652.6</v>
      </c>
      <c r="Q84" s="2"/>
      <c r="R84" s="7">
        <f t="shared" si="50"/>
        <v>3.4871844389279343E-3</v>
      </c>
      <c r="S84" s="2"/>
      <c r="T84" s="6"/>
      <c r="U84" s="2"/>
      <c r="V84" s="7">
        <f t="shared" si="51"/>
        <v>0</v>
      </c>
      <c r="W84" s="2"/>
      <c r="X84" s="6">
        <f t="shared" si="52"/>
        <v>1652.6</v>
      </c>
      <c r="Y84" s="2"/>
      <c r="Z84" s="7">
        <f t="shared" si="53"/>
        <v>0</v>
      </c>
    </row>
    <row r="85" spans="1:26" s="26" customFormat="1" outlineLevel="1" collapsed="1" x14ac:dyDescent="0.25">
      <c r="A85" s="25"/>
      <c r="B85" s="12" t="str">
        <f>CONCATENATE("     ","Training                                          ")</f>
        <v xml:space="preserve">     Training                                          </v>
      </c>
      <c r="C85" s="12"/>
      <c r="D85" s="1">
        <f>SUM(OSRRefD22_13x_0)</f>
        <v>0</v>
      </c>
      <c r="E85" s="1"/>
      <c r="F85" s="5">
        <f t="shared" ref="F85:F86" si="54">IF(D$12=0,0,D85/D$12)</f>
        <v>0</v>
      </c>
      <c r="G85" s="1"/>
      <c r="H85" s="1">
        <f>SUM(OSRRefH22_13x_0)</f>
        <v>0</v>
      </c>
      <c r="I85" s="1"/>
      <c r="J85" s="5">
        <f t="shared" ref="J85:J86" si="55">IF(H$12=0,0,H85/H$12)</f>
        <v>0</v>
      </c>
      <c r="K85" s="1"/>
      <c r="L85" s="1">
        <f t="shared" ref="L85:L86" si="56">+D85-H85</f>
        <v>0</v>
      </c>
      <c r="M85" s="1"/>
      <c r="N85" s="5">
        <f t="shared" ref="N85:N86" si="57">IF(H85=0,0,L85/H85)</f>
        <v>0</v>
      </c>
      <c r="O85" s="12"/>
      <c r="P85" s="1">
        <f>SUM(OSRRefP22_13x_0)</f>
        <v>97.71</v>
      </c>
      <c r="Q85" s="1"/>
      <c r="R85" s="5">
        <f t="shared" ref="R85:R86" si="58">IF(P$12=0,0,P85/P$12)</f>
        <v>2.0617983270461603E-4</v>
      </c>
      <c r="S85" s="1"/>
      <c r="T85" s="1">
        <f>SUM(OSRRefT22_13x_0)</f>
        <v>0</v>
      </c>
      <c r="U85" s="1"/>
      <c r="V85" s="5">
        <f t="shared" ref="V85:V86" si="59">IF(T$12=0,0,T85/T$12)</f>
        <v>0</v>
      </c>
      <c r="W85" s="1"/>
      <c r="X85" s="1">
        <f t="shared" ref="X85:X86" si="60">+P85-T85</f>
        <v>97.71</v>
      </c>
      <c r="Y85" s="1"/>
      <c r="Z85" s="5">
        <f t="shared" ref="Z85:Z86" si="61">IF(T85=0,0,X85/T85)</f>
        <v>0</v>
      </c>
    </row>
    <row r="86" spans="1:26" s="24" customFormat="1" hidden="1" outlineLevel="2" x14ac:dyDescent="0.25">
      <c r="A86" s="27"/>
      <c r="B86" s="11" t="str">
        <f>CONCATENATE("          ", "6376", " - ", "TRAINING")</f>
        <v xml:space="preserve">          6376 - TRAINING</v>
      </c>
      <c r="C86" s="11"/>
      <c r="D86" s="6"/>
      <c r="E86" s="2"/>
      <c r="F86" s="7">
        <f t="shared" si="54"/>
        <v>0</v>
      </c>
      <c r="G86" s="2"/>
      <c r="H86" s="6"/>
      <c r="I86" s="2"/>
      <c r="J86" s="7">
        <f t="shared" si="55"/>
        <v>0</v>
      </c>
      <c r="K86" s="2"/>
      <c r="L86" s="6">
        <f t="shared" si="56"/>
        <v>0</v>
      </c>
      <c r="M86" s="2"/>
      <c r="N86" s="7">
        <f t="shared" si="57"/>
        <v>0</v>
      </c>
      <c r="O86" s="11"/>
      <c r="P86" s="6">
        <v>97.71</v>
      </c>
      <c r="Q86" s="2"/>
      <c r="R86" s="7">
        <f t="shared" si="58"/>
        <v>2.0617983270461603E-4</v>
      </c>
      <c r="S86" s="2"/>
      <c r="T86" s="6"/>
      <c r="U86" s="2"/>
      <c r="V86" s="7">
        <f t="shared" si="59"/>
        <v>0</v>
      </c>
      <c r="W86" s="2"/>
      <c r="X86" s="6">
        <f t="shared" si="60"/>
        <v>97.71</v>
      </c>
      <c r="Y86" s="2"/>
      <c r="Z86" s="7">
        <f t="shared" si="61"/>
        <v>0</v>
      </c>
    </row>
    <row r="87" spans="1:26" s="60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8" t="s">
        <v>0</v>
      </c>
      <c r="C88" s="10"/>
      <c r="D88" s="4">
        <f>SUM(OSRRefD25x_0)</f>
        <v>13269</v>
      </c>
      <c r="E88" s="4"/>
      <c r="F88" s="13">
        <f t="shared" ref="F88:F90" si="62">IF(D$12=0,0,D88/D$12)</f>
        <v>17.72366628376032</v>
      </c>
      <c r="G88" s="4"/>
      <c r="H88" s="4">
        <f>SUM(OSRRefH25x_0)</f>
        <v>12250</v>
      </c>
      <c r="I88" s="4"/>
      <c r="J88" s="13">
        <f t="shared" ref="J88:J90" si="63">IF(H$12=0,0,H88/H$12)</f>
        <v>0.22042285200179937</v>
      </c>
      <c r="K88" s="4"/>
      <c r="L88" s="4">
        <f t="shared" ref="L88:L90" si="64">+D88-H88</f>
        <v>1019</v>
      </c>
      <c r="M88" s="4"/>
      <c r="N88" s="13">
        <f t="shared" ref="N88:N90" si="65">IF(H88=0,0,L88/H88)</f>
        <v>8.3183673469387751E-2</v>
      </c>
      <c r="O88" s="10"/>
      <c r="P88" s="4">
        <f>SUM(OSRRefP25x_0)</f>
        <v>157901.1</v>
      </c>
      <c r="Q88" s="4"/>
      <c r="R88" s="13">
        <f t="shared" ref="R88:R90" si="66">IF(P$12=0,0,P88/P$12)</f>
        <v>0.33319028125959321</v>
      </c>
      <c r="S88" s="4"/>
      <c r="T88" s="4">
        <f>SUM(OSRRefT25x_0)</f>
        <v>147000</v>
      </c>
      <c r="U88" s="4"/>
      <c r="V88" s="13">
        <f t="shared" ref="V88:V90" si="67">IF(T$12=0,0,T88/T$12)</f>
        <v>0.20348062608358625</v>
      </c>
      <c r="W88" s="4"/>
      <c r="X88" s="4">
        <f t="shared" ref="X88:X90" si="68">+P88-T88</f>
        <v>10901.100000000006</v>
      </c>
      <c r="Y88" s="4"/>
      <c r="Z88" s="13">
        <f t="shared" ref="Z88:Z90" si="69">IF(T88=0,0,X88/T88)</f>
        <v>7.4157142857142894E-2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--13269</f>
        <v>13269</v>
      </c>
      <c r="E89" s="2"/>
      <c r="F89" s="19">
        <f t="shared" si="62"/>
        <v>17.72366628376032</v>
      </c>
      <c r="G89" s="2"/>
      <c r="H89" s="2"/>
      <c r="I89" s="2"/>
      <c r="J89" s="19">
        <f t="shared" si="63"/>
        <v>0</v>
      </c>
      <c r="K89" s="2"/>
      <c r="L89" s="2">
        <f t="shared" si="64"/>
        <v>13269</v>
      </c>
      <c r="M89" s="2"/>
      <c r="N89" s="19">
        <f t="shared" si="65"/>
        <v>0</v>
      </c>
      <c r="O89" s="11"/>
      <c r="P89" s="2">
        <f>--157901.1</f>
        <v>157901.1</v>
      </c>
      <c r="Q89" s="2"/>
      <c r="R89" s="19">
        <f t="shared" si="66"/>
        <v>0.33319028125959321</v>
      </c>
      <c r="S89" s="2"/>
      <c r="T89" s="2">
        <v>12250</v>
      </c>
      <c r="U89" s="2"/>
      <c r="V89" s="19">
        <f t="shared" si="67"/>
        <v>1.6956718840298854E-2</v>
      </c>
      <c r="W89" s="2"/>
      <c r="X89" s="2">
        <f t="shared" si="68"/>
        <v>145651.1</v>
      </c>
      <c r="Y89" s="2"/>
      <c r="Z89" s="19">
        <f t="shared" si="69"/>
        <v>11.889885714285715</v>
      </c>
    </row>
    <row r="90" spans="1:26" s="24" customFormat="1" hidden="1" outlineLevel="1" x14ac:dyDescent="0.25">
      <c r="A90" s="44"/>
      <c r="B90" s="11" t="str">
        <f>CONCATENATE("          ", "9151", " - ", "MISC. INCOME")</f>
        <v xml:space="preserve">          9151 - MISC. INCOME</v>
      </c>
      <c r="C90" s="11"/>
      <c r="D90" s="2">
        <f>0</f>
        <v>0</v>
      </c>
      <c r="E90" s="2"/>
      <c r="F90" s="19">
        <f t="shared" si="62"/>
        <v>0</v>
      </c>
      <c r="G90" s="2"/>
      <c r="H90" s="2">
        <v>12250</v>
      </c>
      <c r="I90" s="2"/>
      <c r="J90" s="19">
        <f t="shared" si="63"/>
        <v>0.22042285200179937</v>
      </c>
      <c r="K90" s="2"/>
      <c r="L90" s="2">
        <f t="shared" si="64"/>
        <v>-12250</v>
      </c>
      <c r="M90" s="2"/>
      <c r="N90" s="19">
        <f t="shared" si="65"/>
        <v>-1</v>
      </c>
      <c r="O90" s="11"/>
      <c r="P90" s="2">
        <f>0</f>
        <v>0</v>
      </c>
      <c r="Q90" s="2"/>
      <c r="R90" s="19">
        <f t="shared" si="66"/>
        <v>0</v>
      </c>
      <c r="S90" s="2"/>
      <c r="T90" s="2">
        <v>134750</v>
      </c>
      <c r="U90" s="2"/>
      <c r="V90" s="19">
        <f t="shared" si="67"/>
        <v>0.18652390724328738</v>
      </c>
      <c r="W90" s="2"/>
      <c r="X90" s="2">
        <f t="shared" si="68"/>
        <v>-134750</v>
      </c>
      <c r="Y90" s="2"/>
      <c r="Z90" s="19">
        <f t="shared" si="69"/>
        <v>-1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2">
        <f>+D32-D34+D88</f>
        <v>-16219.970000000005</v>
      </c>
      <c r="E92" s="14"/>
      <c r="F92" s="20">
        <f>IF(D$12=0,0,D92/D$12)</f>
        <v>-21.665335399246661</v>
      </c>
      <c r="G92" s="14"/>
      <c r="H92" s="22">
        <f>+H32-H34+H88</f>
        <v>19606.6129537206</v>
      </c>
      <c r="I92" s="14"/>
      <c r="J92" s="20">
        <f>IF(H$12=0,0,H92/H$12)</f>
        <v>0.35279555472281782</v>
      </c>
      <c r="K92" s="15"/>
      <c r="L92" s="22">
        <f>+D92-H92</f>
        <v>-35826.582953720601</v>
      </c>
      <c r="M92" s="15"/>
      <c r="N92" s="20">
        <f>IF(H92=0,0,L92/H92)</f>
        <v>-1.8272703724139185</v>
      </c>
      <c r="O92" s="28"/>
      <c r="P92" s="22">
        <f>+P32-P34+P88</f>
        <v>129806.01000000004</v>
      </c>
      <c r="Q92" s="14"/>
      <c r="R92" s="20">
        <f>IF(P$12=0,0,P92/P$12)</f>
        <v>0.27390626779095001</v>
      </c>
      <c r="S92" s="14"/>
      <c r="T92" s="22">
        <f>+T32-T34+T88</f>
        <v>242381.97793347668</v>
      </c>
      <c r="U92" s="14"/>
      <c r="V92" s="20">
        <f>IF(T$12=0,0,T92/T$12)</f>
        <v>0.33551045320599876</v>
      </c>
      <c r="W92" s="15"/>
      <c r="X92" s="22">
        <f>+P92-T92</f>
        <v>-112575.96793347664</v>
      </c>
      <c r="Y92" s="15"/>
      <c r="Z92" s="20">
        <f>IF(T92=0,0,X92/T92)</f>
        <v>-0.46445684160715056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15736.190000000002</v>
      </c>
      <c r="E94" s="4"/>
      <c r="F94" s="13">
        <f>IF(D$12=0,0,D94/D$12)</f>
        <v>21.019140865012158</v>
      </c>
      <c r="G94" s="4"/>
      <c r="H94" s="4">
        <v>16223</v>
      </c>
      <c r="I94" s="4"/>
      <c r="J94" s="13">
        <f>IF(H$12=0,0,H94/H$12)</f>
        <v>0.29191183085919931</v>
      </c>
      <c r="K94" s="4"/>
      <c r="L94" s="4">
        <f>+D94-H94</f>
        <v>-486.80999999999767</v>
      </c>
      <c r="M94" s="4"/>
      <c r="N94" s="13">
        <f>IF(H94=0,0,L94/H94)</f>
        <v>-3.0007396905627669E-2</v>
      </c>
      <c r="O94" s="10"/>
      <c r="P94" s="4">
        <v>71767.83</v>
      </c>
      <c r="Q94" s="4"/>
      <c r="R94" s="13">
        <f>IF(P$12=0,0,P94/P$12)</f>
        <v>0.15143873895172782</v>
      </c>
      <c r="S94" s="4"/>
      <c r="T94" s="4">
        <v>93461</v>
      </c>
      <c r="U94" s="4"/>
      <c r="V94" s="13">
        <f>IF(T$12=0,0,T94/T$12)</f>
        <v>0.12937076730883029</v>
      </c>
      <c r="W94" s="4"/>
      <c r="X94" s="4">
        <f>+P94-T94</f>
        <v>-21693.17</v>
      </c>
      <c r="Y94" s="4"/>
      <c r="Z94" s="13">
        <f>IF(T94=0,0,X94/T94)</f>
        <v>-0.23210932902494086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1">
        <f>+D92-D94</f>
        <v>-31956.160000000007</v>
      </c>
      <c r="E96" s="14"/>
      <c r="F96" s="33">
        <f>IF(D$12=0,0,D96/D$12)</f>
        <v>-42.684476264258819</v>
      </c>
      <c r="G96" s="14"/>
      <c r="H96" s="31">
        <f>+H92-H94</f>
        <v>3383.6129537205998</v>
      </c>
      <c r="I96" s="14"/>
      <c r="J96" s="33">
        <f>IF(H$12=0,0,H96/H$12)</f>
        <v>6.0883723863618532E-2</v>
      </c>
      <c r="K96" s="15"/>
      <c r="L96" s="31">
        <f>D96-H96</f>
        <v>-35339.772953720603</v>
      </c>
      <c r="M96" s="15"/>
      <c r="N96" s="33">
        <f>IF(H96=0,0,L96/H96)</f>
        <v>-10.44438989833669</v>
      </c>
      <c r="O96" s="28"/>
      <c r="P96" s="31">
        <f>+P92-P94</f>
        <v>58038.180000000037</v>
      </c>
      <c r="Q96" s="14"/>
      <c r="R96" s="33">
        <f>IF(P$12=0,0,P96/P$12)</f>
        <v>0.1224675288392222</v>
      </c>
      <c r="S96" s="14"/>
      <c r="T96" s="31">
        <f>+T92-T94</f>
        <v>148920.97793347668</v>
      </c>
      <c r="U96" s="14"/>
      <c r="V96" s="33">
        <f>IF(T$12=0,0,T96/T$12)</f>
        <v>0.20613968589716847</v>
      </c>
      <c r="W96" s="15"/>
      <c r="X96" s="31">
        <f>P96-T96</f>
        <v>-90882.797933476642</v>
      </c>
      <c r="Y96" s="15"/>
      <c r="Z96" s="33">
        <f>IF(T96=0,0,X96/T96)</f>
        <v>-0.61027532315879762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4">
        <f>SUM(D96:D98)</f>
        <v>-31956.160000000007</v>
      </c>
      <c r="E99" s="14"/>
      <c r="F99" s="35">
        <f>IF(D$12=0,0,D99/D$12)</f>
        <v>-42.684476264258819</v>
      </c>
      <c r="G99" s="14"/>
      <c r="H99" s="34">
        <f>SUM(H96:H98)</f>
        <v>3383.6129537205998</v>
      </c>
      <c r="I99" s="14"/>
      <c r="J99" s="35">
        <f>IF(H$12=0,0,H99/H$12)</f>
        <v>6.0883723863618532E-2</v>
      </c>
      <c r="K99" s="15"/>
      <c r="L99" s="34">
        <f>+D99-H99</f>
        <v>-35339.772953720603</v>
      </c>
      <c r="M99" s="15"/>
      <c r="N99" s="35">
        <f>IF(H99=0,0,L99/H99)</f>
        <v>-10.44438989833669</v>
      </c>
      <c r="O99" s="28"/>
      <c r="P99" s="34">
        <f>SUM(P96:P98)</f>
        <v>58038.180000000037</v>
      </c>
      <c r="Q99" s="14"/>
      <c r="R99" s="35">
        <f>IF(P$12=0,0,P99/P$12)</f>
        <v>0.1224675288392222</v>
      </c>
      <c r="S99" s="14"/>
      <c r="T99" s="34">
        <f>SUM(T96:T98)</f>
        <v>148920.97793347668</v>
      </c>
      <c r="U99" s="14"/>
      <c r="V99" s="35">
        <f>IF(T$12=0,0,T99/T$12)</f>
        <v>0.20613968589716847</v>
      </c>
      <c r="W99" s="15"/>
      <c r="X99" s="34">
        <f>+P99-T99</f>
        <v>-90882.797933476642</v>
      </c>
      <c r="Y99" s="15"/>
      <c r="Z99" s="35">
        <f>IF(T99=0,0,X99/T99)</f>
        <v>-0.61027532315879762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5">
        <v>44043.473468402779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2" t="s">
        <v>314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63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","320", " - ", "Customer Service (old)")</f>
        <v>Department 320 - Customer Service (old)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6117.5499999999993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8" si="0">+D12-H12</f>
        <v>6117.5499999999993</v>
      </c>
      <c r="M12" s="4"/>
      <c r="N12" s="13">
        <f t="shared" ref="N12:N18" si="1">IF(H12=0,0,L12/H12)</f>
        <v>0</v>
      </c>
      <c r="O12" s="10"/>
      <c r="P12" s="4">
        <f>SUM(OSRRefP13x_0)</f>
        <v>41331.33</v>
      </c>
      <c r="Q12" s="4"/>
      <c r="R12" s="13"/>
      <c r="S12" s="4"/>
      <c r="T12" s="4">
        <f>SUM(OSRRefT13x_0)</f>
        <v>772975</v>
      </c>
      <c r="U12" s="4"/>
      <c r="V12" s="13"/>
      <c r="W12" s="4"/>
      <c r="X12" s="4">
        <f t="shared" ref="X12:X18" si="2">+P12-T12</f>
        <v>-731643.67</v>
      </c>
      <c r="Y12" s="4"/>
      <c r="Z12" s="13">
        <f t="shared" ref="Z12:Z18" si="3">IF(T12=0,0,X12/T12)</f>
        <v>-0.94652953847149013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264500</v>
      </c>
      <c r="U13" s="2"/>
      <c r="V13" s="19"/>
      <c r="W13" s="2"/>
      <c r="X13" s="2">
        <f t="shared" si="2"/>
        <v>-264500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>--6332.23</f>
        <v>6332.23</v>
      </c>
      <c r="E14" s="2"/>
      <c r="F14" s="19"/>
      <c r="G14" s="2"/>
      <c r="H14" s="2"/>
      <c r="I14" s="2"/>
      <c r="J14" s="19"/>
      <c r="K14" s="2"/>
      <c r="L14" s="2">
        <f t="shared" si="0"/>
        <v>6332.23</v>
      </c>
      <c r="M14" s="2"/>
      <c r="N14" s="19">
        <f t="shared" si="1"/>
        <v>0</v>
      </c>
      <c r="O14" s="11"/>
      <c r="P14" s="2">
        <f>--41725.89</f>
        <v>41725.89</v>
      </c>
      <c r="Q14" s="2"/>
      <c r="R14" s="19"/>
      <c r="S14" s="2"/>
      <c r="T14" s="2"/>
      <c r="U14" s="2"/>
      <c r="V14" s="19"/>
      <c r="W14" s="2"/>
      <c r="X14" s="2">
        <f t="shared" si="2"/>
        <v>41725.89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 t="shared" ref="D15:D17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--279.56</f>
        <v>279.56</v>
      </c>
      <c r="Q15" s="2"/>
      <c r="R15" s="19"/>
      <c r="S15" s="2"/>
      <c r="T15" s="2"/>
      <c r="U15" s="2"/>
      <c r="V15" s="19"/>
      <c r="W15" s="2"/>
      <c r="X15" s="2">
        <f t="shared" si="2"/>
        <v>279.56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v>508475.00000000006</v>
      </c>
      <c r="U16" s="2"/>
      <c r="V16" s="19"/>
      <c r="W16" s="2"/>
      <c r="X16" s="2">
        <f t="shared" si="2"/>
        <v>-508475.00000000006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"4192", " - ", "NON-TAXABLE SALES-GRAD MERCH")</f>
        <v xml:space="preserve">          4192 - NON-TAXABLE SALES-GRAD MERCH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--119.4</f>
        <v>119.4</v>
      </c>
      <c r="Q17" s="2"/>
      <c r="R17" s="19"/>
      <c r="S17" s="2"/>
      <c r="T17" s="2"/>
      <c r="U17" s="2"/>
      <c r="V17" s="19"/>
      <c r="W17" s="2"/>
      <c r="X17" s="2">
        <f t="shared" si="2"/>
        <v>119.4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"4292", " - ", "SALES RETURN TAXABLE-GRAD MERC")</f>
        <v xml:space="preserve">          4292 - SALES RETURN TAXABLE-GRAD MERC</v>
      </c>
      <c r="C18" s="11"/>
      <c r="D18" s="2">
        <f>-214.68</f>
        <v>-214.68</v>
      </c>
      <c r="E18" s="2"/>
      <c r="F18" s="19"/>
      <c r="G18" s="2"/>
      <c r="H18" s="2"/>
      <c r="I18" s="2"/>
      <c r="J18" s="19"/>
      <c r="K18" s="2"/>
      <c r="L18" s="2">
        <f t="shared" si="0"/>
        <v>-214.68</v>
      </c>
      <c r="M18" s="2"/>
      <c r="N18" s="19">
        <f t="shared" si="1"/>
        <v>0</v>
      </c>
      <c r="O18" s="11"/>
      <c r="P18" s="2">
        <f>-793.52</f>
        <v>-793.52</v>
      </c>
      <c r="Q18" s="2"/>
      <c r="R18" s="19"/>
      <c r="S18" s="2"/>
      <c r="T18" s="2"/>
      <c r="U18" s="2"/>
      <c r="V18" s="19"/>
      <c r="W18" s="2"/>
      <c r="X18" s="2">
        <f t="shared" si="2"/>
        <v>-793.52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-898.07999999999981</v>
      </c>
      <c r="E20" s="4"/>
      <c r="F20" s="13">
        <f t="shared" ref="F20:F26" si="5">IF(D$12=0,0,D20/D$12)</f>
        <v>-0.14680386756136032</v>
      </c>
      <c r="G20" s="4"/>
      <c r="H20" s="4">
        <f>SUM(OSRRefH16x_0)</f>
        <v>0</v>
      </c>
      <c r="I20" s="4"/>
      <c r="J20" s="13">
        <f t="shared" ref="J20:J26" si="6">IF(H$12=0,0,H20/H$12)</f>
        <v>0</v>
      </c>
      <c r="K20" s="4"/>
      <c r="L20" s="4">
        <f t="shared" ref="L20:L26" si="7">+D20-H20</f>
        <v>-898.07999999999981</v>
      </c>
      <c r="M20" s="4"/>
      <c r="N20" s="13">
        <f t="shared" ref="N20:N26" si="8">IF(H20=0,0,L20/H20)</f>
        <v>0</v>
      </c>
      <c r="O20" s="10"/>
      <c r="P20" s="4">
        <f>SUM(OSRRefP16x_0)</f>
        <v>13729.05</v>
      </c>
      <c r="Q20" s="4"/>
      <c r="R20" s="13">
        <f t="shared" ref="R20:R26" si="9">IF(P$12=0,0,P20/P$12)</f>
        <v>0.33217053503964183</v>
      </c>
      <c r="S20" s="4"/>
      <c r="T20" s="4">
        <f>SUM(OSRRefT16x_0)</f>
        <v>309962.97499999998</v>
      </c>
      <c r="U20" s="4"/>
      <c r="V20" s="13">
        <f t="shared" ref="V20:V26" si="10">IF(T$12=0,0,T20/T$12)</f>
        <v>0.40099999999999997</v>
      </c>
      <c r="W20" s="4"/>
      <c r="X20" s="4">
        <f t="shared" ref="X20:X26" si="11">+P20-T20</f>
        <v>-296233.92499999999</v>
      </c>
      <c r="Y20" s="4"/>
      <c r="Z20" s="13">
        <f t="shared" ref="Z20:Z26" si="12">IF(T20=0,0,X20/T20)</f>
        <v>-0.95570745183356176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/>
      <c r="Q21" s="2"/>
      <c r="R21" s="19">
        <f t="shared" si="9"/>
        <v>0</v>
      </c>
      <c r="S21" s="2"/>
      <c r="T21" s="2">
        <v>309962.97499999998</v>
      </c>
      <c r="U21" s="2"/>
      <c r="V21" s="19">
        <f t="shared" si="10"/>
        <v>0.40099999999999997</v>
      </c>
      <c r="W21" s="2"/>
      <c r="X21" s="2">
        <f t="shared" si="11"/>
        <v>-309962.97499999998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"5092", " - ", "PURCHASES @ COST-GRAD MERCH")</f>
        <v xml:space="preserve">          5092 - PURCHASES @ COST-GRAD MERCH</v>
      </c>
      <c r="C22" s="11"/>
      <c r="D22" s="2">
        <v>9354.1</v>
      </c>
      <c r="E22" s="2"/>
      <c r="F22" s="19">
        <f t="shared" si="5"/>
        <v>1.5290598360454759</v>
      </c>
      <c r="G22" s="2"/>
      <c r="H22" s="2"/>
      <c r="I22" s="2"/>
      <c r="J22" s="19">
        <f t="shared" si="6"/>
        <v>0</v>
      </c>
      <c r="K22" s="2"/>
      <c r="L22" s="2">
        <f t="shared" si="7"/>
        <v>9354.1</v>
      </c>
      <c r="M22" s="2"/>
      <c r="N22" s="19">
        <f t="shared" si="8"/>
        <v>0</v>
      </c>
      <c r="O22" s="11"/>
      <c r="P22" s="2">
        <v>13900.33</v>
      </c>
      <c r="Q22" s="2"/>
      <c r="R22" s="19">
        <f t="shared" si="9"/>
        <v>0.33631460686118736</v>
      </c>
      <c r="S22" s="2"/>
      <c r="T22" s="2"/>
      <c r="U22" s="2"/>
      <c r="V22" s="19">
        <f t="shared" si="10"/>
        <v>0</v>
      </c>
      <c r="W22" s="2"/>
      <c r="X22" s="2">
        <f t="shared" si="11"/>
        <v>13900.33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"5095", " - ", "PURCHASES @ COST-CUSTOMER SERV")</f>
        <v xml:space="preserve">          5095 - PURCHASES @ COST-CUSTOMER SERV</v>
      </c>
      <c r="C23" s="11"/>
      <c r="D23" s="2">
        <v>18.989999999999998</v>
      </c>
      <c r="E23" s="2"/>
      <c r="F23" s="19">
        <f t="shared" si="5"/>
        <v>3.1041838644555418E-3</v>
      </c>
      <c r="G23" s="2"/>
      <c r="H23" s="2"/>
      <c r="I23" s="2"/>
      <c r="J23" s="19">
        <f t="shared" si="6"/>
        <v>0</v>
      </c>
      <c r="K23" s="2"/>
      <c r="L23" s="2">
        <f t="shared" si="7"/>
        <v>18.989999999999998</v>
      </c>
      <c r="M23" s="2"/>
      <c r="N23" s="19">
        <f t="shared" si="8"/>
        <v>0</v>
      </c>
      <c r="O23" s="11"/>
      <c r="P23" s="2">
        <v>30.84</v>
      </c>
      <c r="Q23" s="2"/>
      <c r="R23" s="19">
        <f t="shared" si="9"/>
        <v>7.4616519720028358E-4</v>
      </c>
      <c r="S23" s="2"/>
      <c r="T23" s="2"/>
      <c r="U23" s="2"/>
      <c r="V23" s="19">
        <f t="shared" si="10"/>
        <v>0</v>
      </c>
      <c r="W23" s="2"/>
      <c r="X23" s="2">
        <f t="shared" si="11"/>
        <v>30.84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-9384</v>
      </c>
      <c r="E24" s="2"/>
      <c r="F24" s="19">
        <f t="shared" si="5"/>
        <v>-1.5339474135887734</v>
      </c>
      <c r="G24" s="2"/>
      <c r="H24" s="2"/>
      <c r="I24" s="2"/>
      <c r="J24" s="19">
        <f t="shared" si="6"/>
        <v>0</v>
      </c>
      <c r="K24" s="2"/>
      <c r="L24" s="2">
        <f t="shared" si="7"/>
        <v>-9384</v>
      </c>
      <c r="M24" s="2"/>
      <c r="N24" s="19">
        <f t="shared" si="8"/>
        <v>0</v>
      </c>
      <c r="O24" s="11"/>
      <c r="P24" s="2">
        <v>-14103</v>
      </c>
      <c r="Q24" s="2"/>
      <c r="R24" s="19">
        <f t="shared" si="9"/>
        <v>-0.34121815097651104</v>
      </c>
      <c r="S24" s="2"/>
      <c r="T24" s="2"/>
      <c r="U24" s="2"/>
      <c r="V24" s="19">
        <f t="shared" si="10"/>
        <v>0</v>
      </c>
      <c r="W24" s="2"/>
      <c r="X24" s="2">
        <f t="shared" si="11"/>
        <v>-14103</v>
      </c>
      <c r="Y24" s="2"/>
      <c r="Z24" s="19">
        <f t="shared" si="12"/>
        <v>0</v>
      </c>
    </row>
    <row r="25" spans="1:26" s="24" customFormat="1" hidden="1" outlineLevel="1" x14ac:dyDescent="0.25">
      <c r="A25" s="44"/>
      <c r="B25" s="11" t="str">
        <f>CONCATENATE("          ", "5300", " - ", "COG$ OFFSET")</f>
        <v xml:space="preserve">          5300 - COG$ OFFSET</v>
      </c>
      <c r="C25" s="11"/>
      <c r="D25" s="2">
        <v>-898</v>
      </c>
      <c r="E25" s="2"/>
      <c r="F25" s="19">
        <f t="shared" si="5"/>
        <v>-0.14679079043080973</v>
      </c>
      <c r="G25" s="2"/>
      <c r="H25" s="2"/>
      <c r="I25" s="2"/>
      <c r="J25" s="19">
        <f t="shared" si="6"/>
        <v>0</v>
      </c>
      <c r="K25" s="2"/>
      <c r="L25" s="2">
        <f t="shared" si="7"/>
        <v>-898</v>
      </c>
      <c r="M25" s="2"/>
      <c r="N25" s="19">
        <f t="shared" si="8"/>
        <v>0</v>
      </c>
      <c r="O25" s="11"/>
      <c r="P25" s="2">
        <v>13730</v>
      </c>
      <c r="Q25" s="2"/>
      <c r="R25" s="19">
        <f t="shared" si="9"/>
        <v>0.33219352002463987</v>
      </c>
      <c r="S25" s="2"/>
      <c r="T25" s="2"/>
      <c r="U25" s="2"/>
      <c r="V25" s="19">
        <f t="shared" si="10"/>
        <v>0</v>
      </c>
      <c r="W25" s="2"/>
      <c r="X25" s="2">
        <f t="shared" si="11"/>
        <v>13730</v>
      </c>
      <c r="Y25" s="2"/>
      <c r="Z25" s="19">
        <f t="shared" si="12"/>
        <v>0</v>
      </c>
    </row>
    <row r="26" spans="1:26" s="24" customFormat="1" hidden="1" outlineLevel="1" x14ac:dyDescent="0.25">
      <c r="A26" s="44"/>
      <c r="B26" s="11" t="str">
        <f>CONCATENATE("          ", "5592", " - ", "FREIGHT-IN-GRAD MERCH")</f>
        <v xml:space="preserve">          5592 - FREIGHT-IN-GRAD MERCH</v>
      </c>
      <c r="C26" s="11"/>
      <c r="D26" s="2">
        <v>10.83</v>
      </c>
      <c r="E26" s="2"/>
      <c r="F26" s="19">
        <f t="shared" si="5"/>
        <v>1.7703165482913913E-3</v>
      </c>
      <c r="G26" s="2"/>
      <c r="H26" s="2"/>
      <c r="I26" s="2"/>
      <c r="J26" s="19">
        <f t="shared" si="6"/>
        <v>0</v>
      </c>
      <c r="K26" s="2"/>
      <c r="L26" s="2">
        <f t="shared" si="7"/>
        <v>10.83</v>
      </c>
      <c r="M26" s="2"/>
      <c r="N26" s="19">
        <f t="shared" si="8"/>
        <v>0</v>
      </c>
      <c r="O26" s="11"/>
      <c r="P26" s="2">
        <v>170.88</v>
      </c>
      <c r="Q26" s="2"/>
      <c r="R26" s="19">
        <f t="shared" si="9"/>
        <v>4.1343939331253072E-3</v>
      </c>
      <c r="S26" s="2"/>
      <c r="T26" s="2"/>
      <c r="U26" s="2"/>
      <c r="V26" s="19">
        <f t="shared" si="10"/>
        <v>0</v>
      </c>
      <c r="W26" s="2"/>
      <c r="X26" s="2">
        <f t="shared" si="11"/>
        <v>170.88</v>
      </c>
      <c r="Y26" s="2"/>
      <c r="Z26" s="19">
        <f t="shared" si="12"/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6</v>
      </c>
      <c r="C28" s="29"/>
      <c r="D28" s="22">
        <f>D12-D20</f>
        <v>7015.6299999999992</v>
      </c>
      <c r="E28" s="14"/>
      <c r="F28" s="20">
        <f>IF(D$12=0,0,D28/D$12)</f>
        <v>1.1468038675613603</v>
      </c>
      <c r="G28" s="14"/>
      <c r="H28" s="22">
        <f>H12-H20</f>
        <v>0</v>
      </c>
      <c r="I28" s="14"/>
      <c r="J28" s="20">
        <f>IF(H$12=0,0,H28/H$12)</f>
        <v>0</v>
      </c>
      <c r="K28" s="15"/>
      <c r="L28" s="22">
        <f>+D28-H28</f>
        <v>7015.6299999999992</v>
      </c>
      <c r="M28" s="15"/>
      <c r="N28" s="20">
        <f>IF(H28=0,0,L28/H28)</f>
        <v>0</v>
      </c>
      <c r="O28" s="28"/>
      <c r="P28" s="22">
        <f>P12-P20</f>
        <v>27602.280000000002</v>
      </c>
      <c r="Q28" s="14"/>
      <c r="R28" s="20">
        <f>IF(P$12=0,0,P28/P$12)</f>
        <v>0.66782946496035822</v>
      </c>
      <c r="S28" s="14"/>
      <c r="T28" s="22">
        <f>T12-T20</f>
        <v>463012.02500000002</v>
      </c>
      <c r="U28" s="14"/>
      <c r="V28" s="20">
        <f>IF(T$12=0,0,T28/T$12)</f>
        <v>0.59899999999999998</v>
      </c>
      <c r="W28" s="15"/>
      <c r="X28" s="22">
        <f>+P28-T28</f>
        <v>-435409.745</v>
      </c>
      <c r="Y28" s="15"/>
      <c r="Z28" s="20">
        <f>IF(T28=0,0,X28/T28)</f>
        <v>-0.94038539279838351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9</v>
      </c>
      <c r="C30" s="10"/>
      <c r="D30" s="21">
        <f>SUM(OSRRefD22x_0)</f>
        <v>21588.91</v>
      </c>
      <c r="E30" s="21"/>
      <c r="F30" s="32">
        <f t="shared" ref="F30:F39" si="13">IF(D$12=0,0,D30/D$12)</f>
        <v>3.5290124314472302</v>
      </c>
      <c r="G30" s="21"/>
      <c r="H30" s="21">
        <f>SUM(OSRRefH22x_0)</f>
        <v>3125.5477761153888</v>
      </c>
      <c r="I30" s="21"/>
      <c r="J30" s="32">
        <f t="shared" ref="J30:J39" si="14">IF(H$12=0,0,H30/H$12)</f>
        <v>0</v>
      </c>
      <c r="K30" s="4"/>
      <c r="L30" s="21">
        <f t="shared" ref="L30:L39" si="15">+D30-H30</f>
        <v>18463.362223884611</v>
      </c>
      <c r="M30" s="4"/>
      <c r="N30" s="32">
        <f t="shared" ref="N30:N39" si="16">IF(H30=0,0,L30/H30)</f>
        <v>5.9072404411721848</v>
      </c>
      <c r="O30" s="10"/>
      <c r="P30" s="21">
        <f>SUM(OSRRefP22x_0)</f>
        <v>27917.400000000005</v>
      </c>
      <c r="Q30" s="21"/>
      <c r="R30" s="32">
        <f t="shared" ref="R30:R39" si="17">IF(P$12=0,0,P30/P$12)</f>
        <v>0.67545370545782113</v>
      </c>
      <c r="S30" s="21"/>
      <c r="T30" s="21">
        <f>SUM(OSRRefT22x_0)</f>
        <v>19119.293393500033</v>
      </c>
      <c r="U30" s="21"/>
      <c r="V30" s="32">
        <f t="shared" ref="V30:V39" si="18">IF(T$12=0,0,T30/T$12)</f>
        <v>2.4734685330702846E-2</v>
      </c>
      <c r="W30" s="4"/>
      <c r="X30" s="21">
        <f t="shared" ref="X30:X39" si="19">+P30-T30</f>
        <v>8798.1066064999723</v>
      </c>
      <c r="Y30" s="4"/>
      <c r="Z30" s="32">
        <f t="shared" ref="Z30:Z39" si="20">IF(T30=0,0,X30/T30)</f>
        <v>0.46016902536215359</v>
      </c>
    </row>
    <row r="31" spans="1:26" s="26" customFormat="1" outlineLevel="1" collapsed="1" x14ac:dyDescent="0.25">
      <c r="A31" s="25"/>
      <c r="B31" s="12" t="str">
        <f>CONCATENATE("     ","*Benefits                                         ")</f>
        <v xml:space="preserve">     *Benefits                                         </v>
      </c>
      <c r="C31" s="12"/>
      <c r="D31" s="1">
        <f>SUM(OSRRefD22_0x_0)</f>
        <v>-5</v>
      </c>
      <c r="E31" s="1"/>
      <c r="F31" s="5">
        <f t="shared" si="13"/>
        <v>-8.1732065941430817E-4</v>
      </c>
      <c r="G31" s="1"/>
      <c r="H31" s="1">
        <f>SUM(OSRRefH22_0x_0)</f>
        <v>1198.807929961539</v>
      </c>
      <c r="I31" s="1"/>
      <c r="J31" s="5">
        <f t="shared" si="14"/>
        <v>0</v>
      </c>
      <c r="K31" s="1"/>
      <c r="L31" s="1">
        <f t="shared" si="15"/>
        <v>-1203.807929961539</v>
      </c>
      <c r="M31" s="1"/>
      <c r="N31" s="5">
        <f t="shared" si="16"/>
        <v>-1.0041708099146127</v>
      </c>
      <c r="O31" s="12"/>
      <c r="P31" s="1">
        <f>SUM(OSRRefP22_0x_0)</f>
        <v>869.44</v>
      </c>
      <c r="Q31" s="1"/>
      <c r="R31" s="5">
        <f t="shared" si="17"/>
        <v>2.1035858270227453E-2</v>
      </c>
      <c r="S31" s="1"/>
      <c r="T31" s="1">
        <f>SUM(OSRRefT22_0x_0)</f>
        <v>18360.939393499993</v>
      </c>
      <c r="U31" s="1"/>
      <c r="V31" s="5">
        <f t="shared" si="18"/>
        <v>2.3753600560820199E-2</v>
      </c>
      <c r="W31" s="1"/>
      <c r="X31" s="1">
        <f t="shared" si="19"/>
        <v>-17491.499393499995</v>
      </c>
      <c r="Y31" s="1"/>
      <c r="Z31" s="5">
        <f t="shared" si="20"/>
        <v>-0.95264730298560918</v>
      </c>
    </row>
    <row r="32" spans="1:26" s="24" customFormat="1" hidden="1" outlineLevel="2" x14ac:dyDescent="0.25">
      <c r="A32" s="27"/>
      <c r="B32" s="11" t="str">
        <f>CONCATENATE("          ", "6111", " - ", "F.I.C.A.")</f>
        <v xml:space="preserve">          6111 - F.I.C.A.</v>
      </c>
      <c r="C32" s="11"/>
      <c r="D32" s="6"/>
      <c r="E32" s="2"/>
      <c r="F32" s="7">
        <f t="shared" si="13"/>
        <v>0</v>
      </c>
      <c r="G32" s="2"/>
      <c r="H32" s="6">
        <v>156.11619611538501</v>
      </c>
      <c r="I32" s="2"/>
      <c r="J32" s="7">
        <f t="shared" si="14"/>
        <v>0</v>
      </c>
      <c r="K32" s="2"/>
      <c r="L32" s="6">
        <f t="shared" si="15"/>
        <v>-156.11619611538501</v>
      </c>
      <c r="M32" s="2"/>
      <c r="N32" s="7">
        <f t="shared" si="16"/>
        <v>-1</v>
      </c>
      <c r="O32" s="11"/>
      <c r="P32" s="6">
        <v>208.81</v>
      </c>
      <c r="Q32" s="2"/>
      <c r="R32" s="7">
        <f t="shared" si="17"/>
        <v>5.0520997025742939E-3</v>
      </c>
      <c r="S32" s="2"/>
      <c r="T32" s="6">
        <v>4516.7967734999938</v>
      </c>
      <c r="U32" s="2"/>
      <c r="V32" s="7">
        <f t="shared" si="18"/>
        <v>5.8433930896859458E-3</v>
      </c>
      <c r="W32" s="2"/>
      <c r="X32" s="6">
        <f t="shared" si="19"/>
        <v>-4307.9867734999934</v>
      </c>
      <c r="Y32" s="2"/>
      <c r="Z32" s="7">
        <f t="shared" si="20"/>
        <v>-0.95377033537902645</v>
      </c>
    </row>
    <row r="33" spans="1:26" s="24" customFormat="1" hidden="1" outlineLevel="2" x14ac:dyDescent="0.25">
      <c r="A33" s="27"/>
      <c r="B33" s="11" t="str">
        <f>CONCATENATE("          ", "6112", " - ", "COMPENSATION INSURANCE")</f>
        <v xml:space="preserve">          6112 - COMPENSATION INSURANCE</v>
      </c>
      <c r="C33" s="11"/>
      <c r="D33" s="6"/>
      <c r="E33" s="2"/>
      <c r="F33" s="7">
        <f t="shared" si="13"/>
        <v>0</v>
      </c>
      <c r="G33" s="2"/>
      <c r="H33" s="6">
        <v>38.758757692307697</v>
      </c>
      <c r="I33" s="2"/>
      <c r="J33" s="7">
        <f t="shared" si="14"/>
        <v>0</v>
      </c>
      <c r="K33" s="2"/>
      <c r="L33" s="6">
        <f t="shared" si="15"/>
        <v>-38.758757692307697</v>
      </c>
      <c r="M33" s="2"/>
      <c r="N33" s="7">
        <f t="shared" si="16"/>
        <v>-1</v>
      </c>
      <c r="O33" s="11"/>
      <c r="P33" s="6">
        <v>22.05</v>
      </c>
      <c r="Q33" s="2"/>
      <c r="R33" s="7">
        <f t="shared" si="17"/>
        <v>5.3349359916557242E-4</v>
      </c>
      <c r="S33" s="2"/>
      <c r="T33" s="6">
        <v>1121.3790500000007</v>
      </c>
      <c r="U33" s="2"/>
      <c r="V33" s="7">
        <f t="shared" si="18"/>
        <v>1.450731330250009E-3</v>
      </c>
      <c r="W33" s="2"/>
      <c r="X33" s="6">
        <f t="shared" si="19"/>
        <v>-1099.3290500000007</v>
      </c>
      <c r="Y33" s="2"/>
      <c r="Z33" s="7">
        <f t="shared" si="20"/>
        <v>-0.98033671130203481</v>
      </c>
    </row>
    <row r="34" spans="1:26" s="24" customFormat="1" hidden="1" outlineLevel="2" x14ac:dyDescent="0.25">
      <c r="A34" s="27"/>
      <c r="B34" s="11" t="str">
        <f>CONCATENATE("          ", "6113", " - ", "GROUP INSURANCE")</f>
        <v xml:space="preserve">          6113 - GROUP INSURANCE</v>
      </c>
      <c r="C34" s="11"/>
      <c r="D34" s="6"/>
      <c r="E34" s="2"/>
      <c r="F34" s="7">
        <f t="shared" si="13"/>
        <v>0</v>
      </c>
      <c r="G34" s="2"/>
      <c r="H34" s="6">
        <v>660</v>
      </c>
      <c r="I34" s="2"/>
      <c r="J34" s="7">
        <f t="shared" si="14"/>
        <v>0</v>
      </c>
      <c r="K34" s="2"/>
      <c r="L34" s="6">
        <f t="shared" si="15"/>
        <v>-660</v>
      </c>
      <c r="M34" s="2"/>
      <c r="N34" s="7">
        <f t="shared" si="16"/>
        <v>-1</v>
      </c>
      <c r="O34" s="11"/>
      <c r="P34" s="6">
        <v>305.26</v>
      </c>
      <c r="Q34" s="2"/>
      <c r="R34" s="7">
        <f t="shared" si="17"/>
        <v>7.3856805479039743E-3</v>
      </c>
      <c r="S34" s="2"/>
      <c r="T34" s="6">
        <v>7920</v>
      </c>
      <c r="U34" s="2"/>
      <c r="V34" s="7">
        <f t="shared" si="18"/>
        <v>1.0246126976939746E-2</v>
      </c>
      <c r="W34" s="2"/>
      <c r="X34" s="6">
        <f t="shared" si="19"/>
        <v>-7614.74</v>
      </c>
      <c r="Y34" s="2"/>
      <c r="Z34" s="7">
        <f t="shared" si="20"/>
        <v>-0.96145707070707065</v>
      </c>
    </row>
    <row r="35" spans="1:26" s="24" customFormat="1" hidden="1" outlineLevel="2" x14ac:dyDescent="0.25">
      <c r="A35" s="27"/>
      <c r="B35" s="11" t="str">
        <f>CONCATENATE("          ", "6114", " - ", "STATE UNEMPLOYMENT INSURANCE")</f>
        <v xml:space="preserve">          6114 - STATE UNEMPLOYMENT INSURANCE</v>
      </c>
      <c r="C35" s="11"/>
      <c r="D35" s="6">
        <v>-5</v>
      </c>
      <c r="E35" s="2"/>
      <c r="F35" s="7">
        <f t="shared" si="13"/>
        <v>-8.1732065941430817E-4</v>
      </c>
      <c r="G35" s="2"/>
      <c r="H35" s="6">
        <v>5.3038299999999996</v>
      </c>
      <c r="I35" s="2"/>
      <c r="J35" s="7">
        <f t="shared" si="14"/>
        <v>0</v>
      </c>
      <c r="K35" s="2"/>
      <c r="L35" s="6">
        <f t="shared" si="15"/>
        <v>-10.30383</v>
      </c>
      <c r="M35" s="2"/>
      <c r="N35" s="7">
        <f t="shared" si="16"/>
        <v>-1.9427149814379421</v>
      </c>
      <c r="O35" s="11"/>
      <c r="P35" s="6">
        <v>0</v>
      </c>
      <c r="Q35" s="2"/>
      <c r="R35" s="7">
        <f t="shared" si="17"/>
        <v>0</v>
      </c>
      <c r="S35" s="2"/>
      <c r="T35" s="6">
        <v>153.45187000000001</v>
      </c>
      <c r="U35" s="2"/>
      <c r="V35" s="7">
        <f t="shared" si="18"/>
        <v>1.9852112940263271E-4</v>
      </c>
      <c r="W35" s="2"/>
      <c r="X35" s="6">
        <f t="shared" si="19"/>
        <v>-153.45187000000001</v>
      </c>
      <c r="Y35" s="2"/>
      <c r="Z35" s="7">
        <f t="shared" si="20"/>
        <v>-1</v>
      </c>
    </row>
    <row r="36" spans="1:26" s="24" customFormat="1" hidden="1" outlineLevel="2" x14ac:dyDescent="0.25">
      <c r="A36" s="27"/>
      <c r="B36" s="11" t="str">
        <f>CONCATENATE("          ", "6115", " - ", "P.E.R.S.")</f>
        <v xml:space="preserve">          6115 - P.E.R.S.</v>
      </c>
      <c r="C36" s="11"/>
      <c r="D36" s="6"/>
      <c r="E36" s="2"/>
      <c r="F36" s="7">
        <f t="shared" si="13"/>
        <v>0</v>
      </c>
      <c r="G36" s="2"/>
      <c r="H36" s="6">
        <v>175.434376923077</v>
      </c>
      <c r="I36" s="2"/>
      <c r="J36" s="7">
        <f t="shared" si="14"/>
        <v>0</v>
      </c>
      <c r="K36" s="2"/>
      <c r="L36" s="6">
        <f t="shared" si="15"/>
        <v>-175.434376923077</v>
      </c>
      <c r="M36" s="2"/>
      <c r="N36" s="7">
        <f t="shared" si="16"/>
        <v>-1</v>
      </c>
      <c r="O36" s="11"/>
      <c r="P36" s="6">
        <v>134.12</v>
      </c>
      <c r="Q36" s="2"/>
      <c r="R36" s="7">
        <f t="shared" si="17"/>
        <v>3.2449959873055139E-3</v>
      </c>
      <c r="S36" s="2"/>
      <c r="T36" s="6">
        <v>2237.7157000000002</v>
      </c>
      <c r="U36" s="2"/>
      <c r="V36" s="7">
        <f t="shared" si="18"/>
        <v>2.8949392929913647E-3</v>
      </c>
      <c r="W36" s="2"/>
      <c r="X36" s="6">
        <f t="shared" si="19"/>
        <v>-2103.5957000000003</v>
      </c>
      <c r="Y36" s="2"/>
      <c r="Z36" s="7">
        <f t="shared" si="20"/>
        <v>-0.94006387853470397</v>
      </c>
    </row>
    <row r="37" spans="1:26" s="24" customFormat="1" hidden="1" outlineLevel="2" x14ac:dyDescent="0.25">
      <c r="A37" s="27"/>
      <c r="B37" s="11" t="str">
        <f>CONCATENATE("          ", "6116", " - ", "EDUCATIONAL BENEFITS")</f>
        <v xml:space="preserve">          6116 - EDUCATIONAL BENEFITS</v>
      </c>
      <c r="C37" s="11"/>
      <c r="D37" s="6"/>
      <c r="E37" s="2"/>
      <c r="F37" s="7">
        <f t="shared" si="13"/>
        <v>0</v>
      </c>
      <c r="G37" s="2"/>
      <c r="H37" s="6">
        <v>0</v>
      </c>
      <c r="I37" s="2"/>
      <c r="J37" s="7">
        <f t="shared" si="14"/>
        <v>0</v>
      </c>
      <c r="K37" s="2"/>
      <c r="L37" s="6">
        <f t="shared" si="15"/>
        <v>0</v>
      </c>
      <c r="M37" s="2"/>
      <c r="N37" s="7">
        <f t="shared" si="16"/>
        <v>0</v>
      </c>
      <c r="O37" s="11"/>
      <c r="P37" s="6"/>
      <c r="Q37" s="2"/>
      <c r="R37" s="7">
        <f t="shared" si="17"/>
        <v>0</v>
      </c>
      <c r="S37" s="2"/>
      <c r="T37" s="6">
        <v>0</v>
      </c>
      <c r="U37" s="2"/>
      <c r="V37" s="7">
        <f t="shared" si="18"/>
        <v>0</v>
      </c>
      <c r="W37" s="2"/>
      <c r="X37" s="6">
        <f t="shared" si="19"/>
        <v>0</v>
      </c>
      <c r="Y37" s="2"/>
      <c r="Z37" s="7">
        <f t="shared" si="20"/>
        <v>0</v>
      </c>
    </row>
    <row r="38" spans="1:26" s="24" customFormat="1" hidden="1" outlineLevel="2" x14ac:dyDescent="0.25">
      <c r="A38" s="27"/>
      <c r="B38" s="11" t="str">
        <f>CONCATENATE("          ", "6118", " - ", "VACATION")</f>
        <v xml:space="preserve">          6118 - VACATION</v>
      </c>
      <c r="C38" s="11"/>
      <c r="D38" s="6"/>
      <c r="E38" s="2"/>
      <c r="F38" s="7">
        <f t="shared" si="13"/>
        <v>0</v>
      </c>
      <c r="G38" s="2"/>
      <c r="H38" s="6">
        <v>101.99673076923101</v>
      </c>
      <c r="I38" s="2"/>
      <c r="J38" s="7">
        <f t="shared" si="14"/>
        <v>0</v>
      </c>
      <c r="K38" s="2"/>
      <c r="L38" s="6">
        <f t="shared" si="15"/>
        <v>-101.99673076923101</v>
      </c>
      <c r="M38" s="2"/>
      <c r="N38" s="7">
        <f t="shared" si="16"/>
        <v>-1</v>
      </c>
      <c r="O38" s="11"/>
      <c r="P38" s="6">
        <v>110.64</v>
      </c>
      <c r="Q38" s="2"/>
      <c r="R38" s="7">
        <f t="shared" si="17"/>
        <v>2.6769039370375934E-3</v>
      </c>
      <c r="S38" s="2"/>
      <c r="T38" s="6">
        <v>1300.9974999999993</v>
      </c>
      <c r="U38" s="2"/>
      <c r="V38" s="7">
        <f t="shared" si="18"/>
        <v>1.6831042401112574E-3</v>
      </c>
      <c r="W38" s="2"/>
      <c r="X38" s="6">
        <f t="shared" si="19"/>
        <v>-1190.3574999999992</v>
      </c>
      <c r="Y38" s="2"/>
      <c r="Z38" s="7">
        <f t="shared" si="20"/>
        <v>-0.9149575614096106</v>
      </c>
    </row>
    <row r="39" spans="1:26" s="24" customFormat="1" hidden="1" outlineLevel="2" x14ac:dyDescent="0.25">
      <c r="A39" s="27"/>
      <c r="B39" s="11" t="str">
        <f>CONCATENATE("          ", "6119", " - ", "SICK LEAVE")</f>
        <v xml:space="preserve">          6119 - SICK LEAVE</v>
      </c>
      <c r="C39" s="11"/>
      <c r="D39" s="6"/>
      <c r="E39" s="2"/>
      <c r="F39" s="7">
        <f t="shared" si="13"/>
        <v>0</v>
      </c>
      <c r="G39" s="2"/>
      <c r="H39" s="6">
        <v>61.198038461538495</v>
      </c>
      <c r="I39" s="2"/>
      <c r="J39" s="7">
        <f t="shared" si="14"/>
        <v>0</v>
      </c>
      <c r="K39" s="2"/>
      <c r="L39" s="6">
        <f t="shared" si="15"/>
        <v>-61.198038461538495</v>
      </c>
      <c r="M39" s="2"/>
      <c r="N39" s="7">
        <f t="shared" si="16"/>
        <v>-1</v>
      </c>
      <c r="O39" s="11"/>
      <c r="P39" s="6">
        <v>88.56</v>
      </c>
      <c r="Q39" s="2"/>
      <c r="R39" s="7">
        <f t="shared" si="17"/>
        <v>2.1426844962405033E-3</v>
      </c>
      <c r="S39" s="2"/>
      <c r="T39" s="6">
        <v>1110.5984999999994</v>
      </c>
      <c r="U39" s="2"/>
      <c r="V39" s="7">
        <f t="shared" si="18"/>
        <v>1.4367845014392436E-3</v>
      </c>
      <c r="W39" s="2"/>
      <c r="X39" s="6">
        <f t="shared" si="19"/>
        <v>-1022.0384999999994</v>
      </c>
      <c r="Y39" s="2"/>
      <c r="Z39" s="7">
        <f t="shared" si="20"/>
        <v>-0.92025921158726576</v>
      </c>
    </row>
    <row r="40" spans="1:26" s="26" customFormat="1" outlineLevel="1" collapsed="1" x14ac:dyDescent="0.25">
      <c r="A40" s="25"/>
      <c r="B40" s="12" t="str">
        <f>CONCATENATE("     ","*Payroll                                          ")</f>
        <v xml:space="preserve">     *Payroll                                          </v>
      </c>
      <c r="C40" s="12"/>
      <c r="D40" s="1">
        <f>SUM(OSRRefD22_1x_0)</f>
        <v>0</v>
      </c>
      <c r="E40" s="1"/>
      <c r="F40" s="5">
        <f t="shared" ref="F40:F50" si="21">IF(D$12=0,0,D40/D$12)</f>
        <v>0</v>
      </c>
      <c r="G40" s="1"/>
      <c r="H40" s="1">
        <f>SUM(OSRRefH22_1x_0)</f>
        <v>1876.7398461538501</v>
      </c>
      <c r="I40" s="1"/>
      <c r="J40" s="5">
        <f t="shared" ref="J40:J50" si="22">IF(H$12=0,0,H40/H$12)</f>
        <v>0</v>
      </c>
      <c r="K40" s="1"/>
      <c r="L40" s="1">
        <f t="shared" ref="L40:L50" si="23">+D40-H40</f>
        <v>-1876.7398461538501</v>
      </c>
      <c r="M40" s="1"/>
      <c r="N40" s="5">
        <f t="shared" ref="N40:N50" si="24">IF(H40=0,0,L40/H40)</f>
        <v>-1</v>
      </c>
      <c r="O40" s="12"/>
      <c r="P40" s="1">
        <f>SUM(OSRRefP22_1x_0)</f>
        <v>6103</v>
      </c>
      <c r="Q40" s="1"/>
      <c r="R40" s="5">
        <f t="shared" ref="R40:R50" si="25">IF(P$12=0,0,P40/P$12)</f>
        <v>0.1476603825717682</v>
      </c>
      <c r="S40" s="1"/>
      <c r="T40" s="1">
        <f>SUM(OSRRefT22_1x_0)</f>
        <v>56608.354000000036</v>
      </c>
      <c r="U40" s="1"/>
      <c r="V40" s="5">
        <f t="shared" ref="V40:V50" si="26">IF(T$12=0,0,T40/T$12)</f>
        <v>7.3234391797923654E-2</v>
      </c>
      <c r="W40" s="1"/>
      <c r="X40" s="1">
        <f t="shared" ref="X40:X50" si="27">+P40-T40</f>
        <v>-50505.354000000036</v>
      </c>
      <c r="Y40" s="1"/>
      <c r="Z40" s="5">
        <f t="shared" ref="Z40:Z50" si="28">IF(T40=0,0,X40/T40)</f>
        <v>-0.8921890574666772</v>
      </c>
    </row>
    <row r="41" spans="1:26" s="24" customFormat="1" hidden="1" outlineLevel="2" x14ac:dyDescent="0.25">
      <c r="A41" s="27"/>
      <c r="B41" s="11" t="str">
        <f>CONCATENATE("          ", "6001", " - ", "ADMINISTRATIVE SALARIES")</f>
        <v xml:space="preserve">          6001 - ADMINISTRATIVE SALARIES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"6002", " - ", "STAFF SALARIES")</f>
        <v xml:space="preserve">          6002 - STAFF SALARIES</v>
      </c>
      <c r="C42" s="11"/>
      <c r="D42" s="6"/>
      <c r="E42" s="2"/>
      <c r="F42" s="7">
        <f t="shared" si="21"/>
        <v>0</v>
      </c>
      <c r="G42" s="2"/>
      <c r="H42" s="6">
        <v>1876.7398461538501</v>
      </c>
      <c r="I42" s="2"/>
      <c r="J42" s="7">
        <f t="shared" si="22"/>
        <v>0</v>
      </c>
      <c r="K42" s="2"/>
      <c r="L42" s="6">
        <f t="shared" si="23"/>
        <v>-1876.7398461538501</v>
      </c>
      <c r="M42" s="2"/>
      <c r="N42" s="7">
        <f t="shared" si="24"/>
        <v>-1</v>
      </c>
      <c r="O42" s="11"/>
      <c r="P42" s="6">
        <v>1872</v>
      </c>
      <c r="Q42" s="2"/>
      <c r="R42" s="7">
        <f t="shared" si="25"/>
        <v>4.5292517806709821E-2</v>
      </c>
      <c r="S42" s="2"/>
      <c r="T42" s="6">
        <v>23938.354000000039</v>
      </c>
      <c r="U42" s="2"/>
      <c r="V42" s="7">
        <f t="shared" si="26"/>
        <v>3.0969118018047206E-2</v>
      </c>
      <c r="W42" s="2"/>
      <c r="X42" s="6">
        <f t="shared" si="27"/>
        <v>-22066.354000000039</v>
      </c>
      <c r="Y42" s="2"/>
      <c r="Z42" s="7">
        <f t="shared" si="28"/>
        <v>-0.92179913456037965</v>
      </c>
    </row>
    <row r="43" spans="1:26" s="24" customFormat="1" hidden="1" outlineLevel="2" x14ac:dyDescent="0.25">
      <c r="A43" s="27"/>
      <c r="B43" s="11" t="str">
        <f>CONCATENATE("          ", "6003", " - ", "STAFF HOURLY-9 MONTH")</f>
        <v xml:space="preserve">          6003 - STAFF HOURLY-9 MONTH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"6004", " - ", "STAFF HOURLY")</f>
        <v xml:space="preserve">          6004 - STAFF HOURLY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491.67</v>
      </c>
      <c r="Q44" s="2"/>
      <c r="R44" s="7">
        <f t="shared" si="25"/>
        <v>1.1895818498944988E-2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491.67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"6005", " - ", "TEMPORARY WAGES-HOURLY")</f>
        <v xml:space="preserve">          6005 - TEMPORARY WAGES-HOURLY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140.61000000000001</v>
      </c>
      <c r="Q45" s="2"/>
      <c r="R45" s="7">
        <f t="shared" si="25"/>
        <v>3.4020197269238614E-3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140.61000000000001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>
        <v>120.35</v>
      </c>
      <c r="Q46" s="2"/>
      <c r="R46" s="7">
        <f t="shared" si="25"/>
        <v>2.9118346784388497E-3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120.35</v>
      </c>
      <c r="Y46" s="2"/>
      <c r="Z46" s="7">
        <f t="shared" si="28"/>
        <v>0</v>
      </c>
    </row>
    <row r="47" spans="1:26" s="24" customFormat="1" hidden="1" outlineLevel="2" x14ac:dyDescent="0.25">
      <c r="A47" s="27"/>
      <c r="B47" s="11" t="str">
        <f>CONCATENATE("          ", "6007", " - ", "STUDENT HOURLY")</f>
        <v xml:space="preserve">          6007 - STUDENT HOURLY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>
        <v>3478.37</v>
      </c>
      <c r="Q47" s="2"/>
      <c r="R47" s="7">
        <f t="shared" si="25"/>
        <v>8.4158191860750658E-2</v>
      </c>
      <c r="S47" s="2"/>
      <c r="T47" s="6">
        <v>32670</v>
      </c>
      <c r="U47" s="2"/>
      <c r="V47" s="7">
        <f t="shared" si="26"/>
        <v>4.2265273779876454E-2</v>
      </c>
      <c r="W47" s="2"/>
      <c r="X47" s="6">
        <f t="shared" si="27"/>
        <v>-29191.63</v>
      </c>
      <c r="Y47" s="2"/>
      <c r="Z47" s="7">
        <f t="shared" si="28"/>
        <v>-0.89353014998469549</v>
      </c>
    </row>
    <row r="48" spans="1:26" s="24" customFormat="1" hidden="1" outlineLevel="2" x14ac:dyDescent="0.25">
      <c r="A48" s="27"/>
      <c r="B48" s="11" t="str">
        <f>CONCATENATE("          ", "6008", " - ", "STUDENT HOURLY-FICA EXEMPT")</f>
        <v xml:space="preserve">          6008 - STUDENT HOURLY-FICA EXEMPT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7"/>
      <c r="B49" s="11" t="str">
        <f>CONCATENATE("          ", "6009", " - ", "TEMPORARY-SEASONAL")</f>
        <v xml:space="preserve">          6009 - TEMPORARY-SEASONAL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4" customFormat="1" hidden="1" outlineLevel="2" x14ac:dyDescent="0.25">
      <c r="A50" s="27"/>
      <c r="B50" s="11" t="str">
        <f>CONCATENATE("          ", "6010", " - ", "GRATUITY")</f>
        <v xml:space="preserve">          6010 - GRATUITY</v>
      </c>
      <c r="C50" s="11"/>
      <c r="D50" s="6"/>
      <c r="E50" s="2"/>
      <c r="F50" s="7">
        <f t="shared" si="21"/>
        <v>0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0</v>
      </c>
      <c r="M50" s="2"/>
      <c r="N50" s="7">
        <f t="shared" si="24"/>
        <v>0</v>
      </c>
      <c r="O50" s="11"/>
      <c r="P50" s="6"/>
      <c r="Q50" s="2"/>
      <c r="R50" s="7">
        <f t="shared" si="25"/>
        <v>0</v>
      </c>
      <c r="S50" s="2"/>
      <c r="T50" s="6">
        <v>0</v>
      </c>
      <c r="U50" s="2"/>
      <c r="V50" s="7">
        <f t="shared" si="26"/>
        <v>0</v>
      </c>
      <c r="W50" s="2"/>
      <c r="X50" s="6">
        <f t="shared" si="27"/>
        <v>0</v>
      </c>
      <c r="Y50" s="2"/>
      <c r="Z50" s="7">
        <f t="shared" si="28"/>
        <v>0</v>
      </c>
    </row>
    <row r="51" spans="1:26" s="26" customFormat="1" outlineLevel="1" collapsed="1" x14ac:dyDescent="0.25">
      <c r="A51" s="25"/>
      <c r="B51" s="12" t="str">
        <f>CONCATENATE("     ","Advertising/Promo                                 ")</f>
        <v xml:space="preserve">     Advertising/Promo                                 </v>
      </c>
      <c r="C51" s="12"/>
      <c r="D51" s="1">
        <f>SUM(OSRRefD22_2x_0)</f>
        <v>0</v>
      </c>
      <c r="E51" s="1"/>
      <c r="F51" s="5">
        <f t="shared" ref="F51:F57" si="29">IF(D$12=0,0,D51/D$12)</f>
        <v>0</v>
      </c>
      <c r="G51" s="1"/>
      <c r="H51" s="1">
        <f>SUM(OSRRefH22_2x_0)</f>
        <v>0</v>
      </c>
      <c r="I51" s="1"/>
      <c r="J51" s="5">
        <f t="shared" ref="J51:J57" si="30">IF(H$12=0,0,H51/H$12)</f>
        <v>0</v>
      </c>
      <c r="K51" s="1"/>
      <c r="L51" s="1">
        <f t="shared" ref="L51:L57" si="31">+D51-H51</f>
        <v>0</v>
      </c>
      <c r="M51" s="1"/>
      <c r="N51" s="5">
        <f t="shared" ref="N51:N57" si="32">IF(H51=0,0,L51/H51)</f>
        <v>0</v>
      </c>
      <c r="O51" s="12"/>
      <c r="P51" s="1">
        <f>SUM(OSRRefP22_2x_0)</f>
        <v>1164.77</v>
      </c>
      <c r="Q51" s="1"/>
      <c r="R51" s="5">
        <f t="shared" ref="R51:R57" si="33">IF(P$12=0,0,P51/P$12)</f>
        <v>2.8181285238099037E-2</v>
      </c>
      <c r="S51" s="1"/>
      <c r="T51" s="1">
        <f>SUM(OSRRefT22_2x_0)</f>
        <v>4000</v>
      </c>
      <c r="U51" s="1"/>
      <c r="V51" s="5">
        <f t="shared" ref="V51:V57" si="34">IF(T$12=0,0,T51/T$12)</f>
        <v>5.1748116045150228E-3</v>
      </c>
      <c r="W51" s="1"/>
      <c r="X51" s="1">
        <f t="shared" ref="X51:X57" si="35">+P51-T51</f>
        <v>-2835.23</v>
      </c>
      <c r="Y51" s="1"/>
      <c r="Z51" s="5">
        <f t="shared" ref="Z51:Z57" si="36">IF(T51=0,0,X51/T51)</f>
        <v>-0.70880750000000003</v>
      </c>
    </row>
    <row r="52" spans="1:26" s="24" customFormat="1" hidden="1" outlineLevel="2" x14ac:dyDescent="0.25">
      <c r="A52" s="27"/>
      <c r="B52" s="11" t="str">
        <f>CONCATENATE("          ", "6362", " - ", "ADVERTISING EXPENSE")</f>
        <v xml:space="preserve">          6362 - ADVERTISING EXPENSE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1164.77</v>
      </c>
      <c r="Q52" s="2"/>
      <c r="R52" s="7">
        <f t="shared" si="33"/>
        <v>2.8181285238099037E-2</v>
      </c>
      <c r="S52" s="2"/>
      <c r="T52" s="6">
        <v>4000</v>
      </c>
      <c r="U52" s="2"/>
      <c r="V52" s="7">
        <f t="shared" si="34"/>
        <v>5.1748116045150228E-3</v>
      </c>
      <c r="W52" s="2"/>
      <c r="X52" s="6">
        <f t="shared" si="35"/>
        <v>-2835.23</v>
      </c>
      <c r="Y52" s="2"/>
      <c r="Z52" s="7">
        <f t="shared" si="36"/>
        <v>-0.70880750000000003</v>
      </c>
    </row>
    <row r="53" spans="1:26" s="26" customFormat="1" outlineLevel="1" collapsed="1" x14ac:dyDescent="0.25">
      <c r="A53" s="25"/>
      <c r="B53" s="12" t="str">
        <f>CONCATENATE("     ","Discounts and Markdowns                           ")</f>
        <v xml:space="preserve">     Discounts and Markdowns                           </v>
      </c>
      <c r="C53" s="12"/>
      <c r="D53" s="1">
        <f>SUM(OSRRefD22_3x_0)</f>
        <v>7.99</v>
      </c>
      <c r="E53" s="1"/>
      <c r="F53" s="5">
        <f t="shared" si="29"/>
        <v>1.3060784137440644E-3</v>
      </c>
      <c r="G53" s="1"/>
      <c r="H53" s="1">
        <f>SUM(OSRRefH22_3x_0)</f>
        <v>100</v>
      </c>
      <c r="I53" s="1"/>
      <c r="J53" s="5">
        <f t="shared" si="30"/>
        <v>0</v>
      </c>
      <c r="K53" s="1"/>
      <c r="L53" s="1">
        <f t="shared" si="31"/>
        <v>-92.01</v>
      </c>
      <c r="M53" s="1"/>
      <c r="N53" s="5">
        <f t="shared" si="32"/>
        <v>-0.92010000000000003</v>
      </c>
      <c r="O53" s="12"/>
      <c r="P53" s="1">
        <f>SUM(OSRRefP22_3x_0)</f>
        <v>563.11</v>
      </c>
      <c r="Q53" s="1"/>
      <c r="R53" s="5">
        <f t="shared" si="33"/>
        <v>1.3624289370799342E-2</v>
      </c>
      <c r="S53" s="1"/>
      <c r="T53" s="1">
        <f>SUM(OSRRefT22_3x_0)</f>
        <v>1200</v>
      </c>
      <c r="U53" s="1"/>
      <c r="V53" s="5">
        <f t="shared" si="34"/>
        <v>1.552443481354507E-3</v>
      </c>
      <c r="W53" s="1"/>
      <c r="X53" s="1">
        <f t="shared" si="35"/>
        <v>-636.89</v>
      </c>
      <c r="Y53" s="1"/>
      <c r="Z53" s="5">
        <f t="shared" si="36"/>
        <v>-0.53074166666666667</v>
      </c>
    </row>
    <row r="54" spans="1:26" s="24" customFormat="1" hidden="1" outlineLevel="2" x14ac:dyDescent="0.25">
      <c r="A54" s="27"/>
      <c r="B54" s="11" t="str">
        <f>CONCATENATE("          ", "6382", " - ", "DISCOUNTS/MARK DOWNS")</f>
        <v xml:space="preserve">          6382 - DISCOUNTS/MARK DOWNS</v>
      </c>
      <c r="C54" s="11"/>
      <c r="D54" s="6">
        <v>7.99</v>
      </c>
      <c r="E54" s="2"/>
      <c r="F54" s="7">
        <f t="shared" si="29"/>
        <v>1.3060784137440644E-3</v>
      </c>
      <c r="G54" s="2"/>
      <c r="H54" s="6">
        <v>100</v>
      </c>
      <c r="I54" s="2"/>
      <c r="J54" s="7">
        <f t="shared" si="30"/>
        <v>0</v>
      </c>
      <c r="K54" s="2"/>
      <c r="L54" s="6">
        <f t="shared" si="31"/>
        <v>-92.01</v>
      </c>
      <c r="M54" s="2"/>
      <c r="N54" s="7">
        <f t="shared" si="32"/>
        <v>-0.92010000000000003</v>
      </c>
      <c r="O54" s="11"/>
      <c r="P54" s="6">
        <v>563.11</v>
      </c>
      <c r="Q54" s="2"/>
      <c r="R54" s="7">
        <f t="shared" si="33"/>
        <v>1.3624289370799342E-2</v>
      </c>
      <c r="S54" s="2"/>
      <c r="T54" s="6">
        <v>1200</v>
      </c>
      <c r="U54" s="2"/>
      <c r="V54" s="7">
        <f t="shared" si="34"/>
        <v>1.552443481354507E-3</v>
      </c>
      <c r="W54" s="2"/>
      <c r="X54" s="6">
        <f t="shared" si="35"/>
        <v>-636.89</v>
      </c>
      <c r="Y54" s="2"/>
      <c r="Z54" s="7">
        <f t="shared" si="36"/>
        <v>-0.53074166666666667</v>
      </c>
    </row>
    <row r="55" spans="1:26" s="26" customFormat="1" outlineLevel="1" collapsed="1" x14ac:dyDescent="0.25">
      <c r="A55" s="25"/>
      <c r="B55" s="12" t="str">
        <f>CONCATENATE("     ","Freight out/Postage                               ")</f>
        <v xml:space="preserve">     Freight out/Postage                               </v>
      </c>
      <c r="C55" s="12"/>
      <c r="D55" s="1">
        <f>SUM(OSRRefD22_4x_0)</f>
        <v>18433.239999999998</v>
      </c>
      <c r="E55" s="1"/>
      <c r="F55" s="5">
        <f t="shared" si="29"/>
        <v>3.01317357438844</v>
      </c>
      <c r="G55" s="1"/>
      <c r="H55" s="1">
        <f>SUM(OSRRefH22_4x_0)</f>
        <v>-1000</v>
      </c>
      <c r="I55" s="1"/>
      <c r="J55" s="5">
        <f t="shared" si="30"/>
        <v>0</v>
      </c>
      <c r="K55" s="1"/>
      <c r="L55" s="1">
        <f t="shared" si="31"/>
        <v>19433.239999999998</v>
      </c>
      <c r="M55" s="1"/>
      <c r="N55" s="5">
        <f t="shared" si="32"/>
        <v>-19.433239999999998</v>
      </c>
      <c r="O55" s="12"/>
      <c r="P55" s="1">
        <f>SUM(OSRRefP22_4x_0)</f>
        <v>6157.2299999999959</v>
      </c>
      <c r="Q55" s="1"/>
      <c r="R55" s="5">
        <f t="shared" si="33"/>
        <v>0.14897246229434175</v>
      </c>
      <c r="S55" s="1"/>
      <c r="T55" s="1">
        <f>SUM(OSRRefT22_4x_0)</f>
        <v>-81000</v>
      </c>
      <c r="U55" s="1"/>
      <c r="V55" s="5">
        <f t="shared" si="34"/>
        <v>-0.10478993499142922</v>
      </c>
      <c r="W55" s="1"/>
      <c r="X55" s="1">
        <f t="shared" si="35"/>
        <v>87157.23</v>
      </c>
      <c r="Y55" s="1"/>
      <c r="Z55" s="5">
        <f t="shared" si="36"/>
        <v>-1.0760151851851851</v>
      </c>
    </row>
    <row r="56" spans="1:26" s="24" customFormat="1" hidden="1" outlineLevel="2" x14ac:dyDescent="0.25">
      <c r="A56" s="27"/>
      <c r="B56" s="11" t="str">
        <f>CONCATENATE("          ", "6305", " - ", "FREIGHT OUT")</f>
        <v xml:space="preserve">          6305 - FREIGHT OUT</v>
      </c>
      <c r="C56" s="11"/>
      <c r="D56" s="6">
        <v>26023.289999999997</v>
      </c>
      <c r="E56" s="2"/>
      <c r="F56" s="7">
        <f t="shared" si="29"/>
        <v>4.2538745085859535</v>
      </c>
      <c r="G56" s="2"/>
      <c r="H56" s="6">
        <v>-1000</v>
      </c>
      <c r="I56" s="2"/>
      <c r="J56" s="7">
        <f t="shared" si="30"/>
        <v>0</v>
      </c>
      <c r="K56" s="2"/>
      <c r="L56" s="6">
        <f t="shared" si="31"/>
        <v>27023.289999999997</v>
      </c>
      <c r="M56" s="2"/>
      <c r="N56" s="7">
        <f t="shared" si="32"/>
        <v>-27.023289999999996</v>
      </c>
      <c r="O56" s="11"/>
      <c r="P56" s="6">
        <v>71927.3</v>
      </c>
      <c r="Q56" s="2"/>
      <c r="R56" s="7">
        <f t="shared" si="33"/>
        <v>1.7402609594223075</v>
      </c>
      <c r="S56" s="2"/>
      <c r="T56" s="6">
        <v>-81000</v>
      </c>
      <c r="U56" s="2"/>
      <c r="V56" s="7">
        <f t="shared" si="34"/>
        <v>-0.10478993499142922</v>
      </c>
      <c r="W56" s="2"/>
      <c r="X56" s="6">
        <f t="shared" si="35"/>
        <v>152927.29999999999</v>
      </c>
      <c r="Y56" s="2"/>
      <c r="Z56" s="7">
        <f t="shared" si="36"/>
        <v>-1.8879913580246912</v>
      </c>
    </row>
    <row r="57" spans="1:26" s="24" customFormat="1" hidden="1" outlineLevel="2" x14ac:dyDescent="0.25">
      <c r="A57" s="27"/>
      <c r="B57" s="11" t="str">
        <f>CONCATENATE("          ", "6307", " - ", "POSTAGE")</f>
        <v xml:space="preserve">          6307 - POSTAGE</v>
      </c>
      <c r="C57" s="11"/>
      <c r="D57" s="6">
        <v>-7590.05</v>
      </c>
      <c r="E57" s="2"/>
      <c r="F57" s="7">
        <f t="shared" si="29"/>
        <v>-1.2407009341975139</v>
      </c>
      <c r="G57" s="2"/>
      <c r="H57" s="6"/>
      <c r="I57" s="2"/>
      <c r="J57" s="7">
        <f t="shared" si="30"/>
        <v>0</v>
      </c>
      <c r="K57" s="2"/>
      <c r="L57" s="6">
        <f t="shared" si="31"/>
        <v>-7590.05</v>
      </c>
      <c r="M57" s="2"/>
      <c r="N57" s="7">
        <f t="shared" si="32"/>
        <v>0</v>
      </c>
      <c r="O57" s="11"/>
      <c r="P57" s="6">
        <v>-65770.070000000007</v>
      </c>
      <c r="Q57" s="2"/>
      <c r="R57" s="7">
        <f t="shared" si="33"/>
        <v>-1.5912884971279657</v>
      </c>
      <c r="S57" s="2"/>
      <c r="T57" s="6"/>
      <c r="U57" s="2"/>
      <c r="V57" s="7">
        <f t="shared" si="34"/>
        <v>0</v>
      </c>
      <c r="W57" s="2"/>
      <c r="X57" s="6">
        <f t="shared" si="35"/>
        <v>-65770.070000000007</v>
      </c>
      <c r="Y57" s="2"/>
      <c r="Z57" s="7">
        <f t="shared" si="36"/>
        <v>0</v>
      </c>
    </row>
    <row r="58" spans="1:26" s="26" customFormat="1" outlineLevel="1" collapsed="1" x14ac:dyDescent="0.25">
      <c r="A58" s="25"/>
      <c r="B58" s="12" t="str">
        <f>CONCATENATE("     ","General                                           ")</f>
        <v xml:space="preserve">     General                                           </v>
      </c>
      <c r="C58" s="12"/>
      <c r="D58" s="1">
        <f>SUM(OSRRefD22_5x_0)</f>
        <v>0</v>
      </c>
      <c r="E58" s="1"/>
      <c r="F58" s="5">
        <f t="shared" ref="F58:F63" si="37">IF(D$12=0,0,D58/D$12)</f>
        <v>0</v>
      </c>
      <c r="G58" s="1"/>
      <c r="H58" s="1">
        <f>SUM(OSRRefH22_5x_0)</f>
        <v>100</v>
      </c>
      <c r="I58" s="1"/>
      <c r="J58" s="5">
        <f t="shared" ref="J58:J63" si="38">IF(H$12=0,0,H58/H$12)</f>
        <v>0</v>
      </c>
      <c r="K58" s="1"/>
      <c r="L58" s="1">
        <f t="shared" ref="L58:L63" si="39">+D58-H58</f>
        <v>-100</v>
      </c>
      <c r="M58" s="1"/>
      <c r="N58" s="5">
        <f t="shared" ref="N58:N63" si="40">IF(H58=0,0,L58/H58)</f>
        <v>-1</v>
      </c>
      <c r="O58" s="12"/>
      <c r="P58" s="1">
        <f>SUM(OSRRefP22_5x_0)</f>
        <v>80.17</v>
      </c>
      <c r="Q58" s="1"/>
      <c r="R58" s="5">
        <f t="shared" ref="R58:R63" si="41">IF(P$12=0,0,P58/P$12)</f>
        <v>1.9396907866260293E-3</v>
      </c>
      <c r="S58" s="1"/>
      <c r="T58" s="1">
        <f>SUM(OSRRefT22_5x_0)</f>
        <v>1100</v>
      </c>
      <c r="U58" s="1"/>
      <c r="V58" s="5">
        <f t="shared" ref="V58:V63" si="42">IF(T$12=0,0,T58/T$12)</f>
        <v>1.4230731912416314E-3</v>
      </c>
      <c r="W58" s="1"/>
      <c r="X58" s="1">
        <f t="shared" ref="X58:X63" si="43">+P58-T58</f>
        <v>-1019.83</v>
      </c>
      <c r="Y58" s="1"/>
      <c r="Z58" s="5">
        <f t="shared" ref="Z58:Z63" si="44">IF(T58=0,0,X58/T58)</f>
        <v>-0.92711818181818184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7"/>
        <v>0</v>
      </c>
      <c r="G59" s="2"/>
      <c r="H59" s="6">
        <v>100</v>
      </c>
      <c r="I59" s="2"/>
      <c r="J59" s="7">
        <f t="shared" si="38"/>
        <v>0</v>
      </c>
      <c r="K59" s="2"/>
      <c r="L59" s="6">
        <f t="shared" si="39"/>
        <v>-100</v>
      </c>
      <c r="M59" s="2"/>
      <c r="N59" s="7">
        <f t="shared" si="40"/>
        <v>-1</v>
      </c>
      <c r="O59" s="11"/>
      <c r="P59" s="6">
        <v>80.17</v>
      </c>
      <c r="Q59" s="2"/>
      <c r="R59" s="7">
        <f t="shared" si="41"/>
        <v>1.9396907866260293E-3</v>
      </c>
      <c r="S59" s="2"/>
      <c r="T59" s="6">
        <v>1100</v>
      </c>
      <c r="U59" s="2"/>
      <c r="V59" s="7">
        <f t="shared" si="42"/>
        <v>1.4230731912416314E-3</v>
      </c>
      <c r="W59" s="2"/>
      <c r="X59" s="6">
        <f t="shared" si="43"/>
        <v>-1019.83</v>
      </c>
      <c r="Y59" s="2"/>
      <c r="Z59" s="7">
        <f t="shared" si="44"/>
        <v>-0.92711818181818184</v>
      </c>
    </row>
    <row r="60" spans="1:26" s="26" customFormat="1" outlineLevel="1" collapsed="1" x14ac:dyDescent="0.25">
      <c r="A60" s="25"/>
      <c r="B60" s="12" t="str">
        <f>CONCATENATE("     ","Inventory Adjustment                              ")</f>
        <v xml:space="preserve">     Inventory Adjustment                              </v>
      </c>
      <c r="C60" s="12"/>
      <c r="D60" s="1">
        <f>SUM(OSRRefD22_6x_0)</f>
        <v>-631</v>
      </c>
      <c r="E60" s="1"/>
      <c r="F60" s="5">
        <f t="shared" si="37"/>
        <v>-0.10314586721808569</v>
      </c>
      <c r="G60" s="1"/>
      <c r="H60" s="1">
        <f>SUM(OSRRefH22_6x_0)</f>
        <v>100</v>
      </c>
      <c r="I60" s="1"/>
      <c r="J60" s="5">
        <f t="shared" si="38"/>
        <v>0</v>
      </c>
      <c r="K60" s="1"/>
      <c r="L60" s="1">
        <f t="shared" si="39"/>
        <v>-731</v>
      </c>
      <c r="M60" s="1"/>
      <c r="N60" s="5">
        <f t="shared" si="40"/>
        <v>-7.31</v>
      </c>
      <c r="O60" s="12"/>
      <c r="P60" s="1">
        <f>SUM(OSRRefP22_6x_0)</f>
        <v>369</v>
      </c>
      <c r="Q60" s="1"/>
      <c r="R60" s="5">
        <f t="shared" si="41"/>
        <v>8.927852067668763E-3</v>
      </c>
      <c r="S60" s="1"/>
      <c r="T60" s="1">
        <f>SUM(OSRRefT22_6x_0)</f>
        <v>1100</v>
      </c>
      <c r="U60" s="1"/>
      <c r="V60" s="5">
        <f t="shared" si="42"/>
        <v>1.4230731912416314E-3</v>
      </c>
      <c r="W60" s="1"/>
      <c r="X60" s="1">
        <f t="shared" si="43"/>
        <v>-731</v>
      </c>
      <c r="Y60" s="1"/>
      <c r="Z60" s="5">
        <f t="shared" si="44"/>
        <v>-0.66454545454545455</v>
      </c>
    </row>
    <row r="61" spans="1:26" s="24" customFormat="1" hidden="1" outlineLevel="2" x14ac:dyDescent="0.25">
      <c r="A61" s="27"/>
      <c r="B61" s="11" t="str">
        <f>CONCATENATE("          ", "6408", " - ", "INVENTORY ADJUSTMENT")</f>
        <v xml:space="preserve">          6408 - INVENTORY ADJUSTMENT</v>
      </c>
      <c r="C61" s="11"/>
      <c r="D61" s="6">
        <v>-1000</v>
      </c>
      <c r="E61" s="2"/>
      <c r="F61" s="7">
        <f t="shared" si="37"/>
        <v>-0.16346413188286163</v>
      </c>
      <c r="G61" s="2"/>
      <c r="H61" s="6">
        <v>100</v>
      </c>
      <c r="I61" s="2"/>
      <c r="J61" s="7">
        <f t="shared" si="38"/>
        <v>0</v>
      </c>
      <c r="K61" s="2"/>
      <c r="L61" s="6">
        <f t="shared" si="39"/>
        <v>-1100</v>
      </c>
      <c r="M61" s="2"/>
      <c r="N61" s="7">
        <f t="shared" si="40"/>
        <v>-11</v>
      </c>
      <c r="O61" s="11"/>
      <c r="P61" s="6">
        <v>0</v>
      </c>
      <c r="Q61" s="2"/>
      <c r="R61" s="7">
        <f t="shared" si="41"/>
        <v>0</v>
      </c>
      <c r="S61" s="2"/>
      <c r="T61" s="6">
        <v>1100</v>
      </c>
      <c r="U61" s="2"/>
      <c r="V61" s="7">
        <f t="shared" si="42"/>
        <v>1.4230731912416314E-3</v>
      </c>
      <c r="W61" s="2"/>
      <c r="X61" s="6">
        <f t="shared" si="43"/>
        <v>-1100</v>
      </c>
      <c r="Y61" s="2"/>
      <c r="Z61" s="7">
        <f t="shared" si="44"/>
        <v>-1</v>
      </c>
    </row>
    <row r="62" spans="1:26" s="24" customFormat="1" hidden="1" outlineLevel="2" x14ac:dyDescent="0.25">
      <c r="A62" s="27"/>
      <c r="B62" s="11" t="str">
        <f>CONCATENATE("          ", "7792", " - ", "INV. SHRINKAGE-GRAD MERCH")</f>
        <v xml:space="preserve">          7792 - INV. SHRINKAGE-GRAD MERCH</v>
      </c>
      <c r="C62" s="11"/>
      <c r="D62" s="6">
        <v>495</v>
      </c>
      <c r="E62" s="2"/>
      <c r="F62" s="7">
        <f t="shared" si="37"/>
        <v>8.0914745282016504E-2</v>
      </c>
      <c r="G62" s="2"/>
      <c r="H62" s="6"/>
      <c r="I62" s="2"/>
      <c r="J62" s="7">
        <f t="shared" si="38"/>
        <v>0</v>
      </c>
      <c r="K62" s="2"/>
      <c r="L62" s="6">
        <f t="shared" si="39"/>
        <v>495</v>
      </c>
      <c r="M62" s="2"/>
      <c r="N62" s="7">
        <f t="shared" si="40"/>
        <v>0</v>
      </c>
      <c r="O62" s="11"/>
      <c r="P62" s="6">
        <v>495</v>
      </c>
      <c r="Q62" s="2"/>
      <c r="R62" s="7">
        <f t="shared" si="41"/>
        <v>1.1976386920043464E-2</v>
      </c>
      <c r="S62" s="2"/>
      <c r="T62" s="6"/>
      <c r="U62" s="2"/>
      <c r="V62" s="7">
        <f t="shared" si="42"/>
        <v>0</v>
      </c>
      <c r="W62" s="2"/>
      <c r="X62" s="6">
        <f t="shared" si="43"/>
        <v>495</v>
      </c>
      <c r="Y62" s="2"/>
      <c r="Z62" s="7">
        <f t="shared" si="44"/>
        <v>0</v>
      </c>
    </row>
    <row r="63" spans="1:26" s="24" customFormat="1" hidden="1" outlineLevel="2" x14ac:dyDescent="0.25">
      <c r="A63" s="27"/>
      <c r="B63" s="11" t="str">
        <f>CONCATENATE("          ", "7795", " - ", "INV. SHRINKAGE-CUSTOMER SERVIC")</f>
        <v xml:space="preserve">          7795 - INV. SHRINKAGE-CUSTOMER SERVIC</v>
      </c>
      <c r="C63" s="11"/>
      <c r="D63" s="6">
        <v>-126</v>
      </c>
      <c r="E63" s="2"/>
      <c r="F63" s="7">
        <f t="shared" si="37"/>
        <v>-2.0596480617240565E-2</v>
      </c>
      <c r="G63" s="2"/>
      <c r="H63" s="6"/>
      <c r="I63" s="2"/>
      <c r="J63" s="7">
        <f t="shared" si="38"/>
        <v>0</v>
      </c>
      <c r="K63" s="2"/>
      <c r="L63" s="6">
        <f t="shared" si="39"/>
        <v>-126</v>
      </c>
      <c r="M63" s="2"/>
      <c r="N63" s="7">
        <f t="shared" si="40"/>
        <v>0</v>
      </c>
      <c r="O63" s="11"/>
      <c r="P63" s="6">
        <v>-126</v>
      </c>
      <c r="Q63" s="2"/>
      <c r="R63" s="7">
        <f t="shared" si="41"/>
        <v>-3.0485348523746998E-3</v>
      </c>
      <c r="S63" s="2"/>
      <c r="T63" s="6"/>
      <c r="U63" s="2"/>
      <c r="V63" s="7">
        <f t="shared" si="42"/>
        <v>0</v>
      </c>
      <c r="W63" s="2"/>
      <c r="X63" s="6">
        <f t="shared" si="43"/>
        <v>-126</v>
      </c>
      <c r="Y63" s="2"/>
      <c r="Z63" s="7">
        <f t="shared" si="44"/>
        <v>0</v>
      </c>
    </row>
    <row r="64" spans="1:26" s="26" customFormat="1" outlineLevel="1" collapsed="1" x14ac:dyDescent="0.25">
      <c r="A64" s="25"/>
      <c r="B64" s="12" t="str">
        <f>CONCATENATE("     ","Supplies                                          ")</f>
        <v xml:space="preserve">     Supplies                                          </v>
      </c>
      <c r="C64" s="12"/>
      <c r="D64" s="1">
        <f>SUM(OSRRefD22_7x_0)</f>
        <v>3711.68</v>
      </c>
      <c r="E64" s="1"/>
      <c r="F64" s="5">
        <f t="shared" ref="F64:F66" si="45">IF(D$12=0,0,D64/D$12)</f>
        <v>0.60672654902697976</v>
      </c>
      <c r="G64" s="1"/>
      <c r="H64" s="1">
        <f>SUM(OSRRefH22_7x_0)</f>
        <v>750</v>
      </c>
      <c r="I64" s="1"/>
      <c r="J64" s="5">
        <f t="shared" ref="J64:J66" si="46">IF(H$12=0,0,H64/H$12)</f>
        <v>0</v>
      </c>
      <c r="K64" s="1"/>
      <c r="L64" s="1">
        <f t="shared" ref="L64:L66" si="47">+D64-H64</f>
        <v>2961.68</v>
      </c>
      <c r="M64" s="1"/>
      <c r="N64" s="5">
        <f t="shared" ref="N64:N66" si="48">IF(H64=0,0,L64/H64)</f>
        <v>3.9489066666666663</v>
      </c>
      <c r="O64" s="12"/>
      <c r="P64" s="1">
        <f>SUM(OSRRefP22_7x_0)</f>
        <v>11924.78</v>
      </c>
      <c r="Q64" s="1"/>
      <c r="R64" s="5">
        <f t="shared" ref="R64:R66" si="49">IF(P$12=0,0,P64/P$12)</f>
        <v>0.28851672568968867</v>
      </c>
      <c r="S64" s="1"/>
      <c r="T64" s="1">
        <f>SUM(OSRRefT22_7x_0)</f>
        <v>17750</v>
      </c>
      <c r="U64" s="1"/>
      <c r="V64" s="5">
        <f t="shared" ref="V64:V66" si="50">IF(T$12=0,0,T64/T$12)</f>
        <v>2.2963226495035415E-2</v>
      </c>
      <c r="W64" s="1"/>
      <c r="X64" s="1">
        <f t="shared" ref="X64:X66" si="51">+P64-T64</f>
        <v>-5825.2199999999993</v>
      </c>
      <c r="Y64" s="1"/>
      <c r="Z64" s="5">
        <f t="shared" ref="Z64:Z66" si="52">IF(T64=0,0,X64/T64)</f>
        <v>-0.3281814084507042</v>
      </c>
    </row>
    <row r="65" spans="1:26" s="24" customFormat="1" hidden="1" outlineLevel="2" x14ac:dyDescent="0.25">
      <c r="A65" s="27"/>
      <c r="B65" s="11" t="str">
        <f>CONCATENATE("          ", "6241", " - ", "OFFICE EXPENSE")</f>
        <v xml:space="preserve">          6241 - OFFICE EXPENSE</v>
      </c>
      <c r="C65" s="11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1"/>
      <c r="P65" s="6">
        <v>135.26</v>
      </c>
      <c r="Q65" s="2"/>
      <c r="R65" s="7">
        <f t="shared" si="49"/>
        <v>3.2725779693031894E-3</v>
      </c>
      <c r="S65" s="2"/>
      <c r="T65" s="6"/>
      <c r="U65" s="2"/>
      <c r="V65" s="7">
        <f t="shared" si="50"/>
        <v>0</v>
      </c>
      <c r="W65" s="2"/>
      <c r="X65" s="6">
        <f t="shared" si="51"/>
        <v>135.26</v>
      </c>
      <c r="Y65" s="2"/>
      <c r="Z65" s="7">
        <f t="shared" si="52"/>
        <v>0</v>
      </c>
    </row>
    <row r="66" spans="1:26" s="24" customFormat="1" hidden="1" outlineLevel="2" x14ac:dyDescent="0.25">
      <c r="A66" s="27"/>
      <c r="B66" s="11" t="str">
        <f>CONCATENATE("          ", "6247", " - ", "STORE SUPPLIES")</f>
        <v xml:space="preserve">          6247 - STORE SUPPLIES</v>
      </c>
      <c r="C66" s="11"/>
      <c r="D66" s="6">
        <v>3711.68</v>
      </c>
      <c r="E66" s="2"/>
      <c r="F66" s="7">
        <f t="shared" si="45"/>
        <v>0.60672654902697976</v>
      </c>
      <c r="G66" s="2"/>
      <c r="H66" s="6">
        <v>750</v>
      </c>
      <c r="I66" s="2"/>
      <c r="J66" s="7">
        <f t="shared" si="46"/>
        <v>0</v>
      </c>
      <c r="K66" s="2"/>
      <c r="L66" s="6">
        <f t="shared" si="47"/>
        <v>2961.68</v>
      </c>
      <c r="M66" s="2"/>
      <c r="N66" s="7">
        <f t="shared" si="48"/>
        <v>3.9489066666666663</v>
      </c>
      <c r="O66" s="11"/>
      <c r="P66" s="6">
        <v>11789.52</v>
      </c>
      <c r="Q66" s="2"/>
      <c r="R66" s="7">
        <f t="shared" si="49"/>
        <v>0.28524414772038548</v>
      </c>
      <c r="S66" s="2"/>
      <c r="T66" s="6">
        <v>17750</v>
      </c>
      <c r="U66" s="2"/>
      <c r="V66" s="7">
        <f t="shared" si="50"/>
        <v>2.2963226495035415E-2</v>
      </c>
      <c r="W66" s="2"/>
      <c r="X66" s="6">
        <f t="shared" si="51"/>
        <v>-5960.48</v>
      </c>
      <c r="Y66" s="2"/>
      <c r="Z66" s="7">
        <f t="shared" si="52"/>
        <v>-0.33580169014084504</v>
      </c>
    </row>
    <row r="67" spans="1:26" s="26" customFormat="1" outlineLevel="1" collapsed="1" x14ac:dyDescent="0.25">
      <c r="A67" s="25"/>
      <c r="B67" s="12" t="str">
        <f>CONCATENATE("     ","Telephone/Data Lines                              ")</f>
        <v xml:space="preserve">     Telephone/Data Lines                              </v>
      </c>
      <c r="C67" s="12"/>
      <c r="D67" s="1">
        <f>SUM(OSRRefD22_8x_0)</f>
        <v>72</v>
      </c>
      <c r="E67" s="1"/>
      <c r="F67" s="5">
        <f t="shared" ref="F67:F68" si="53">IF(D$12=0,0,D67/D$12)</f>
        <v>1.1769417495566037E-2</v>
      </c>
      <c r="G67" s="1"/>
      <c r="H67" s="1">
        <f>SUM(OSRRefH22_8x_0)</f>
        <v>0</v>
      </c>
      <c r="I67" s="1"/>
      <c r="J67" s="5">
        <f t="shared" ref="J67:J68" si="54">IF(H$12=0,0,H67/H$12)</f>
        <v>0</v>
      </c>
      <c r="K67" s="1"/>
      <c r="L67" s="1">
        <f t="shared" ref="L67:L68" si="55">+D67-H67</f>
        <v>72</v>
      </c>
      <c r="M67" s="1"/>
      <c r="N67" s="5">
        <f t="shared" ref="N67:N68" si="56">IF(H67=0,0,L67/H67)</f>
        <v>0</v>
      </c>
      <c r="O67" s="12"/>
      <c r="P67" s="1">
        <f>SUM(OSRRefP22_8x_0)</f>
        <v>685.9</v>
      </c>
      <c r="Q67" s="1"/>
      <c r="R67" s="5">
        <f t="shared" ref="R67:R68" si="57">IF(P$12=0,0,P67/P$12)</f>
        <v>1.6595159168601638E-2</v>
      </c>
      <c r="S67" s="1"/>
      <c r="T67" s="1">
        <f>SUM(OSRRefT22_8x_0)</f>
        <v>0</v>
      </c>
      <c r="U67" s="1"/>
      <c r="V67" s="5">
        <f t="shared" ref="V67:V68" si="58">IF(T$12=0,0,T67/T$12)</f>
        <v>0</v>
      </c>
      <c r="W67" s="1"/>
      <c r="X67" s="1">
        <f t="shared" ref="X67:X68" si="59">+P67-T67</f>
        <v>685.9</v>
      </c>
      <c r="Y67" s="1"/>
      <c r="Z67" s="5">
        <f t="shared" ref="Z67:Z68" si="60">IF(T67=0,0,X67/T67)</f>
        <v>0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6">
        <v>72</v>
      </c>
      <c r="E68" s="2"/>
      <c r="F68" s="7">
        <f t="shared" si="53"/>
        <v>1.1769417495566037E-2</v>
      </c>
      <c r="G68" s="2"/>
      <c r="H68" s="6"/>
      <c r="I68" s="2"/>
      <c r="J68" s="7">
        <f t="shared" si="54"/>
        <v>0</v>
      </c>
      <c r="K68" s="2"/>
      <c r="L68" s="6">
        <f t="shared" si="55"/>
        <v>72</v>
      </c>
      <c r="M68" s="2"/>
      <c r="N68" s="7">
        <f t="shared" si="56"/>
        <v>0</v>
      </c>
      <c r="O68" s="11"/>
      <c r="P68" s="6">
        <v>685.9</v>
      </c>
      <c r="Q68" s="2"/>
      <c r="R68" s="7">
        <f t="shared" si="57"/>
        <v>1.6595159168601638E-2</v>
      </c>
      <c r="S68" s="2"/>
      <c r="T68" s="6"/>
      <c r="U68" s="2"/>
      <c r="V68" s="7">
        <f t="shared" si="58"/>
        <v>0</v>
      </c>
      <c r="W68" s="2"/>
      <c r="X68" s="6">
        <f t="shared" si="59"/>
        <v>685.9</v>
      </c>
      <c r="Y68" s="2"/>
      <c r="Z68" s="7">
        <f t="shared" si="60"/>
        <v>0</v>
      </c>
    </row>
    <row r="69" spans="1:26" s="60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8" t="s">
        <v>0</v>
      </c>
      <c r="C70" s="10"/>
      <c r="D70" s="4">
        <f>SUM(OSRRefD25x_0)</f>
        <v>0</v>
      </c>
      <c r="E70" s="4"/>
      <c r="F70" s="13">
        <f t="shared" ref="F70:F75" si="61">IF(D$12=0,0,D70/D$12)</f>
        <v>0</v>
      </c>
      <c r="G70" s="4"/>
      <c r="H70" s="4">
        <f>SUM(OSRRefH25x_0)</f>
        <v>14000</v>
      </c>
      <c r="I70" s="4"/>
      <c r="J70" s="13">
        <f t="shared" ref="J70:J75" si="62">IF(H$12=0,0,H70/H$12)</f>
        <v>0</v>
      </c>
      <c r="K70" s="4"/>
      <c r="L70" s="4">
        <f t="shared" ref="L70:L75" si="63">+D70-H70</f>
        <v>-14000</v>
      </c>
      <c r="M70" s="4"/>
      <c r="N70" s="13">
        <f t="shared" ref="N70:N75" si="64">IF(H70=0,0,L70/H70)</f>
        <v>-1</v>
      </c>
      <c r="O70" s="10"/>
      <c r="P70" s="4">
        <f>SUM(OSRRefP25x_0)</f>
        <v>513349.45</v>
      </c>
      <c r="Q70" s="4"/>
      <c r="R70" s="13">
        <f t="shared" ref="R70:R75" si="65">IF(P$12=0,0,P70/P$12)</f>
        <v>12.420346744225265</v>
      </c>
      <c r="S70" s="4"/>
      <c r="T70" s="4">
        <f>SUM(OSRRefT25x_0)</f>
        <v>165000</v>
      </c>
      <c r="U70" s="4"/>
      <c r="V70" s="13">
        <f t="shared" ref="V70:V75" si="66">IF(T$12=0,0,T70/T$12)</f>
        <v>0.2134609786862447</v>
      </c>
      <c r="W70" s="4"/>
      <c r="X70" s="4">
        <f t="shared" ref="X70:X75" si="67">+P70-T70</f>
        <v>348349.45</v>
      </c>
      <c r="Y70" s="4"/>
      <c r="Z70" s="13">
        <f t="shared" ref="Z70:Z75" si="68">IF(T70=0,0,X70/T70)</f>
        <v>2.111208787878788</v>
      </c>
    </row>
    <row r="71" spans="1:26" s="24" customFormat="1" hidden="1" outlineLevel="1" x14ac:dyDescent="0.25">
      <c r="A71" s="44"/>
      <c r="B71" s="11" t="str">
        <f>CONCATENATE("          ", "4098", " - ", "TAXABLE SALES-GRAD RENTALS")</f>
        <v xml:space="preserve">          4098 - TAXABLE SALES-GRAD RENTALS</v>
      </c>
      <c r="C71" s="11"/>
      <c r="D71" s="2">
        <f t="shared" ref="D71:D75" si="69">0</f>
        <v>0</v>
      </c>
      <c r="E71" s="2"/>
      <c r="F71" s="19">
        <f t="shared" si="61"/>
        <v>0</v>
      </c>
      <c r="G71" s="2"/>
      <c r="H71" s="2"/>
      <c r="I71" s="2"/>
      <c r="J71" s="19">
        <f t="shared" si="62"/>
        <v>0</v>
      </c>
      <c r="K71" s="2"/>
      <c r="L71" s="2">
        <f t="shared" si="63"/>
        <v>0</v>
      </c>
      <c r="M71" s="2"/>
      <c r="N71" s="19">
        <f t="shared" si="64"/>
        <v>0</v>
      </c>
      <c r="O71" s="11"/>
      <c r="P71" s="2">
        <f>--1946.85</f>
        <v>1946.85</v>
      </c>
      <c r="Q71" s="2"/>
      <c r="R71" s="19">
        <f t="shared" si="65"/>
        <v>4.7103492677346696E-2</v>
      </c>
      <c r="S71" s="2"/>
      <c r="T71" s="2"/>
      <c r="U71" s="2"/>
      <c r="V71" s="19">
        <f t="shared" si="66"/>
        <v>0</v>
      </c>
      <c r="W71" s="2"/>
      <c r="X71" s="2">
        <f t="shared" si="67"/>
        <v>1946.85</v>
      </c>
      <c r="Y71" s="2"/>
      <c r="Z71" s="19">
        <f t="shared" si="68"/>
        <v>0</v>
      </c>
    </row>
    <row r="72" spans="1:26" s="24" customFormat="1" hidden="1" outlineLevel="1" x14ac:dyDescent="0.25">
      <c r="A72" s="44"/>
      <c r="B72" s="11" t="str">
        <f>CONCATENATE("          ", "4197", " - ", "NON-TAXABLE SALES-RETURNED CHE")</f>
        <v xml:space="preserve">          4197 - NON-TAXABLE SALES-RETURNED CHE</v>
      </c>
      <c r="C72" s="11"/>
      <c r="D72" s="2">
        <f t="shared" si="69"/>
        <v>0</v>
      </c>
      <c r="E72" s="2"/>
      <c r="F72" s="19">
        <f t="shared" si="61"/>
        <v>0</v>
      </c>
      <c r="G72" s="2"/>
      <c r="H72" s="2"/>
      <c r="I72" s="2"/>
      <c r="J72" s="19">
        <f t="shared" si="62"/>
        <v>0</v>
      </c>
      <c r="K72" s="2"/>
      <c r="L72" s="2">
        <f t="shared" si="63"/>
        <v>0</v>
      </c>
      <c r="M72" s="2"/>
      <c r="N72" s="19">
        <f t="shared" si="64"/>
        <v>0</v>
      </c>
      <c r="O72" s="11"/>
      <c r="P72" s="2">
        <f>--30</f>
        <v>30</v>
      </c>
      <c r="Q72" s="2"/>
      <c r="R72" s="19">
        <f t="shared" si="65"/>
        <v>7.2584163151778562E-4</v>
      </c>
      <c r="S72" s="2"/>
      <c r="T72" s="2"/>
      <c r="U72" s="2"/>
      <c r="V72" s="19">
        <f t="shared" si="66"/>
        <v>0</v>
      </c>
      <c r="W72" s="2"/>
      <c r="X72" s="2">
        <f t="shared" si="67"/>
        <v>30</v>
      </c>
      <c r="Y72" s="2"/>
      <c r="Z72" s="19">
        <f t="shared" si="68"/>
        <v>0</v>
      </c>
    </row>
    <row r="73" spans="1:26" s="24" customFormat="1" hidden="1" outlineLevel="1" x14ac:dyDescent="0.25">
      <c r="A73" s="44"/>
      <c r="B73" s="11" t="str">
        <f>CONCATENATE("          ", "4198", " - ", "NON-TAXABLE SALES-GRAD RENTALS")</f>
        <v xml:space="preserve">          4198 - NON-TAXABLE SALES-GRAD RENTALS</v>
      </c>
      <c r="C73" s="11"/>
      <c r="D73" s="2">
        <f t="shared" si="69"/>
        <v>0</v>
      </c>
      <c r="E73" s="2"/>
      <c r="F73" s="19">
        <f t="shared" si="61"/>
        <v>0</v>
      </c>
      <c r="G73" s="2"/>
      <c r="H73" s="2"/>
      <c r="I73" s="2"/>
      <c r="J73" s="19">
        <f t="shared" si="62"/>
        <v>0</v>
      </c>
      <c r="K73" s="2"/>
      <c r="L73" s="2">
        <f t="shared" si="63"/>
        <v>0</v>
      </c>
      <c r="M73" s="2"/>
      <c r="N73" s="19">
        <f t="shared" si="64"/>
        <v>0</v>
      </c>
      <c r="O73" s="11"/>
      <c r="P73" s="2">
        <f>--163.76</f>
        <v>163.76</v>
      </c>
      <c r="Q73" s="2"/>
      <c r="R73" s="19">
        <f t="shared" si="65"/>
        <v>3.9621275192450855E-3</v>
      </c>
      <c r="S73" s="2"/>
      <c r="T73" s="2"/>
      <c r="U73" s="2"/>
      <c r="V73" s="19">
        <f t="shared" si="66"/>
        <v>0</v>
      </c>
      <c r="W73" s="2"/>
      <c r="X73" s="2">
        <f t="shared" si="67"/>
        <v>163.76</v>
      </c>
      <c r="Y73" s="2"/>
      <c r="Z73" s="19">
        <f t="shared" si="68"/>
        <v>0</v>
      </c>
    </row>
    <row r="74" spans="1:26" s="24" customFormat="1" hidden="1" outlineLevel="1" x14ac:dyDescent="0.25">
      <c r="A74" s="44"/>
      <c r="B74" s="11" t="str">
        <f>CONCATENATE("          ", "9160", " - ", "MISC. INCOME")</f>
        <v xml:space="preserve">          9160 - MISC. INCOME</v>
      </c>
      <c r="C74" s="11"/>
      <c r="D74" s="2">
        <f t="shared" si="69"/>
        <v>0</v>
      </c>
      <c r="E74" s="2"/>
      <c r="F74" s="19">
        <f t="shared" si="61"/>
        <v>0</v>
      </c>
      <c r="G74" s="2"/>
      <c r="H74" s="2">
        <v>14000</v>
      </c>
      <c r="I74" s="2"/>
      <c r="J74" s="19">
        <f t="shared" si="62"/>
        <v>0</v>
      </c>
      <c r="K74" s="2"/>
      <c r="L74" s="2">
        <f t="shared" si="63"/>
        <v>-14000</v>
      </c>
      <c r="M74" s="2"/>
      <c r="N74" s="19">
        <f t="shared" si="64"/>
        <v>-1</v>
      </c>
      <c r="O74" s="11"/>
      <c r="P74" s="2">
        <f>--22475</f>
        <v>22475</v>
      </c>
      <c r="Q74" s="2"/>
      <c r="R74" s="19">
        <f t="shared" si="65"/>
        <v>0.54377635561207438</v>
      </c>
      <c r="S74" s="2"/>
      <c r="T74" s="2">
        <v>165000</v>
      </c>
      <c r="U74" s="2"/>
      <c r="V74" s="19">
        <f t="shared" si="66"/>
        <v>0.2134609786862447</v>
      </c>
      <c r="W74" s="2"/>
      <c r="X74" s="2">
        <f t="shared" si="67"/>
        <v>-142525</v>
      </c>
      <c r="Y74" s="2"/>
      <c r="Z74" s="19">
        <f t="shared" si="68"/>
        <v>-0.86378787878787877</v>
      </c>
    </row>
    <row r="75" spans="1:26" s="24" customFormat="1" hidden="1" outlineLevel="1" x14ac:dyDescent="0.25">
      <c r="A75" s="44"/>
      <c r="B75" s="11" t="str">
        <f>CONCATENATE("          ", "9163", " - ", "MISC. INCOME")</f>
        <v xml:space="preserve">          9163 - MISC. INCOME</v>
      </c>
      <c r="C75" s="11"/>
      <c r="D75" s="2">
        <f t="shared" si="69"/>
        <v>0</v>
      </c>
      <c r="E75" s="2"/>
      <c r="F75" s="19">
        <f t="shared" si="61"/>
        <v>0</v>
      </c>
      <c r="G75" s="2"/>
      <c r="H75" s="2"/>
      <c r="I75" s="2"/>
      <c r="J75" s="19">
        <f t="shared" si="62"/>
        <v>0</v>
      </c>
      <c r="K75" s="2"/>
      <c r="L75" s="2">
        <f t="shared" si="63"/>
        <v>0</v>
      </c>
      <c r="M75" s="2"/>
      <c r="N75" s="19">
        <f t="shared" si="64"/>
        <v>0</v>
      </c>
      <c r="O75" s="11"/>
      <c r="P75" s="2">
        <f>--488733.84</f>
        <v>488733.84</v>
      </c>
      <c r="Q75" s="2"/>
      <c r="R75" s="19">
        <f t="shared" si="65"/>
        <v>11.824778926785081</v>
      </c>
      <c r="S75" s="2"/>
      <c r="T75" s="2"/>
      <c r="U75" s="2"/>
      <c r="V75" s="19">
        <f t="shared" si="66"/>
        <v>0</v>
      </c>
      <c r="W75" s="2"/>
      <c r="X75" s="2">
        <f t="shared" si="67"/>
        <v>488733.84</v>
      </c>
      <c r="Y75" s="2"/>
      <c r="Z75" s="19">
        <f t="shared" si="68"/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2">
        <f>+D28-D30+D70</f>
        <v>-14573.28</v>
      </c>
      <c r="E77" s="14"/>
      <c r="F77" s="20">
        <f>IF(D$12=0,0,D77/D$12)</f>
        <v>-2.3822085638858699</v>
      </c>
      <c r="G77" s="14"/>
      <c r="H77" s="22">
        <f>+H28-H30+H70</f>
        <v>10874.452223884611</v>
      </c>
      <c r="I77" s="14"/>
      <c r="J77" s="20">
        <f>IF(H$12=0,0,H77/H$12)</f>
        <v>0</v>
      </c>
      <c r="K77" s="15"/>
      <c r="L77" s="22">
        <f>+D77-H77</f>
        <v>-25447.73222388461</v>
      </c>
      <c r="M77" s="15"/>
      <c r="N77" s="20">
        <f>IF(H77=0,0,L77/H77)</f>
        <v>-2.3401392272422967</v>
      </c>
      <c r="O77" s="28"/>
      <c r="P77" s="22">
        <f>+P28-P30+P70</f>
        <v>513034.33</v>
      </c>
      <c r="Q77" s="14"/>
      <c r="R77" s="20">
        <f>IF(P$12=0,0,P77/P$12)</f>
        <v>12.412722503727801</v>
      </c>
      <c r="S77" s="14"/>
      <c r="T77" s="22">
        <f>+T28-T30+T70</f>
        <v>608892.73160649999</v>
      </c>
      <c r="U77" s="14"/>
      <c r="V77" s="20">
        <f>IF(T$12=0,0,T77/T$12)</f>
        <v>0.7877262933555419</v>
      </c>
      <c r="W77" s="15"/>
      <c r="X77" s="22">
        <f>+P77-T77</f>
        <v>-95858.401606499974</v>
      </c>
      <c r="Y77" s="15"/>
      <c r="Z77" s="20">
        <f>IF(T77=0,0,X77/T77)</f>
        <v>-0.15743068792032971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>
        <v>2089.12</v>
      </c>
      <c r="E79" s="4"/>
      <c r="F79" s="13">
        <f>IF(D$12=0,0,D79/D$12)</f>
        <v>0.34149618719912384</v>
      </c>
      <c r="G79" s="4"/>
      <c r="H79" s="4">
        <v>10469</v>
      </c>
      <c r="I79" s="4"/>
      <c r="J79" s="13">
        <f>IF(H$12=0,0,H79/H$12)</f>
        <v>0</v>
      </c>
      <c r="K79" s="4"/>
      <c r="L79" s="4">
        <f>+D79-H79</f>
        <v>-8379.880000000001</v>
      </c>
      <c r="M79" s="4"/>
      <c r="N79" s="13">
        <f>IF(H79=0,0,L79/H79)</f>
        <v>-0.8004470341006783</v>
      </c>
      <c r="O79" s="10"/>
      <c r="P79" s="4">
        <v>6259.16</v>
      </c>
      <c r="Q79" s="4"/>
      <c r="R79" s="13">
        <f>IF(P$12=0,0,P79/P$12)</f>
        <v>0.15143863021102877</v>
      </c>
      <c r="S79" s="4"/>
      <c r="T79" s="4">
        <v>100000</v>
      </c>
      <c r="U79" s="4"/>
      <c r="V79" s="13">
        <f>IF(T$12=0,0,T79/T$12)</f>
        <v>0.12937029011287557</v>
      </c>
      <c r="W79" s="4"/>
      <c r="X79" s="4">
        <f>+P79-T79</f>
        <v>-93740.84</v>
      </c>
      <c r="Y79" s="4"/>
      <c r="Z79" s="13">
        <f>IF(T79=0,0,X79/T79)</f>
        <v>-0.93740839999999992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1">
        <f>+D77-D79</f>
        <v>-16662.400000000001</v>
      </c>
      <c r="E81" s="14"/>
      <c r="F81" s="33">
        <f>IF(D$12=0,0,D81/D$12)</f>
        <v>-2.7237047510849939</v>
      </c>
      <c r="G81" s="14"/>
      <c r="H81" s="31">
        <f>+H77-H79</f>
        <v>405.45222388461116</v>
      </c>
      <c r="I81" s="14"/>
      <c r="J81" s="33">
        <f>IF(H$12=0,0,H81/H$12)</f>
        <v>0</v>
      </c>
      <c r="K81" s="15"/>
      <c r="L81" s="31">
        <f>D81-H81</f>
        <v>-17067.852223884613</v>
      </c>
      <c r="M81" s="15"/>
      <c r="N81" s="33">
        <f>IF(H81=0,0,L81/H81)</f>
        <v>-42.095840689585174</v>
      </c>
      <c r="O81" s="28"/>
      <c r="P81" s="31">
        <f>+P77-P79</f>
        <v>506775.17000000004</v>
      </c>
      <c r="Q81" s="14"/>
      <c r="R81" s="33">
        <f>IF(P$12=0,0,P81/P$12)</f>
        <v>12.261283873516774</v>
      </c>
      <c r="S81" s="14"/>
      <c r="T81" s="31">
        <f>+T77-T79</f>
        <v>508892.73160649999</v>
      </c>
      <c r="U81" s="14"/>
      <c r="V81" s="33">
        <f>IF(T$12=0,0,T81/T$12)</f>
        <v>0.6583560032426663</v>
      </c>
      <c r="W81" s="15"/>
      <c r="X81" s="31">
        <f>P81-T81</f>
        <v>-2117.5616064999485</v>
      </c>
      <c r="Y81" s="15"/>
      <c r="Z81" s="33">
        <f>IF(T81=0,0,X81/T81)</f>
        <v>-4.1611158402972588E-3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4">
        <f>SUM(D81:D83)</f>
        <v>-16662.400000000001</v>
      </c>
      <c r="E84" s="14"/>
      <c r="F84" s="35">
        <f>IF(D$12=0,0,D84/D$12)</f>
        <v>-2.7237047510849939</v>
      </c>
      <c r="G84" s="14"/>
      <c r="H84" s="34">
        <f>SUM(H81:H83)</f>
        <v>405.45222388461116</v>
      </c>
      <c r="I84" s="14"/>
      <c r="J84" s="35">
        <f>IF(H$12=0,0,H84/H$12)</f>
        <v>0</v>
      </c>
      <c r="K84" s="15"/>
      <c r="L84" s="34">
        <f>+D84-H84</f>
        <v>-17067.852223884613</v>
      </c>
      <c r="M84" s="15"/>
      <c r="N84" s="35">
        <f>IF(H84=0,0,L84/H84)</f>
        <v>-42.095840689585174</v>
      </c>
      <c r="O84" s="28"/>
      <c r="P84" s="34">
        <f>SUM(P81:P83)</f>
        <v>506775.17000000004</v>
      </c>
      <c r="Q84" s="14"/>
      <c r="R84" s="35">
        <f>IF(P$12=0,0,P84/P$12)</f>
        <v>12.261283873516774</v>
      </c>
      <c r="S84" s="14"/>
      <c r="T84" s="34">
        <f>SUM(T81:T83)</f>
        <v>508892.73160649999</v>
      </c>
      <c r="U84" s="14"/>
      <c r="V84" s="35">
        <f>IF(T$12=0,0,T84/T$12)</f>
        <v>0.6583560032426663</v>
      </c>
      <c r="W84" s="15"/>
      <c r="X84" s="34">
        <f>+P84-T84</f>
        <v>-2117.5616064999485</v>
      </c>
      <c r="Y84" s="15"/>
      <c r="Z84" s="35">
        <f>IF(T84=0,0,X84/T84)</f>
        <v>-4.1611158402972588E-3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5">
        <v>44043.473516238424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62" t="s">
        <v>314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3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7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311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447610.93999999994</v>
      </c>
      <c r="E12" s="4"/>
      <c r="F12" s="13"/>
      <c r="G12" s="4"/>
      <c r="H12" s="4">
        <f>SUM(OSRRefH13x_0)</f>
        <v>451685</v>
      </c>
      <c r="I12" s="4"/>
      <c r="J12" s="13"/>
      <c r="K12" s="4"/>
      <c r="L12" s="4">
        <f t="shared" ref="L12:L38" si="0">+D12-H12</f>
        <v>-4074.0600000000559</v>
      </c>
      <c r="M12" s="4"/>
      <c r="N12" s="13">
        <f t="shared" ref="N12:N38" si="1">IF(H12=0,0,L12/H12)</f>
        <v>-9.0196929275934683E-3</v>
      </c>
      <c r="O12" s="10"/>
      <c r="P12" s="4">
        <f>SUM(OSRRefP13x_0)</f>
        <v>2885090.36</v>
      </c>
      <c r="Q12" s="4"/>
      <c r="R12" s="13"/>
      <c r="S12" s="4"/>
      <c r="T12" s="4">
        <f>SUM(OSRRefT13x_0)</f>
        <v>2904450</v>
      </c>
      <c r="U12" s="4"/>
      <c r="V12" s="13"/>
      <c r="W12" s="4"/>
      <c r="X12" s="4">
        <f t="shared" ref="X12:X38" si="2">+P12-T12</f>
        <v>-19359.64000000013</v>
      </c>
      <c r="Y12" s="4"/>
      <c r="Z12" s="13">
        <f t="shared" ref="Z12:Z38" si="3">IF(T12=0,0,X12/T12)</f>
        <v>-6.6655098211365772E-3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397483</v>
      </c>
      <c r="I13" s="2"/>
      <c r="J13" s="19"/>
      <c r="K13" s="2"/>
      <c r="L13" s="2">
        <f t="shared" si="0"/>
        <v>-397483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2555915</v>
      </c>
      <c r="U13" s="2"/>
      <c r="V13" s="19"/>
      <c r="W13" s="2"/>
      <c r="X13" s="2">
        <f t="shared" si="2"/>
        <v>-2555915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--1708.99</f>
        <v>1708.99</v>
      </c>
      <c r="E14" s="2"/>
      <c r="F14" s="19"/>
      <c r="G14" s="2"/>
      <c r="H14" s="2"/>
      <c r="I14" s="2"/>
      <c r="J14" s="19"/>
      <c r="K14" s="2"/>
      <c r="L14" s="2">
        <f t="shared" si="0"/>
        <v>1708.99</v>
      </c>
      <c r="M14" s="2"/>
      <c r="N14" s="19">
        <f t="shared" si="1"/>
        <v>0</v>
      </c>
      <c r="O14" s="11"/>
      <c r="P14" s="2">
        <f>--314869.02</f>
        <v>314869.02</v>
      </c>
      <c r="Q14" s="2"/>
      <c r="R14" s="19"/>
      <c r="S14" s="2"/>
      <c r="T14" s="2"/>
      <c r="U14" s="2"/>
      <c r="V14" s="19"/>
      <c r="W14" s="2"/>
      <c r="X14" s="2">
        <f t="shared" si="2"/>
        <v>314869.02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--391247.66</f>
        <v>391247.66</v>
      </c>
      <c r="E15" s="2"/>
      <c r="F15" s="19"/>
      <c r="G15" s="2"/>
      <c r="H15" s="2"/>
      <c r="I15" s="2"/>
      <c r="J15" s="19"/>
      <c r="K15" s="2"/>
      <c r="L15" s="2">
        <f t="shared" si="0"/>
        <v>391247.66</v>
      </c>
      <c r="M15" s="2"/>
      <c r="N15" s="19">
        <f t="shared" si="1"/>
        <v>0</v>
      </c>
      <c r="O15" s="11"/>
      <c r="P15" s="2">
        <f>--2373486.44</f>
        <v>2373486.44</v>
      </c>
      <c r="Q15" s="2"/>
      <c r="R15" s="19"/>
      <c r="S15" s="2"/>
      <c r="T15" s="2"/>
      <c r="U15" s="2"/>
      <c r="V15" s="19"/>
      <c r="W15" s="2"/>
      <c r="X15" s="2">
        <f t="shared" si="2"/>
        <v>2373486.44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--32731.49</f>
        <v>32731.49</v>
      </c>
      <c r="E16" s="2"/>
      <c r="F16" s="19"/>
      <c r="G16" s="2"/>
      <c r="H16" s="2"/>
      <c r="I16" s="2"/>
      <c r="J16" s="19"/>
      <c r="K16" s="2"/>
      <c r="L16" s="2">
        <f t="shared" si="0"/>
        <v>32731.49</v>
      </c>
      <c r="M16" s="2"/>
      <c r="N16" s="19">
        <f t="shared" si="1"/>
        <v>0</v>
      </c>
      <c r="O16" s="11"/>
      <c r="P16" s="2">
        <f>--138235.56</f>
        <v>138235.56</v>
      </c>
      <c r="Q16" s="2"/>
      <c r="R16" s="19"/>
      <c r="S16" s="2"/>
      <c r="T16" s="2"/>
      <c r="U16" s="2"/>
      <c r="V16" s="19"/>
      <c r="W16" s="2"/>
      <c r="X16" s="2">
        <f t="shared" si="2"/>
        <v>138235.56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--4587.93</f>
        <v>4587.93</v>
      </c>
      <c r="Q18" s="2"/>
      <c r="R18" s="19"/>
      <c r="S18" s="2"/>
      <c r="T18" s="2"/>
      <c r="U18" s="2"/>
      <c r="V18" s="19"/>
      <c r="W18" s="2"/>
      <c r="X18" s="2">
        <f t="shared" si="2"/>
        <v>4587.93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--114.95</f>
        <v>114.95</v>
      </c>
      <c r="E19" s="2"/>
      <c r="F19" s="19"/>
      <c r="G19" s="2"/>
      <c r="H19" s="2"/>
      <c r="I19" s="2"/>
      <c r="J19" s="19"/>
      <c r="K19" s="2"/>
      <c r="L19" s="2">
        <f t="shared" si="0"/>
        <v>114.95</v>
      </c>
      <c r="M19" s="2"/>
      <c r="N19" s="19">
        <f t="shared" si="1"/>
        <v>0</v>
      </c>
      <c r="O19" s="11"/>
      <c r="P19" s="2">
        <f>--48830.67</f>
        <v>48830.67</v>
      </c>
      <c r="Q19" s="2"/>
      <c r="R19" s="19"/>
      <c r="S19" s="2"/>
      <c r="T19" s="2"/>
      <c r="U19" s="2"/>
      <c r="V19" s="19"/>
      <c r="W19" s="2"/>
      <c r="X19" s="2">
        <f t="shared" si="2"/>
        <v>48830.67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--356</f>
        <v>356</v>
      </c>
      <c r="E20" s="2"/>
      <c r="F20" s="19"/>
      <c r="G20" s="2"/>
      <c r="H20" s="2"/>
      <c r="I20" s="2"/>
      <c r="J20" s="19"/>
      <c r="K20" s="2"/>
      <c r="L20" s="2">
        <f t="shared" si="0"/>
        <v>356</v>
      </c>
      <c r="M20" s="2"/>
      <c r="N20" s="19">
        <f t="shared" si="1"/>
        <v>0</v>
      </c>
      <c r="O20" s="11"/>
      <c r="P20" s="2">
        <f>--3151.75</f>
        <v>3151.75</v>
      </c>
      <c r="Q20" s="2"/>
      <c r="R20" s="19"/>
      <c r="S20" s="2"/>
      <c r="T20" s="2"/>
      <c r="U20" s="2"/>
      <c r="V20" s="19"/>
      <c r="W20" s="2"/>
      <c r="X20" s="2">
        <f t="shared" si="2"/>
        <v>3151.75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54202</v>
      </c>
      <c r="I21" s="2"/>
      <c r="J21" s="19"/>
      <c r="K21" s="2"/>
      <c r="L21" s="2">
        <f t="shared" si="0"/>
        <v>-54202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348535</v>
      </c>
      <c r="U21" s="2"/>
      <c r="V21" s="19"/>
      <c r="W21" s="2"/>
      <c r="X21" s="2">
        <f t="shared" si="2"/>
        <v>-348535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--1267.95</f>
        <v>1267.95</v>
      </c>
      <c r="E22" s="2"/>
      <c r="F22" s="19"/>
      <c r="G22" s="2"/>
      <c r="H22" s="2"/>
      <c r="I22" s="2"/>
      <c r="J22" s="19"/>
      <c r="K22" s="2"/>
      <c r="L22" s="2">
        <f t="shared" si="0"/>
        <v>1267.95</v>
      </c>
      <c r="M22" s="2"/>
      <c r="N22" s="19">
        <f t="shared" si="1"/>
        <v>0</v>
      </c>
      <c r="O22" s="11"/>
      <c r="P22" s="2">
        <f>--3925.74</f>
        <v>3925.74</v>
      </c>
      <c r="Q22" s="2"/>
      <c r="R22" s="19"/>
      <c r="S22" s="2"/>
      <c r="T22" s="2"/>
      <c r="U22" s="2"/>
      <c r="V22" s="19"/>
      <c r="W22" s="2"/>
      <c r="X22" s="2">
        <f t="shared" si="2"/>
        <v>3925.74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--45022.25</f>
        <v>45022.25</v>
      </c>
      <c r="E23" s="2"/>
      <c r="F23" s="19"/>
      <c r="G23" s="2"/>
      <c r="H23" s="2"/>
      <c r="I23" s="2"/>
      <c r="J23" s="19"/>
      <c r="K23" s="2"/>
      <c r="L23" s="2">
        <f t="shared" si="0"/>
        <v>45022.25</v>
      </c>
      <c r="M23" s="2"/>
      <c r="N23" s="19">
        <f t="shared" si="1"/>
        <v>0</v>
      </c>
      <c r="O23" s="11"/>
      <c r="P23" s="2">
        <f>--221223.79</f>
        <v>221223.79</v>
      </c>
      <c r="Q23" s="2"/>
      <c r="R23" s="19"/>
      <c r="S23" s="2"/>
      <c r="T23" s="2"/>
      <c r="U23" s="2"/>
      <c r="V23" s="19"/>
      <c r="W23" s="2"/>
      <c r="X23" s="2">
        <f t="shared" si="2"/>
        <v>221223.79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--1394.82</f>
        <v>1394.82</v>
      </c>
      <c r="E24" s="2"/>
      <c r="F24" s="19"/>
      <c r="G24" s="2"/>
      <c r="H24" s="2"/>
      <c r="I24" s="2"/>
      <c r="J24" s="19"/>
      <c r="K24" s="2"/>
      <c r="L24" s="2">
        <f t="shared" si="0"/>
        <v>1394.82</v>
      </c>
      <c r="M24" s="2"/>
      <c r="N24" s="19">
        <f t="shared" si="1"/>
        <v>0</v>
      </c>
      <c r="O24" s="11"/>
      <c r="P24" s="2">
        <f>--12822.38</f>
        <v>12822.38</v>
      </c>
      <c r="Q24" s="2"/>
      <c r="R24" s="19"/>
      <c r="S24" s="2"/>
      <c r="T24" s="2"/>
      <c r="U24" s="2"/>
      <c r="V24" s="19"/>
      <c r="W24" s="2"/>
      <c r="X24" s="2">
        <f t="shared" si="2"/>
        <v>12822.38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--5267.75</f>
        <v>5267.75</v>
      </c>
      <c r="E26" s="2"/>
      <c r="F26" s="19"/>
      <c r="G26" s="2"/>
      <c r="H26" s="2"/>
      <c r="I26" s="2"/>
      <c r="J26" s="19"/>
      <c r="K26" s="2"/>
      <c r="L26" s="2">
        <f t="shared" si="0"/>
        <v>5267.75</v>
      </c>
      <c r="M26" s="2"/>
      <c r="N26" s="19">
        <f t="shared" si="1"/>
        <v>0</v>
      </c>
      <c r="O26" s="11"/>
      <c r="P26" s="2">
        <f>--25792.1</f>
        <v>25792.1</v>
      </c>
      <c r="Q26" s="2"/>
      <c r="R26" s="19"/>
      <c r="S26" s="2"/>
      <c r="T26" s="2"/>
      <c r="U26" s="2"/>
      <c r="V26" s="19"/>
      <c r="W26" s="2"/>
      <c r="X26" s="2">
        <f t="shared" si="2"/>
        <v>25792.1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--431.97</f>
        <v>431.97</v>
      </c>
      <c r="E27" s="2"/>
      <c r="F27" s="19"/>
      <c r="G27" s="2"/>
      <c r="H27" s="2"/>
      <c r="I27" s="2"/>
      <c r="J27" s="19"/>
      <c r="K27" s="2"/>
      <c r="L27" s="2">
        <f t="shared" si="0"/>
        <v>431.97</v>
      </c>
      <c r="M27" s="2"/>
      <c r="N27" s="19">
        <f t="shared" si="1"/>
        <v>0</v>
      </c>
      <c r="O27" s="11"/>
      <c r="P27" s="2">
        <f>--3358.05</f>
        <v>3358.05</v>
      </c>
      <c r="Q27" s="2"/>
      <c r="R27" s="19"/>
      <c r="S27" s="2"/>
      <c r="T27" s="2"/>
      <c r="U27" s="2"/>
      <c r="V27" s="19"/>
      <c r="W27" s="2"/>
      <c r="X27" s="2">
        <f t="shared" si="2"/>
        <v>3358.05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--343.94</f>
        <v>343.94</v>
      </c>
      <c r="Q28" s="2"/>
      <c r="R28" s="19"/>
      <c r="S28" s="2"/>
      <c r="T28" s="2"/>
      <c r="U28" s="2"/>
      <c r="V28" s="19"/>
      <c r="W28" s="2"/>
      <c r="X28" s="2">
        <f t="shared" si="2"/>
        <v>343.94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-159</f>
        <v>-159</v>
      </c>
      <c r="E29" s="2"/>
      <c r="F29" s="19"/>
      <c r="G29" s="2"/>
      <c r="H29" s="2"/>
      <c r="I29" s="2"/>
      <c r="J29" s="19"/>
      <c r="K29" s="2"/>
      <c r="L29" s="2">
        <f t="shared" si="0"/>
        <v>-159</v>
      </c>
      <c r="M29" s="2"/>
      <c r="N29" s="19">
        <f t="shared" si="1"/>
        <v>0</v>
      </c>
      <c r="O29" s="11"/>
      <c r="P29" s="2">
        <f>-8099.7</f>
        <v>-8099.7</v>
      </c>
      <c r="Q29" s="2"/>
      <c r="R29" s="19"/>
      <c r="S29" s="2"/>
      <c r="T29" s="2"/>
      <c r="U29" s="2"/>
      <c r="V29" s="19"/>
      <c r="W29" s="2"/>
      <c r="X29" s="2">
        <f t="shared" si="2"/>
        <v>-8099.7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-31763.9</f>
        <v>-31763.9</v>
      </c>
      <c r="E30" s="2"/>
      <c r="F30" s="19"/>
      <c r="G30" s="2"/>
      <c r="H30" s="2"/>
      <c r="I30" s="2"/>
      <c r="J30" s="19"/>
      <c r="K30" s="2"/>
      <c r="L30" s="2">
        <f t="shared" si="0"/>
        <v>-31763.9</v>
      </c>
      <c r="M30" s="2"/>
      <c r="N30" s="19">
        <f t="shared" si="1"/>
        <v>0</v>
      </c>
      <c r="O30" s="11"/>
      <c r="P30" s="2">
        <f>-247392.7</f>
        <v>-247392.7</v>
      </c>
      <c r="Q30" s="2"/>
      <c r="R30" s="19"/>
      <c r="S30" s="2"/>
      <c r="T30" s="2"/>
      <c r="U30" s="2"/>
      <c r="V30" s="19"/>
      <c r="W30" s="2"/>
      <c r="X30" s="2">
        <f t="shared" si="2"/>
        <v>-247392.7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-9.99</f>
        <v>-9.99</v>
      </c>
      <c r="E31" s="2"/>
      <c r="F31" s="19"/>
      <c r="G31" s="2"/>
      <c r="H31" s="2"/>
      <c r="I31" s="2"/>
      <c r="J31" s="19"/>
      <c r="K31" s="2"/>
      <c r="L31" s="2">
        <f t="shared" si="0"/>
        <v>-9.99</v>
      </c>
      <c r="M31" s="2"/>
      <c r="N31" s="19">
        <f t="shared" si="1"/>
        <v>0</v>
      </c>
      <c r="O31" s="11"/>
      <c r="P31" s="2">
        <f>-6718.01</f>
        <v>-6718.01</v>
      </c>
      <c r="Q31" s="2"/>
      <c r="R31" s="19"/>
      <c r="S31" s="2"/>
      <c r="T31" s="2"/>
      <c r="U31" s="2"/>
      <c r="V31" s="19"/>
      <c r="W31" s="2"/>
      <c r="X31" s="2">
        <f t="shared" si="2"/>
        <v>-6718.01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8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-805.97</f>
        <v>-805.97</v>
      </c>
      <c r="Q33" s="2"/>
      <c r="R33" s="19"/>
      <c r="S33" s="2"/>
      <c r="T33" s="2"/>
      <c r="U33" s="2"/>
      <c r="V33" s="19"/>
      <c r="W33" s="2"/>
      <c r="X33" s="2">
        <f t="shared" si="2"/>
        <v>-805.97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-3660.86</f>
        <v>-3660.86</v>
      </c>
      <c r="Q34" s="2"/>
      <c r="R34" s="19"/>
      <c r="S34" s="2"/>
      <c r="T34" s="2"/>
      <c r="U34" s="2"/>
      <c r="V34" s="19"/>
      <c r="W34" s="2"/>
      <c r="X34" s="2">
        <f t="shared" si="2"/>
        <v>-3660.86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si="5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-152.99</f>
        <v>-152.99</v>
      </c>
      <c r="Q35" s="2"/>
      <c r="R35" s="19"/>
      <c r="S35" s="2"/>
      <c r="T35" s="2"/>
      <c r="U35" s="2"/>
      <c r="V35" s="19"/>
      <c r="W35" s="2"/>
      <c r="X35" s="2">
        <f t="shared" si="2"/>
        <v>-152.99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5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5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5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325888.92</v>
      </c>
      <c r="E40" s="4"/>
      <c r="F40" s="13">
        <f t="shared" ref="F40:F56" si="6">IF(D$12=0,0,D40/D$12)</f>
        <v>0.72806290212656555</v>
      </c>
      <c r="G40" s="4"/>
      <c r="H40" s="4">
        <f>SUM(OSRRefH16x_0)</f>
        <v>374981</v>
      </c>
      <c r="I40" s="4"/>
      <c r="J40" s="13">
        <f t="shared" ref="J40:J56" si="7">IF(H$12=0,0,H40/H$12)</f>
        <v>0.83018253871614067</v>
      </c>
      <c r="K40" s="4"/>
      <c r="L40" s="4">
        <f t="shared" ref="L40:L56" si="8">+D40-H40</f>
        <v>-49092.080000000016</v>
      </c>
      <c r="M40" s="4"/>
      <c r="N40" s="13">
        <f t="shared" ref="N40:N56" si="9">IF(H40=0,0,L40/H40)</f>
        <v>-0.13091884655489217</v>
      </c>
      <c r="O40" s="10"/>
      <c r="P40" s="4">
        <f>SUM(OSRRefP16x_0)</f>
        <v>2447645.5199999996</v>
      </c>
      <c r="Q40" s="4"/>
      <c r="R40" s="13">
        <f t="shared" ref="R40:R56" si="10">IF(P$12=0,0,P40/P$12)</f>
        <v>0.84837742135743699</v>
      </c>
      <c r="S40" s="4"/>
      <c r="T40" s="4">
        <f>SUM(OSRRefT16x_0)</f>
        <v>2410589</v>
      </c>
      <c r="U40" s="4"/>
      <c r="V40" s="13">
        <f t="shared" ref="V40:V56" si="11">IF(T$12=0,0,T40/T$12)</f>
        <v>0.82996402072681574</v>
      </c>
      <c r="W40" s="4"/>
      <c r="X40" s="4">
        <f t="shared" ref="X40:X56" si="12">+P40-T40</f>
        <v>37056.519999999553</v>
      </c>
      <c r="Y40" s="4"/>
      <c r="Z40" s="13">
        <f t="shared" ref="Z40:Z56" si="13">IF(T40=0,0,X40/T40)</f>
        <v>1.5372392390407304E-2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6"/>
        <v>0</v>
      </c>
      <c r="G41" s="2"/>
      <c r="H41" s="2">
        <v>374981</v>
      </c>
      <c r="I41" s="2"/>
      <c r="J41" s="19">
        <f t="shared" si="7"/>
        <v>0.83018253871614067</v>
      </c>
      <c r="K41" s="2"/>
      <c r="L41" s="2">
        <f t="shared" si="8"/>
        <v>-374981</v>
      </c>
      <c r="M41" s="2"/>
      <c r="N41" s="19">
        <f t="shared" si="9"/>
        <v>-1</v>
      </c>
      <c r="O41" s="11"/>
      <c r="P41" s="2"/>
      <c r="Q41" s="2"/>
      <c r="R41" s="19">
        <f t="shared" si="10"/>
        <v>0</v>
      </c>
      <c r="S41" s="2"/>
      <c r="T41" s="2">
        <v>2410589</v>
      </c>
      <c r="U41" s="2"/>
      <c r="V41" s="19">
        <f t="shared" si="11"/>
        <v>0.82996402072681574</v>
      </c>
      <c r="W41" s="2"/>
      <c r="X41" s="2">
        <f t="shared" si="12"/>
        <v>-2410589</v>
      </c>
      <c r="Y41" s="2"/>
      <c r="Z41" s="19">
        <f t="shared" si="13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-173.28</v>
      </c>
      <c r="E42" s="2"/>
      <c r="F42" s="19">
        <f t="shared" si="6"/>
        <v>-3.8712190546549201E-4</v>
      </c>
      <c r="G42" s="2"/>
      <c r="H42" s="2"/>
      <c r="I42" s="2"/>
      <c r="J42" s="19">
        <f t="shared" si="7"/>
        <v>0</v>
      </c>
      <c r="K42" s="2"/>
      <c r="L42" s="2">
        <f t="shared" si="8"/>
        <v>-173.28</v>
      </c>
      <c r="M42" s="2"/>
      <c r="N42" s="19">
        <f t="shared" si="9"/>
        <v>0</v>
      </c>
      <c r="O42" s="11"/>
      <c r="P42" s="2">
        <v>258288.3</v>
      </c>
      <c r="Q42" s="2"/>
      <c r="R42" s="19">
        <f t="shared" si="10"/>
        <v>8.9525202947196431E-2</v>
      </c>
      <c r="S42" s="2"/>
      <c r="T42" s="2"/>
      <c r="U42" s="2"/>
      <c r="V42" s="19">
        <f t="shared" si="11"/>
        <v>0</v>
      </c>
      <c r="W42" s="2"/>
      <c r="X42" s="2">
        <f t="shared" si="12"/>
        <v>258288.3</v>
      </c>
      <c r="Y42" s="2"/>
      <c r="Z42" s="19">
        <f t="shared" si="13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190200.93</v>
      </c>
      <c r="E43" s="2"/>
      <c r="F43" s="19">
        <f t="shared" si="6"/>
        <v>0.42492466783765387</v>
      </c>
      <c r="G43" s="2"/>
      <c r="H43" s="2"/>
      <c r="I43" s="2"/>
      <c r="J43" s="19">
        <f t="shared" si="7"/>
        <v>0</v>
      </c>
      <c r="K43" s="2"/>
      <c r="L43" s="2">
        <f t="shared" si="8"/>
        <v>190200.93</v>
      </c>
      <c r="M43" s="2"/>
      <c r="N43" s="19">
        <f t="shared" si="9"/>
        <v>0</v>
      </c>
      <c r="O43" s="11"/>
      <c r="P43" s="2">
        <v>1831501.23</v>
      </c>
      <c r="Q43" s="2"/>
      <c r="R43" s="19">
        <f t="shared" si="10"/>
        <v>0.63481589879909339</v>
      </c>
      <c r="S43" s="2"/>
      <c r="T43" s="2"/>
      <c r="U43" s="2"/>
      <c r="V43" s="19">
        <f t="shared" si="11"/>
        <v>0</v>
      </c>
      <c r="W43" s="2"/>
      <c r="X43" s="2">
        <f t="shared" si="12"/>
        <v>1831501.23</v>
      </c>
      <c r="Y43" s="2"/>
      <c r="Z43" s="19">
        <f t="shared" si="13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12873.49</v>
      </c>
      <c r="E44" s="2"/>
      <c r="F44" s="19">
        <f t="shared" si="6"/>
        <v>2.8760445399301459E-2</v>
      </c>
      <c r="G44" s="2"/>
      <c r="H44" s="2"/>
      <c r="I44" s="2"/>
      <c r="J44" s="19">
        <f t="shared" si="7"/>
        <v>0</v>
      </c>
      <c r="K44" s="2"/>
      <c r="L44" s="2">
        <f t="shared" si="8"/>
        <v>12873.49</v>
      </c>
      <c r="M44" s="2"/>
      <c r="N44" s="19">
        <f t="shared" si="9"/>
        <v>0</v>
      </c>
      <c r="O44" s="11"/>
      <c r="P44" s="2">
        <v>107424.25</v>
      </c>
      <c r="Q44" s="2"/>
      <c r="R44" s="19">
        <f t="shared" si="10"/>
        <v>3.7234275740327248E-2</v>
      </c>
      <c r="S44" s="2"/>
      <c r="T44" s="2"/>
      <c r="U44" s="2"/>
      <c r="V44" s="19">
        <f t="shared" si="11"/>
        <v>0</v>
      </c>
      <c r="W44" s="2"/>
      <c r="X44" s="2">
        <f t="shared" si="12"/>
        <v>107424.25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2728</v>
      </c>
      <c r="Q45" s="2"/>
      <c r="R45" s="19">
        <f t="shared" si="10"/>
        <v>9.4555097400831495E-4</v>
      </c>
      <c r="S45" s="2"/>
      <c r="T45" s="2"/>
      <c r="U45" s="2"/>
      <c r="V45" s="19">
        <f t="shared" si="11"/>
        <v>0</v>
      </c>
      <c r="W45" s="2"/>
      <c r="X45" s="2">
        <f t="shared" si="12"/>
        <v>2728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1996.51</v>
      </c>
      <c r="E46" s="2"/>
      <c r="F46" s="19">
        <f t="shared" si="6"/>
        <v>4.4603690874937063E-3</v>
      </c>
      <c r="G46" s="2"/>
      <c r="H46" s="2"/>
      <c r="I46" s="2"/>
      <c r="J46" s="19">
        <f t="shared" si="7"/>
        <v>0</v>
      </c>
      <c r="K46" s="2"/>
      <c r="L46" s="2">
        <f t="shared" si="8"/>
        <v>1996.51</v>
      </c>
      <c r="M46" s="2"/>
      <c r="N46" s="19">
        <f t="shared" si="9"/>
        <v>0</v>
      </c>
      <c r="O46" s="11"/>
      <c r="P46" s="2">
        <v>17324.649999999998</v>
      </c>
      <c r="Q46" s="2"/>
      <c r="R46" s="19">
        <f t="shared" si="10"/>
        <v>6.0048899127027686E-3</v>
      </c>
      <c r="S46" s="2"/>
      <c r="T46" s="2"/>
      <c r="U46" s="2"/>
      <c r="V46" s="19">
        <f t="shared" si="11"/>
        <v>0</v>
      </c>
      <c r="W46" s="2"/>
      <c r="X46" s="2">
        <f t="shared" si="12"/>
        <v>17324.649999999998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127.27</v>
      </c>
      <c r="E47" s="2"/>
      <c r="F47" s="19">
        <f t="shared" si="6"/>
        <v>2.8433174577904645E-4</v>
      </c>
      <c r="G47" s="2"/>
      <c r="H47" s="2"/>
      <c r="I47" s="2"/>
      <c r="J47" s="19">
        <f t="shared" si="7"/>
        <v>0</v>
      </c>
      <c r="K47" s="2"/>
      <c r="L47" s="2">
        <f t="shared" si="8"/>
        <v>127.27</v>
      </c>
      <c r="M47" s="2"/>
      <c r="N47" s="19">
        <f t="shared" si="9"/>
        <v>0</v>
      </c>
      <c r="O47" s="11"/>
      <c r="P47" s="2">
        <v>30010.32</v>
      </c>
      <c r="Q47" s="2"/>
      <c r="R47" s="19">
        <f t="shared" si="10"/>
        <v>1.0401864848350885E-2</v>
      </c>
      <c r="S47" s="2"/>
      <c r="T47" s="2"/>
      <c r="U47" s="2"/>
      <c r="V47" s="19">
        <f t="shared" si="11"/>
        <v>0</v>
      </c>
      <c r="W47" s="2"/>
      <c r="X47" s="2">
        <f t="shared" si="12"/>
        <v>30010.32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95.65</v>
      </c>
      <c r="Q48" s="2"/>
      <c r="R48" s="19">
        <f t="shared" si="10"/>
        <v>3.3153207721369259E-5</v>
      </c>
      <c r="S48" s="2"/>
      <c r="T48" s="2"/>
      <c r="U48" s="2"/>
      <c r="V48" s="19">
        <f t="shared" si="11"/>
        <v>0</v>
      </c>
      <c r="W48" s="2"/>
      <c r="X48" s="2">
        <f t="shared" si="12"/>
        <v>95.65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-205025</v>
      </c>
      <c r="E49" s="2"/>
      <c r="F49" s="19">
        <f t="shared" si="6"/>
        <v>-0.45804287089140411</v>
      </c>
      <c r="G49" s="2"/>
      <c r="H49" s="2"/>
      <c r="I49" s="2"/>
      <c r="J49" s="19">
        <f t="shared" si="7"/>
        <v>0</v>
      </c>
      <c r="K49" s="2"/>
      <c r="L49" s="2">
        <f t="shared" si="8"/>
        <v>-205025</v>
      </c>
      <c r="M49" s="2"/>
      <c r="N49" s="19">
        <f t="shared" si="9"/>
        <v>0</v>
      </c>
      <c r="O49" s="11"/>
      <c r="P49" s="2">
        <v>-2248069</v>
      </c>
      <c r="Q49" s="2"/>
      <c r="R49" s="19">
        <f t="shared" si="10"/>
        <v>-0.77920228467298336</v>
      </c>
      <c r="S49" s="2"/>
      <c r="T49" s="2"/>
      <c r="U49" s="2"/>
      <c r="V49" s="19">
        <f t="shared" si="11"/>
        <v>0</v>
      </c>
      <c r="W49" s="2"/>
      <c r="X49" s="2">
        <f t="shared" si="12"/>
        <v>-2248069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325889</v>
      </c>
      <c r="E50" s="2"/>
      <c r="F50" s="19">
        <f t="shared" si="6"/>
        <v>0.72806308085320715</v>
      </c>
      <c r="G50" s="2"/>
      <c r="H50" s="2"/>
      <c r="I50" s="2"/>
      <c r="J50" s="19">
        <f t="shared" si="7"/>
        <v>0</v>
      </c>
      <c r="K50" s="2"/>
      <c r="L50" s="2">
        <f t="shared" si="8"/>
        <v>325889</v>
      </c>
      <c r="M50" s="2"/>
      <c r="N50" s="19">
        <f t="shared" si="9"/>
        <v>0</v>
      </c>
      <c r="O50" s="11"/>
      <c r="P50" s="2">
        <v>2447643</v>
      </c>
      <c r="Q50" s="2"/>
      <c r="R50" s="19">
        <f t="shared" si="10"/>
        <v>0.84837654790125883</v>
      </c>
      <c r="S50" s="2"/>
      <c r="T50" s="2"/>
      <c r="U50" s="2"/>
      <c r="V50" s="19">
        <f t="shared" si="11"/>
        <v>0</v>
      </c>
      <c r="W50" s="2"/>
      <c r="X50" s="2">
        <f t="shared" si="12"/>
        <v>2447643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"5500", " - ", "FREIGHT-IN")</f>
        <v xml:space="preserve">          5500 - FREIGHT-IN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"5581", " - ", "FREIGHT-IN-ELECTRONICS")</f>
        <v xml:space="preserve">          5581 - FREIGHT-IN-ELECTRONICS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137</v>
      </c>
      <c r="Q52" s="2"/>
      <c r="R52" s="19">
        <f t="shared" si="10"/>
        <v>4.7485514457162448E-5</v>
      </c>
      <c r="S52" s="2"/>
      <c r="T52" s="2"/>
      <c r="U52" s="2"/>
      <c r="V52" s="19">
        <f t="shared" si="11"/>
        <v>0</v>
      </c>
      <c r="W52" s="2"/>
      <c r="X52" s="2">
        <f t="shared" si="12"/>
        <v>137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"5582", " - ", "FREIGHT-IN-COMPUTER HARDWARE")</f>
        <v xml:space="preserve">          5582 - FREIGHT-IN-COMPUTER HARDWARE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154.30000000000001</v>
      </c>
      <c r="Q53" s="2"/>
      <c r="R53" s="19">
        <f t="shared" si="10"/>
        <v>5.3481860443358875E-5</v>
      </c>
      <c r="S53" s="2"/>
      <c r="T53" s="2"/>
      <c r="U53" s="2"/>
      <c r="V53" s="19">
        <f t="shared" si="11"/>
        <v>0</v>
      </c>
      <c r="W53" s="2"/>
      <c r="X53" s="2">
        <f t="shared" si="12"/>
        <v>154.30000000000001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"5583", " - ", "FREIGHT-IN-COMPUTER EQUIPMENT")</f>
        <v xml:space="preserve">          5583 - FREIGHT-IN-COMPUTER EQUIPMENT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96.55</v>
      </c>
      <c r="Q54" s="2"/>
      <c r="R54" s="19">
        <f t="shared" si="10"/>
        <v>3.3465156356489299E-5</v>
      </c>
      <c r="S54" s="2"/>
      <c r="T54" s="2"/>
      <c r="U54" s="2"/>
      <c r="V54" s="19">
        <f t="shared" si="11"/>
        <v>0</v>
      </c>
      <c r="W54" s="2"/>
      <c r="X54" s="2">
        <f t="shared" si="12"/>
        <v>96.55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"5585", " - ", "FREIGHT-IN-SOFTWARE")</f>
        <v xml:space="preserve">          5585 - FREIGHT-IN-SOFTWARE</v>
      </c>
      <c r="C55" s="11"/>
      <c r="D55" s="2"/>
      <c r="E55" s="2"/>
      <c r="F55" s="19">
        <f t="shared" si="6"/>
        <v>0</v>
      </c>
      <c r="G55" s="2"/>
      <c r="H55" s="2"/>
      <c r="I55" s="2"/>
      <c r="J55" s="19">
        <f t="shared" si="7"/>
        <v>0</v>
      </c>
      <c r="K55" s="2"/>
      <c r="L55" s="2">
        <f t="shared" si="8"/>
        <v>0</v>
      </c>
      <c r="M55" s="2"/>
      <c r="N55" s="19">
        <f t="shared" si="9"/>
        <v>0</v>
      </c>
      <c r="O55" s="11"/>
      <c r="P55" s="2">
        <v>10</v>
      </c>
      <c r="Q55" s="2"/>
      <c r="R55" s="19">
        <f t="shared" si="10"/>
        <v>3.4660959457782807E-6</v>
      </c>
      <c r="S55" s="2"/>
      <c r="T55" s="2"/>
      <c r="U55" s="2"/>
      <c r="V55" s="19">
        <f t="shared" si="11"/>
        <v>0</v>
      </c>
      <c r="W55" s="2"/>
      <c r="X55" s="2">
        <f t="shared" si="12"/>
        <v>10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"5586", " - ", "FREIGHT-IN-COMPUTER SUPPLIES")</f>
        <v xml:space="preserve">          5586 - FREIGHT-IN-COMPUTER SUPPLIES</v>
      </c>
      <c r="C56" s="11"/>
      <c r="D56" s="2"/>
      <c r="E56" s="2"/>
      <c r="F56" s="19">
        <f t="shared" si="6"/>
        <v>0</v>
      </c>
      <c r="G56" s="2"/>
      <c r="H56" s="2"/>
      <c r="I56" s="2"/>
      <c r="J56" s="19">
        <f t="shared" si="7"/>
        <v>0</v>
      </c>
      <c r="K56" s="2"/>
      <c r="L56" s="2">
        <f t="shared" si="8"/>
        <v>0</v>
      </c>
      <c r="M56" s="2"/>
      <c r="N56" s="19">
        <f t="shared" si="9"/>
        <v>0</v>
      </c>
      <c r="O56" s="11"/>
      <c r="P56" s="2">
        <v>301.27</v>
      </c>
      <c r="Q56" s="2"/>
      <c r="R56" s="19">
        <f t="shared" si="10"/>
        <v>1.0442307255846226E-4</v>
      </c>
      <c r="S56" s="2"/>
      <c r="T56" s="2"/>
      <c r="U56" s="2"/>
      <c r="V56" s="19">
        <f t="shared" si="11"/>
        <v>0</v>
      </c>
      <c r="W56" s="2"/>
      <c r="X56" s="2">
        <f t="shared" si="12"/>
        <v>301.27</v>
      </c>
      <c r="Y56" s="2"/>
      <c r="Z56" s="19">
        <f t="shared" si="13"/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9" t="s">
        <v>6</v>
      </c>
      <c r="C58" s="29"/>
      <c r="D58" s="22">
        <f>D12-D40</f>
        <v>121722.01999999996</v>
      </c>
      <c r="E58" s="14"/>
      <c r="F58" s="20">
        <f>IF(D$12=0,0,D58/D$12)</f>
        <v>0.2719370978734344</v>
      </c>
      <c r="G58" s="14"/>
      <c r="H58" s="22">
        <f>H12-H40</f>
        <v>76704</v>
      </c>
      <c r="I58" s="14"/>
      <c r="J58" s="20">
        <f>IF(H$12=0,0,H58/H$12)</f>
        <v>0.16981746128385933</v>
      </c>
      <c r="K58" s="15"/>
      <c r="L58" s="22">
        <f>+D58-H58</f>
        <v>45018.01999999996</v>
      </c>
      <c r="M58" s="15"/>
      <c r="N58" s="20">
        <f>IF(H58=0,0,L58/H58)</f>
        <v>0.58690576762619895</v>
      </c>
      <c r="O58" s="28"/>
      <c r="P58" s="22">
        <f>P12-P40</f>
        <v>437444.84000000032</v>
      </c>
      <c r="Q58" s="14"/>
      <c r="R58" s="20">
        <f>IF(P$12=0,0,P58/P$12)</f>
        <v>0.15162257864256298</v>
      </c>
      <c r="S58" s="14"/>
      <c r="T58" s="22">
        <f>T12-T40</f>
        <v>493861</v>
      </c>
      <c r="U58" s="14"/>
      <c r="V58" s="20">
        <f>IF(T$12=0,0,T58/T$12)</f>
        <v>0.17003597927318426</v>
      </c>
      <c r="W58" s="15"/>
      <c r="X58" s="22">
        <f>+P58-T58</f>
        <v>-56416.159999999683</v>
      </c>
      <c r="Y58" s="15"/>
      <c r="Z58" s="20">
        <f>IF(T58=0,0,X58/T58)</f>
        <v>-0.11423489605374727</v>
      </c>
    </row>
    <row r="59" spans="1:26" x14ac:dyDescent="0.2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9</v>
      </c>
      <c r="C60" s="10"/>
      <c r="D60" s="21">
        <f>SUM(OSRRefD22x_0)</f>
        <v>-32410.319999999996</v>
      </c>
      <c r="E60" s="21"/>
      <c r="F60" s="32">
        <f t="shared" ref="F60:F71" si="14">IF(D$12=0,0,D60/D$12)</f>
        <v>-7.240734553985656E-2</v>
      </c>
      <c r="G60" s="21"/>
      <c r="H60" s="21">
        <f>SUM(OSRRefH22x_0)</f>
        <v>32944.917547581921</v>
      </c>
      <c r="I60" s="21"/>
      <c r="J60" s="32">
        <f t="shared" ref="J60:J71" si="15">IF(H$12=0,0,H60/H$12)</f>
        <v>7.2937816282546294E-2</v>
      </c>
      <c r="K60" s="4"/>
      <c r="L60" s="21">
        <f t="shared" ref="L60:L71" si="16">+D60-H60</f>
        <v>-65355.237547581914</v>
      </c>
      <c r="M60" s="4"/>
      <c r="N60" s="32">
        <f t="shared" ref="N60:N71" si="17">IF(H60=0,0,L60/H60)</f>
        <v>-1.983772988752823</v>
      </c>
      <c r="O60" s="10"/>
      <c r="P60" s="21">
        <f>SUM(OSRRefP22x_0)</f>
        <v>177712.97000000006</v>
      </c>
      <c r="Q60" s="21"/>
      <c r="R60" s="32">
        <f t="shared" ref="R60:R71" si="18">IF(P$12=0,0,P60/P$12)</f>
        <v>6.1597020482921747E-2</v>
      </c>
      <c r="S60" s="21"/>
      <c r="T60" s="21">
        <f>SUM(OSRRefT22x_0)</f>
        <v>218913.67411828501</v>
      </c>
      <c r="U60" s="21"/>
      <c r="V60" s="32">
        <f t="shared" ref="V60:V71" si="19">IF(T$12=0,0,T60/T$12)</f>
        <v>7.5371817080096062E-2</v>
      </c>
      <c r="W60" s="4"/>
      <c r="X60" s="21">
        <f t="shared" ref="X60:X71" si="20">+P60-T60</f>
        <v>-41200.70411828495</v>
      </c>
      <c r="Y60" s="4"/>
      <c r="Z60" s="32">
        <f t="shared" ref="Z60:Z71" si="21">IF(T60=0,0,X60/T60)</f>
        <v>-0.18820525617793565</v>
      </c>
    </row>
    <row r="61" spans="1:26" s="26" customFormat="1" outlineLevel="1" collapsed="1" x14ac:dyDescent="0.25">
      <c r="A61" s="25"/>
      <c r="B61" s="12" t="str">
        <f>CONCATENATE("     ","*Benefits                                         ")</f>
        <v xml:space="preserve">     *Benefits                                         </v>
      </c>
      <c r="C61" s="12"/>
      <c r="D61" s="1">
        <f>SUM(OSRRefD22_0x_0)</f>
        <v>2225.61</v>
      </c>
      <c r="E61" s="1"/>
      <c r="F61" s="5">
        <f t="shared" si="14"/>
        <v>4.9721975070582507E-3</v>
      </c>
      <c r="G61" s="1"/>
      <c r="H61" s="1">
        <f>SUM(OSRRefH22_0x_0)</f>
        <v>2682.5156568126918</v>
      </c>
      <c r="I61" s="1"/>
      <c r="J61" s="5">
        <f t="shared" si="15"/>
        <v>5.9389079929877938E-3</v>
      </c>
      <c r="K61" s="1"/>
      <c r="L61" s="1">
        <f t="shared" si="16"/>
        <v>-456.90565681269163</v>
      </c>
      <c r="M61" s="1"/>
      <c r="N61" s="5">
        <f t="shared" si="17"/>
        <v>-0.17032730290028475</v>
      </c>
      <c r="O61" s="12"/>
      <c r="P61" s="1">
        <f>SUM(OSRRefP22_0x_0)</f>
        <v>29115.980000000003</v>
      </c>
      <c r="Q61" s="1"/>
      <c r="R61" s="5">
        <f t="shared" si="18"/>
        <v>1.0091878023536153E-2</v>
      </c>
      <c r="S61" s="1"/>
      <c r="T61" s="1">
        <f>SUM(OSRRefT22_0x_0)</f>
        <v>31079.920038284996</v>
      </c>
      <c r="U61" s="1"/>
      <c r="V61" s="5">
        <f t="shared" si="19"/>
        <v>1.0700793622987139E-2</v>
      </c>
      <c r="W61" s="1"/>
      <c r="X61" s="1">
        <f t="shared" si="20"/>
        <v>-1963.9400382849926</v>
      </c>
      <c r="Y61" s="1"/>
      <c r="Z61" s="5">
        <f t="shared" si="21"/>
        <v>-6.3189996495028419E-2</v>
      </c>
    </row>
    <row r="62" spans="1:26" s="24" customFormat="1" hidden="1" outlineLevel="2" x14ac:dyDescent="0.25">
      <c r="A62" s="27"/>
      <c r="B62" s="11" t="str">
        <f>CONCATENATE("          ", "6111", " - ", "F.I.C.A.")</f>
        <v xml:space="preserve">          6111 - F.I.C.A.</v>
      </c>
      <c r="C62" s="11"/>
      <c r="D62" s="6">
        <v>424.75</v>
      </c>
      <c r="E62" s="2"/>
      <c r="F62" s="7">
        <f t="shared" si="14"/>
        <v>9.4892676215643887E-4</v>
      </c>
      <c r="G62" s="2"/>
      <c r="H62" s="6">
        <v>676.594962981923</v>
      </c>
      <c r="I62" s="2"/>
      <c r="J62" s="7">
        <f t="shared" si="15"/>
        <v>1.4979354261972901E-3</v>
      </c>
      <c r="K62" s="2"/>
      <c r="L62" s="6">
        <f t="shared" si="16"/>
        <v>-251.844962981923</v>
      </c>
      <c r="M62" s="2"/>
      <c r="N62" s="7">
        <f t="shared" si="17"/>
        <v>-0.37222411747196482</v>
      </c>
      <c r="O62" s="11"/>
      <c r="P62" s="6">
        <v>8039.26</v>
      </c>
      <c r="Q62" s="2"/>
      <c r="R62" s="7">
        <f t="shared" si="18"/>
        <v>2.7864846493057503E-3</v>
      </c>
      <c r="S62" s="2"/>
      <c r="T62" s="6">
        <v>5764.1044862849994</v>
      </c>
      <c r="U62" s="2"/>
      <c r="V62" s="7">
        <f t="shared" si="19"/>
        <v>1.9845769375561638E-3</v>
      </c>
      <c r="W62" s="2"/>
      <c r="X62" s="6">
        <f t="shared" si="20"/>
        <v>2275.1555137150008</v>
      </c>
      <c r="Y62" s="2"/>
      <c r="Z62" s="7">
        <f t="shared" si="21"/>
        <v>0.39471101176747619</v>
      </c>
    </row>
    <row r="63" spans="1:26" s="24" customFormat="1" hidden="1" outlineLevel="2" x14ac:dyDescent="0.25">
      <c r="A63" s="27"/>
      <c r="B63" s="11" t="str">
        <f>CONCATENATE("          ", "6112", " - ", "COMPENSATION INSURANCE")</f>
        <v xml:space="preserve">          6112 - COMPENSATION INSURANCE</v>
      </c>
      <c r="C63" s="11"/>
      <c r="D63" s="6">
        <v>54.45</v>
      </c>
      <c r="E63" s="2"/>
      <c r="F63" s="7">
        <f t="shared" si="14"/>
        <v>1.2164582036355056E-4</v>
      </c>
      <c r="G63" s="2"/>
      <c r="H63" s="6">
        <v>167.977319961538</v>
      </c>
      <c r="I63" s="2"/>
      <c r="J63" s="7">
        <f t="shared" si="15"/>
        <v>3.7189041026719505E-4</v>
      </c>
      <c r="K63" s="2"/>
      <c r="L63" s="6">
        <f t="shared" si="16"/>
        <v>-113.527319961538</v>
      </c>
      <c r="M63" s="2"/>
      <c r="N63" s="7">
        <f t="shared" si="17"/>
        <v>-0.6758490966966999</v>
      </c>
      <c r="O63" s="11"/>
      <c r="P63" s="6">
        <v>2050.15</v>
      </c>
      <c r="Q63" s="2"/>
      <c r="R63" s="7">
        <f t="shared" si="18"/>
        <v>7.1060166032373422E-4</v>
      </c>
      <c r="S63" s="2"/>
      <c r="T63" s="6">
        <v>2441.4882199999961</v>
      </c>
      <c r="U63" s="2"/>
      <c r="V63" s="7">
        <f t="shared" si="19"/>
        <v>8.4060259945944885E-4</v>
      </c>
      <c r="W63" s="2"/>
      <c r="X63" s="6">
        <f t="shared" si="20"/>
        <v>-391.338219999996</v>
      </c>
      <c r="Y63" s="2"/>
      <c r="Z63" s="7">
        <f t="shared" si="21"/>
        <v>-0.16028675329836187</v>
      </c>
    </row>
    <row r="64" spans="1:26" s="24" customFormat="1" hidden="1" outlineLevel="2" x14ac:dyDescent="0.25">
      <c r="A64" s="27"/>
      <c r="B64" s="11" t="str">
        <f>CONCATENATE("          ", "6113", " - ", "GROUP INSURANCE")</f>
        <v xml:space="preserve">          6113 - GROUP INSURANCE</v>
      </c>
      <c r="C64" s="11"/>
      <c r="D64" s="6">
        <v>1035.69</v>
      </c>
      <c r="E64" s="2"/>
      <c r="F64" s="7">
        <f t="shared" si="14"/>
        <v>2.313817441548681E-3</v>
      </c>
      <c r="G64" s="2"/>
      <c r="H64" s="6">
        <v>1186.2</v>
      </c>
      <c r="I64" s="2"/>
      <c r="J64" s="7">
        <f t="shared" si="15"/>
        <v>2.6261664655678183E-3</v>
      </c>
      <c r="K64" s="2"/>
      <c r="L64" s="6">
        <f t="shared" si="16"/>
        <v>-150.51</v>
      </c>
      <c r="M64" s="2"/>
      <c r="N64" s="7">
        <f t="shared" si="17"/>
        <v>-0.12688416793120888</v>
      </c>
      <c r="O64" s="11"/>
      <c r="P64" s="6">
        <v>13627.38</v>
      </c>
      <c r="Q64" s="2"/>
      <c r="R64" s="7">
        <f t="shared" si="18"/>
        <v>4.7233806569580029E-3</v>
      </c>
      <c r="S64" s="2"/>
      <c r="T64" s="6">
        <v>14234.4</v>
      </c>
      <c r="U64" s="2"/>
      <c r="V64" s="7">
        <f t="shared" si="19"/>
        <v>4.9008934565924703E-3</v>
      </c>
      <c r="W64" s="2"/>
      <c r="X64" s="6">
        <f t="shared" si="20"/>
        <v>-607.02000000000044</v>
      </c>
      <c r="Y64" s="2"/>
      <c r="Z64" s="7">
        <f t="shared" si="21"/>
        <v>-4.2644579328949619E-2</v>
      </c>
    </row>
    <row r="65" spans="1:26" s="24" customFormat="1" hidden="1" outlineLevel="2" x14ac:dyDescent="0.25">
      <c r="A65" s="27"/>
      <c r="B65" s="11" t="str">
        <f>CONCATENATE("          ", "6114", " - ", "STATE UNEMPLOYMENT INSURANCE")</f>
        <v xml:space="preserve">          6114 - STATE UNEMPLOYMENT INSURANCE</v>
      </c>
      <c r="C65" s="11"/>
      <c r="D65" s="6">
        <v>-322.33</v>
      </c>
      <c r="E65" s="2"/>
      <c r="F65" s="7">
        <f t="shared" si="14"/>
        <v>-7.2011197938995862E-4</v>
      </c>
      <c r="G65" s="2"/>
      <c r="H65" s="6">
        <v>22.986370099999998</v>
      </c>
      <c r="I65" s="2"/>
      <c r="J65" s="7">
        <f t="shared" si="15"/>
        <v>5.0890266668142621E-5</v>
      </c>
      <c r="K65" s="2"/>
      <c r="L65" s="6">
        <f t="shared" si="16"/>
        <v>-345.31637009999997</v>
      </c>
      <c r="M65" s="2"/>
      <c r="N65" s="7">
        <f t="shared" si="17"/>
        <v>-15.02265771401636</v>
      </c>
      <c r="O65" s="11"/>
      <c r="P65" s="6">
        <v>0</v>
      </c>
      <c r="Q65" s="2"/>
      <c r="R65" s="7">
        <f t="shared" si="18"/>
        <v>0</v>
      </c>
      <c r="S65" s="2"/>
      <c r="T65" s="6">
        <v>334.098388</v>
      </c>
      <c r="U65" s="2"/>
      <c r="V65" s="7">
        <f t="shared" si="19"/>
        <v>1.1502982939971423E-4</v>
      </c>
      <c r="W65" s="2"/>
      <c r="X65" s="6">
        <f t="shared" si="20"/>
        <v>-334.098388</v>
      </c>
      <c r="Y65" s="2"/>
      <c r="Z65" s="7">
        <f t="shared" si="21"/>
        <v>-1</v>
      </c>
    </row>
    <row r="66" spans="1:26" s="24" customFormat="1" hidden="1" outlineLevel="2" x14ac:dyDescent="0.25">
      <c r="A66" s="27"/>
      <c r="B66" s="11" t="str">
        <f>CONCATENATE("          ", "6115", " - ", "P.E.R.S.")</f>
        <v xml:space="preserve">          6115 - P.E.R.S.</v>
      </c>
      <c r="C66" s="11"/>
      <c r="D66" s="6">
        <v>159.41999999999999</v>
      </c>
      <c r="E66" s="2"/>
      <c r="F66" s="7">
        <f t="shared" si="14"/>
        <v>3.5615751482749732E-4</v>
      </c>
      <c r="G66" s="2"/>
      <c r="H66" s="6">
        <v>294.022912615385</v>
      </c>
      <c r="I66" s="2"/>
      <c r="J66" s="7">
        <f t="shared" si="15"/>
        <v>6.5094681606735888E-4</v>
      </c>
      <c r="K66" s="2"/>
      <c r="L66" s="6">
        <f t="shared" si="16"/>
        <v>-134.60291261538501</v>
      </c>
      <c r="M66" s="2"/>
      <c r="N66" s="7">
        <f t="shared" si="17"/>
        <v>-0.45779735809726074</v>
      </c>
      <c r="O66" s="11"/>
      <c r="P66" s="6">
        <v>2807.7</v>
      </c>
      <c r="Q66" s="2"/>
      <c r="R66" s="7">
        <f t="shared" si="18"/>
        <v>9.731757586961678E-4</v>
      </c>
      <c r="S66" s="2"/>
      <c r="T66" s="6">
        <v>3822.2978640000042</v>
      </c>
      <c r="U66" s="2"/>
      <c r="V66" s="7">
        <f t="shared" si="19"/>
        <v>1.3160143448845752E-3</v>
      </c>
      <c r="W66" s="2"/>
      <c r="X66" s="6">
        <f t="shared" si="20"/>
        <v>-1014.5978640000044</v>
      </c>
      <c r="Y66" s="2"/>
      <c r="Z66" s="7">
        <f t="shared" si="21"/>
        <v>-0.26544186248693757</v>
      </c>
    </row>
    <row r="67" spans="1:26" s="24" customFormat="1" hidden="1" outlineLevel="2" x14ac:dyDescent="0.25">
      <c r="A67" s="27"/>
      <c r="B67" s="11" t="str">
        <f>CONCATENATE("          ", "6116", " - ", "EDUCATIONAL BENEFITS")</f>
        <v xml:space="preserve">          6116 - EDUCATIONAL BENEFITS</v>
      </c>
      <c r="C67" s="11"/>
      <c r="D67" s="6"/>
      <c r="E67" s="2"/>
      <c r="F67" s="7">
        <f t="shared" si="14"/>
        <v>0</v>
      </c>
      <c r="G67" s="2"/>
      <c r="H67" s="6">
        <v>0</v>
      </c>
      <c r="I67" s="2"/>
      <c r="J67" s="7">
        <f t="shared" si="15"/>
        <v>0</v>
      </c>
      <c r="K67" s="2"/>
      <c r="L67" s="6">
        <f t="shared" si="16"/>
        <v>0</v>
      </c>
      <c r="M67" s="2"/>
      <c r="N67" s="7">
        <f t="shared" si="17"/>
        <v>0</v>
      </c>
      <c r="O67" s="11"/>
      <c r="P67" s="6"/>
      <c r="Q67" s="2"/>
      <c r="R67" s="7">
        <f t="shared" si="18"/>
        <v>0</v>
      </c>
      <c r="S67" s="2"/>
      <c r="T67" s="6">
        <v>0</v>
      </c>
      <c r="U67" s="2"/>
      <c r="V67" s="7">
        <f t="shared" si="19"/>
        <v>0</v>
      </c>
      <c r="W67" s="2"/>
      <c r="X67" s="6">
        <f t="shared" si="20"/>
        <v>0</v>
      </c>
      <c r="Y67" s="2"/>
      <c r="Z67" s="7">
        <f t="shared" si="21"/>
        <v>0</v>
      </c>
    </row>
    <row r="68" spans="1:26" s="24" customFormat="1" hidden="1" outlineLevel="2" x14ac:dyDescent="0.25">
      <c r="A68" s="27"/>
      <c r="B68" s="11" t="str">
        <f>CONCATENATE("          ", "6117", " - ", "RETIREMENT STAFF HOURLY")</f>
        <v xml:space="preserve">          6117 - RETIREMENT STAFF HOURLY</v>
      </c>
      <c r="C68" s="11"/>
      <c r="D68" s="6">
        <v>154.78</v>
      </c>
      <c r="E68" s="2"/>
      <c r="F68" s="7">
        <f t="shared" si="14"/>
        <v>3.4579136962112681E-4</v>
      </c>
      <c r="G68" s="2"/>
      <c r="H68" s="6"/>
      <c r="I68" s="2"/>
      <c r="J68" s="7">
        <f t="shared" si="15"/>
        <v>0</v>
      </c>
      <c r="K68" s="2"/>
      <c r="L68" s="6">
        <f t="shared" si="16"/>
        <v>154.78</v>
      </c>
      <c r="M68" s="2"/>
      <c r="N68" s="7">
        <f t="shared" si="17"/>
        <v>0</v>
      </c>
      <c r="O68" s="11"/>
      <c r="P68" s="6">
        <v>2058.8200000000002</v>
      </c>
      <c r="Q68" s="2"/>
      <c r="R68" s="7">
        <f t="shared" si="18"/>
        <v>7.136067655087241E-4</v>
      </c>
      <c r="S68" s="2"/>
      <c r="T68" s="6"/>
      <c r="U68" s="2"/>
      <c r="V68" s="7">
        <f t="shared" si="19"/>
        <v>0</v>
      </c>
      <c r="W68" s="2"/>
      <c r="X68" s="6">
        <f t="shared" si="20"/>
        <v>2058.8200000000002</v>
      </c>
      <c r="Y68" s="2"/>
      <c r="Z68" s="7">
        <f t="shared" si="21"/>
        <v>0</v>
      </c>
    </row>
    <row r="69" spans="1:26" s="24" customFormat="1" hidden="1" outlineLevel="2" x14ac:dyDescent="0.25">
      <c r="A69" s="27"/>
      <c r="B69" s="11" t="str">
        <f>CONCATENATE("          ", "6118", " - ", "VACATION")</f>
        <v xml:space="preserve">          6118 - VACATION</v>
      </c>
      <c r="C69" s="11"/>
      <c r="D69" s="6">
        <v>257.8</v>
      </c>
      <c r="E69" s="2"/>
      <c r="F69" s="7">
        <f t="shared" si="14"/>
        <v>5.7594660219877569E-4</v>
      </c>
      <c r="G69" s="2"/>
      <c r="H69" s="6">
        <v>170.943553846154</v>
      </c>
      <c r="I69" s="2"/>
      <c r="J69" s="7">
        <f t="shared" si="15"/>
        <v>3.7845745120195271E-4</v>
      </c>
      <c r="K69" s="2"/>
      <c r="L69" s="6">
        <f t="shared" si="16"/>
        <v>86.856446153846008</v>
      </c>
      <c r="M69" s="2"/>
      <c r="N69" s="7">
        <f t="shared" si="17"/>
        <v>0.50810015469793723</v>
      </c>
      <c r="O69" s="11"/>
      <c r="P69" s="6">
        <v>3303.15</v>
      </c>
      <c r="Q69" s="2"/>
      <c r="R69" s="7">
        <f t="shared" si="18"/>
        <v>1.1449034823297528E-3</v>
      </c>
      <c r="S69" s="2"/>
      <c r="T69" s="6">
        <v>2222.2662</v>
      </c>
      <c r="U69" s="2"/>
      <c r="V69" s="7">
        <f t="shared" si="19"/>
        <v>7.6512461911893814E-4</v>
      </c>
      <c r="W69" s="2"/>
      <c r="X69" s="6">
        <f t="shared" si="20"/>
        <v>1080.8838000000001</v>
      </c>
      <c r="Y69" s="2"/>
      <c r="Z69" s="7">
        <f t="shared" si="21"/>
        <v>0.48638808437981013</v>
      </c>
    </row>
    <row r="70" spans="1:26" s="24" customFormat="1" hidden="1" outlineLevel="2" x14ac:dyDescent="0.25">
      <c r="A70" s="27"/>
      <c r="B70" s="11" t="str">
        <f>CONCATENATE("          ", "6119", " - ", "SICK LEAVE")</f>
        <v xml:space="preserve">          6119 - SICK LEAVE</v>
      </c>
      <c r="C70" s="11"/>
      <c r="D70" s="6">
        <v>256.57</v>
      </c>
      <c r="E70" s="2"/>
      <c r="F70" s="7">
        <f t="shared" si="14"/>
        <v>5.7319868008588E-4</v>
      </c>
      <c r="G70" s="2"/>
      <c r="H70" s="6">
        <v>163.79053730769201</v>
      </c>
      <c r="I70" s="2"/>
      <c r="J70" s="7">
        <f t="shared" si="15"/>
        <v>3.626211570180369E-4</v>
      </c>
      <c r="K70" s="2"/>
      <c r="L70" s="6">
        <f t="shared" si="16"/>
        <v>92.779462692307987</v>
      </c>
      <c r="M70" s="2"/>
      <c r="N70" s="7">
        <f t="shared" si="17"/>
        <v>0.56645190996605177</v>
      </c>
      <c r="O70" s="11"/>
      <c r="P70" s="6">
        <v>-4833.5600000000004</v>
      </c>
      <c r="Q70" s="2"/>
      <c r="R70" s="7">
        <f t="shared" si="18"/>
        <v>-1.6753582719676069E-3</v>
      </c>
      <c r="S70" s="2"/>
      <c r="T70" s="6">
        <v>2261.2648799999961</v>
      </c>
      <c r="U70" s="2"/>
      <c r="V70" s="7">
        <f t="shared" si="19"/>
        <v>7.7855183597582886E-4</v>
      </c>
      <c r="W70" s="2"/>
      <c r="X70" s="6">
        <f t="shared" si="20"/>
        <v>-7094.8248799999965</v>
      </c>
      <c r="Y70" s="2"/>
      <c r="Z70" s="7">
        <f t="shared" si="21"/>
        <v>-3.137547017490498</v>
      </c>
    </row>
    <row r="71" spans="1:26" s="24" customFormat="1" hidden="1" outlineLevel="2" x14ac:dyDescent="0.25">
      <c r="A71" s="27"/>
      <c r="B71" s="11" t="str">
        <f>CONCATENATE("          ", "6156", " - ", "EMPLOYEE MEALS")</f>
        <v xml:space="preserve">          6156 - EMPLOYEE MEALS</v>
      </c>
      <c r="C71" s="11"/>
      <c r="D71" s="6">
        <v>204.48</v>
      </c>
      <c r="E71" s="2"/>
      <c r="F71" s="7">
        <f t="shared" si="14"/>
        <v>4.5682529564625927E-4</v>
      </c>
      <c r="G71" s="2"/>
      <c r="H71" s="6"/>
      <c r="I71" s="2"/>
      <c r="J71" s="7">
        <f t="shared" si="15"/>
        <v>0</v>
      </c>
      <c r="K71" s="2"/>
      <c r="L71" s="6">
        <f t="shared" si="16"/>
        <v>204.48</v>
      </c>
      <c r="M71" s="2"/>
      <c r="N71" s="7">
        <f t="shared" si="17"/>
        <v>0</v>
      </c>
      <c r="O71" s="11"/>
      <c r="P71" s="6">
        <v>2063.08</v>
      </c>
      <c r="Q71" s="2"/>
      <c r="R71" s="7">
        <f t="shared" si="18"/>
        <v>7.1508332238162556E-4</v>
      </c>
      <c r="S71" s="2"/>
      <c r="T71" s="6"/>
      <c r="U71" s="2"/>
      <c r="V71" s="7">
        <f t="shared" si="19"/>
        <v>0</v>
      </c>
      <c r="W71" s="2"/>
      <c r="X71" s="6">
        <f t="shared" si="20"/>
        <v>2063.08</v>
      </c>
      <c r="Y71" s="2"/>
      <c r="Z71" s="7">
        <f t="shared" si="21"/>
        <v>0</v>
      </c>
    </row>
    <row r="72" spans="1:26" s="26" customFormat="1" outlineLevel="1" collapsed="1" x14ac:dyDescent="0.25">
      <c r="A72" s="25"/>
      <c r="B72" s="12" t="str">
        <f>CONCATENATE("     ","*Payroll                                          ")</f>
        <v xml:space="preserve">     *Payroll                                          </v>
      </c>
      <c r="C72" s="12"/>
      <c r="D72" s="1">
        <f>SUM(OSRRefD22_1x_0)</f>
        <v>5490.55</v>
      </c>
      <c r="E72" s="1"/>
      <c r="F72" s="5">
        <f t="shared" ref="F72:F82" si="22">IF(D$12=0,0,D72/D$12)</f>
        <v>1.226634451785294E-2</v>
      </c>
      <c r="G72" s="1"/>
      <c r="H72" s="1">
        <f>SUM(OSRRefH22_1x_0)</f>
        <v>8567.4018907692298</v>
      </c>
      <c r="I72" s="1"/>
      <c r="J72" s="5">
        <f t="shared" ref="J72:J82" si="23">IF(H$12=0,0,H72/H$12)</f>
        <v>1.8967647565824038E-2</v>
      </c>
      <c r="K72" s="1"/>
      <c r="L72" s="1">
        <f t="shared" ref="L72:L82" si="24">+D72-H72</f>
        <v>-3076.8518907692296</v>
      </c>
      <c r="M72" s="1"/>
      <c r="N72" s="5">
        <f t="shared" ref="N72:N82" si="25">IF(H72=0,0,L72/H72)</f>
        <v>-0.35913476804261046</v>
      </c>
      <c r="O72" s="12"/>
      <c r="P72" s="1">
        <f>SUM(OSRRefP22_1x_0)</f>
        <v>106281.83000000002</v>
      </c>
      <c r="Q72" s="1"/>
      <c r="R72" s="5">
        <f t="shared" ref="R72:R82" si="26">IF(P$12=0,0,P72/P$12)</f>
        <v>3.6838302007289651E-2</v>
      </c>
      <c r="S72" s="1"/>
      <c r="T72" s="1">
        <f>SUM(OSRRefT22_1x_0)</f>
        <v>124943.75408</v>
      </c>
      <c r="U72" s="1"/>
      <c r="V72" s="5">
        <f t="shared" ref="V72:V82" si="27">IF(T$12=0,0,T72/T$12)</f>
        <v>4.3018042686222863E-2</v>
      </c>
      <c r="W72" s="1"/>
      <c r="X72" s="1">
        <f t="shared" ref="X72:X82" si="28">+P72-T72</f>
        <v>-18661.924079999982</v>
      </c>
      <c r="Y72" s="1"/>
      <c r="Z72" s="5">
        <f t="shared" ref="Z72:Z82" si="29">IF(T72=0,0,X72/T72)</f>
        <v>-0.14936260093522541</v>
      </c>
    </row>
    <row r="73" spans="1:26" s="24" customFormat="1" hidden="1" outlineLevel="2" x14ac:dyDescent="0.25">
      <c r="A73" s="27"/>
      <c r="B73" s="11" t="str">
        <f>CONCATENATE("          ", "6001", " - ", "ADMINISTRATIVE SALARIES")</f>
        <v xml:space="preserve">          6001 - ADMINISTRATIVE SALARIES</v>
      </c>
      <c r="C73" s="11"/>
      <c r="D73" s="6"/>
      <c r="E73" s="2"/>
      <c r="F73" s="7">
        <f t="shared" si="22"/>
        <v>0</v>
      </c>
      <c r="G73" s="2"/>
      <c r="H73" s="6">
        <v>3145.3613907692297</v>
      </c>
      <c r="I73" s="2"/>
      <c r="J73" s="7">
        <f t="shared" si="23"/>
        <v>6.9636171021159208E-3</v>
      </c>
      <c r="K73" s="2"/>
      <c r="L73" s="6">
        <f t="shared" si="24"/>
        <v>-3145.3613907692297</v>
      </c>
      <c r="M73" s="2"/>
      <c r="N73" s="7">
        <f t="shared" si="25"/>
        <v>-1</v>
      </c>
      <c r="O73" s="11"/>
      <c r="P73" s="6"/>
      <c r="Q73" s="2"/>
      <c r="R73" s="7">
        <f t="shared" si="26"/>
        <v>0</v>
      </c>
      <c r="S73" s="2"/>
      <c r="T73" s="6">
        <v>40889.698079999995</v>
      </c>
      <c r="U73" s="2"/>
      <c r="V73" s="7">
        <f t="shared" si="27"/>
        <v>1.4078292991788461E-2</v>
      </c>
      <c r="W73" s="2"/>
      <c r="X73" s="6">
        <f t="shared" si="28"/>
        <v>-40889.698079999995</v>
      </c>
      <c r="Y73" s="2"/>
      <c r="Z73" s="7">
        <f t="shared" si="29"/>
        <v>-1</v>
      </c>
    </row>
    <row r="74" spans="1:26" s="24" customFormat="1" hidden="1" outlineLevel="2" x14ac:dyDescent="0.25">
      <c r="A74" s="27"/>
      <c r="B74" s="11" t="str">
        <f>CONCATENATE("          ", "6002", " - ", "STAFF SALARIES")</f>
        <v xml:space="preserve">          6002 - STAFF SALARIES</v>
      </c>
      <c r="C74" s="11"/>
      <c r="D74" s="6">
        <v>2282.3000000000002</v>
      </c>
      <c r="E74" s="2"/>
      <c r="F74" s="7">
        <f t="shared" si="22"/>
        <v>5.0988476733834975E-3</v>
      </c>
      <c r="G74" s="2"/>
      <c r="H74" s="6">
        <v>0</v>
      </c>
      <c r="I74" s="2"/>
      <c r="J74" s="7">
        <f t="shared" si="23"/>
        <v>0</v>
      </c>
      <c r="K74" s="2"/>
      <c r="L74" s="6">
        <f t="shared" si="24"/>
        <v>2282.3000000000002</v>
      </c>
      <c r="M74" s="2"/>
      <c r="N74" s="7">
        <f t="shared" si="25"/>
        <v>0</v>
      </c>
      <c r="O74" s="11"/>
      <c r="P74" s="6">
        <v>36505.870000000003</v>
      </c>
      <c r="Q74" s="2"/>
      <c r="R74" s="7">
        <f t="shared" si="26"/>
        <v>1.2653284800410898E-2</v>
      </c>
      <c r="S74" s="2"/>
      <c r="T74" s="6">
        <v>0</v>
      </c>
      <c r="U74" s="2"/>
      <c r="V74" s="7">
        <f t="shared" si="27"/>
        <v>0</v>
      </c>
      <c r="W74" s="2"/>
      <c r="X74" s="6">
        <f t="shared" si="28"/>
        <v>36505.870000000003</v>
      </c>
      <c r="Y74" s="2"/>
      <c r="Z74" s="7">
        <f t="shared" si="29"/>
        <v>0</v>
      </c>
    </row>
    <row r="75" spans="1:26" s="24" customFormat="1" hidden="1" outlineLevel="2" x14ac:dyDescent="0.25">
      <c r="A75" s="27"/>
      <c r="B75" s="11" t="str">
        <f>CONCATENATE("          ", "6003", " - ", "STAFF HOURLY-9 MONTH")</f>
        <v xml:space="preserve">          6003 - STAFF HOURLY-9 MONTH</v>
      </c>
      <c r="C75" s="11"/>
      <c r="D75" s="6"/>
      <c r="E75" s="2"/>
      <c r="F75" s="7">
        <f t="shared" si="22"/>
        <v>0</v>
      </c>
      <c r="G75" s="2"/>
      <c r="H75" s="6">
        <v>0</v>
      </c>
      <c r="I75" s="2"/>
      <c r="J75" s="7">
        <f t="shared" si="23"/>
        <v>0</v>
      </c>
      <c r="K75" s="2"/>
      <c r="L75" s="6">
        <f t="shared" si="24"/>
        <v>0</v>
      </c>
      <c r="M75" s="2"/>
      <c r="N75" s="7">
        <f t="shared" si="25"/>
        <v>0</v>
      </c>
      <c r="O75" s="11"/>
      <c r="P75" s="6"/>
      <c r="Q75" s="2"/>
      <c r="R75" s="7">
        <f t="shared" si="26"/>
        <v>0</v>
      </c>
      <c r="S75" s="2"/>
      <c r="T75" s="6">
        <v>0</v>
      </c>
      <c r="U75" s="2"/>
      <c r="V75" s="7">
        <f t="shared" si="27"/>
        <v>0</v>
      </c>
      <c r="W75" s="2"/>
      <c r="X75" s="6">
        <f t="shared" si="28"/>
        <v>0</v>
      </c>
      <c r="Y75" s="2"/>
      <c r="Z75" s="7">
        <f t="shared" si="29"/>
        <v>0</v>
      </c>
    </row>
    <row r="76" spans="1:26" s="24" customFormat="1" hidden="1" outlineLevel="2" x14ac:dyDescent="0.25">
      <c r="A76" s="27"/>
      <c r="B76" s="11" t="str">
        <f>CONCATENATE("          ", "6004", " - ", "STAFF HOURLY")</f>
        <v xml:space="preserve">          6004 - STAFF HOURLY</v>
      </c>
      <c r="C76" s="11"/>
      <c r="D76" s="6">
        <v>3208.25</v>
      </c>
      <c r="E76" s="2"/>
      <c r="F76" s="7">
        <f t="shared" si="22"/>
        <v>7.1674968444694412E-3</v>
      </c>
      <c r="G76" s="2"/>
      <c r="H76" s="6">
        <v>1400.8</v>
      </c>
      <c r="I76" s="2"/>
      <c r="J76" s="7">
        <f t="shared" si="23"/>
        <v>3.1012763319570053E-3</v>
      </c>
      <c r="K76" s="2"/>
      <c r="L76" s="6">
        <f t="shared" si="24"/>
        <v>1807.45</v>
      </c>
      <c r="M76" s="2"/>
      <c r="N76" s="7">
        <f t="shared" si="25"/>
        <v>1.2902984009137637</v>
      </c>
      <c r="O76" s="11"/>
      <c r="P76" s="6">
        <v>11783.41</v>
      </c>
      <c r="Q76" s="2"/>
      <c r="R76" s="7">
        <f t="shared" si="26"/>
        <v>4.0842429628443252E-3</v>
      </c>
      <c r="S76" s="2"/>
      <c r="T76" s="6">
        <v>17472.919999999998</v>
      </c>
      <c r="U76" s="2"/>
      <c r="V76" s="7">
        <f t="shared" si="27"/>
        <v>6.0159135120246513E-3</v>
      </c>
      <c r="W76" s="2"/>
      <c r="X76" s="6">
        <f t="shared" si="28"/>
        <v>-5689.5099999999984</v>
      </c>
      <c r="Y76" s="2"/>
      <c r="Z76" s="7">
        <f t="shared" si="29"/>
        <v>-0.32561872886729859</v>
      </c>
    </row>
    <row r="77" spans="1:26" s="24" customFormat="1" hidden="1" outlineLevel="2" x14ac:dyDescent="0.25">
      <c r="A77" s="27"/>
      <c r="B77" s="11" t="str">
        <f>CONCATENATE("          ", "6005", " - ", "TEMPORARY WAGES-HOURLY")</f>
        <v xml:space="preserve">          6005 - TEMPORARY WAGES-HOURLY</v>
      </c>
      <c r="C77" s="11"/>
      <c r="D77" s="6"/>
      <c r="E77" s="2"/>
      <c r="F77" s="7">
        <f t="shared" si="22"/>
        <v>0</v>
      </c>
      <c r="G77" s="2"/>
      <c r="H77" s="6">
        <v>0</v>
      </c>
      <c r="I77" s="2"/>
      <c r="J77" s="7">
        <f t="shared" si="23"/>
        <v>0</v>
      </c>
      <c r="K77" s="2"/>
      <c r="L77" s="6">
        <f t="shared" si="24"/>
        <v>0</v>
      </c>
      <c r="M77" s="2"/>
      <c r="N77" s="7">
        <f t="shared" si="25"/>
        <v>0</v>
      </c>
      <c r="O77" s="11"/>
      <c r="P77" s="6">
        <v>29960.57</v>
      </c>
      <c r="Q77" s="2"/>
      <c r="R77" s="7">
        <f t="shared" si="26"/>
        <v>1.0384621021020638E-2</v>
      </c>
      <c r="S77" s="2"/>
      <c r="T77" s="6">
        <v>0</v>
      </c>
      <c r="U77" s="2"/>
      <c r="V77" s="7">
        <f t="shared" si="27"/>
        <v>0</v>
      </c>
      <c r="W77" s="2"/>
      <c r="X77" s="6">
        <f t="shared" si="28"/>
        <v>29960.57</v>
      </c>
      <c r="Y77" s="2"/>
      <c r="Z77" s="7">
        <f t="shared" si="29"/>
        <v>0</v>
      </c>
    </row>
    <row r="78" spans="1:26" s="24" customFormat="1" hidden="1" outlineLevel="2" x14ac:dyDescent="0.25">
      <c r="A78" s="27"/>
      <c r="B78" s="11" t="str">
        <f>CONCATENATE("          ", "6006", " - ", "TEMPORARY PART TIME")</f>
        <v xml:space="preserve">          6006 - TEMPORARY PART TIME</v>
      </c>
      <c r="C78" s="11"/>
      <c r="D78" s="6"/>
      <c r="E78" s="2"/>
      <c r="F78" s="7">
        <f t="shared" si="22"/>
        <v>0</v>
      </c>
      <c r="G78" s="2"/>
      <c r="H78" s="6">
        <v>0</v>
      </c>
      <c r="I78" s="2"/>
      <c r="J78" s="7">
        <f t="shared" si="23"/>
        <v>0</v>
      </c>
      <c r="K78" s="2"/>
      <c r="L78" s="6">
        <f t="shared" si="24"/>
        <v>0</v>
      </c>
      <c r="M78" s="2"/>
      <c r="N78" s="7">
        <f t="shared" si="25"/>
        <v>0</v>
      </c>
      <c r="O78" s="11"/>
      <c r="P78" s="6">
        <v>9008.99</v>
      </c>
      <c r="Q78" s="2"/>
      <c r="R78" s="7">
        <f t="shared" si="26"/>
        <v>3.1226023714557073E-3</v>
      </c>
      <c r="S78" s="2"/>
      <c r="T78" s="6">
        <v>0</v>
      </c>
      <c r="U78" s="2"/>
      <c r="V78" s="7">
        <f t="shared" si="27"/>
        <v>0</v>
      </c>
      <c r="W78" s="2"/>
      <c r="X78" s="6">
        <f t="shared" si="28"/>
        <v>9008.99</v>
      </c>
      <c r="Y78" s="2"/>
      <c r="Z78" s="7">
        <f t="shared" si="29"/>
        <v>0</v>
      </c>
    </row>
    <row r="79" spans="1:26" s="24" customFormat="1" hidden="1" outlineLevel="2" x14ac:dyDescent="0.25">
      <c r="A79" s="27"/>
      <c r="B79" s="11" t="str">
        <f>CONCATENATE("          ", "6007", " - ", "STUDENT HOURLY")</f>
        <v xml:space="preserve">          6007 - STUDENT HOURLY</v>
      </c>
      <c r="C79" s="11"/>
      <c r="D79" s="6"/>
      <c r="E79" s="2"/>
      <c r="F79" s="7">
        <f t="shared" si="22"/>
        <v>0</v>
      </c>
      <c r="G79" s="2"/>
      <c r="H79" s="6">
        <v>4021.2404999999994</v>
      </c>
      <c r="I79" s="2"/>
      <c r="J79" s="7">
        <f t="shared" si="23"/>
        <v>8.9027541317511089E-3</v>
      </c>
      <c r="K79" s="2"/>
      <c r="L79" s="6">
        <f t="shared" si="24"/>
        <v>-4021.2404999999994</v>
      </c>
      <c r="M79" s="2"/>
      <c r="N79" s="7">
        <f t="shared" si="25"/>
        <v>-1</v>
      </c>
      <c r="O79" s="11"/>
      <c r="P79" s="6">
        <v>19022.990000000002</v>
      </c>
      <c r="Q79" s="2"/>
      <c r="R79" s="7">
        <f t="shared" si="26"/>
        <v>6.5935508515580785E-3</v>
      </c>
      <c r="S79" s="2"/>
      <c r="T79" s="6">
        <v>13399.9905</v>
      </c>
      <c r="U79" s="2"/>
      <c r="V79" s="7">
        <f t="shared" si="27"/>
        <v>4.6136068790993134E-3</v>
      </c>
      <c r="W79" s="2"/>
      <c r="X79" s="6">
        <f t="shared" si="28"/>
        <v>5622.9995000000017</v>
      </c>
      <c r="Y79" s="2"/>
      <c r="Z79" s="7">
        <f t="shared" si="29"/>
        <v>0.41962712585505202</v>
      </c>
    </row>
    <row r="80" spans="1:26" s="24" customFormat="1" hidden="1" outlineLevel="2" x14ac:dyDescent="0.25">
      <c r="A80" s="27"/>
      <c r="B80" s="11" t="str">
        <f>CONCATENATE("          ", "6008", " - ", "STUDENT HOURLY-FICA EXEMPT")</f>
        <v xml:space="preserve">          6008 - STUDENT HOURLY-FICA EXEMPT</v>
      </c>
      <c r="C80" s="11"/>
      <c r="D80" s="6"/>
      <c r="E80" s="2"/>
      <c r="F80" s="7">
        <f t="shared" si="22"/>
        <v>0</v>
      </c>
      <c r="G80" s="2"/>
      <c r="H80" s="6">
        <v>0</v>
      </c>
      <c r="I80" s="2"/>
      <c r="J80" s="7">
        <f t="shared" si="23"/>
        <v>0</v>
      </c>
      <c r="K80" s="2"/>
      <c r="L80" s="6">
        <f t="shared" si="24"/>
        <v>0</v>
      </c>
      <c r="M80" s="2"/>
      <c r="N80" s="7">
        <f t="shared" si="25"/>
        <v>0</v>
      </c>
      <c r="O80" s="11"/>
      <c r="P80" s="6"/>
      <c r="Q80" s="2"/>
      <c r="R80" s="7">
        <f t="shared" si="26"/>
        <v>0</v>
      </c>
      <c r="S80" s="2"/>
      <c r="T80" s="6">
        <v>53181.145499999999</v>
      </c>
      <c r="U80" s="2"/>
      <c r="V80" s="7">
        <f t="shared" si="27"/>
        <v>1.8310229303310437E-2</v>
      </c>
      <c r="W80" s="2"/>
      <c r="X80" s="6">
        <f t="shared" si="28"/>
        <v>-53181.145499999999</v>
      </c>
      <c r="Y80" s="2"/>
      <c r="Z80" s="7">
        <f t="shared" si="29"/>
        <v>-1</v>
      </c>
    </row>
    <row r="81" spans="1:26" s="24" customFormat="1" hidden="1" outlineLevel="2" x14ac:dyDescent="0.25">
      <c r="A81" s="27"/>
      <c r="B81" s="11" t="str">
        <f>CONCATENATE("          ", "6009", " - ", "TEMPORARY-SEASONAL")</f>
        <v xml:space="preserve">          6009 - TEMPORARY-SEASONAL</v>
      </c>
      <c r="C81" s="11"/>
      <c r="D81" s="6"/>
      <c r="E81" s="2"/>
      <c r="F81" s="7">
        <f t="shared" si="22"/>
        <v>0</v>
      </c>
      <c r="G81" s="2"/>
      <c r="H81" s="6">
        <v>0</v>
      </c>
      <c r="I81" s="2"/>
      <c r="J81" s="7">
        <f t="shared" si="23"/>
        <v>0</v>
      </c>
      <c r="K81" s="2"/>
      <c r="L81" s="6">
        <f t="shared" si="24"/>
        <v>0</v>
      </c>
      <c r="M81" s="2"/>
      <c r="N81" s="7">
        <f t="shared" si="25"/>
        <v>0</v>
      </c>
      <c r="O81" s="11"/>
      <c r="P81" s="6"/>
      <c r="Q81" s="2"/>
      <c r="R81" s="7">
        <f t="shared" si="26"/>
        <v>0</v>
      </c>
      <c r="S81" s="2"/>
      <c r="T81" s="6">
        <v>0</v>
      </c>
      <c r="U81" s="2"/>
      <c r="V81" s="7">
        <f t="shared" si="27"/>
        <v>0</v>
      </c>
      <c r="W81" s="2"/>
      <c r="X81" s="6">
        <f t="shared" si="28"/>
        <v>0</v>
      </c>
      <c r="Y81" s="2"/>
      <c r="Z81" s="7">
        <f t="shared" si="29"/>
        <v>0</v>
      </c>
    </row>
    <row r="82" spans="1:26" s="24" customFormat="1" hidden="1" outlineLevel="2" x14ac:dyDescent="0.25">
      <c r="A82" s="27"/>
      <c r="B82" s="11" t="str">
        <f>CONCATENATE("          ", "6010", " - ", "GRATUITY")</f>
        <v xml:space="preserve">          6010 - GRATUITY</v>
      </c>
      <c r="C82" s="11"/>
      <c r="D82" s="6"/>
      <c r="E82" s="2"/>
      <c r="F82" s="7">
        <f t="shared" si="22"/>
        <v>0</v>
      </c>
      <c r="G82" s="2"/>
      <c r="H82" s="6">
        <v>0</v>
      </c>
      <c r="I82" s="2"/>
      <c r="J82" s="7">
        <f t="shared" si="23"/>
        <v>0</v>
      </c>
      <c r="K82" s="2"/>
      <c r="L82" s="6">
        <f t="shared" si="24"/>
        <v>0</v>
      </c>
      <c r="M82" s="2"/>
      <c r="N82" s="7">
        <f t="shared" si="25"/>
        <v>0</v>
      </c>
      <c r="O82" s="11"/>
      <c r="P82" s="6"/>
      <c r="Q82" s="2"/>
      <c r="R82" s="7">
        <f t="shared" si="26"/>
        <v>0</v>
      </c>
      <c r="S82" s="2"/>
      <c r="T82" s="6">
        <v>0</v>
      </c>
      <c r="U82" s="2"/>
      <c r="V82" s="7">
        <f t="shared" si="27"/>
        <v>0</v>
      </c>
      <c r="W82" s="2"/>
      <c r="X82" s="6">
        <f t="shared" si="28"/>
        <v>0</v>
      </c>
      <c r="Y82" s="2"/>
      <c r="Z82" s="7">
        <f t="shared" si="29"/>
        <v>0</v>
      </c>
    </row>
    <row r="83" spans="1:26" s="26" customFormat="1" outlineLevel="1" collapsed="1" x14ac:dyDescent="0.25">
      <c r="A83" s="25"/>
      <c r="B83" s="12" t="str">
        <f>CONCATENATE("     ","Advertising/Promo                                 ")</f>
        <v xml:space="preserve">     Advertising/Promo                                 </v>
      </c>
      <c r="C83" s="12"/>
      <c r="D83" s="1">
        <f>SUM(OSRRefD22_2x_0)</f>
        <v>34.450000000000003</v>
      </c>
      <c r="E83" s="1"/>
      <c r="F83" s="5">
        <f t="shared" ref="F83:F103" si="30">IF(D$12=0,0,D83/D$12)</f>
        <v>7.6964159991263853E-5</v>
      </c>
      <c r="G83" s="1"/>
      <c r="H83" s="1">
        <f>SUM(OSRRefH22_2x_0)</f>
        <v>250</v>
      </c>
      <c r="I83" s="1"/>
      <c r="J83" s="5">
        <f t="shared" ref="J83:J103" si="31">IF(H$12=0,0,H83/H$12)</f>
        <v>5.5348306895292075E-4</v>
      </c>
      <c r="K83" s="1"/>
      <c r="L83" s="1">
        <f t="shared" ref="L83:L103" si="32">+D83-H83</f>
        <v>-215.55</v>
      </c>
      <c r="M83" s="1"/>
      <c r="N83" s="5">
        <f t="shared" ref="N83:N103" si="33">IF(H83=0,0,L83/H83)</f>
        <v>-0.86220000000000008</v>
      </c>
      <c r="O83" s="12"/>
      <c r="P83" s="1">
        <f>SUM(OSRRefP22_2x_0)</f>
        <v>1780.37</v>
      </c>
      <c r="Q83" s="1"/>
      <c r="R83" s="5">
        <f t="shared" ref="R83:R103" si="34">IF(P$12=0,0,P83/P$12)</f>
        <v>6.1709332389852777E-4</v>
      </c>
      <c r="S83" s="1"/>
      <c r="T83" s="1">
        <f>SUM(OSRRefT22_2x_0)</f>
        <v>3000</v>
      </c>
      <c r="U83" s="1"/>
      <c r="V83" s="5">
        <f t="shared" ref="V83:V103" si="35">IF(T$12=0,0,T83/T$12)</f>
        <v>1.0328977947632082E-3</v>
      </c>
      <c r="W83" s="1"/>
      <c r="X83" s="1">
        <f t="shared" ref="X83:X103" si="36">+P83-T83</f>
        <v>-1219.6300000000001</v>
      </c>
      <c r="Y83" s="1"/>
      <c r="Z83" s="5">
        <f t="shared" ref="Z83:Z103" si="37">IF(T83=0,0,X83/T83)</f>
        <v>-0.40654333333333337</v>
      </c>
    </row>
    <row r="84" spans="1:26" s="24" customFormat="1" hidden="1" outlineLevel="2" x14ac:dyDescent="0.25">
      <c r="A84" s="27"/>
      <c r="B84" s="11" t="str">
        <f>CONCATENATE("          ", "6362", " - ", "ADVERTISING EXPENSE")</f>
        <v xml:space="preserve">          6362 - ADVERTISING EXPENSE</v>
      </c>
      <c r="C84" s="11"/>
      <c r="D84" s="6">
        <v>34.450000000000003</v>
      </c>
      <c r="E84" s="2"/>
      <c r="F84" s="7">
        <f t="shared" si="30"/>
        <v>7.6964159991263853E-5</v>
      </c>
      <c r="G84" s="2"/>
      <c r="H84" s="6">
        <v>250</v>
      </c>
      <c r="I84" s="2"/>
      <c r="J84" s="7">
        <f t="shared" si="31"/>
        <v>5.5348306895292075E-4</v>
      </c>
      <c r="K84" s="2"/>
      <c r="L84" s="6">
        <f t="shared" si="32"/>
        <v>-215.55</v>
      </c>
      <c r="M84" s="2"/>
      <c r="N84" s="7">
        <f t="shared" si="33"/>
        <v>-0.86220000000000008</v>
      </c>
      <c r="O84" s="11"/>
      <c r="P84" s="6">
        <v>1780.37</v>
      </c>
      <c r="Q84" s="2"/>
      <c r="R84" s="7">
        <f t="shared" si="34"/>
        <v>6.1709332389852777E-4</v>
      </c>
      <c r="S84" s="2"/>
      <c r="T84" s="6">
        <v>3000</v>
      </c>
      <c r="U84" s="2"/>
      <c r="V84" s="7">
        <f t="shared" si="35"/>
        <v>1.0328977947632082E-3</v>
      </c>
      <c r="W84" s="2"/>
      <c r="X84" s="6">
        <f t="shared" si="36"/>
        <v>-1219.6300000000001</v>
      </c>
      <c r="Y84" s="2"/>
      <c r="Z84" s="7">
        <f t="shared" si="37"/>
        <v>-0.40654333333333337</v>
      </c>
    </row>
    <row r="85" spans="1:26" s="26" customFormat="1" outlineLevel="1" collapsed="1" x14ac:dyDescent="0.25">
      <c r="A85" s="25"/>
      <c r="B85" s="12" t="str">
        <f>CONCATENATE("     ","Depreciation                                      ")</f>
        <v xml:space="preserve">     Depreciation                                      </v>
      </c>
      <c r="C85" s="12"/>
      <c r="D85" s="1">
        <f>SUM(OSRRefD22_3x_0)</f>
        <v>280.45</v>
      </c>
      <c r="E85" s="1"/>
      <c r="F85" s="5">
        <f t="shared" si="30"/>
        <v>6.2654858257039036E-4</v>
      </c>
      <c r="G85" s="1"/>
      <c r="H85" s="1">
        <f>SUM(OSRRefH22_3x_0)</f>
        <v>0</v>
      </c>
      <c r="I85" s="1"/>
      <c r="J85" s="5">
        <f t="shared" si="31"/>
        <v>0</v>
      </c>
      <c r="K85" s="1"/>
      <c r="L85" s="1">
        <f t="shared" si="32"/>
        <v>280.45</v>
      </c>
      <c r="M85" s="1"/>
      <c r="N85" s="5">
        <f t="shared" si="33"/>
        <v>0</v>
      </c>
      <c r="O85" s="12"/>
      <c r="P85" s="1">
        <f>SUM(OSRRefP22_3x_0)</f>
        <v>3365.29</v>
      </c>
      <c r="Q85" s="1"/>
      <c r="R85" s="5">
        <f t="shared" si="34"/>
        <v>1.166441802536819E-3</v>
      </c>
      <c r="S85" s="1"/>
      <c r="T85" s="1">
        <f>SUM(OSRRefT22_3x_0)</f>
        <v>0</v>
      </c>
      <c r="U85" s="1"/>
      <c r="V85" s="5">
        <f t="shared" si="35"/>
        <v>0</v>
      </c>
      <c r="W85" s="1"/>
      <c r="X85" s="1">
        <f t="shared" si="36"/>
        <v>3365.29</v>
      </c>
      <c r="Y85" s="1"/>
      <c r="Z85" s="5">
        <f t="shared" si="37"/>
        <v>0</v>
      </c>
    </row>
    <row r="86" spans="1:26" s="24" customFormat="1" hidden="1" outlineLevel="2" x14ac:dyDescent="0.25">
      <c r="A86" s="27"/>
      <c r="B86" s="11" t="str">
        <f>CONCATENATE("          ", "6322", " - ", "EQUIPMENT DEPRECIATION EXPENSE")</f>
        <v xml:space="preserve">          6322 - EQUIPMENT DEPRECIATION EXPENSE</v>
      </c>
      <c r="C86" s="11"/>
      <c r="D86" s="6">
        <v>280.45</v>
      </c>
      <c r="E86" s="2"/>
      <c r="F86" s="7">
        <f t="shared" si="30"/>
        <v>6.2654858257039036E-4</v>
      </c>
      <c r="G86" s="2"/>
      <c r="H86" s="6"/>
      <c r="I86" s="2"/>
      <c r="J86" s="7">
        <f t="shared" si="31"/>
        <v>0</v>
      </c>
      <c r="K86" s="2"/>
      <c r="L86" s="6">
        <f t="shared" si="32"/>
        <v>280.45</v>
      </c>
      <c r="M86" s="2"/>
      <c r="N86" s="7">
        <f t="shared" si="33"/>
        <v>0</v>
      </c>
      <c r="O86" s="11"/>
      <c r="P86" s="6">
        <v>3365.29</v>
      </c>
      <c r="Q86" s="2"/>
      <c r="R86" s="7">
        <f t="shared" si="34"/>
        <v>1.166441802536819E-3</v>
      </c>
      <c r="S86" s="2"/>
      <c r="T86" s="6"/>
      <c r="U86" s="2"/>
      <c r="V86" s="7">
        <f t="shared" si="35"/>
        <v>0</v>
      </c>
      <c r="W86" s="2"/>
      <c r="X86" s="6">
        <f t="shared" si="36"/>
        <v>3365.29</v>
      </c>
      <c r="Y86" s="2"/>
      <c r="Z86" s="7">
        <f t="shared" si="37"/>
        <v>0</v>
      </c>
    </row>
    <row r="87" spans="1:26" s="26" customFormat="1" outlineLevel="1" collapsed="1" x14ac:dyDescent="0.25">
      <c r="A87" s="25"/>
      <c r="B87" s="12" t="str">
        <f>CONCATENATE("     ","Discounts and Markdowns                           ")</f>
        <v xml:space="preserve">     Discounts and Markdowns                           </v>
      </c>
      <c r="C87" s="12"/>
      <c r="D87" s="1">
        <f>SUM(OSRRefD22_4x_0)</f>
        <v>2379.19</v>
      </c>
      <c r="E87" s="1"/>
      <c r="F87" s="5">
        <f t="shared" si="30"/>
        <v>5.3153079770570403E-3</v>
      </c>
      <c r="G87" s="1"/>
      <c r="H87" s="1">
        <f>SUM(OSRRefH22_4x_0)</f>
        <v>2500</v>
      </c>
      <c r="I87" s="1"/>
      <c r="J87" s="5">
        <f t="shared" si="31"/>
        <v>5.5348306895292073E-3</v>
      </c>
      <c r="K87" s="1"/>
      <c r="L87" s="1">
        <f t="shared" si="32"/>
        <v>-120.80999999999995</v>
      </c>
      <c r="M87" s="1"/>
      <c r="N87" s="5">
        <f t="shared" si="33"/>
        <v>-4.8323999999999978E-2</v>
      </c>
      <c r="O87" s="12"/>
      <c r="P87" s="1">
        <f>SUM(OSRRefP22_4x_0)</f>
        <v>76736.39</v>
      </c>
      <c r="Q87" s="1"/>
      <c r="R87" s="5">
        <f t="shared" si="34"/>
        <v>2.6597569027266101E-2</v>
      </c>
      <c r="S87" s="1"/>
      <c r="T87" s="1">
        <f>SUM(OSRRefT22_4x_0)</f>
        <v>30000</v>
      </c>
      <c r="U87" s="1"/>
      <c r="V87" s="5">
        <f t="shared" si="35"/>
        <v>1.0328977947632082E-2</v>
      </c>
      <c r="W87" s="1"/>
      <c r="X87" s="1">
        <f t="shared" si="36"/>
        <v>46736.39</v>
      </c>
      <c r="Y87" s="1"/>
      <c r="Z87" s="5">
        <f t="shared" si="37"/>
        <v>1.5578796666666666</v>
      </c>
    </row>
    <row r="88" spans="1:26" s="24" customFormat="1" hidden="1" outlineLevel="2" x14ac:dyDescent="0.25">
      <c r="A88" s="27"/>
      <c r="B88" s="11" t="str">
        <f>CONCATENATE("          ", "6382", " - ", "DISCOUNTS/MARK DOWNS")</f>
        <v xml:space="preserve">          6382 - DISCOUNTS/MARK DOWNS</v>
      </c>
      <c r="C88" s="11"/>
      <c r="D88" s="6">
        <v>2379.19</v>
      </c>
      <c r="E88" s="2"/>
      <c r="F88" s="7">
        <f t="shared" si="30"/>
        <v>5.3153079770570403E-3</v>
      </c>
      <c r="G88" s="2"/>
      <c r="H88" s="6">
        <v>2500</v>
      </c>
      <c r="I88" s="2"/>
      <c r="J88" s="7">
        <f t="shared" si="31"/>
        <v>5.5348306895292073E-3</v>
      </c>
      <c r="K88" s="2"/>
      <c r="L88" s="6">
        <f t="shared" si="32"/>
        <v>-120.80999999999995</v>
      </c>
      <c r="M88" s="2"/>
      <c r="N88" s="7">
        <f t="shared" si="33"/>
        <v>-4.8323999999999978E-2</v>
      </c>
      <c r="O88" s="11"/>
      <c r="P88" s="6">
        <v>76736.39</v>
      </c>
      <c r="Q88" s="2"/>
      <c r="R88" s="7">
        <f t="shared" si="34"/>
        <v>2.6597569027266101E-2</v>
      </c>
      <c r="S88" s="2"/>
      <c r="T88" s="6">
        <v>30000</v>
      </c>
      <c r="U88" s="2"/>
      <c r="V88" s="7">
        <f t="shared" si="35"/>
        <v>1.0328977947632082E-2</v>
      </c>
      <c r="W88" s="2"/>
      <c r="X88" s="6">
        <f t="shared" si="36"/>
        <v>46736.39</v>
      </c>
      <c r="Y88" s="2"/>
      <c r="Z88" s="7">
        <f t="shared" si="37"/>
        <v>1.5578796666666666</v>
      </c>
    </row>
    <row r="89" spans="1:26" s="26" customFormat="1" outlineLevel="1" collapsed="1" x14ac:dyDescent="0.25">
      <c r="A89" s="25"/>
      <c r="B89" s="12" t="str">
        <f>CONCATENATE("     ","Employees' Appreciation                           ")</f>
        <v xml:space="preserve">     Employees' Appreciation                           </v>
      </c>
      <c r="C89" s="12"/>
      <c r="D89" s="1">
        <f>SUM(OSRRefD22_5x_0)</f>
        <v>0</v>
      </c>
      <c r="E89" s="1"/>
      <c r="F89" s="5">
        <f t="shared" si="30"/>
        <v>0</v>
      </c>
      <c r="G89" s="1"/>
      <c r="H89" s="1">
        <f>SUM(OSRRefH22_5x_0)</f>
        <v>40</v>
      </c>
      <c r="I89" s="1"/>
      <c r="J89" s="5">
        <f t="shared" si="31"/>
        <v>8.8557291032467317E-5</v>
      </c>
      <c r="K89" s="1"/>
      <c r="L89" s="1">
        <f t="shared" si="32"/>
        <v>-40</v>
      </c>
      <c r="M89" s="1"/>
      <c r="N89" s="5">
        <f t="shared" si="33"/>
        <v>-1</v>
      </c>
      <c r="O89" s="12"/>
      <c r="P89" s="1">
        <f>SUM(OSRRefP22_5x_0)</f>
        <v>0</v>
      </c>
      <c r="Q89" s="1"/>
      <c r="R89" s="5">
        <f t="shared" si="34"/>
        <v>0</v>
      </c>
      <c r="S89" s="1"/>
      <c r="T89" s="1">
        <f>SUM(OSRRefT22_5x_0)</f>
        <v>480</v>
      </c>
      <c r="U89" s="1"/>
      <c r="V89" s="5">
        <f t="shared" si="35"/>
        <v>1.6526364716211331E-4</v>
      </c>
      <c r="W89" s="1"/>
      <c r="X89" s="1">
        <f t="shared" si="36"/>
        <v>-480</v>
      </c>
      <c r="Y89" s="1"/>
      <c r="Z89" s="5">
        <f t="shared" si="37"/>
        <v>-1</v>
      </c>
    </row>
    <row r="90" spans="1:26" s="24" customFormat="1" hidden="1" outlineLevel="2" x14ac:dyDescent="0.25">
      <c r="A90" s="27"/>
      <c r="B90" s="11" t="str">
        <f>CONCATENATE("          ", "6277", " - ", "EMPLOYEE APPRECIATION")</f>
        <v xml:space="preserve">          6277 - EMPLOYEE APPRECIATION</v>
      </c>
      <c r="C90" s="11"/>
      <c r="D90" s="6"/>
      <c r="E90" s="2"/>
      <c r="F90" s="7">
        <f t="shared" si="30"/>
        <v>0</v>
      </c>
      <c r="G90" s="2"/>
      <c r="H90" s="6">
        <v>40</v>
      </c>
      <c r="I90" s="2"/>
      <c r="J90" s="7">
        <f t="shared" si="31"/>
        <v>8.8557291032467317E-5</v>
      </c>
      <c r="K90" s="2"/>
      <c r="L90" s="6">
        <f t="shared" si="32"/>
        <v>-40</v>
      </c>
      <c r="M90" s="2"/>
      <c r="N90" s="7">
        <f t="shared" si="33"/>
        <v>-1</v>
      </c>
      <c r="O90" s="11"/>
      <c r="P90" s="6"/>
      <c r="Q90" s="2"/>
      <c r="R90" s="7">
        <f t="shared" si="34"/>
        <v>0</v>
      </c>
      <c r="S90" s="2"/>
      <c r="T90" s="6">
        <v>480</v>
      </c>
      <c r="U90" s="2"/>
      <c r="V90" s="7">
        <f t="shared" si="35"/>
        <v>1.6526364716211331E-4</v>
      </c>
      <c r="W90" s="2"/>
      <c r="X90" s="6">
        <f t="shared" si="36"/>
        <v>-480</v>
      </c>
      <c r="Y90" s="2"/>
      <c r="Z90" s="7">
        <f t="shared" si="37"/>
        <v>-1</v>
      </c>
    </row>
    <row r="91" spans="1:26" s="26" customFormat="1" outlineLevel="1" collapsed="1" x14ac:dyDescent="0.25">
      <c r="A91" s="25"/>
      <c r="B91" s="12" t="str">
        <f>CONCATENATE("     ","Freight out/Postage                               ")</f>
        <v xml:space="preserve">     Freight out/Postage                               </v>
      </c>
      <c r="C91" s="12"/>
      <c r="D91" s="1">
        <f>SUM(OSRRefD22_6x_0)</f>
        <v>142.69</v>
      </c>
      <c r="E91" s="1"/>
      <c r="F91" s="5">
        <f t="shared" si="30"/>
        <v>3.1878130592607952E-4</v>
      </c>
      <c r="G91" s="1"/>
      <c r="H91" s="1">
        <f>SUM(OSRRefH22_6x_0)</f>
        <v>25</v>
      </c>
      <c r="I91" s="1"/>
      <c r="J91" s="5">
        <f t="shared" si="31"/>
        <v>5.534830689529207E-5</v>
      </c>
      <c r="K91" s="1"/>
      <c r="L91" s="1">
        <f t="shared" si="32"/>
        <v>117.69</v>
      </c>
      <c r="M91" s="1"/>
      <c r="N91" s="5">
        <f t="shared" si="33"/>
        <v>4.7076000000000002</v>
      </c>
      <c r="O91" s="12"/>
      <c r="P91" s="1">
        <f>SUM(OSRRefP22_6x_0)</f>
        <v>263.27999999999997</v>
      </c>
      <c r="Q91" s="1"/>
      <c r="R91" s="5">
        <f t="shared" si="34"/>
        <v>9.1255374060450562E-5</v>
      </c>
      <c r="S91" s="1"/>
      <c r="T91" s="1">
        <f>SUM(OSRRefT22_6x_0)</f>
        <v>300</v>
      </c>
      <c r="U91" s="1"/>
      <c r="V91" s="5">
        <f t="shared" si="35"/>
        <v>1.0328977947632082E-4</v>
      </c>
      <c r="W91" s="1"/>
      <c r="X91" s="1">
        <f t="shared" si="36"/>
        <v>-36.720000000000027</v>
      </c>
      <c r="Y91" s="1"/>
      <c r="Z91" s="5">
        <f t="shared" si="37"/>
        <v>-0.12240000000000009</v>
      </c>
    </row>
    <row r="92" spans="1:26" s="24" customFormat="1" hidden="1" outlineLevel="2" x14ac:dyDescent="0.25">
      <c r="A92" s="27"/>
      <c r="B92" s="11" t="str">
        <f>CONCATENATE("          ", "6305", " - ", "FREIGHT OUT")</f>
        <v xml:space="preserve">          6305 - FREIGHT OUT</v>
      </c>
      <c r="C92" s="11"/>
      <c r="D92" s="6">
        <v>142.69</v>
      </c>
      <c r="E92" s="2"/>
      <c r="F92" s="7">
        <f t="shared" si="30"/>
        <v>3.1878130592607952E-4</v>
      </c>
      <c r="G92" s="2"/>
      <c r="H92" s="6">
        <v>25</v>
      </c>
      <c r="I92" s="2"/>
      <c r="J92" s="7">
        <f t="shared" si="31"/>
        <v>5.534830689529207E-5</v>
      </c>
      <c r="K92" s="2"/>
      <c r="L92" s="6">
        <f t="shared" si="32"/>
        <v>117.69</v>
      </c>
      <c r="M92" s="2"/>
      <c r="N92" s="7">
        <f t="shared" si="33"/>
        <v>4.7076000000000002</v>
      </c>
      <c r="O92" s="11"/>
      <c r="P92" s="6">
        <v>263.27999999999997</v>
      </c>
      <c r="Q92" s="2"/>
      <c r="R92" s="7">
        <f t="shared" si="34"/>
        <v>9.1255374060450562E-5</v>
      </c>
      <c r="S92" s="2"/>
      <c r="T92" s="6">
        <v>300</v>
      </c>
      <c r="U92" s="2"/>
      <c r="V92" s="7">
        <f t="shared" si="35"/>
        <v>1.0328977947632082E-4</v>
      </c>
      <c r="W92" s="2"/>
      <c r="X92" s="6">
        <f t="shared" si="36"/>
        <v>-36.720000000000027</v>
      </c>
      <c r="Y92" s="2"/>
      <c r="Z92" s="7">
        <f t="shared" si="37"/>
        <v>-0.12240000000000009</v>
      </c>
    </row>
    <row r="93" spans="1:26" s="26" customFormat="1" outlineLevel="1" collapsed="1" x14ac:dyDescent="0.25">
      <c r="A93" s="25"/>
      <c r="B93" s="12" t="str">
        <f>CONCATENATE("     ","General                                           ")</f>
        <v xml:space="preserve">     General                                           </v>
      </c>
      <c r="C93" s="12"/>
      <c r="D93" s="1">
        <f>SUM(OSRRefD22_7x_0)</f>
        <v>0</v>
      </c>
      <c r="E93" s="1"/>
      <c r="F93" s="5">
        <f t="shared" si="30"/>
        <v>0</v>
      </c>
      <c r="G93" s="1"/>
      <c r="H93" s="1">
        <f>SUM(OSRRefH22_7x_0)</f>
        <v>0</v>
      </c>
      <c r="I93" s="1"/>
      <c r="J93" s="5">
        <f t="shared" si="31"/>
        <v>0</v>
      </c>
      <c r="K93" s="1"/>
      <c r="L93" s="1">
        <f t="shared" si="32"/>
        <v>0</v>
      </c>
      <c r="M93" s="1"/>
      <c r="N93" s="5">
        <f t="shared" si="33"/>
        <v>0</v>
      </c>
      <c r="O93" s="12"/>
      <c r="P93" s="1">
        <f>SUM(OSRRefP22_7x_0)</f>
        <v>205</v>
      </c>
      <c r="Q93" s="1"/>
      <c r="R93" s="5">
        <f t="shared" si="34"/>
        <v>7.1054966888454759E-5</v>
      </c>
      <c r="S93" s="1"/>
      <c r="T93" s="1">
        <f>SUM(OSRRefT22_7x_0)</f>
        <v>0</v>
      </c>
      <c r="U93" s="1"/>
      <c r="V93" s="5">
        <f t="shared" si="35"/>
        <v>0</v>
      </c>
      <c r="W93" s="1"/>
      <c r="X93" s="1">
        <f t="shared" si="36"/>
        <v>205</v>
      </c>
      <c r="Y93" s="1"/>
      <c r="Z93" s="5">
        <f t="shared" si="37"/>
        <v>0</v>
      </c>
    </row>
    <row r="94" spans="1:26" s="24" customFormat="1" hidden="1" outlineLevel="2" x14ac:dyDescent="0.25">
      <c r="A94" s="27"/>
      <c r="B94" s="11" t="str">
        <f>CONCATENATE("          ", "6279", " - ", "GENERAL EXPENSE")</f>
        <v xml:space="preserve">          6279 - GENERAL EXPENSE</v>
      </c>
      <c r="C94" s="11"/>
      <c r="D94" s="6"/>
      <c r="E94" s="2"/>
      <c r="F94" s="7">
        <f t="shared" si="30"/>
        <v>0</v>
      </c>
      <c r="G94" s="2"/>
      <c r="H94" s="6"/>
      <c r="I94" s="2"/>
      <c r="J94" s="7">
        <f t="shared" si="31"/>
        <v>0</v>
      </c>
      <c r="K94" s="2"/>
      <c r="L94" s="6">
        <f t="shared" si="32"/>
        <v>0</v>
      </c>
      <c r="M94" s="2"/>
      <c r="N94" s="7">
        <f t="shared" si="33"/>
        <v>0</v>
      </c>
      <c r="O94" s="11"/>
      <c r="P94" s="6">
        <v>205</v>
      </c>
      <c r="Q94" s="2"/>
      <c r="R94" s="7">
        <f t="shared" si="34"/>
        <v>7.1054966888454759E-5</v>
      </c>
      <c r="S94" s="2"/>
      <c r="T94" s="6"/>
      <c r="U94" s="2"/>
      <c r="V94" s="7">
        <f t="shared" si="35"/>
        <v>0</v>
      </c>
      <c r="W94" s="2"/>
      <c r="X94" s="6">
        <f t="shared" si="36"/>
        <v>205</v>
      </c>
      <c r="Y94" s="2"/>
      <c r="Z94" s="7">
        <f t="shared" si="37"/>
        <v>0</v>
      </c>
    </row>
    <row r="95" spans="1:26" s="26" customFormat="1" outlineLevel="1" collapsed="1" x14ac:dyDescent="0.25">
      <c r="A95" s="25"/>
      <c r="B95" s="12" t="str">
        <f>CONCATENATE("     ","Inventory Adjustment                              ")</f>
        <v xml:space="preserve">     Inventory Adjustment                              </v>
      </c>
      <c r="C95" s="12"/>
      <c r="D95" s="1">
        <f>SUM(OSRRefD22_8x_0)</f>
        <v>-43236</v>
      </c>
      <c r="E95" s="1"/>
      <c r="F95" s="5">
        <f t="shared" si="30"/>
        <v>-9.6592813392809396E-2</v>
      </c>
      <c r="G95" s="1"/>
      <c r="H95" s="1">
        <f>SUM(OSRRefH22_8x_0)</f>
        <v>18000</v>
      </c>
      <c r="I95" s="1"/>
      <c r="J95" s="5">
        <f t="shared" si="31"/>
        <v>3.985078096461029E-2</v>
      </c>
      <c r="K95" s="1"/>
      <c r="L95" s="1">
        <f t="shared" si="32"/>
        <v>-61236</v>
      </c>
      <c r="M95" s="1"/>
      <c r="N95" s="5">
        <f t="shared" si="33"/>
        <v>-3.4020000000000001</v>
      </c>
      <c r="O95" s="12"/>
      <c r="P95" s="1">
        <f>SUM(OSRRefP22_8x_0)</f>
        <v>-43236</v>
      </c>
      <c r="Q95" s="1"/>
      <c r="R95" s="5">
        <f t="shared" si="34"/>
        <v>-1.4986012431166975E-2</v>
      </c>
      <c r="S95" s="1"/>
      <c r="T95" s="1">
        <f>SUM(OSRRefT22_8x_0)</f>
        <v>18000</v>
      </c>
      <c r="U95" s="1"/>
      <c r="V95" s="5">
        <f t="shared" si="35"/>
        <v>6.1973867685792489E-3</v>
      </c>
      <c r="W95" s="1"/>
      <c r="X95" s="1">
        <f t="shared" si="36"/>
        <v>-61236</v>
      </c>
      <c r="Y95" s="1"/>
      <c r="Z95" s="5">
        <f t="shared" si="37"/>
        <v>-3.4020000000000001</v>
      </c>
    </row>
    <row r="96" spans="1:26" s="24" customFormat="1" hidden="1" outlineLevel="2" x14ac:dyDescent="0.25">
      <c r="A96" s="27"/>
      <c r="B96" s="11" t="str">
        <f>CONCATENATE("          ", "6408", " - ", "INVENTORY ADJUSTMENT")</f>
        <v xml:space="preserve">          6408 - INVENTORY ADJUSTMENT</v>
      </c>
      <c r="C96" s="11"/>
      <c r="D96" s="6"/>
      <c r="E96" s="2"/>
      <c r="F96" s="7">
        <f t="shared" si="30"/>
        <v>0</v>
      </c>
      <c r="G96" s="2"/>
      <c r="H96" s="6">
        <v>18000</v>
      </c>
      <c r="I96" s="2"/>
      <c r="J96" s="7">
        <f t="shared" si="31"/>
        <v>3.985078096461029E-2</v>
      </c>
      <c r="K96" s="2"/>
      <c r="L96" s="6">
        <f t="shared" si="32"/>
        <v>-18000</v>
      </c>
      <c r="M96" s="2"/>
      <c r="N96" s="7">
        <f t="shared" si="33"/>
        <v>-1</v>
      </c>
      <c r="O96" s="11"/>
      <c r="P96" s="6"/>
      <c r="Q96" s="2"/>
      <c r="R96" s="7">
        <f t="shared" si="34"/>
        <v>0</v>
      </c>
      <c r="S96" s="2"/>
      <c r="T96" s="6">
        <v>18000</v>
      </c>
      <c r="U96" s="2"/>
      <c r="V96" s="7">
        <f t="shared" si="35"/>
        <v>6.1973867685792489E-3</v>
      </c>
      <c r="W96" s="2"/>
      <c r="X96" s="6">
        <f t="shared" si="36"/>
        <v>-18000</v>
      </c>
      <c r="Y96" s="2"/>
      <c r="Z96" s="7">
        <f t="shared" si="37"/>
        <v>-1</v>
      </c>
    </row>
    <row r="97" spans="1:26" s="24" customFormat="1" hidden="1" outlineLevel="2" x14ac:dyDescent="0.25">
      <c r="A97" s="27"/>
      <c r="B97" s="11" t="str">
        <f>CONCATENATE("          ", "7781", " - ", "INV. SHRINKAGE-ELECTRONICS")</f>
        <v xml:space="preserve">          7781 - INV. SHRINKAGE-ELECTRONICS</v>
      </c>
      <c r="C97" s="11"/>
      <c r="D97" s="6">
        <v>-18505</v>
      </c>
      <c r="E97" s="2"/>
      <c r="F97" s="7">
        <f t="shared" si="30"/>
        <v>-4.1341706259458273E-2</v>
      </c>
      <c r="G97" s="2"/>
      <c r="H97" s="6"/>
      <c r="I97" s="2"/>
      <c r="J97" s="7">
        <f t="shared" si="31"/>
        <v>0</v>
      </c>
      <c r="K97" s="2"/>
      <c r="L97" s="6">
        <f t="shared" si="32"/>
        <v>-18505</v>
      </c>
      <c r="M97" s="2"/>
      <c r="N97" s="7">
        <f t="shared" si="33"/>
        <v>0</v>
      </c>
      <c r="O97" s="11"/>
      <c r="P97" s="6">
        <v>-18505</v>
      </c>
      <c r="Q97" s="2"/>
      <c r="R97" s="7">
        <f t="shared" si="34"/>
        <v>-6.4140105476627081E-3</v>
      </c>
      <c r="S97" s="2"/>
      <c r="T97" s="6"/>
      <c r="U97" s="2"/>
      <c r="V97" s="7">
        <f t="shared" si="35"/>
        <v>0</v>
      </c>
      <c r="W97" s="2"/>
      <c r="X97" s="6">
        <f t="shared" si="36"/>
        <v>-18505</v>
      </c>
      <c r="Y97" s="2"/>
      <c r="Z97" s="7">
        <f t="shared" si="37"/>
        <v>0</v>
      </c>
    </row>
    <row r="98" spans="1:26" s="24" customFormat="1" hidden="1" outlineLevel="2" x14ac:dyDescent="0.25">
      <c r="A98" s="27"/>
      <c r="B98" s="11" t="str">
        <f>CONCATENATE("          ", "7782", " - ", "INV. SHRINKAGE-COMPUTER HARDWA")</f>
        <v xml:space="preserve">          7782 - INV. SHRINKAGE-COMPUTER HARDWA</v>
      </c>
      <c r="C98" s="11"/>
      <c r="D98" s="6">
        <v>-30263</v>
      </c>
      <c r="E98" s="2"/>
      <c r="F98" s="7">
        <f t="shared" si="30"/>
        <v>-6.7610054392325633E-2</v>
      </c>
      <c r="G98" s="2"/>
      <c r="H98" s="6"/>
      <c r="I98" s="2"/>
      <c r="J98" s="7">
        <f t="shared" si="31"/>
        <v>0</v>
      </c>
      <c r="K98" s="2"/>
      <c r="L98" s="6">
        <f t="shared" si="32"/>
        <v>-30263</v>
      </c>
      <c r="M98" s="2"/>
      <c r="N98" s="7">
        <f t="shared" si="33"/>
        <v>0</v>
      </c>
      <c r="O98" s="11"/>
      <c r="P98" s="6">
        <v>-30263</v>
      </c>
      <c r="Q98" s="2"/>
      <c r="R98" s="7">
        <f t="shared" si="34"/>
        <v>-1.048944616070881E-2</v>
      </c>
      <c r="S98" s="2"/>
      <c r="T98" s="6"/>
      <c r="U98" s="2"/>
      <c r="V98" s="7">
        <f t="shared" si="35"/>
        <v>0</v>
      </c>
      <c r="W98" s="2"/>
      <c r="X98" s="6">
        <f t="shared" si="36"/>
        <v>-30263</v>
      </c>
      <c r="Y98" s="2"/>
      <c r="Z98" s="7">
        <f t="shared" si="37"/>
        <v>0</v>
      </c>
    </row>
    <row r="99" spans="1:26" s="24" customFormat="1" hidden="1" outlineLevel="2" x14ac:dyDescent="0.25">
      <c r="A99" s="27"/>
      <c r="B99" s="11" t="str">
        <f>CONCATENATE("          ", "7783", " - ", "INV. SHRINKAGE-COMPUTER EQUIPM")</f>
        <v xml:space="preserve">          7783 - INV. SHRINKAGE-COMPUTER EQUIPM</v>
      </c>
      <c r="C99" s="11"/>
      <c r="D99" s="6">
        <v>2729</v>
      </c>
      <c r="E99" s="2"/>
      <c r="F99" s="7">
        <f t="shared" si="30"/>
        <v>6.096812557798521E-3</v>
      </c>
      <c r="G99" s="2"/>
      <c r="H99" s="6"/>
      <c r="I99" s="2"/>
      <c r="J99" s="7">
        <f t="shared" si="31"/>
        <v>0</v>
      </c>
      <c r="K99" s="2"/>
      <c r="L99" s="6">
        <f t="shared" si="32"/>
        <v>2729</v>
      </c>
      <c r="M99" s="2"/>
      <c r="N99" s="7">
        <f t="shared" si="33"/>
        <v>0</v>
      </c>
      <c r="O99" s="11"/>
      <c r="P99" s="6">
        <v>2729</v>
      </c>
      <c r="Q99" s="2"/>
      <c r="R99" s="7">
        <f t="shared" si="34"/>
        <v>9.4589758360289281E-4</v>
      </c>
      <c r="S99" s="2"/>
      <c r="T99" s="6"/>
      <c r="U99" s="2"/>
      <c r="V99" s="7">
        <f t="shared" si="35"/>
        <v>0</v>
      </c>
      <c r="W99" s="2"/>
      <c r="X99" s="6">
        <f t="shared" si="36"/>
        <v>2729</v>
      </c>
      <c r="Y99" s="2"/>
      <c r="Z99" s="7">
        <f t="shared" si="37"/>
        <v>0</v>
      </c>
    </row>
    <row r="100" spans="1:26" s="24" customFormat="1" hidden="1" outlineLevel="2" x14ac:dyDescent="0.25">
      <c r="A100" s="27"/>
      <c r="B100" s="11" t="str">
        <f>CONCATENATE("          ", "7784", " - ", "INV. SHRINKAGE-SOFTWARE LICENS")</f>
        <v xml:space="preserve">          7784 - INV. SHRINKAGE-SOFTWARE LICENS</v>
      </c>
      <c r="C100" s="11"/>
      <c r="D100" s="6">
        <v>1394</v>
      </c>
      <c r="E100" s="2"/>
      <c r="F100" s="7">
        <f t="shared" si="30"/>
        <v>3.1143117279483832E-3</v>
      </c>
      <c r="G100" s="2"/>
      <c r="H100" s="6"/>
      <c r="I100" s="2"/>
      <c r="J100" s="7">
        <f t="shared" si="31"/>
        <v>0</v>
      </c>
      <c r="K100" s="2"/>
      <c r="L100" s="6">
        <f t="shared" si="32"/>
        <v>1394</v>
      </c>
      <c r="M100" s="2"/>
      <c r="N100" s="7">
        <f t="shared" si="33"/>
        <v>0</v>
      </c>
      <c r="O100" s="11"/>
      <c r="P100" s="6">
        <v>1394</v>
      </c>
      <c r="Q100" s="2"/>
      <c r="R100" s="7">
        <f t="shared" si="34"/>
        <v>4.8317377484149234E-4</v>
      </c>
      <c r="S100" s="2"/>
      <c r="T100" s="6"/>
      <c r="U100" s="2"/>
      <c r="V100" s="7">
        <f t="shared" si="35"/>
        <v>0</v>
      </c>
      <c r="W100" s="2"/>
      <c r="X100" s="6">
        <f t="shared" si="36"/>
        <v>1394</v>
      </c>
      <c r="Y100" s="2"/>
      <c r="Z100" s="7">
        <f t="shared" si="37"/>
        <v>0</v>
      </c>
    </row>
    <row r="101" spans="1:26" s="24" customFormat="1" hidden="1" outlineLevel="2" x14ac:dyDescent="0.25">
      <c r="A101" s="27"/>
      <c r="B101" s="11" t="str">
        <f>CONCATENATE("          ", "7785", " - ", "INV. SHRINKAGE-SOFTWARE")</f>
        <v xml:space="preserve">          7785 - INV. SHRINKAGE-SOFTWARE</v>
      </c>
      <c r="C101" s="11"/>
      <c r="D101" s="6">
        <v>-3743</v>
      </c>
      <c r="E101" s="2"/>
      <c r="F101" s="7">
        <f t="shared" si="30"/>
        <v>-8.3621727386734568E-3</v>
      </c>
      <c r="G101" s="2"/>
      <c r="H101" s="6"/>
      <c r="I101" s="2"/>
      <c r="J101" s="7">
        <f t="shared" si="31"/>
        <v>0</v>
      </c>
      <c r="K101" s="2"/>
      <c r="L101" s="6">
        <f t="shared" si="32"/>
        <v>-3743</v>
      </c>
      <c r="M101" s="2"/>
      <c r="N101" s="7">
        <f t="shared" si="33"/>
        <v>0</v>
      </c>
      <c r="O101" s="11"/>
      <c r="P101" s="6">
        <v>-3743</v>
      </c>
      <c r="Q101" s="2"/>
      <c r="R101" s="7">
        <f t="shared" si="34"/>
        <v>-1.2973597125048105E-3</v>
      </c>
      <c r="S101" s="2"/>
      <c r="T101" s="6"/>
      <c r="U101" s="2"/>
      <c r="V101" s="7">
        <f t="shared" si="35"/>
        <v>0</v>
      </c>
      <c r="W101" s="2"/>
      <c r="X101" s="6">
        <f t="shared" si="36"/>
        <v>-3743</v>
      </c>
      <c r="Y101" s="2"/>
      <c r="Z101" s="7">
        <f t="shared" si="37"/>
        <v>0</v>
      </c>
    </row>
    <row r="102" spans="1:26" s="24" customFormat="1" hidden="1" outlineLevel="2" x14ac:dyDescent="0.25">
      <c r="A102" s="27"/>
      <c r="B102" s="11" t="str">
        <f>CONCATENATE("          ", "7786", " - ", "INV. SHRINKAGE-COMPUTER SUPPLI")</f>
        <v xml:space="preserve">          7786 - INV. SHRINKAGE-COMPUTER SUPPLI</v>
      </c>
      <c r="C102" s="11"/>
      <c r="D102" s="6">
        <v>5000</v>
      </c>
      <c r="E102" s="2"/>
      <c r="F102" s="7">
        <f t="shared" si="30"/>
        <v>1.1170415093071677E-2</v>
      </c>
      <c r="G102" s="2"/>
      <c r="H102" s="6"/>
      <c r="I102" s="2"/>
      <c r="J102" s="7">
        <f t="shared" si="31"/>
        <v>0</v>
      </c>
      <c r="K102" s="2"/>
      <c r="L102" s="6">
        <f t="shared" si="32"/>
        <v>5000</v>
      </c>
      <c r="M102" s="2"/>
      <c r="N102" s="7">
        <f t="shared" si="33"/>
        <v>0</v>
      </c>
      <c r="O102" s="11"/>
      <c r="P102" s="6">
        <v>5000</v>
      </c>
      <c r="Q102" s="2"/>
      <c r="R102" s="7">
        <f t="shared" si="34"/>
        <v>1.7330479728891403E-3</v>
      </c>
      <c r="S102" s="2"/>
      <c r="T102" s="6"/>
      <c r="U102" s="2"/>
      <c r="V102" s="7">
        <f t="shared" si="35"/>
        <v>0</v>
      </c>
      <c r="W102" s="2"/>
      <c r="X102" s="6">
        <f t="shared" si="36"/>
        <v>5000</v>
      </c>
      <c r="Y102" s="2"/>
      <c r="Z102" s="7">
        <f t="shared" si="37"/>
        <v>0</v>
      </c>
    </row>
    <row r="103" spans="1:26" s="24" customFormat="1" hidden="1" outlineLevel="2" x14ac:dyDescent="0.25">
      <c r="A103" s="27"/>
      <c r="B103" s="11" t="str">
        <f>CONCATENATE("          ", "7788", " - ", "INV. SHRINKAGE-MUSIC")</f>
        <v xml:space="preserve">          7788 - INV. SHRINKAGE-MUSIC</v>
      </c>
      <c r="C103" s="11"/>
      <c r="D103" s="6">
        <v>152</v>
      </c>
      <c r="E103" s="2"/>
      <c r="F103" s="7">
        <f t="shared" si="30"/>
        <v>3.3958061882937899E-4</v>
      </c>
      <c r="G103" s="2"/>
      <c r="H103" s="6"/>
      <c r="I103" s="2"/>
      <c r="J103" s="7">
        <f t="shared" si="31"/>
        <v>0</v>
      </c>
      <c r="K103" s="2"/>
      <c r="L103" s="6">
        <f t="shared" si="32"/>
        <v>152</v>
      </c>
      <c r="M103" s="2"/>
      <c r="N103" s="7">
        <f t="shared" si="33"/>
        <v>0</v>
      </c>
      <c r="O103" s="11"/>
      <c r="P103" s="6">
        <v>152</v>
      </c>
      <c r="Q103" s="2"/>
      <c r="R103" s="7">
        <f t="shared" si="34"/>
        <v>5.2684658375829866E-5</v>
      </c>
      <c r="S103" s="2"/>
      <c r="T103" s="6"/>
      <c r="U103" s="2"/>
      <c r="V103" s="7">
        <f t="shared" si="35"/>
        <v>0</v>
      </c>
      <c r="W103" s="2"/>
      <c r="X103" s="6">
        <f t="shared" si="36"/>
        <v>152</v>
      </c>
      <c r="Y103" s="2"/>
      <c r="Z103" s="7">
        <f t="shared" si="37"/>
        <v>0</v>
      </c>
    </row>
    <row r="104" spans="1:26" s="26" customFormat="1" outlineLevel="1" collapsed="1" x14ac:dyDescent="0.25">
      <c r="A104" s="25"/>
      <c r="B104" s="12" t="str">
        <f>CONCATENATE("     ","Repair and Maintenance                            ")</f>
        <v xml:space="preserve">     Repair and Maintenance                            </v>
      </c>
      <c r="C104" s="12"/>
      <c r="D104" s="1">
        <f>SUM(OSRRefD22_9x_0)</f>
        <v>0</v>
      </c>
      <c r="E104" s="1"/>
      <c r="F104" s="5">
        <f t="shared" ref="F104:F110" si="38">IF(D$12=0,0,D104/D$12)</f>
        <v>0</v>
      </c>
      <c r="G104" s="1"/>
      <c r="H104" s="1">
        <f>SUM(OSRRefH22_9x_0)</f>
        <v>0</v>
      </c>
      <c r="I104" s="1"/>
      <c r="J104" s="5">
        <f t="shared" ref="J104:J110" si="39">IF(H$12=0,0,H104/H$12)</f>
        <v>0</v>
      </c>
      <c r="K104" s="1"/>
      <c r="L104" s="1">
        <f t="shared" ref="L104:L110" si="40">+D104-H104</f>
        <v>0</v>
      </c>
      <c r="M104" s="1"/>
      <c r="N104" s="5">
        <f t="shared" ref="N104:N110" si="41">IF(H104=0,0,L104/H104)</f>
        <v>0</v>
      </c>
      <c r="O104" s="12"/>
      <c r="P104" s="1">
        <f>SUM(OSRRefP22_9x_0)</f>
        <v>197.18</v>
      </c>
      <c r="Q104" s="1"/>
      <c r="R104" s="5">
        <f t="shared" ref="R104:R110" si="42">IF(P$12=0,0,P104/P$12)</f>
        <v>6.8344479858856137E-5</v>
      </c>
      <c r="S104" s="1"/>
      <c r="T104" s="1">
        <f>SUM(OSRRefT22_9x_0)</f>
        <v>0</v>
      </c>
      <c r="U104" s="1"/>
      <c r="V104" s="5">
        <f t="shared" ref="V104:V110" si="43">IF(T$12=0,0,T104/T$12)</f>
        <v>0</v>
      </c>
      <c r="W104" s="1"/>
      <c r="X104" s="1">
        <f t="shared" ref="X104:X110" si="44">+P104-T104</f>
        <v>197.18</v>
      </c>
      <c r="Y104" s="1"/>
      <c r="Z104" s="5">
        <f t="shared" ref="Z104:Z110" si="45">IF(T104=0,0,X104/T104)</f>
        <v>0</v>
      </c>
    </row>
    <row r="105" spans="1:26" s="24" customFormat="1" hidden="1" outlineLevel="2" x14ac:dyDescent="0.25">
      <c r="A105" s="27"/>
      <c r="B105" s="11" t="str">
        <f>CONCATENATE("          ", "6375", " - ", "OUTSIDE REPAIRS &amp; MAINTENANCE")</f>
        <v xml:space="preserve">          6375 - OUTSIDE REPAIRS &amp; MAINTENANCE</v>
      </c>
      <c r="C105" s="11"/>
      <c r="D105" s="6"/>
      <c r="E105" s="2"/>
      <c r="F105" s="7">
        <f t="shared" si="38"/>
        <v>0</v>
      </c>
      <c r="G105" s="2"/>
      <c r="H105" s="6"/>
      <c r="I105" s="2"/>
      <c r="J105" s="7">
        <f t="shared" si="39"/>
        <v>0</v>
      </c>
      <c r="K105" s="2"/>
      <c r="L105" s="6">
        <f t="shared" si="40"/>
        <v>0</v>
      </c>
      <c r="M105" s="2"/>
      <c r="N105" s="7">
        <f t="shared" si="41"/>
        <v>0</v>
      </c>
      <c r="O105" s="11"/>
      <c r="P105" s="6">
        <v>197.18</v>
      </c>
      <c r="Q105" s="2"/>
      <c r="R105" s="7">
        <f t="shared" si="42"/>
        <v>6.8344479858856137E-5</v>
      </c>
      <c r="S105" s="2"/>
      <c r="T105" s="6"/>
      <c r="U105" s="2"/>
      <c r="V105" s="7">
        <f t="shared" si="43"/>
        <v>0</v>
      </c>
      <c r="W105" s="2"/>
      <c r="X105" s="6">
        <f t="shared" si="44"/>
        <v>197.18</v>
      </c>
      <c r="Y105" s="2"/>
      <c r="Z105" s="7">
        <f t="shared" si="45"/>
        <v>0</v>
      </c>
    </row>
    <row r="106" spans="1:26" s="26" customFormat="1" outlineLevel="1" collapsed="1" x14ac:dyDescent="0.25">
      <c r="A106" s="25"/>
      <c r="B106" s="12" t="str">
        <f>CONCATENATE("     ","Subscriptions &amp; Dues                              ")</f>
        <v xml:space="preserve">     Subscriptions &amp; Dues                              </v>
      </c>
      <c r="C106" s="12"/>
      <c r="D106" s="1">
        <f>SUM(OSRRefD22_10x_0)</f>
        <v>0</v>
      </c>
      <c r="E106" s="1"/>
      <c r="F106" s="5">
        <f t="shared" si="38"/>
        <v>0</v>
      </c>
      <c r="G106" s="1"/>
      <c r="H106" s="1">
        <f>SUM(OSRRefH22_10x_0)</f>
        <v>0</v>
      </c>
      <c r="I106" s="1"/>
      <c r="J106" s="5">
        <f t="shared" si="39"/>
        <v>0</v>
      </c>
      <c r="K106" s="1"/>
      <c r="L106" s="1">
        <f t="shared" si="40"/>
        <v>0</v>
      </c>
      <c r="M106" s="1"/>
      <c r="N106" s="5">
        <f t="shared" si="41"/>
        <v>0</v>
      </c>
      <c r="O106" s="12"/>
      <c r="P106" s="1">
        <f>SUM(OSRRefP22_10x_0)</f>
        <v>-4886.5</v>
      </c>
      <c r="Q106" s="1"/>
      <c r="R106" s="5">
        <f t="shared" si="42"/>
        <v>-1.693707783904557E-3</v>
      </c>
      <c r="S106" s="1"/>
      <c r="T106" s="1">
        <f>SUM(OSRRefT22_10x_0)</f>
        <v>0</v>
      </c>
      <c r="U106" s="1"/>
      <c r="V106" s="5">
        <f t="shared" si="43"/>
        <v>0</v>
      </c>
      <c r="W106" s="1"/>
      <c r="X106" s="1">
        <f t="shared" si="44"/>
        <v>-4886.5</v>
      </c>
      <c r="Y106" s="1"/>
      <c r="Z106" s="5">
        <f t="shared" si="45"/>
        <v>0</v>
      </c>
    </row>
    <row r="107" spans="1:26" s="24" customFormat="1" hidden="1" outlineLevel="2" x14ac:dyDescent="0.25">
      <c r="A107" s="27"/>
      <c r="B107" s="11" t="str">
        <f>CONCATENATE("          ", "6258", " - ", "MEMBERSHIP DUES")</f>
        <v xml:space="preserve">          6258 - MEMBERSHIP DUES</v>
      </c>
      <c r="C107" s="11"/>
      <c r="D107" s="6"/>
      <c r="E107" s="2"/>
      <c r="F107" s="7">
        <f t="shared" si="38"/>
        <v>0</v>
      </c>
      <c r="G107" s="2"/>
      <c r="H107" s="6"/>
      <c r="I107" s="2"/>
      <c r="J107" s="7">
        <f t="shared" si="39"/>
        <v>0</v>
      </c>
      <c r="K107" s="2"/>
      <c r="L107" s="6">
        <f t="shared" si="40"/>
        <v>0</v>
      </c>
      <c r="M107" s="2"/>
      <c r="N107" s="7">
        <f t="shared" si="41"/>
        <v>0</v>
      </c>
      <c r="O107" s="11"/>
      <c r="P107" s="6">
        <v>-4886.5</v>
      </c>
      <c r="Q107" s="2"/>
      <c r="R107" s="7">
        <f t="shared" si="42"/>
        <v>-1.693707783904557E-3</v>
      </c>
      <c r="S107" s="2"/>
      <c r="T107" s="6"/>
      <c r="U107" s="2"/>
      <c r="V107" s="7">
        <f t="shared" si="43"/>
        <v>0</v>
      </c>
      <c r="W107" s="2"/>
      <c r="X107" s="6">
        <f t="shared" si="44"/>
        <v>-4886.5</v>
      </c>
      <c r="Y107" s="2"/>
      <c r="Z107" s="7">
        <f t="shared" si="45"/>
        <v>0</v>
      </c>
    </row>
    <row r="108" spans="1:26" s="26" customFormat="1" outlineLevel="1" collapsed="1" x14ac:dyDescent="0.25">
      <c r="A108" s="25"/>
      <c r="B108" s="12" t="str">
        <f>CONCATENATE("     ","Supplies                                          ")</f>
        <v xml:space="preserve">     Supplies                                          </v>
      </c>
      <c r="C108" s="12"/>
      <c r="D108" s="1">
        <f>SUM(OSRRefD22_11x_0)</f>
        <v>65.59</v>
      </c>
      <c r="E108" s="1"/>
      <c r="F108" s="5">
        <f t="shared" si="38"/>
        <v>1.4653350519091426E-4</v>
      </c>
      <c r="G108" s="1"/>
      <c r="H108" s="1">
        <f>SUM(OSRRefH22_11x_0)</f>
        <v>225</v>
      </c>
      <c r="I108" s="1"/>
      <c r="J108" s="5">
        <f t="shared" si="39"/>
        <v>4.9813476205762871E-4</v>
      </c>
      <c r="K108" s="1"/>
      <c r="L108" s="1">
        <f t="shared" si="40"/>
        <v>-159.41</v>
      </c>
      <c r="M108" s="1"/>
      <c r="N108" s="5">
        <f t="shared" si="41"/>
        <v>-0.70848888888888883</v>
      </c>
      <c r="O108" s="12"/>
      <c r="P108" s="1">
        <f>SUM(OSRRefP22_11x_0)</f>
        <v>3260.11</v>
      </c>
      <c r="Q108" s="1"/>
      <c r="R108" s="5">
        <f t="shared" si="42"/>
        <v>1.1299854053791231E-3</v>
      </c>
      <c r="S108" s="1"/>
      <c r="T108" s="1">
        <f>SUM(OSRRefT22_11x_0)</f>
        <v>3250</v>
      </c>
      <c r="U108" s="1"/>
      <c r="V108" s="5">
        <f t="shared" si="43"/>
        <v>1.1189726109934756E-3</v>
      </c>
      <c r="W108" s="1"/>
      <c r="X108" s="1">
        <f t="shared" si="44"/>
        <v>10.110000000000127</v>
      </c>
      <c r="Y108" s="1"/>
      <c r="Z108" s="5">
        <f t="shared" si="45"/>
        <v>3.1107692307692698E-3</v>
      </c>
    </row>
    <row r="109" spans="1:26" s="24" customFormat="1" hidden="1" outlineLevel="2" x14ac:dyDescent="0.25">
      <c r="A109" s="27"/>
      <c r="B109" s="11" t="str">
        <f>CONCATENATE("          ", "6241", " - ", "OFFICE EXPENSE")</f>
        <v xml:space="preserve">          6241 - OFFICE EXPENSE</v>
      </c>
      <c r="C109" s="11"/>
      <c r="D109" s="6">
        <v>65.59</v>
      </c>
      <c r="E109" s="2"/>
      <c r="F109" s="7">
        <f t="shared" si="38"/>
        <v>1.4653350519091426E-4</v>
      </c>
      <c r="G109" s="2"/>
      <c r="H109" s="6">
        <v>225</v>
      </c>
      <c r="I109" s="2"/>
      <c r="J109" s="7">
        <f t="shared" si="39"/>
        <v>4.9813476205762871E-4</v>
      </c>
      <c r="K109" s="2"/>
      <c r="L109" s="6">
        <f t="shared" si="40"/>
        <v>-159.41</v>
      </c>
      <c r="M109" s="2"/>
      <c r="N109" s="7">
        <f t="shared" si="41"/>
        <v>-0.70848888888888883</v>
      </c>
      <c r="O109" s="11"/>
      <c r="P109" s="6">
        <v>1250.73</v>
      </c>
      <c r="Q109" s="2"/>
      <c r="R109" s="7">
        <f t="shared" si="42"/>
        <v>4.335150182263269E-4</v>
      </c>
      <c r="S109" s="2"/>
      <c r="T109" s="6">
        <v>3250</v>
      </c>
      <c r="U109" s="2"/>
      <c r="V109" s="7">
        <f t="shared" si="43"/>
        <v>1.1189726109934756E-3</v>
      </c>
      <c r="W109" s="2"/>
      <c r="X109" s="6">
        <f t="shared" si="44"/>
        <v>-1999.27</v>
      </c>
      <c r="Y109" s="2"/>
      <c r="Z109" s="7">
        <f t="shared" si="45"/>
        <v>-0.61516000000000004</v>
      </c>
    </row>
    <row r="110" spans="1:26" s="24" customFormat="1" hidden="1" outlineLevel="2" x14ac:dyDescent="0.25">
      <c r="A110" s="27"/>
      <c r="B110" s="11" t="str">
        <f>CONCATENATE("          ", "6247", " - ", "STORE SUPPLIES")</f>
        <v xml:space="preserve">          6247 - STORE SUPPLIES</v>
      </c>
      <c r="C110" s="11"/>
      <c r="D110" s="6"/>
      <c r="E110" s="2"/>
      <c r="F110" s="7">
        <f t="shared" si="38"/>
        <v>0</v>
      </c>
      <c r="G110" s="2"/>
      <c r="H110" s="6"/>
      <c r="I110" s="2"/>
      <c r="J110" s="7">
        <f t="shared" si="39"/>
        <v>0</v>
      </c>
      <c r="K110" s="2"/>
      <c r="L110" s="6">
        <f t="shared" si="40"/>
        <v>0</v>
      </c>
      <c r="M110" s="2"/>
      <c r="N110" s="7">
        <f t="shared" si="41"/>
        <v>0</v>
      </c>
      <c r="O110" s="11"/>
      <c r="P110" s="6">
        <v>2009.38</v>
      </c>
      <c r="Q110" s="2"/>
      <c r="R110" s="7">
        <f t="shared" si="42"/>
        <v>6.9647038715279618E-4</v>
      </c>
      <c r="S110" s="2"/>
      <c r="T110" s="6"/>
      <c r="U110" s="2"/>
      <c r="V110" s="7">
        <f t="shared" si="43"/>
        <v>0</v>
      </c>
      <c r="W110" s="2"/>
      <c r="X110" s="6">
        <f t="shared" si="44"/>
        <v>2009.38</v>
      </c>
      <c r="Y110" s="2"/>
      <c r="Z110" s="7">
        <f t="shared" si="45"/>
        <v>0</v>
      </c>
    </row>
    <row r="111" spans="1:26" s="26" customFormat="1" outlineLevel="1" collapsed="1" x14ac:dyDescent="0.25">
      <c r="A111" s="25"/>
      <c r="B111" s="12" t="str">
        <f>CONCATENATE("     ","Telephone/Data Lines                              ")</f>
        <v xml:space="preserve">     Telephone/Data Lines                              </v>
      </c>
      <c r="C111" s="12"/>
      <c r="D111" s="1">
        <f>SUM(OSRRefD22_12x_0)</f>
        <v>207.15</v>
      </c>
      <c r="E111" s="1"/>
      <c r="F111" s="5">
        <f t="shared" ref="F111:F113" si="46">IF(D$12=0,0,D111/D$12)</f>
        <v>4.6279029730595956E-4</v>
      </c>
      <c r="G111" s="1"/>
      <c r="H111" s="1">
        <f>SUM(OSRRefH22_12x_0)</f>
        <v>280</v>
      </c>
      <c r="I111" s="1"/>
      <c r="J111" s="5">
        <f t="shared" ref="J111:J113" si="47">IF(H$12=0,0,H111/H$12)</f>
        <v>6.1990103722727125E-4</v>
      </c>
      <c r="K111" s="1"/>
      <c r="L111" s="1">
        <f t="shared" ref="L111:L113" si="48">+D111-H111</f>
        <v>-72.849999999999994</v>
      </c>
      <c r="M111" s="1"/>
      <c r="N111" s="5">
        <f t="shared" ref="N111:N113" si="49">IF(H111=0,0,L111/H111)</f>
        <v>-0.26017857142857143</v>
      </c>
      <c r="O111" s="12"/>
      <c r="P111" s="1">
        <f>SUM(OSRRefP22_12x_0)</f>
        <v>2932.35</v>
      </c>
      <c r="Q111" s="1"/>
      <c r="R111" s="5">
        <f t="shared" ref="R111:R113" si="50">IF(P$12=0,0,P111/P$12)</f>
        <v>1.0163806446602942E-3</v>
      </c>
      <c r="S111" s="1"/>
      <c r="T111" s="1">
        <f>SUM(OSRRefT22_12x_0)</f>
        <v>3360</v>
      </c>
      <c r="U111" s="1"/>
      <c r="V111" s="5">
        <f t="shared" ref="V111:V113" si="51">IF(T$12=0,0,T111/T$12)</f>
        <v>1.1568455301347931E-3</v>
      </c>
      <c r="W111" s="1"/>
      <c r="X111" s="1">
        <f t="shared" ref="X111:X113" si="52">+P111-T111</f>
        <v>-427.65000000000009</v>
      </c>
      <c r="Y111" s="1"/>
      <c r="Z111" s="5">
        <f t="shared" ref="Z111:Z113" si="53">IF(T111=0,0,X111/T111)</f>
        <v>-0.12727678571428575</v>
      </c>
    </row>
    <row r="112" spans="1:26" s="24" customFormat="1" hidden="1" outlineLevel="2" x14ac:dyDescent="0.25">
      <c r="A112" s="27"/>
      <c r="B112" s="11" t="str">
        <f>CONCATENATE("          ", "6303", " - ", "DATA PHONE LINES")</f>
        <v xml:space="preserve">          6303 - DATA PHONE LINES</v>
      </c>
      <c r="C112" s="11"/>
      <c r="D112" s="6"/>
      <c r="E112" s="2"/>
      <c r="F112" s="7">
        <f t="shared" si="46"/>
        <v>0</v>
      </c>
      <c r="G112" s="2"/>
      <c r="H112" s="6">
        <v>280</v>
      </c>
      <c r="I112" s="2"/>
      <c r="J112" s="7">
        <f t="shared" si="47"/>
        <v>6.1990103722727125E-4</v>
      </c>
      <c r="K112" s="2"/>
      <c r="L112" s="6">
        <f t="shared" si="48"/>
        <v>-280</v>
      </c>
      <c r="M112" s="2"/>
      <c r="N112" s="7">
        <f t="shared" si="49"/>
        <v>-1</v>
      </c>
      <c r="O112" s="11"/>
      <c r="P112" s="6"/>
      <c r="Q112" s="2"/>
      <c r="R112" s="7">
        <f t="shared" si="50"/>
        <v>0</v>
      </c>
      <c r="S112" s="2"/>
      <c r="T112" s="6">
        <v>3360</v>
      </c>
      <c r="U112" s="2"/>
      <c r="V112" s="7">
        <f t="shared" si="51"/>
        <v>1.1568455301347931E-3</v>
      </c>
      <c r="W112" s="2"/>
      <c r="X112" s="6">
        <f t="shared" si="52"/>
        <v>-3360</v>
      </c>
      <c r="Y112" s="2"/>
      <c r="Z112" s="7">
        <f t="shared" si="53"/>
        <v>-1</v>
      </c>
    </row>
    <row r="113" spans="1:26" s="24" customFormat="1" hidden="1" outlineLevel="2" x14ac:dyDescent="0.25">
      <c r="A113" s="27"/>
      <c r="B113" s="11" t="str">
        <f>CONCATENATE("          ", "6309", " - ", "TELEPHONE")</f>
        <v xml:space="preserve">          6309 - TELEPHONE</v>
      </c>
      <c r="C113" s="11"/>
      <c r="D113" s="6">
        <v>207.15</v>
      </c>
      <c r="E113" s="2"/>
      <c r="F113" s="7">
        <f t="shared" si="46"/>
        <v>4.6279029730595956E-4</v>
      </c>
      <c r="G113" s="2"/>
      <c r="H113" s="6"/>
      <c r="I113" s="2"/>
      <c r="J113" s="7">
        <f t="shared" si="47"/>
        <v>0</v>
      </c>
      <c r="K113" s="2"/>
      <c r="L113" s="6">
        <f t="shared" si="48"/>
        <v>207.15</v>
      </c>
      <c r="M113" s="2"/>
      <c r="N113" s="7">
        <f t="shared" si="49"/>
        <v>0</v>
      </c>
      <c r="O113" s="11"/>
      <c r="P113" s="6">
        <v>2932.35</v>
      </c>
      <c r="Q113" s="2"/>
      <c r="R113" s="7">
        <f t="shared" si="50"/>
        <v>1.0163806446602942E-3</v>
      </c>
      <c r="S113" s="2"/>
      <c r="T113" s="6"/>
      <c r="U113" s="2"/>
      <c r="V113" s="7">
        <f t="shared" si="51"/>
        <v>0</v>
      </c>
      <c r="W113" s="2"/>
      <c r="X113" s="6">
        <f t="shared" si="52"/>
        <v>2932.35</v>
      </c>
      <c r="Y113" s="2"/>
      <c r="Z113" s="7">
        <f t="shared" si="53"/>
        <v>0</v>
      </c>
    </row>
    <row r="114" spans="1:26" s="26" customFormat="1" outlineLevel="1" collapsed="1" x14ac:dyDescent="0.25">
      <c r="A114" s="25"/>
      <c r="B114" s="12" t="str">
        <f>CONCATENATE("     ","Training                                          ")</f>
        <v xml:space="preserve">     Training                                          </v>
      </c>
      <c r="C114" s="12"/>
      <c r="D114" s="1">
        <f>SUM(OSRRefD22_13x_0)</f>
        <v>0</v>
      </c>
      <c r="E114" s="1"/>
      <c r="F114" s="5">
        <f t="shared" ref="F114:F117" si="54">IF(D$12=0,0,D114/D$12)</f>
        <v>0</v>
      </c>
      <c r="G114" s="1"/>
      <c r="H114" s="1">
        <f>SUM(OSRRefH22_13x_0)</f>
        <v>375</v>
      </c>
      <c r="I114" s="1"/>
      <c r="J114" s="5">
        <f t="shared" ref="J114:J117" si="55">IF(H$12=0,0,H114/H$12)</f>
        <v>8.3022460342938107E-4</v>
      </c>
      <c r="K114" s="1"/>
      <c r="L114" s="1">
        <f t="shared" ref="L114:L117" si="56">+D114-H114</f>
        <v>-375</v>
      </c>
      <c r="M114" s="1"/>
      <c r="N114" s="5">
        <f t="shared" ref="N114:N117" si="57">IF(H114=0,0,L114/H114)</f>
        <v>-1</v>
      </c>
      <c r="O114" s="12"/>
      <c r="P114" s="1">
        <f>SUM(OSRRefP22_13x_0)</f>
        <v>1875.75</v>
      </c>
      <c r="Q114" s="1"/>
      <c r="R114" s="5">
        <f t="shared" ref="R114:R117" si="58">IF(P$12=0,0,P114/P$12)</f>
        <v>6.5015294702936105E-4</v>
      </c>
      <c r="S114" s="1"/>
      <c r="T114" s="1">
        <f>SUM(OSRRefT22_13x_0)</f>
        <v>4500</v>
      </c>
      <c r="U114" s="1"/>
      <c r="V114" s="5">
        <f t="shared" ref="V114:V117" si="59">IF(T$12=0,0,T114/T$12)</f>
        <v>1.5493466921448122E-3</v>
      </c>
      <c r="W114" s="1"/>
      <c r="X114" s="1">
        <f t="shared" ref="X114:X117" si="60">+P114-T114</f>
        <v>-2624.25</v>
      </c>
      <c r="Y114" s="1"/>
      <c r="Z114" s="5">
        <f t="shared" ref="Z114:Z117" si="61">IF(T114=0,0,X114/T114)</f>
        <v>-0.58316666666666672</v>
      </c>
    </row>
    <row r="115" spans="1:26" s="24" customFormat="1" hidden="1" outlineLevel="2" x14ac:dyDescent="0.25">
      <c r="A115" s="27"/>
      <c r="B115" s="11" t="str">
        <f>CONCATENATE("          ", "6376", " - ", "TRAINING")</f>
        <v xml:space="preserve">          6376 - TRAINING</v>
      </c>
      <c r="C115" s="11"/>
      <c r="D115" s="6"/>
      <c r="E115" s="2"/>
      <c r="F115" s="7">
        <f t="shared" si="54"/>
        <v>0</v>
      </c>
      <c r="G115" s="2"/>
      <c r="H115" s="6">
        <v>375</v>
      </c>
      <c r="I115" s="2"/>
      <c r="J115" s="7">
        <f t="shared" si="55"/>
        <v>8.3022460342938107E-4</v>
      </c>
      <c r="K115" s="2"/>
      <c r="L115" s="6">
        <f t="shared" si="56"/>
        <v>-375</v>
      </c>
      <c r="M115" s="2"/>
      <c r="N115" s="7">
        <f t="shared" si="57"/>
        <v>-1</v>
      </c>
      <c r="O115" s="11"/>
      <c r="P115" s="6">
        <v>1875.75</v>
      </c>
      <c r="Q115" s="2"/>
      <c r="R115" s="7">
        <f t="shared" si="58"/>
        <v>6.5015294702936105E-4</v>
      </c>
      <c r="S115" s="2"/>
      <c r="T115" s="6">
        <v>4500</v>
      </c>
      <c r="U115" s="2"/>
      <c r="V115" s="7">
        <f t="shared" si="59"/>
        <v>1.5493466921448122E-3</v>
      </c>
      <c r="W115" s="2"/>
      <c r="X115" s="6">
        <f t="shared" si="60"/>
        <v>-2624.25</v>
      </c>
      <c r="Y115" s="2"/>
      <c r="Z115" s="7">
        <f t="shared" si="61"/>
        <v>-0.58316666666666672</v>
      </c>
    </row>
    <row r="116" spans="1:26" s="26" customFormat="1" outlineLevel="1" collapsed="1" x14ac:dyDescent="0.25">
      <c r="A116" s="25"/>
      <c r="B116" s="12" t="str">
        <f>CONCATENATE("     ","Travel                                            ")</f>
        <v xml:space="preserve">     Travel                                            </v>
      </c>
      <c r="C116" s="12"/>
      <c r="D116" s="1">
        <f>SUM(OSRRefD22_14x_0)</f>
        <v>0</v>
      </c>
      <c r="E116" s="1"/>
      <c r="F116" s="5">
        <f t="shared" si="54"/>
        <v>0</v>
      </c>
      <c r="G116" s="1"/>
      <c r="H116" s="1">
        <f>SUM(OSRRefH22_14x_0)</f>
        <v>0</v>
      </c>
      <c r="I116" s="1"/>
      <c r="J116" s="5">
        <f t="shared" si="55"/>
        <v>0</v>
      </c>
      <c r="K116" s="1"/>
      <c r="L116" s="1">
        <f t="shared" si="56"/>
        <v>0</v>
      </c>
      <c r="M116" s="1"/>
      <c r="N116" s="5">
        <f t="shared" si="57"/>
        <v>0</v>
      </c>
      <c r="O116" s="12"/>
      <c r="P116" s="1">
        <f>SUM(OSRRefP22_14x_0)</f>
        <v>-178.06</v>
      </c>
      <c r="Q116" s="1"/>
      <c r="R116" s="5">
        <f t="shared" si="58"/>
        <v>-6.1717304410528067E-5</v>
      </c>
      <c r="S116" s="1"/>
      <c r="T116" s="1">
        <f>SUM(OSRRefT22_14x_0)</f>
        <v>0</v>
      </c>
      <c r="U116" s="1"/>
      <c r="V116" s="5">
        <f t="shared" si="59"/>
        <v>0</v>
      </c>
      <c r="W116" s="1"/>
      <c r="X116" s="1">
        <f t="shared" si="60"/>
        <v>-178.06</v>
      </c>
      <c r="Y116" s="1"/>
      <c r="Z116" s="5">
        <f t="shared" si="61"/>
        <v>0</v>
      </c>
    </row>
    <row r="117" spans="1:26" s="24" customFormat="1" hidden="1" outlineLevel="2" x14ac:dyDescent="0.25">
      <c r="A117" s="27"/>
      <c r="B117" s="11" t="str">
        <f>CONCATENATE("          ", "6292", " - ", "TRAVEL/CONFERENCE")</f>
        <v xml:space="preserve">          6292 - TRAVEL/CONFERENCE</v>
      </c>
      <c r="C117" s="11"/>
      <c r="D117" s="6"/>
      <c r="E117" s="2"/>
      <c r="F117" s="7">
        <f t="shared" si="54"/>
        <v>0</v>
      </c>
      <c r="G117" s="2"/>
      <c r="H117" s="6"/>
      <c r="I117" s="2"/>
      <c r="J117" s="7">
        <f t="shared" si="55"/>
        <v>0</v>
      </c>
      <c r="K117" s="2"/>
      <c r="L117" s="6">
        <f t="shared" si="56"/>
        <v>0</v>
      </c>
      <c r="M117" s="2"/>
      <c r="N117" s="7">
        <f t="shared" si="57"/>
        <v>0</v>
      </c>
      <c r="O117" s="11"/>
      <c r="P117" s="6">
        <v>-178.06</v>
      </c>
      <c r="Q117" s="2"/>
      <c r="R117" s="7">
        <f t="shared" si="58"/>
        <v>-6.1717304410528067E-5</v>
      </c>
      <c r="S117" s="2"/>
      <c r="T117" s="6"/>
      <c r="U117" s="2"/>
      <c r="V117" s="7">
        <f t="shared" si="59"/>
        <v>0</v>
      </c>
      <c r="W117" s="2"/>
      <c r="X117" s="6">
        <f t="shared" si="60"/>
        <v>-178.06</v>
      </c>
      <c r="Y117" s="2"/>
      <c r="Z117" s="7">
        <f t="shared" si="61"/>
        <v>0</v>
      </c>
    </row>
    <row r="118" spans="1:26" s="60" customFormat="1" x14ac:dyDescent="0.25">
      <c r="A118" s="36"/>
      <c r="B118" s="36"/>
      <c r="C118" s="36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6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3" customFormat="1" collapsed="1" x14ac:dyDescent="0.25">
      <c r="A119" s="10"/>
      <c r="B119" s="28" t="s">
        <v>0</v>
      </c>
      <c r="C119" s="10"/>
      <c r="D119" s="4">
        <f>SUM(OSRRefD25x_0)</f>
        <v>557.77</v>
      </c>
      <c r="E119" s="4"/>
      <c r="F119" s="13">
        <f t="shared" ref="F119:F123" si="62">IF(D$12=0,0,D119/D$12)</f>
        <v>1.2461044852925178E-3</v>
      </c>
      <c r="G119" s="4"/>
      <c r="H119" s="4">
        <f>SUM(OSRRefH25x_0)</f>
        <v>1350</v>
      </c>
      <c r="I119" s="4"/>
      <c r="J119" s="13">
        <f t="shared" ref="J119:J123" si="63">IF(H$12=0,0,H119/H$12)</f>
        <v>2.9888085723457718E-3</v>
      </c>
      <c r="K119" s="4"/>
      <c r="L119" s="4">
        <f t="shared" ref="L119:L123" si="64">+D119-H119</f>
        <v>-792.23</v>
      </c>
      <c r="M119" s="4"/>
      <c r="N119" s="13">
        <f t="shared" ref="N119:N123" si="65">IF(H119=0,0,L119/H119)</f>
        <v>-0.58683703703703705</v>
      </c>
      <c r="O119" s="10"/>
      <c r="P119" s="4">
        <f>SUM(OSRRefP25x_0)</f>
        <v>13920.349999999999</v>
      </c>
      <c r="Q119" s="4"/>
      <c r="R119" s="13">
        <f t="shared" ref="R119:R123" si="66">IF(P$12=0,0,P119/P$12)</f>
        <v>4.8249268698814683E-3</v>
      </c>
      <c r="S119" s="4"/>
      <c r="T119" s="4">
        <f>SUM(OSRRefT25x_0)</f>
        <v>22950</v>
      </c>
      <c r="U119" s="4"/>
      <c r="V119" s="13">
        <f t="shared" ref="V119:V123" si="67">IF(T$12=0,0,T119/T$12)</f>
        <v>7.9016681299385431E-3</v>
      </c>
      <c r="W119" s="4"/>
      <c r="X119" s="4">
        <f t="shared" ref="X119:X123" si="68">+P119-T119</f>
        <v>-9029.6500000000015</v>
      </c>
      <c r="Y119" s="4"/>
      <c r="Z119" s="13">
        <f t="shared" ref="Z119:Z123" si="69">IF(T119=0,0,X119/T119)</f>
        <v>-0.39344880174291946</v>
      </c>
    </row>
    <row r="120" spans="1:26" s="24" customFormat="1" hidden="1" outlineLevel="1" x14ac:dyDescent="0.25">
      <c r="A120" s="44"/>
      <c r="B120" s="11" t="str">
        <f>CONCATENATE("          ", "4187", " - ", "NON-TAXABLE SALES-COMPUTER REP")</f>
        <v xml:space="preserve">          4187 - NON-TAXABLE SALES-COMPUTER REP</v>
      </c>
      <c r="C120" s="11"/>
      <c r="D120" s="2">
        <f>--166.52</f>
        <v>166.52</v>
      </c>
      <c r="E120" s="2"/>
      <c r="F120" s="19">
        <f t="shared" si="62"/>
        <v>3.7201950425965917E-4</v>
      </c>
      <c r="G120" s="2"/>
      <c r="H120" s="2"/>
      <c r="I120" s="2"/>
      <c r="J120" s="19">
        <f t="shared" si="63"/>
        <v>0</v>
      </c>
      <c r="K120" s="2"/>
      <c r="L120" s="2">
        <f t="shared" si="64"/>
        <v>166.52</v>
      </c>
      <c r="M120" s="2"/>
      <c r="N120" s="19">
        <f t="shared" si="65"/>
        <v>0</v>
      </c>
      <c r="O120" s="11"/>
      <c r="P120" s="2">
        <f>--16449.71</f>
        <v>16449.71</v>
      </c>
      <c r="Q120" s="2"/>
      <c r="R120" s="19">
        <f t="shared" si="66"/>
        <v>5.7016273140228441E-3</v>
      </c>
      <c r="S120" s="2"/>
      <c r="T120" s="2"/>
      <c r="U120" s="2"/>
      <c r="V120" s="19">
        <f t="shared" si="67"/>
        <v>0</v>
      </c>
      <c r="W120" s="2"/>
      <c r="X120" s="2">
        <f t="shared" si="68"/>
        <v>16449.71</v>
      </c>
      <c r="Y120" s="2"/>
      <c r="Z120" s="19">
        <f t="shared" si="69"/>
        <v>0</v>
      </c>
    </row>
    <row r="121" spans="1:26" s="24" customFormat="1" hidden="1" outlineLevel="1" x14ac:dyDescent="0.25">
      <c r="A121" s="44"/>
      <c r="B121" s="11" t="str">
        <f>CONCATENATE("          ", "4387", " - ", "SALES RETURN NON TAXABLE-COMPU")</f>
        <v xml:space="preserve">          4387 - SALES RETURN NON TAXABLE-COMPU</v>
      </c>
      <c r="C121" s="11"/>
      <c r="D121" s="2">
        <f t="shared" ref="D121:D122" si="70">0</f>
        <v>0</v>
      </c>
      <c r="E121" s="2"/>
      <c r="F121" s="19">
        <f t="shared" si="62"/>
        <v>0</v>
      </c>
      <c r="G121" s="2"/>
      <c r="H121" s="2"/>
      <c r="I121" s="2"/>
      <c r="J121" s="19">
        <f t="shared" si="63"/>
        <v>0</v>
      </c>
      <c r="K121" s="2"/>
      <c r="L121" s="2">
        <f t="shared" si="64"/>
        <v>0</v>
      </c>
      <c r="M121" s="2"/>
      <c r="N121" s="19">
        <f t="shared" si="65"/>
        <v>0</v>
      </c>
      <c r="O121" s="11"/>
      <c r="P121" s="2">
        <f>-7889</f>
        <v>-7889</v>
      </c>
      <c r="Q121" s="2"/>
      <c r="R121" s="19">
        <f t="shared" si="66"/>
        <v>-2.7344030916244856E-3</v>
      </c>
      <c r="S121" s="2"/>
      <c r="T121" s="2"/>
      <c r="U121" s="2"/>
      <c r="V121" s="19">
        <f t="shared" si="67"/>
        <v>0</v>
      </c>
      <c r="W121" s="2"/>
      <c r="X121" s="2">
        <f t="shared" si="68"/>
        <v>-7889</v>
      </c>
      <c r="Y121" s="2"/>
      <c r="Z121" s="19">
        <f t="shared" si="69"/>
        <v>0</v>
      </c>
    </row>
    <row r="122" spans="1:26" s="24" customFormat="1" hidden="1" outlineLevel="1" x14ac:dyDescent="0.25">
      <c r="A122" s="44"/>
      <c r="B122" s="11" t="str">
        <f>CONCATENATE("          ", "5087", " - ", "PURCHASES @ COST-COMPUTER REPA")</f>
        <v xml:space="preserve">          5087 - PURCHASES @ COST-COMPUTER REPA</v>
      </c>
      <c r="C122" s="11"/>
      <c r="D122" s="2">
        <f t="shared" si="70"/>
        <v>0</v>
      </c>
      <c r="E122" s="2"/>
      <c r="F122" s="19">
        <f t="shared" si="62"/>
        <v>0</v>
      </c>
      <c r="G122" s="2"/>
      <c r="H122" s="2"/>
      <c r="I122" s="2"/>
      <c r="J122" s="19">
        <f t="shared" si="63"/>
        <v>0</v>
      </c>
      <c r="K122" s="2"/>
      <c r="L122" s="2">
        <f t="shared" si="64"/>
        <v>0</v>
      </c>
      <c r="M122" s="2"/>
      <c r="N122" s="19">
        <f t="shared" si="65"/>
        <v>0</v>
      </c>
      <c r="O122" s="11"/>
      <c r="P122" s="2">
        <f>-72.06</f>
        <v>-72.06</v>
      </c>
      <c r="Q122" s="2"/>
      <c r="R122" s="19">
        <f t="shared" si="66"/>
        <v>-2.4976687385278291E-5</v>
      </c>
      <c r="S122" s="2"/>
      <c r="T122" s="2"/>
      <c r="U122" s="2"/>
      <c r="V122" s="19">
        <f t="shared" si="67"/>
        <v>0</v>
      </c>
      <c r="W122" s="2"/>
      <c r="X122" s="2">
        <f t="shared" si="68"/>
        <v>-72.06</v>
      </c>
      <c r="Y122" s="2"/>
      <c r="Z122" s="19">
        <f t="shared" si="69"/>
        <v>0</v>
      </c>
    </row>
    <row r="123" spans="1:26" s="24" customFormat="1" hidden="1" outlineLevel="1" x14ac:dyDescent="0.25">
      <c r="A123" s="44"/>
      <c r="B123" s="11" t="str">
        <f>CONCATENATE("          ", "9150", " - ", "MISC. INCOME")</f>
        <v xml:space="preserve">          9150 - MISC. INCOME</v>
      </c>
      <c r="C123" s="11"/>
      <c r="D123" s="2">
        <f>--391.25</f>
        <v>391.25</v>
      </c>
      <c r="E123" s="2"/>
      <c r="F123" s="19">
        <f t="shared" si="62"/>
        <v>8.740849810328587E-4</v>
      </c>
      <c r="G123" s="2"/>
      <c r="H123" s="2">
        <v>1350</v>
      </c>
      <c r="I123" s="2"/>
      <c r="J123" s="19">
        <f t="shared" si="63"/>
        <v>2.9888085723457718E-3</v>
      </c>
      <c r="K123" s="2"/>
      <c r="L123" s="2">
        <f t="shared" si="64"/>
        <v>-958.75</v>
      </c>
      <c r="M123" s="2"/>
      <c r="N123" s="19">
        <f t="shared" si="65"/>
        <v>-0.71018518518518514</v>
      </c>
      <c r="O123" s="11"/>
      <c r="P123" s="2">
        <f>--5431.7</f>
        <v>5431.7</v>
      </c>
      <c r="Q123" s="2"/>
      <c r="R123" s="19">
        <f t="shared" si="66"/>
        <v>1.8826793348683886E-3</v>
      </c>
      <c r="S123" s="2"/>
      <c r="T123" s="2">
        <v>22950</v>
      </c>
      <c r="U123" s="2"/>
      <c r="V123" s="19">
        <f t="shared" si="67"/>
        <v>7.9016681299385431E-3</v>
      </c>
      <c r="W123" s="2"/>
      <c r="X123" s="2">
        <f t="shared" si="68"/>
        <v>-17518.3</v>
      </c>
      <c r="Y123" s="2"/>
      <c r="Z123" s="19">
        <f t="shared" si="69"/>
        <v>-0.76332461873638346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10"/>
      <c r="B125" s="29" t="s">
        <v>3</v>
      </c>
      <c r="C125" s="29"/>
      <c r="D125" s="22">
        <f>+D58-D60+D119</f>
        <v>154690.10999999996</v>
      </c>
      <c r="E125" s="14"/>
      <c r="F125" s="20">
        <f>IF(D$12=0,0,D125/D$12)</f>
        <v>0.34559054789858346</v>
      </c>
      <c r="G125" s="14"/>
      <c r="H125" s="22">
        <f>+H58-H60+H119</f>
        <v>45109.082452418079</v>
      </c>
      <c r="I125" s="14"/>
      <c r="J125" s="20">
        <f>IF(H$12=0,0,H125/H$12)</f>
        <v>9.9868453573658811E-2</v>
      </c>
      <c r="K125" s="15"/>
      <c r="L125" s="22">
        <f>+D125-H125</f>
        <v>109581.02754758188</v>
      </c>
      <c r="M125" s="15"/>
      <c r="N125" s="20">
        <f>IF(H125=0,0,L125/H125)</f>
        <v>2.4292453224507513</v>
      </c>
      <c r="O125" s="28"/>
      <c r="P125" s="22">
        <f>+P58-P60+P119</f>
        <v>273652.22000000026</v>
      </c>
      <c r="Q125" s="14"/>
      <c r="R125" s="20">
        <f>IF(P$12=0,0,P125/P$12)</f>
        <v>9.4850485029522702E-2</v>
      </c>
      <c r="S125" s="14"/>
      <c r="T125" s="22">
        <f>+T58-T60+T119</f>
        <v>297897.32588171499</v>
      </c>
      <c r="U125" s="14"/>
      <c r="V125" s="20">
        <f>IF(T$12=0,0,T125/T$12)</f>
        <v>0.10256583032302673</v>
      </c>
      <c r="W125" s="15"/>
      <c r="X125" s="22">
        <f>+P125-T125</f>
        <v>-24245.105881714728</v>
      </c>
      <c r="Y125" s="15"/>
      <c r="Z125" s="20">
        <f>IF(T125=0,0,X125/T125)</f>
        <v>-8.1387457272247027E-2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52"/>
      <c r="B127" s="10" t="s">
        <v>14</v>
      </c>
      <c r="C127" s="10"/>
      <c r="D127" s="4">
        <v>148266.75999999998</v>
      </c>
      <c r="E127" s="4"/>
      <c r="F127" s="13">
        <f>IF(D$12=0,0,D127/D$12)</f>
        <v>0.33124025074096713</v>
      </c>
      <c r="G127" s="4"/>
      <c r="H127" s="4">
        <v>91659</v>
      </c>
      <c r="I127" s="4"/>
      <c r="J127" s="13">
        <f>IF(H$12=0,0,H127/H$12)</f>
        <v>0.20292681846862304</v>
      </c>
      <c r="K127" s="4"/>
      <c r="L127" s="4">
        <f>+D127-H127</f>
        <v>56607.75999999998</v>
      </c>
      <c r="M127" s="4"/>
      <c r="N127" s="13">
        <f>IF(H127=0,0,L127/H127)</f>
        <v>0.61759085305316419</v>
      </c>
      <c r="O127" s="10"/>
      <c r="P127" s="4">
        <v>436914.47</v>
      </c>
      <c r="Q127" s="4"/>
      <c r="R127" s="13">
        <f>IF(P$12=0,0,P127/P$12)</f>
        <v>0.15143874731188661</v>
      </c>
      <c r="S127" s="4"/>
      <c r="T127" s="4">
        <v>375751</v>
      </c>
      <c r="U127" s="4"/>
      <c r="V127" s="13">
        <f>IF(T$12=0,0,T127/T$12)</f>
        <v>0.12937079309335675</v>
      </c>
      <c r="W127" s="4"/>
      <c r="X127" s="4">
        <f>+P127-T127</f>
        <v>61163.469999999972</v>
      </c>
      <c r="Y127" s="4"/>
      <c r="Z127" s="13">
        <f>IF(T127=0,0,X127/T127)</f>
        <v>0.16277659939694097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9" t="s">
        <v>4</v>
      </c>
      <c r="C129" s="29"/>
      <c r="D129" s="31">
        <f>+D125-D127</f>
        <v>6423.3499999999767</v>
      </c>
      <c r="E129" s="14"/>
      <c r="F129" s="33">
        <f>IF(D$12=0,0,D129/D$12)</f>
        <v>1.4350297157616338E-2</v>
      </c>
      <c r="G129" s="14"/>
      <c r="H129" s="31">
        <f>+H125-H127</f>
        <v>-46549.917547581921</v>
      </c>
      <c r="I129" s="14"/>
      <c r="J129" s="33">
        <f>IF(H$12=0,0,H129/H$12)</f>
        <v>-0.10305836489496424</v>
      </c>
      <c r="K129" s="15"/>
      <c r="L129" s="31">
        <f>D129-H129</f>
        <v>52973.267547581898</v>
      </c>
      <c r="M129" s="15"/>
      <c r="N129" s="33">
        <f>IF(H129=0,0,L129/H129)</f>
        <v>-1.1379884291617535</v>
      </c>
      <c r="O129" s="28"/>
      <c r="P129" s="31">
        <f>+P125-P127</f>
        <v>-163262.24999999971</v>
      </c>
      <c r="Q129" s="14"/>
      <c r="R129" s="33">
        <f>IF(P$12=0,0,P129/P$12)</f>
        <v>-5.658826228236391E-2</v>
      </c>
      <c r="S129" s="14"/>
      <c r="T129" s="31">
        <f>+T125-T127</f>
        <v>-77853.674118285009</v>
      </c>
      <c r="U129" s="14"/>
      <c r="V129" s="33">
        <f>IF(T$12=0,0,T129/T$12)</f>
        <v>-2.6804962770330013E-2</v>
      </c>
      <c r="W129" s="15"/>
      <c r="X129" s="31">
        <f>P129-T129</f>
        <v>-85408.5758817147</v>
      </c>
      <c r="Y129" s="15"/>
      <c r="Z129" s="33">
        <f>IF(T129=0,0,X129/T129)</f>
        <v>1.0970397588680445</v>
      </c>
    </row>
    <row r="130" spans="1:26" ht="15.75" thickTop="1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9" t="s">
        <v>5</v>
      </c>
      <c r="C132" s="29"/>
      <c r="D132" s="34">
        <f>SUM(D129:D131)</f>
        <v>6423.3499999999767</v>
      </c>
      <c r="E132" s="14"/>
      <c r="F132" s="35">
        <f>IF(D$12=0,0,D132/D$12)</f>
        <v>1.4350297157616338E-2</v>
      </c>
      <c r="G132" s="14"/>
      <c r="H132" s="34">
        <f>SUM(H129:H131)</f>
        <v>-46549.917547581921</v>
      </c>
      <c r="I132" s="14"/>
      <c r="J132" s="35">
        <f>IF(H$12=0,0,H132/H$12)</f>
        <v>-0.10305836489496424</v>
      </c>
      <c r="K132" s="15"/>
      <c r="L132" s="34">
        <f>+D132-H132</f>
        <v>52973.267547581898</v>
      </c>
      <c r="M132" s="15"/>
      <c r="N132" s="35">
        <f>IF(H132=0,0,L132/H132)</f>
        <v>-1.1379884291617535</v>
      </c>
      <c r="O132" s="28"/>
      <c r="P132" s="34">
        <f>SUM(P129:P131)</f>
        <v>-163262.24999999971</v>
      </c>
      <c r="Q132" s="14"/>
      <c r="R132" s="35">
        <f>IF(P$12=0,0,P132/P$12)</f>
        <v>-5.658826228236391E-2</v>
      </c>
      <c r="S132" s="14"/>
      <c r="T132" s="34">
        <f>SUM(T129:T131)</f>
        <v>-77853.674118285009</v>
      </c>
      <c r="U132" s="14"/>
      <c r="V132" s="35">
        <f>IF(T$12=0,0,T132/T$12)</f>
        <v>-2.6804962770330013E-2</v>
      </c>
      <c r="W132" s="15"/>
      <c r="X132" s="34">
        <f>+P132-T132</f>
        <v>-85408.5758817147</v>
      </c>
      <c r="Y132" s="15"/>
      <c r="Z132" s="35">
        <f>IF(T132=0,0,X132/T132)</f>
        <v>1.0970397588680445</v>
      </c>
    </row>
    <row r="133" spans="1:26" ht="15.75" thickTop="1" x14ac:dyDescent="0.25">
      <c r="A133" s="9"/>
      <c r="C133" s="9"/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A134" s="9"/>
      <c r="B134" s="55">
        <v>44043.473121331015</v>
      </c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62" t="s">
        <v>314</v>
      </c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A136" s="9"/>
      <c r="B136" s="63"/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7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","317", " - ", "Computer Store")</f>
        <v>Department 317 - Computer Store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447610.93999999994</v>
      </c>
      <c r="E12" s="4"/>
      <c r="F12" s="13"/>
      <c r="G12" s="4"/>
      <c r="H12" s="4">
        <f>SUM(OSRRefH13x_0)</f>
        <v>451685</v>
      </c>
      <c r="I12" s="4"/>
      <c r="J12" s="13"/>
      <c r="K12" s="4"/>
      <c r="L12" s="4">
        <f t="shared" ref="L12:L38" si="0">+D12-H12</f>
        <v>-4074.0600000000559</v>
      </c>
      <c r="M12" s="4"/>
      <c r="N12" s="13">
        <f t="shared" ref="N12:N38" si="1">IF(H12=0,0,L12/H12)</f>
        <v>-9.0196929275934683E-3</v>
      </c>
      <c r="O12" s="10"/>
      <c r="P12" s="4">
        <f>SUM(OSRRefP13x_0)</f>
        <v>2885090.36</v>
      </c>
      <c r="Q12" s="4"/>
      <c r="R12" s="13"/>
      <c r="S12" s="4"/>
      <c r="T12" s="4">
        <f>SUM(OSRRefT13x_0)</f>
        <v>2904450</v>
      </c>
      <c r="U12" s="4"/>
      <c r="V12" s="13"/>
      <c r="W12" s="4"/>
      <c r="X12" s="4">
        <f t="shared" ref="X12:X38" si="2">+P12-T12</f>
        <v>-19359.64000000013</v>
      </c>
      <c r="Y12" s="4"/>
      <c r="Z12" s="13">
        <f t="shared" ref="Z12:Z38" si="3">IF(T12=0,0,X12/T12)</f>
        <v>-6.6655098211365772E-3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397483</v>
      </c>
      <c r="I13" s="2"/>
      <c r="J13" s="19"/>
      <c r="K13" s="2"/>
      <c r="L13" s="2">
        <f t="shared" si="0"/>
        <v>-397483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2555915</v>
      </c>
      <c r="U13" s="2"/>
      <c r="V13" s="19"/>
      <c r="W13" s="2"/>
      <c r="X13" s="2">
        <f t="shared" si="2"/>
        <v>-2555915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--1708.99</f>
        <v>1708.99</v>
      </c>
      <c r="E14" s="2"/>
      <c r="F14" s="19"/>
      <c r="G14" s="2"/>
      <c r="H14" s="2"/>
      <c r="I14" s="2"/>
      <c r="J14" s="19"/>
      <c r="K14" s="2"/>
      <c r="L14" s="2">
        <f t="shared" si="0"/>
        <v>1708.99</v>
      </c>
      <c r="M14" s="2"/>
      <c r="N14" s="19">
        <f t="shared" si="1"/>
        <v>0</v>
      </c>
      <c r="O14" s="11"/>
      <c r="P14" s="2">
        <f>--314869.02</f>
        <v>314869.02</v>
      </c>
      <c r="Q14" s="2"/>
      <c r="R14" s="19"/>
      <c r="S14" s="2"/>
      <c r="T14" s="2"/>
      <c r="U14" s="2"/>
      <c r="V14" s="19"/>
      <c r="W14" s="2"/>
      <c r="X14" s="2">
        <f t="shared" si="2"/>
        <v>314869.02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--391247.66</f>
        <v>391247.66</v>
      </c>
      <c r="E15" s="2"/>
      <c r="F15" s="19"/>
      <c r="G15" s="2"/>
      <c r="H15" s="2"/>
      <c r="I15" s="2"/>
      <c r="J15" s="19"/>
      <c r="K15" s="2"/>
      <c r="L15" s="2">
        <f t="shared" si="0"/>
        <v>391247.66</v>
      </c>
      <c r="M15" s="2"/>
      <c r="N15" s="19">
        <f t="shared" si="1"/>
        <v>0</v>
      </c>
      <c r="O15" s="11"/>
      <c r="P15" s="2">
        <f>--2373486.44</f>
        <v>2373486.44</v>
      </c>
      <c r="Q15" s="2"/>
      <c r="R15" s="19"/>
      <c r="S15" s="2"/>
      <c r="T15" s="2"/>
      <c r="U15" s="2"/>
      <c r="V15" s="19"/>
      <c r="W15" s="2"/>
      <c r="X15" s="2">
        <f t="shared" si="2"/>
        <v>2373486.44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--32731.49</f>
        <v>32731.49</v>
      </c>
      <c r="E16" s="2"/>
      <c r="F16" s="19"/>
      <c r="G16" s="2"/>
      <c r="H16" s="2"/>
      <c r="I16" s="2"/>
      <c r="J16" s="19"/>
      <c r="K16" s="2"/>
      <c r="L16" s="2">
        <f t="shared" si="0"/>
        <v>32731.49</v>
      </c>
      <c r="M16" s="2"/>
      <c r="N16" s="19">
        <f t="shared" si="1"/>
        <v>0</v>
      </c>
      <c r="O16" s="11"/>
      <c r="P16" s="2">
        <f>--138235.56</f>
        <v>138235.56</v>
      </c>
      <c r="Q16" s="2"/>
      <c r="R16" s="19"/>
      <c r="S16" s="2"/>
      <c r="T16" s="2"/>
      <c r="U16" s="2"/>
      <c r="V16" s="19"/>
      <c r="W16" s="2"/>
      <c r="X16" s="2">
        <f t="shared" si="2"/>
        <v>138235.56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--4587.93</f>
        <v>4587.93</v>
      </c>
      <c r="Q18" s="2"/>
      <c r="R18" s="19"/>
      <c r="S18" s="2"/>
      <c r="T18" s="2"/>
      <c r="U18" s="2"/>
      <c r="V18" s="19"/>
      <c r="W18" s="2"/>
      <c r="X18" s="2">
        <f t="shared" si="2"/>
        <v>4587.93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--114.95</f>
        <v>114.95</v>
      </c>
      <c r="E19" s="2"/>
      <c r="F19" s="19"/>
      <c r="G19" s="2"/>
      <c r="H19" s="2"/>
      <c r="I19" s="2"/>
      <c r="J19" s="19"/>
      <c r="K19" s="2"/>
      <c r="L19" s="2">
        <f t="shared" si="0"/>
        <v>114.95</v>
      </c>
      <c r="M19" s="2"/>
      <c r="N19" s="19">
        <f t="shared" si="1"/>
        <v>0</v>
      </c>
      <c r="O19" s="11"/>
      <c r="P19" s="2">
        <f>--48830.67</f>
        <v>48830.67</v>
      </c>
      <c r="Q19" s="2"/>
      <c r="R19" s="19"/>
      <c r="S19" s="2"/>
      <c r="T19" s="2"/>
      <c r="U19" s="2"/>
      <c r="V19" s="19"/>
      <c r="W19" s="2"/>
      <c r="X19" s="2">
        <f t="shared" si="2"/>
        <v>48830.67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--356</f>
        <v>356</v>
      </c>
      <c r="E20" s="2"/>
      <c r="F20" s="19"/>
      <c r="G20" s="2"/>
      <c r="H20" s="2"/>
      <c r="I20" s="2"/>
      <c r="J20" s="19"/>
      <c r="K20" s="2"/>
      <c r="L20" s="2">
        <f t="shared" si="0"/>
        <v>356</v>
      </c>
      <c r="M20" s="2"/>
      <c r="N20" s="19">
        <f t="shared" si="1"/>
        <v>0</v>
      </c>
      <c r="O20" s="11"/>
      <c r="P20" s="2">
        <f>--3151.75</f>
        <v>3151.75</v>
      </c>
      <c r="Q20" s="2"/>
      <c r="R20" s="19"/>
      <c r="S20" s="2"/>
      <c r="T20" s="2"/>
      <c r="U20" s="2"/>
      <c r="V20" s="19"/>
      <c r="W20" s="2"/>
      <c r="X20" s="2">
        <f t="shared" si="2"/>
        <v>3151.75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54202</v>
      </c>
      <c r="I21" s="2"/>
      <c r="J21" s="19"/>
      <c r="K21" s="2"/>
      <c r="L21" s="2">
        <f t="shared" si="0"/>
        <v>-54202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348535</v>
      </c>
      <c r="U21" s="2"/>
      <c r="V21" s="19"/>
      <c r="W21" s="2"/>
      <c r="X21" s="2">
        <f t="shared" si="2"/>
        <v>-348535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--1267.95</f>
        <v>1267.95</v>
      </c>
      <c r="E22" s="2"/>
      <c r="F22" s="19"/>
      <c r="G22" s="2"/>
      <c r="H22" s="2"/>
      <c r="I22" s="2"/>
      <c r="J22" s="19"/>
      <c r="K22" s="2"/>
      <c r="L22" s="2">
        <f t="shared" si="0"/>
        <v>1267.95</v>
      </c>
      <c r="M22" s="2"/>
      <c r="N22" s="19">
        <f t="shared" si="1"/>
        <v>0</v>
      </c>
      <c r="O22" s="11"/>
      <c r="P22" s="2">
        <f>--3925.74</f>
        <v>3925.74</v>
      </c>
      <c r="Q22" s="2"/>
      <c r="R22" s="19"/>
      <c r="S22" s="2"/>
      <c r="T22" s="2"/>
      <c r="U22" s="2"/>
      <c r="V22" s="19"/>
      <c r="W22" s="2"/>
      <c r="X22" s="2">
        <f t="shared" si="2"/>
        <v>3925.74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--45022.25</f>
        <v>45022.25</v>
      </c>
      <c r="E23" s="2"/>
      <c r="F23" s="19"/>
      <c r="G23" s="2"/>
      <c r="H23" s="2"/>
      <c r="I23" s="2"/>
      <c r="J23" s="19"/>
      <c r="K23" s="2"/>
      <c r="L23" s="2">
        <f t="shared" si="0"/>
        <v>45022.25</v>
      </c>
      <c r="M23" s="2"/>
      <c r="N23" s="19">
        <f t="shared" si="1"/>
        <v>0</v>
      </c>
      <c r="O23" s="11"/>
      <c r="P23" s="2">
        <f>--221223.79</f>
        <v>221223.79</v>
      </c>
      <c r="Q23" s="2"/>
      <c r="R23" s="19"/>
      <c r="S23" s="2"/>
      <c r="T23" s="2"/>
      <c r="U23" s="2"/>
      <c r="V23" s="19"/>
      <c r="W23" s="2"/>
      <c r="X23" s="2">
        <f t="shared" si="2"/>
        <v>221223.79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--1394.82</f>
        <v>1394.82</v>
      </c>
      <c r="E24" s="2"/>
      <c r="F24" s="19"/>
      <c r="G24" s="2"/>
      <c r="H24" s="2"/>
      <c r="I24" s="2"/>
      <c r="J24" s="19"/>
      <c r="K24" s="2"/>
      <c r="L24" s="2">
        <f t="shared" si="0"/>
        <v>1394.82</v>
      </c>
      <c r="M24" s="2"/>
      <c r="N24" s="19">
        <f t="shared" si="1"/>
        <v>0</v>
      </c>
      <c r="O24" s="11"/>
      <c r="P24" s="2">
        <f>--12822.38</f>
        <v>12822.38</v>
      </c>
      <c r="Q24" s="2"/>
      <c r="R24" s="19"/>
      <c r="S24" s="2"/>
      <c r="T24" s="2"/>
      <c r="U24" s="2"/>
      <c r="V24" s="19"/>
      <c r="W24" s="2"/>
      <c r="X24" s="2">
        <f t="shared" si="2"/>
        <v>12822.38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--5267.75</f>
        <v>5267.75</v>
      </c>
      <c r="E26" s="2"/>
      <c r="F26" s="19"/>
      <c r="G26" s="2"/>
      <c r="H26" s="2"/>
      <c r="I26" s="2"/>
      <c r="J26" s="19"/>
      <c r="K26" s="2"/>
      <c r="L26" s="2">
        <f t="shared" si="0"/>
        <v>5267.75</v>
      </c>
      <c r="M26" s="2"/>
      <c r="N26" s="19">
        <f t="shared" si="1"/>
        <v>0</v>
      </c>
      <c r="O26" s="11"/>
      <c r="P26" s="2">
        <f>--25792.1</f>
        <v>25792.1</v>
      </c>
      <c r="Q26" s="2"/>
      <c r="R26" s="19"/>
      <c r="S26" s="2"/>
      <c r="T26" s="2"/>
      <c r="U26" s="2"/>
      <c r="V26" s="19"/>
      <c r="W26" s="2"/>
      <c r="X26" s="2">
        <f t="shared" si="2"/>
        <v>25792.1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--431.97</f>
        <v>431.97</v>
      </c>
      <c r="E27" s="2"/>
      <c r="F27" s="19"/>
      <c r="G27" s="2"/>
      <c r="H27" s="2"/>
      <c r="I27" s="2"/>
      <c r="J27" s="19"/>
      <c r="K27" s="2"/>
      <c r="L27" s="2">
        <f t="shared" si="0"/>
        <v>431.97</v>
      </c>
      <c r="M27" s="2"/>
      <c r="N27" s="19">
        <f t="shared" si="1"/>
        <v>0</v>
      </c>
      <c r="O27" s="11"/>
      <c r="P27" s="2">
        <f>--3358.05</f>
        <v>3358.05</v>
      </c>
      <c r="Q27" s="2"/>
      <c r="R27" s="19"/>
      <c r="S27" s="2"/>
      <c r="T27" s="2"/>
      <c r="U27" s="2"/>
      <c r="V27" s="19"/>
      <c r="W27" s="2"/>
      <c r="X27" s="2">
        <f t="shared" si="2"/>
        <v>3358.05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--343.94</f>
        <v>343.94</v>
      </c>
      <c r="Q28" s="2"/>
      <c r="R28" s="19"/>
      <c r="S28" s="2"/>
      <c r="T28" s="2"/>
      <c r="U28" s="2"/>
      <c r="V28" s="19"/>
      <c r="W28" s="2"/>
      <c r="X28" s="2">
        <f t="shared" si="2"/>
        <v>343.94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-159</f>
        <v>-159</v>
      </c>
      <c r="E29" s="2"/>
      <c r="F29" s="19"/>
      <c r="G29" s="2"/>
      <c r="H29" s="2"/>
      <c r="I29" s="2"/>
      <c r="J29" s="19"/>
      <c r="K29" s="2"/>
      <c r="L29" s="2">
        <f t="shared" si="0"/>
        <v>-159</v>
      </c>
      <c r="M29" s="2"/>
      <c r="N29" s="19">
        <f t="shared" si="1"/>
        <v>0</v>
      </c>
      <c r="O29" s="11"/>
      <c r="P29" s="2">
        <f>-8099.7</f>
        <v>-8099.7</v>
      </c>
      <c r="Q29" s="2"/>
      <c r="R29" s="19"/>
      <c r="S29" s="2"/>
      <c r="T29" s="2"/>
      <c r="U29" s="2"/>
      <c r="V29" s="19"/>
      <c r="W29" s="2"/>
      <c r="X29" s="2">
        <f t="shared" si="2"/>
        <v>-8099.7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-31763.9</f>
        <v>-31763.9</v>
      </c>
      <c r="E30" s="2"/>
      <c r="F30" s="19"/>
      <c r="G30" s="2"/>
      <c r="H30" s="2"/>
      <c r="I30" s="2"/>
      <c r="J30" s="19"/>
      <c r="K30" s="2"/>
      <c r="L30" s="2">
        <f t="shared" si="0"/>
        <v>-31763.9</v>
      </c>
      <c r="M30" s="2"/>
      <c r="N30" s="19">
        <f t="shared" si="1"/>
        <v>0</v>
      </c>
      <c r="O30" s="11"/>
      <c r="P30" s="2">
        <f>-247392.7</f>
        <v>-247392.7</v>
      </c>
      <c r="Q30" s="2"/>
      <c r="R30" s="19"/>
      <c r="S30" s="2"/>
      <c r="T30" s="2"/>
      <c r="U30" s="2"/>
      <c r="V30" s="19"/>
      <c r="W30" s="2"/>
      <c r="X30" s="2">
        <f t="shared" si="2"/>
        <v>-247392.7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-9.99</f>
        <v>-9.99</v>
      </c>
      <c r="E31" s="2"/>
      <c r="F31" s="19"/>
      <c r="G31" s="2"/>
      <c r="H31" s="2"/>
      <c r="I31" s="2"/>
      <c r="J31" s="19"/>
      <c r="K31" s="2"/>
      <c r="L31" s="2">
        <f t="shared" si="0"/>
        <v>-9.99</v>
      </c>
      <c r="M31" s="2"/>
      <c r="N31" s="19">
        <f t="shared" si="1"/>
        <v>0</v>
      </c>
      <c r="O31" s="11"/>
      <c r="P31" s="2">
        <f>-6718.01</f>
        <v>-6718.01</v>
      </c>
      <c r="Q31" s="2"/>
      <c r="R31" s="19"/>
      <c r="S31" s="2"/>
      <c r="T31" s="2"/>
      <c r="U31" s="2"/>
      <c r="V31" s="19"/>
      <c r="W31" s="2"/>
      <c r="X31" s="2">
        <f t="shared" si="2"/>
        <v>-6718.01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8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-805.97</f>
        <v>-805.97</v>
      </c>
      <c r="Q33" s="2"/>
      <c r="R33" s="19"/>
      <c r="S33" s="2"/>
      <c r="T33" s="2"/>
      <c r="U33" s="2"/>
      <c r="V33" s="19"/>
      <c r="W33" s="2"/>
      <c r="X33" s="2">
        <f t="shared" si="2"/>
        <v>-805.97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-3660.86</f>
        <v>-3660.86</v>
      </c>
      <c r="Q34" s="2"/>
      <c r="R34" s="19"/>
      <c r="S34" s="2"/>
      <c r="T34" s="2"/>
      <c r="U34" s="2"/>
      <c r="V34" s="19"/>
      <c r="W34" s="2"/>
      <c r="X34" s="2">
        <f t="shared" si="2"/>
        <v>-3660.86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si="5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-152.99</f>
        <v>-152.99</v>
      </c>
      <c r="Q35" s="2"/>
      <c r="R35" s="19"/>
      <c r="S35" s="2"/>
      <c r="T35" s="2"/>
      <c r="U35" s="2"/>
      <c r="V35" s="19"/>
      <c r="W35" s="2"/>
      <c r="X35" s="2">
        <f t="shared" si="2"/>
        <v>-152.99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5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5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5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325888.92</v>
      </c>
      <c r="E40" s="4"/>
      <c r="F40" s="13">
        <f t="shared" ref="F40:F56" si="6">IF(D$12=0,0,D40/D$12)</f>
        <v>0.72806290212656555</v>
      </c>
      <c r="G40" s="4"/>
      <c r="H40" s="4">
        <f>SUM(OSRRefH16x_0)</f>
        <v>374981</v>
      </c>
      <c r="I40" s="4"/>
      <c r="J40" s="13">
        <f t="shared" ref="J40:J56" si="7">IF(H$12=0,0,H40/H$12)</f>
        <v>0.83018253871614067</v>
      </c>
      <c r="K40" s="4"/>
      <c r="L40" s="4">
        <f t="shared" ref="L40:L56" si="8">+D40-H40</f>
        <v>-49092.080000000016</v>
      </c>
      <c r="M40" s="4"/>
      <c r="N40" s="13">
        <f t="shared" ref="N40:N56" si="9">IF(H40=0,0,L40/H40)</f>
        <v>-0.13091884655489217</v>
      </c>
      <c r="O40" s="10"/>
      <c r="P40" s="4">
        <f>SUM(OSRRefP16x_0)</f>
        <v>2447645.5199999996</v>
      </c>
      <c r="Q40" s="4"/>
      <c r="R40" s="13">
        <f t="shared" ref="R40:R56" si="10">IF(P$12=0,0,P40/P$12)</f>
        <v>0.84837742135743699</v>
      </c>
      <c r="S40" s="4"/>
      <c r="T40" s="4">
        <f>SUM(OSRRefT16x_0)</f>
        <v>2410589</v>
      </c>
      <c r="U40" s="4"/>
      <c r="V40" s="13">
        <f t="shared" ref="V40:V56" si="11">IF(T$12=0,0,T40/T$12)</f>
        <v>0.82996402072681574</v>
      </c>
      <c r="W40" s="4"/>
      <c r="X40" s="4">
        <f t="shared" ref="X40:X56" si="12">+P40-T40</f>
        <v>37056.519999999553</v>
      </c>
      <c r="Y40" s="4"/>
      <c r="Z40" s="13">
        <f t="shared" ref="Z40:Z56" si="13">IF(T40=0,0,X40/T40)</f>
        <v>1.5372392390407304E-2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6"/>
        <v>0</v>
      </c>
      <c r="G41" s="2"/>
      <c r="H41" s="2">
        <v>374981</v>
      </c>
      <c r="I41" s="2"/>
      <c r="J41" s="19">
        <f t="shared" si="7"/>
        <v>0.83018253871614067</v>
      </c>
      <c r="K41" s="2"/>
      <c r="L41" s="2">
        <f t="shared" si="8"/>
        <v>-374981</v>
      </c>
      <c r="M41" s="2"/>
      <c r="N41" s="19">
        <f t="shared" si="9"/>
        <v>-1</v>
      </c>
      <c r="O41" s="11"/>
      <c r="P41" s="2"/>
      <c r="Q41" s="2"/>
      <c r="R41" s="19">
        <f t="shared" si="10"/>
        <v>0</v>
      </c>
      <c r="S41" s="2"/>
      <c r="T41" s="2">
        <v>2410589</v>
      </c>
      <c r="U41" s="2"/>
      <c r="V41" s="19">
        <f t="shared" si="11"/>
        <v>0.82996402072681574</v>
      </c>
      <c r="W41" s="2"/>
      <c r="X41" s="2">
        <f t="shared" si="12"/>
        <v>-2410589</v>
      </c>
      <c r="Y41" s="2"/>
      <c r="Z41" s="19">
        <f t="shared" si="13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-173.28</v>
      </c>
      <c r="E42" s="2"/>
      <c r="F42" s="19">
        <f t="shared" si="6"/>
        <v>-3.8712190546549201E-4</v>
      </c>
      <c r="G42" s="2"/>
      <c r="H42" s="2"/>
      <c r="I42" s="2"/>
      <c r="J42" s="19">
        <f t="shared" si="7"/>
        <v>0</v>
      </c>
      <c r="K42" s="2"/>
      <c r="L42" s="2">
        <f t="shared" si="8"/>
        <v>-173.28</v>
      </c>
      <c r="M42" s="2"/>
      <c r="N42" s="19">
        <f t="shared" si="9"/>
        <v>0</v>
      </c>
      <c r="O42" s="11"/>
      <c r="P42" s="2">
        <v>258288.3</v>
      </c>
      <c r="Q42" s="2"/>
      <c r="R42" s="19">
        <f t="shared" si="10"/>
        <v>8.9525202947196431E-2</v>
      </c>
      <c r="S42" s="2"/>
      <c r="T42" s="2"/>
      <c r="U42" s="2"/>
      <c r="V42" s="19">
        <f t="shared" si="11"/>
        <v>0</v>
      </c>
      <c r="W42" s="2"/>
      <c r="X42" s="2">
        <f t="shared" si="12"/>
        <v>258288.3</v>
      </c>
      <c r="Y42" s="2"/>
      <c r="Z42" s="19">
        <f t="shared" si="13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190200.93</v>
      </c>
      <c r="E43" s="2"/>
      <c r="F43" s="19">
        <f t="shared" si="6"/>
        <v>0.42492466783765387</v>
      </c>
      <c r="G43" s="2"/>
      <c r="H43" s="2"/>
      <c r="I43" s="2"/>
      <c r="J43" s="19">
        <f t="shared" si="7"/>
        <v>0</v>
      </c>
      <c r="K43" s="2"/>
      <c r="L43" s="2">
        <f t="shared" si="8"/>
        <v>190200.93</v>
      </c>
      <c r="M43" s="2"/>
      <c r="N43" s="19">
        <f t="shared" si="9"/>
        <v>0</v>
      </c>
      <c r="O43" s="11"/>
      <c r="P43" s="2">
        <v>1831501.23</v>
      </c>
      <c r="Q43" s="2"/>
      <c r="R43" s="19">
        <f t="shared" si="10"/>
        <v>0.63481589879909339</v>
      </c>
      <c r="S43" s="2"/>
      <c r="T43" s="2"/>
      <c r="U43" s="2"/>
      <c r="V43" s="19">
        <f t="shared" si="11"/>
        <v>0</v>
      </c>
      <c r="W43" s="2"/>
      <c r="X43" s="2">
        <f t="shared" si="12"/>
        <v>1831501.23</v>
      </c>
      <c r="Y43" s="2"/>
      <c r="Z43" s="19">
        <f t="shared" si="13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12873.49</v>
      </c>
      <c r="E44" s="2"/>
      <c r="F44" s="19">
        <f t="shared" si="6"/>
        <v>2.8760445399301459E-2</v>
      </c>
      <c r="G44" s="2"/>
      <c r="H44" s="2"/>
      <c r="I44" s="2"/>
      <c r="J44" s="19">
        <f t="shared" si="7"/>
        <v>0</v>
      </c>
      <c r="K44" s="2"/>
      <c r="L44" s="2">
        <f t="shared" si="8"/>
        <v>12873.49</v>
      </c>
      <c r="M44" s="2"/>
      <c r="N44" s="19">
        <f t="shared" si="9"/>
        <v>0</v>
      </c>
      <c r="O44" s="11"/>
      <c r="P44" s="2">
        <v>107424.25</v>
      </c>
      <c r="Q44" s="2"/>
      <c r="R44" s="19">
        <f t="shared" si="10"/>
        <v>3.7234275740327248E-2</v>
      </c>
      <c r="S44" s="2"/>
      <c r="T44" s="2"/>
      <c r="U44" s="2"/>
      <c r="V44" s="19">
        <f t="shared" si="11"/>
        <v>0</v>
      </c>
      <c r="W44" s="2"/>
      <c r="X44" s="2">
        <f t="shared" si="12"/>
        <v>107424.25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2728</v>
      </c>
      <c r="Q45" s="2"/>
      <c r="R45" s="19">
        <f t="shared" si="10"/>
        <v>9.4555097400831495E-4</v>
      </c>
      <c r="S45" s="2"/>
      <c r="T45" s="2"/>
      <c r="U45" s="2"/>
      <c r="V45" s="19">
        <f t="shared" si="11"/>
        <v>0</v>
      </c>
      <c r="W45" s="2"/>
      <c r="X45" s="2">
        <f t="shared" si="12"/>
        <v>2728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1996.51</v>
      </c>
      <c r="E46" s="2"/>
      <c r="F46" s="19">
        <f t="shared" si="6"/>
        <v>4.4603690874937063E-3</v>
      </c>
      <c r="G46" s="2"/>
      <c r="H46" s="2"/>
      <c r="I46" s="2"/>
      <c r="J46" s="19">
        <f t="shared" si="7"/>
        <v>0</v>
      </c>
      <c r="K46" s="2"/>
      <c r="L46" s="2">
        <f t="shared" si="8"/>
        <v>1996.51</v>
      </c>
      <c r="M46" s="2"/>
      <c r="N46" s="19">
        <f t="shared" si="9"/>
        <v>0</v>
      </c>
      <c r="O46" s="11"/>
      <c r="P46" s="2">
        <v>17324.649999999998</v>
      </c>
      <c r="Q46" s="2"/>
      <c r="R46" s="19">
        <f t="shared" si="10"/>
        <v>6.0048899127027686E-3</v>
      </c>
      <c r="S46" s="2"/>
      <c r="T46" s="2"/>
      <c r="U46" s="2"/>
      <c r="V46" s="19">
        <f t="shared" si="11"/>
        <v>0</v>
      </c>
      <c r="W46" s="2"/>
      <c r="X46" s="2">
        <f t="shared" si="12"/>
        <v>17324.649999999998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127.27</v>
      </c>
      <c r="E47" s="2"/>
      <c r="F47" s="19">
        <f t="shared" si="6"/>
        <v>2.8433174577904645E-4</v>
      </c>
      <c r="G47" s="2"/>
      <c r="H47" s="2"/>
      <c r="I47" s="2"/>
      <c r="J47" s="19">
        <f t="shared" si="7"/>
        <v>0</v>
      </c>
      <c r="K47" s="2"/>
      <c r="L47" s="2">
        <f t="shared" si="8"/>
        <v>127.27</v>
      </c>
      <c r="M47" s="2"/>
      <c r="N47" s="19">
        <f t="shared" si="9"/>
        <v>0</v>
      </c>
      <c r="O47" s="11"/>
      <c r="P47" s="2">
        <v>30010.32</v>
      </c>
      <c r="Q47" s="2"/>
      <c r="R47" s="19">
        <f t="shared" si="10"/>
        <v>1.0401864848350885E-2</v>
      </c>
      <c r="S47" s="2"/>
      <c r="T47" s="2"/>
      <c r="U47" s="2"/>
      <c r="V47" s="19">
        <f t="shared" si="11"/>
        <v>0</v>
      </c>
      <c r="W47" s="2"/>
      <c r="X47" s="2">
        <f t="shared" si="12"/>
        <v>30010.32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95.65</v>
      </c>
      <c r="Q48" s="2"/>
      <c r="R48" s="19">
        <f t="shared" si="10"/>
        <v>3.3153207721369259E-5</v>
      </c>
      <c r="S48" s="2"/>
      <c r="T48" s="2"/>
      <c r="U48" s="2"/>
      <c r="V48" s="19">
        <f t="shared" si="11"/>
        <v>0</v>
      </c>
      <c r="W48" s="2"/>
      <c r="X48" s="2">
        <f t="shared" si="12"/>
        <v>95.65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-205025</v>
      </c>
      <c r="E49" s="2"/>
      <c r="F49" s="19">
        <f t="shared" si="6"/>
        <v>-0.45804287089140411</v>
      </c>
      <c r="G49" s="2"/>
      <c r="H49" s="2"/>
      <c r="I49" s="2"/>
      <c r="J49" s="19">
        <f t="shared" si="7"/>
        <v>0</v>
      </c>
      <c r="K49" s="2"/>
      <c r="L49" s="2">
        <f t="shared" si="8"/>
        <v>-205025</v>
      </c>
      <c r="M49" s="2"/>
      <c r="N49" s="19">
        <f t="shared" si="9"/>
        <v>0</v>
      </c>
      <c r="O49" s="11"/>
      <c r="P49" s="2">
        <v>-2248069</v>
      </c>
      <c r="Q49" s="2"/>
      <c r="R49" s="19">
        <f t="shared" si="10"/>
        <v>-0.77920228467298336</v>
      </c>
      <c r="S49" s="2"/>
      <c r="T49" s="2"/>
      <c r="U49" s="2"/>
      <c r="V49" s="19">
        <f t="shared" si="11"/>
        <v>0</v>
      </c>
      <c r="W49" s="2"/>
      <c r="X49" s="2">
        <f t="shared" si="12"/>
        <v>-2248069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325889</v>
      </c>
      <c r="E50" s="2"/>
      <c r="F50" s="19">
        <f t="shared" si="6"/>
        <v>0.72806308085320715</v>
      </c>
      <c r="G50" s="2"/>
      <c r="H50" s="2"/>
      <c r="I50" s="2"/>
      <c r="J50" s="19">
        <f t="shared" si="7"/>
        <v>0</v>
      </c>
      <c r="K50" s="2"/>
      <c r="L50" s="2">
        <f t="shared" si="8"/>
        <v>325889</v>
      </c>
      <c r="M50" s="2"/>
      <c r="N50" s="19">
        <f t="shared" si="9"/>
        <v>0</v>
      </c>
      <c r="O50" s="11"/>
      <c r="P50" s="2">
        <v>2447643</v>
      </c>
      <c r="Q50" s="2"/>
      <c r="R50" s="19">
        <f t="shared" si="10"/>
        <v>0.84837654790125883</v>
      </c>
      <c r="S50" s="2"/>
      <c r="T50" s="2"/>
      <c r="U50" s="2"/>
      <c r="V50" s="19">
        <f t="shared" si="11"/>
        <v>0</v>
      </c>
      <c r="W50" s="2"/>
      <c r="X50" s="2">
        <f t="shared" si="12"/>
        <v>2447643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"5500", " - ", "FREIGHT-IN")</f>
        <v xml:space="preserve">          5500 - FREIGHT-IN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"5581", " - ", "FREIGHT-IN-ELECTRONICS")</f>
        <v xml:space="preserve">          5581 - FREIGHT-IN-ELECTRONICS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137</v>
      </c>
      <c r="Q52" s="2"/>
      <c r="R52" s="19">
        <f t="shared" si="10"/>
        <v>4.7485514457162448E-5</v>
      </c>
      <c r="S52" s="2"/>
      <c r="T52" s="2"/>
      <c r="U52" s="2"/>
      <c r="V52" s="19">
        <f t="shared" si="11"/>
        <v>0</v>
      </c>
      <c r="W52" s="2"/>
      <c r="X52" s="2">
        <f t="shared" si="12"/>
        <v>137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"5582", " - ", "FREIGHT-IN-COMPUTER HARDWARE")</f>
        <v xml:space="preserve">          5582 - FREIGHT-IN-COMPUTER HARDWARE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154.30000000000001</v>
      </c>
      <c r="Q53" s="2"/>
      <c r="R53" s="19">
        <f t="shared" si="10"/>
        <v>5.3481860443358875E-5</v>
      </c>
      <c r="S53" s="2"/>
      <c r="T53" s="2"/>
      <c r="U53" s="2"/>
      <c r="V53" s="19">
        <f t="shared" si="11"/>
        <v>0</v>
      </c>
      <c r="W53" s="2"/>
      <c r="X53" s="2">
        <f t="shared" si="12"/>
        <v>154.30000000000001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"5583", " - ", "FREIGHT-IN-COMPUTER EQUIPMENT")</f>
        <v xml:space="preserve">          5583 - FREIGHT-IN-COMPUTER EQUIPMENT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96.55</v>
      </c>
      <c r="Q54" s="2"/>
      <c r="R54" s="19">
        <f t="shared" si="10"/>
        <v>3.3465156356489299E-5</v>
      </c>
      <c r="S54" s="2"/>
      <c r="T54" s="2"/>
      <c r="U54" s="2"/>
      <c r="V54" s="19">
        <f t="shared" si="11"/>
        <v>0</v>
      </c>
      <c r="W54" s="2"/>
      <c r="X54" s="2">
        <f t="shared" si="12"/>
        <v>96.55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"5585", " - ", "FREIGHT-IN-SOFTWARE")</f>
        <v xml:space="preserve">          5585 - FREIGHT-IN-SOFTWARE</v>
      </c>
      <c r="C55" s="11"/>
      <c r="D55" s="2"/>
      <c r="E55" s="2"/>
      <c r="F55" s="19">
        <f t="shared" si="6"/>
        <v>0</v>
      </c>
      <c r="G55" s="2"/>
      <c r="H55" s="2"/>
      <c r="I55" s="2"/>
      <c r="J55" s="19">
        <f t="shared" si="7"/>
        <v>0</v>
      </c>
      <c r="K55" s="2"/>
      <c r="L55" s="2">
        <f t="shared" si="8"/>
        <v>0</v>
      </c>
      <c r="M55" s="2"/>
      <c r="N55" s="19">
        <f t="shared" si="9"/>
        <v>0</v>
      </c>
      <c r="O55" s="11"/>
      <c r="P55" s="2">
        <v>10</v>
      </c>
      <c r="Q55" s="2"/>
      <c r="R55" s="19">
        <f t="shared" si="10"/>
        <v>3.4660959457782807E-6</v>
      </c>
      <c r="S55" s="2"/>
      <c r="T55" s="2"/>
      <c r="U55" s="2"/>
      <c r="V55" s="19">
        <f t="shared" si="11"/>
        <v>0</v>
      </c>
      <c r="W55" s="2"/>
      <c r="X55" s="2">
        <f t="shared" si="12"/>
        <v>10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"5586", " - ", "FREIGHT-IN-COMPUTER SUPPLIES")</f>
        <v xml:space="preserve">          5586 - FREIGHT-IN-COMPUTER SUPPLIES</v>
      </c>
      <c r="C56" s="11"/>
      <c r="D56" s="2"/>
      <c r="E56" s="2"/>
      <c r="F56" s="19">
        <f t="shared" si="6"/>
        <v>0</v>
      </c>
      <c r="G56" s="2"/>
      <c r="H56" s="2"/>
      <c r="I56" s="2"/>
      <c r="J56" s="19">
        <f t="shared" si="7"/>
        <v>0</v>
      </c>
      <c r="K56" s="2"/>
      <c r="L56" s="2">
        <f t="shared" si="8"/>
        <v>0</v>
      </c>
      <c r="M56" s="2"/>
      <c r="N56" s="19">
        <f t="shared" si="9"/>
        <v>0</v>
      </c>
      <c r="O56" s="11"/>
      <c r="P56" s="2">
        <v>301.27</v>
      </c>
      <c r="Q56" s="2"/>
      <c r="R56" s="19">
        <f t="shared" si="10"/>
        <v>1.0442307255846226E-4</v>
      </c>
      <c r="S56" s="2"/>
      <c r="T56" s="2"/>
      <c r="U56" s="2"/>
      <c r="V56" s="19">
        <f t="shared" si="11"/>
        <v>0</v>
      </c>
      <c r="W56" s="2"/>
      <c r="X56" s="2">
        <f t="shared" si="12"/>
        <v>301.27</v>
      </c>
      <c r="Y56" s="2"/>
      <c r="Z56" s="19">
        <f t="shared" si="13"/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9" t="s">
        <v>6</v>
      </c>
      <c r="C58" s="29"/>
      <c r="D58" s="22">
        <f>D12-D40</f>
        <v>121722.01999999996</v>
      </c>
      <c r="E58" s="14"/>
      <c r="F58" s="20">
        <f>IF(D$12=0,0,D58/D$12)</f>
        <v>0.2719370978734344</v>
      </c>
      <c r="G58" s="14"/>
      <c r="H58" s="22">
        <f>H12-H40</f>
        <v>76704</v>
      </c>
      <c r="I58" s="14"/>
      <c r="J58" s="20">
        <f>IF(H$12=0,0,H58/H$12)</f>
        <v>0.16981746128385933</v>
      </c>
      <c r="K58" s="15"/>
      <c r="L58" s="22">
        <f>+D58-H58</f>
        <v>45018.01999999996</v>
      </c>
      <c r="M58" s="15"/>
      <c r="N58" s="20">
        <f>IF(H58=0,0,L58/H58)</f>
        <v>0.58690576762619895</v>
      </c>
      <c r="O58" s="28"/>
      <c r="P58" s="22">
        <f>P12-P40</f>
        <v>437444.84000000032</v>
      </c>
      <c r="Q58" s="14"/>
      <c r="R58" s="20">
        <f>IF(P$12=0,0,P58/P$12)</f>
        <v>0.15162257864256298</v>
      </c>
      <c r="S58" s="14"/>
      <c r="T58" s="22">
        <f>T12-T40</f>
        <v>493861</v>
      </c>
      <c r="U58" s="14"/>
      <c r="V58" s="20">
        <f>IF(T$12=0,0,T58/T$12)</f>
        <v>0.17003597927318426</v>
      </c>
      <c r="W58" s="15"/>
      <c r="X58" s="22">
        <f>+P58-T58</f>
        <v>-56416.159999999683</v>
      </c>
      <c r="Y58" s="15"/>
      <c r="Z58" s="20">
        <f>IF(T58=0,0,X58/T58)</f>
        <v>-0.11423489605374727</v>
      </c>
    </row>
    <row r="59" spans="1:26" x14ac:dyDescent="0.25">
      <c r="A59" s="9"/>
      <c r="B59" s="10"/>
      <c r="C59" s="9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9</v>
      </c>
      <c r="C60" s="10"/>
      <c r="D60" s="21">
        <f>SUM(OSRRefD22x_0)</f>
        <v>-32410.319999999996</v>
      </c>
      <c r="E60" s="21"/>
      <c r="F60" s="32">
        <f t="shared" ref="F60:F71" si="14">IF(D$12=0,0,D60/D$12)</f>
        <v>-7.240734553985656E-2</v>
      </c>
      <c r="G60" s="21"/>
      <c r="H60" s="21">
        <f>SUM(OSRRefH22x_0)</f>
        <v>32944.917547581921</v>
      </c>
      <c r="I60" s="21"/>
      <c r="J60" s="32">
        <f t="shared" ref="J60:J71" si="15">IF(H$12=0,0,H60/H$12)</f>
        <v>7.2937816282546294E-2</v>
      </c>
      <c r="K60" s="4"/>
      <c r="L60" s="21">
        <f t="shared" ref="L60:L71" si="16">+D60-H60</f>
        <v>-65355.237547581914</v>
      </c>
      <c r="M60" s="4"/>
      <c r="N60" s="32">
        <f t="shared" ref="N60:N71" si="17">IF(H60=0,0,L60/H60)</f>
        <v>-1.983772988752823</v>
      </c>
      <c r="O60" s="10"/>
      <c r="P60" s="21">
        <f>SUM(OSRRefP22x_0)</f>
        <v>177712.97000000006</v>
      </c>
      <c r="Q60" s="21"/>
      <c r="R60" s="32">
        <f t="shared" ref="R60:R71" si="18">IF(P$12=0,0,P60/P$12)</f>
        <v>6.1597020482921747E-2</v>
      </c>
      <c r="S60" s="21"/>
      <c r="T60" s="21">
        <f>SUM(OSRRefT22x_0)</f>
        <v>218913.67411828501</v>
      </c>
      <c r="U60" s="21"/>
      <c r="V60" s="32">
        <f t="shared" ref="V60:V71" si="19">IF(T$12=0,0,T60/T$12)</f>
        <v>7.5371817080096062E-2</v>
      </c>
      <c r="W60" s="4"/>
      <c r="X60" s="21">
        <f t="shared" ref="X60:X71" si="20">+P60-T60</f>
        <v>-41200.70411828495</v>
      </c>
      <c r="Y60" s="4"/>
      <c r="Z60" s="32">
        <f t="shared" ref="Z60:Z71" si="21">IF(T60=0,0,X60/T60)</f>
        <v>-0.18820525617793565</v>
      </c>
    </row>
    <row r="61" spans="1:26" s="26" customFormat="1" outlineLevel="1" collapsed="1" x14ac:dyDescent="0.25">
      <c r="A61" s="25"/>
      <c r="B61" s="12" t="str">
        <f>CONCATENATE("     ","*Benefits                                         ")</f>
        <v xml:space="preserve">     *Benefits                                         </v>
      </c>
      <c r="C61" s="12"/>
      <c r="D61" s="1">
        <f>SUM(OSRRefD22_0x_0)</f>
        <v>2225.61</v>
      </c>
      <c r="E61" s="1"/>
      <c r="F61" s="5">
        <f t="shared" si="14"/>
        <v>4.9721975070582507E-3</v>
      </c>
      <c r="G61" s="1"/>
      <c r="H61" s="1">
        <f>SUM(OSRRefH22_0x_0)</f>
        <v>2682.5156568126918</v>
      </c>
      <c r="I61" s="1"/>
      <c r="J61" s="5">
        <f t="shared" si="15"/>
        <v>5.9389079929877938E-3</v>
      </c>
      <c r="K61" s="1"/>
      <c r="L61" s="1">
        <f t="shared" si="16"/>
        <v>-456.90565681269163</v>
      </c>
      <c r="M61" s="1"/>
      <c r="N61" s="5">
        <f t="shared" si="17"/>
        <v>-0.17032730290028475</v>
      </c>
      <c r="O61" s="12"/>
      <c r="P61" s="1">
        <f>SUM(OSRRefP22_0x_0)</f>
        <v>29115.980000000003</v>
      </c>
      <c r="Q61" s="1"/>
      <c r="R61" s="5">
        <f t="shared" si="18"/>
        <v>1.0091878023536153E-2</v>
      </c>
      <c r="S61" s="1"/>
      <c r="T61" s="1">
        <f>SUM(OSRRefT22_0x_0)</f>
        <v>31079.920038284996</v>
      </c>
      <c r="U61" s="1"/>
      <c r="V61" s="5">
        <f t="shared" si="19"/>
        <v>1.0700793622987139E-2</v>
      </c>
      <c r="W61" s="1"/>
      <c r="X61" s="1">
        <f t="shared" si="20"/>
        <v>-1963.9400382849926</v>
      </c>
      <c r="Y61" s="1"/>
      <c r="Z61" s="5">
        <f t="shared" si="21"/>
        <v>-6.3189996495028419E-2</v>
      </c>
    </row>
    <row r="62" spans="1:26" s="24" customFormat="1" hidden="1" outlineLevel="2" x14ac:dyDescent="0.25">
      <c r="A62" s="27"/>
      <c r="B62" s="11" t="str">
        <f>CONCATENATE("          ", "6111", " - ", "F.I.C.A.")</f>
        <v xml:space="preserve">          6111 - F.I.C.A.</v>
      </c>
      <c r="C62" s="11"/>
      <c r="D62" s="6">
        <v>424.75</v>
      </c>
      <c r="E62" s="2"/>
      <c r="F62" s="7">
        <f t="shared" si="14"/>
        <v>9.4892676215643887E-4</v>
      </c>
      <c r="G62" s="2"/>
      <c r="H62" s="6">
        <v>676.594962981923</v>
      </c>
      <c r="I62" s="2"/>
      <c r="J62" s="7">
        <f t="shared" si="15"/>
        <v>1.4979354261972901E-3</v>
      </c>
      <c r="K62" s="2"/>
      <c r="L62" s="6">
        <f t="shared" si="16"/>
        <v>-251.844962981923</v>
      </c>
      <c r="M62" s="2"/>
      <c r="N62" s="7">
        <f t="shared" si="17"/>
        <v>-0.37222411747196482</v>
      </c>
      <c r="O62" s="11"/>
      <c r="P62" s="6">
        <v>8039.26</v>
      </c>
      <c r="Q62" s="2"/>
      <c r="R62" s="7">
        <f t="shared" si="18"/>
        <v>2.7864846493057503E-3</v>
      </c>
      <c r="S62" s="2"/>
      <c r="T62" s="6">
        <v>5764.1044862849994</v>
      </c>
      <c r="U62" s="2"/>
      <c r="V62" s="7">
        <f t="shared" si="19"/>
        <v>1.9845769375561638E-3</v>
      </c>
      <c r="W62" s="2"/>
      <c r="X62" s="6">
        <f t="shared" si="20"/>
        <v>2275.1555137150008</v>
      </c>
      <c r="Y62" s="2"/>
      <c r="Z62" s="7">
        <f t="shared" si="21"/>
        <v>0.39471101176747619</v>
      </c>
    </row>
    <row r="63" spans="1:26" s="24" customFormat="1" hidden="1" outlineLevel="2" x14ac:dyDescent="0.25">
      <c r="A63" s="27"/>
      <c r="B63" s="11" t="str">
        <f>CONCATENATE("          ", "6112", " - ", "COMPENSATION INSURANCE")</f>
        <v xml:space="preserve">          6112 - COMPENSATION INSURANCE</v>
      </c>
      <c r="C63" s="11"/>
      <c r="D63" s="6">
        <v>54.45</v>
      </c>
      <c r="E63" s="2"/>
      <c r="F63" s="7">
        <f t="shared" si="14"/>
        <v>1.2164582036355056E-4</v>
      </c>
      <c r="G63" s="2"/>
      <c r="H63" s="6">
        <v>167.977319961538</v>
      </c>
      <c r="I63" s="2"/>
      <c r="J63" s="7">
        <f t="shared" si="15"/>
        <v>3.7189041026719505E-4</v>
      </c>
      <c r="K63" s="2"/>
      <c r="L63" s="6">
        <f t="shared" si="16"/>
        <v>-113.527319961538</v>
      </c>
      <c r="M63" s="2"/>
      <c r="N63" s="7">
        <f t="shared" si="17"/>
        <v>-0.6758490966966999</v>
      </c>
      <c r="O63" s="11"/>
      <c r="P63" s="6">
        <v>2050.15</v>
      </c>
      <c r="Q63" s="2"/>
      <c r="R63" s="7">
        <f t="shared" si="18"/>
        <v>7.1060166032373422E-4</v>
      </c>
      <c r="S63" s="2"/>
      <c r="T63" s="6">
        <v>2441.4882199999961</v>
      </c>
      <c r="U63" s="2"/>
      <c r="V63" s="7">
        <f t="shared" si="19"/>
        <v>8.4060259945944885E-4</v>
      </c>
      <c r="W63" s="2"/>
      <c r="X63" s="6">
        <f t="shared" si="20"/>
        <v>-391.338219999996</v>
      </c>
      <c r="Y63" s="2"/>
      <c r="Z63" s="7">
        <f t="shared" si="21"/>
        <v>-0.16028675329836187</v>
      </c>
    </row>
    <row r="64" spans="1:26" s="24" customFormat="1" hidden="1" outlineLevel="2" x14ac:dyDescent="0.25">
      <c r="A64" s="27"/>
      <c r="B64" s="11" t="str">
        <f>CONCATENATE("          ", "6113", " - ", "GROUP INSURANCE")</f>
        <v xml:space="preserve">          6113 - GROUP INSURANCE</v>
      </c>
      <c r="C64" s="11"/>
      <c r="D64" s="6">
        <v>1035.69</v>
      </c>
      <c r="E64" s="2"/>
      <c r="F64" s="7">
        <f t="shared" si="14"/>
        <v>2.313817441548681E-3</v>
      </c>
      <c r="G64" s="2"/>
      <c r="H64" s="6">
        <v>1186.2</v>
      </c>
      <c r="I64" s="2"/>
      <c r="J64" s="7">
        <f t="shared" si="15"/>
        <v>2.6261664655678183E-3</v>
      </c>
      <c r="K64" s="2"/>
      <c r="L64" s="6">
        <f t="shared" si="16"/>
        <v>-150.51</v>
      </c>
      <c r="M64" s="2"/>
      <c r="N64" s="7">
        <f t="shared" si="17"/>
        <v>-0.12688416793120888</v>
      </c>
      <c r="O64" s="11"/>
      <c r="P64" s="6">
        <v>13627.38</v>
      </c>
      <c r="Q64" s="2"/>
      <c r="R64" s="7">
        <f t="shared" si="18"/>
        <v>4.7233806569580029E-3</v>
      </c>
      <c r="S64" s="2"/>
      <c r="T64" s="6">
        <v>14234.4</v>
      </c>
      <c r="U64" s="2"/>
      <c r="V64" s="7">
        <f t="shared" si="19"/>
        <v>4.9008934565924703E-3</v>
      </c>
      <c r="W64" s="2"/>
      <c r="X64" s="6">
        <f t="shared" si="20"/>
        <v>-607.02000000000044</v>
      </c>
      <c r="Y64" s="2"/>
      <c r="Z64" s="7">
        <f t="shared" si="21"/>
        <v>-4.2644579328949619E-2</v>
      </c>
    </row>
    <row r="65" spans="1:26" s="24" customFormat="1" hidden="1" outlineLevel="2" x14ac:dyDescent="0.25">
      <c r="A65" s="27"/>
      <c r="B65" s="11" t="str">
        <f>CONCATENATE("          ", "6114", " - ", "STATE UNEMPLOYMENT INSURANCE")</f>
        <v xml:space="preserve">          6114 - STATE UNEMPLOYMENT INSURANCE</v>
      </c>
      <c r="C65" s="11"/>
      <c r="D65" s="6">
        <v>-322.33</v>
      </c>
      <c r="E65" s="2"/>
      <c r="F65" s="7">
        <f t="shared" si="14"/>
        <v>-7.2011197938995862E-4</v>
      </c>
      <c r="G65" s="2"/>
      <c r="H65" s="6">
        <v>22.986370099999998</v>
      </c>
      <c r="I65" s="2"/>
      <c r="J65" s="7">
        <f t="shared" si="15"/>
        <v>5.0890266668142621E-5</v>
      </c>
      <c r="K65" s="2"/>
      <c r="L65" s="6">
        <f t="shared" si="16"/>
        <v>-345.31637009999997</v>
      </c>
      <c r="M65" s="2"/>
      <c r="N65" s="7">
        <f t="shared" si="17"/>
        <v>-15.02265771401636</v>
      </c>
      <c r="O65" s="11"/>
      <c r="P65" s="6">
        <v>0</v>
      </c>
      <c r="Q65" s="2"/>
      <c r="R65" s="7">
        <f t="shared" si="18"/>
        <v>0</v>
      </c>
      <c r="S65" s="2"/>
      <c r="T65" s="6">
        <v>334.098388</v>
      </c>
      <c r="U65" s="2"/>
      <c r="V65" s="7">
        <f t="shared" si="19"/>
        <v>1.1502982939971423E-4</v>
      </c>
      <c r="W65" s="2"/>
      <c r="X65" s="6">
        <f t="shared" si="20"/>
        <v>-334.098388</v>
      </c>
      <c r="Y65" s="2"/>
      <c r="Z65" s="7">
        <f t="shared" si="21"/>
        <v>-1</v>
      </c>
    </row>
    <row r="66" spans="1:26" s="24" customFormat="1" hidden="1" outlineLevel="2" x14ac:dyDescent="0.25">
      <c r="A66" s="27"/>
      <c r="B66" s="11" t="str">
        <f>CONCATENATE("          ", "6115", " - ", "P.E.R.S.")</f>
        <v xml:space="preserve">          6115 - P.E.R.S.</v>
      </c>
      <c r="C66" s="11"/>
      <c r="D66" s="6">
        <v>159.41999999999999</v>
      </c>
      <c r="E66" s="2"/>
      <c r="F66" s="7">
        <f t="shared" si="14"/>
        <v>3.5615751482749732E-4</v>
      </c>
      <c r="G66" s="2"/>
      <c r="H66" s="6">
        <v>294.022912615385</v>
      </c>
      <c r="I66" s="2"/>
      <c r="J66" s="7">
        <f t="shared" si="15"/>
        <v>6.5094681606735888E-4</v>
      </c>
      <c r="K66" s="2"/>
      <c r="L66" s="6">
        <f t="shared" si="16"/>
        <v>-134.60291261538501</v>
      </c>
      <c r="M66" s="2"/>
      <c r="N66" s="7">
        <f t="shared" si="17"/>
        <v>-0.45779735809726074</v>
      </c>
      <c r="O66" s="11"/>
      <c r="P66" s="6">
        <v>2807.7</v>
      </c>
      <c r="Q66" s="2"/>
      <c r="R66" s="7">
        <f t="shared" si="18"/>
        <v>9.731757586961678E-4</v>
      </c>
      <c r="S66" s="2"/>
      <c r="T66" s="6">
        <v>3822.2978640000042</v>
      </c>
      <c r="U66" s="2"/>
      <c r="V66" s="7">
        <f t="shared" si="19"/>
        <v>1.3160143448845752E-3</v>
      </c>
      <c r="W66" s="2"/>
      <c r="X66" s="6">
        <f t="shared" si="20"/>
        <v>-1014.5978640000044</v>
      </c>
      <c r="Y66" s="2"/>
      <c r="Z66" s="7">
        <f t="shared" si="21"/>
        <v>-0.26544186248693757</v>
      </c>
    </row>
    <row r="67" spans="1:26" s="24" customFormat="1" hidden="1" outlineLevel="2" x14ac:dyDescent="0.25">
      <c r="A67" s="27"/>
      <c r="B67" s="11" t="str">
        <f>CONCATENATE("          ", "6116", " - ", "EDUCATIONAL BENEFITS")</f>
        <v xml:space="preserve">          6116 - EDUCATIONAL BENEFITS</v>
      </c>
      <c r="C67" s="11"/>
      <c r="D67" s="6"/>
      <c r="E67" s="2"/>
      <c r="F67" s="7">
        <f t="shared" si="14"/>
        <v>0</v>
      </c>
      <c r="G67" s="2"/>
      <c r="H67" s="6">
        <v>0</v>
      </c>
      <c r="I67" s="2"/>
      <c r="J67" s="7">
        <f t="shared" si="15"/>
        <v>0</v>
      </c>
      <c r="K67" s="2"/>
      <c r="L67" s="6">
        <f t="shared" si="16"/>
        <v>0</v>
      </c>
      <c r="M67" s="2"/>
      <c r="N67" s="7">
        <f t="shared" si="17"/>
        <v>0</v>
      </c>
      <c r="O67" s="11"/>
      <c r="P67" s="6"/>
      <c r="Q67" s="2"/>
      <c r="R67" s="7">
        <f t="shared" si="18"/>
        <v>0</v>
      </c>
      <c r="S67" s="2"/>
      <c r="T67" s="6">
        <v>0</v>
      </c>
      <c r="U67" s="2"/>
      <c r="V67" s="7">
        <f t="shared" si="19"/>
        <v>0</v>
      </c>
      <c r="W67" s="2"/>
      <c r="X67" s="6">
        <f t="shared" si="20"/>
        <v>0</v>
      </c>
      <c r="Y67" s="2"/>
      <c r="Z67" s="7">
        <f t="shared" si="21"/>
        <v>0</v>
      </c>
    </row>
    <row r="68" spans="1:26" s="24" customFormat="1" hidden="1" outlineLevel="2" x14ac:dyDescent="0.25">
      <c r="A68" s="27"/>
      <c r="B68" s="11" t="str">
        <f>CONCATENATE("          ", "6117", " - ", "RETIREMENT STAFF HOURLY")</f>
        <v xml:space="preserve">          6117 - RETIREMENT STAFF HOURLY</v>
      </c>
      <c r="C68" s="11"/>
      <c r="D68" s="6">
        <v>154.78</v>
      </c>
      <c r="E68" s="2"/>
      <c r="F68" s="7">
        <f t="shared" si="14"/>
        <v>3.4579136962112681E-4</v>
      </c>
      <c r="G68" s="2"/>
      <c r="H68" s="6"/>
      <c r="I68" s="2"/>
      <c r="J68" s="7">
        <f t="shared" si="15"/>
        <v>0</v>
      </c>
      <c r="K68" s="2"/>
      <c r="L68" s="6">
        <f t="shared" si="16"/>
        <v>154.78</v>
      </c>
      <c r="M68" s="2"/>
      <c r="N68" s="7">
        <f t="shared" si="17"/>
        <v>0</v>
      </c>
      <c r="O68" s="11"/>
      <c r="P68" s="6">
        <v>2058.8200000000002</v>
      </c>
      <c r="Q68" s="2"/>
      <c r="R68" s="7">
        <f t="shared" si="18"/>
        <v>7.136067655087241E-4</v>
      </c>
      <c r="S68" s="2"/>
      <c r="T68" s="6"/>
      <c r="U68" s="2"/>
      <c r="V68" s="7">
        <f t="shared" si="19"/>
        <v>0</v>
      </c>
      <c r="W68" s="2"/>
      <c r="X68" s="6">
        <f t="shared" si="20"/>
        <v>2058.8200000000002</v>
      </c>
      <c r="Y68" s="2"/>
      <c r="Z68" s="7">
        <f t="shared" si="21"/>
        <v>0</v>
      </c>
    </row>
    <row r="69" spans="1:26" s="24" customFormat="1" hidden="1" outlineLevel="2" x14ac:dyDescent="0.25">
      <c r="A69" s="27"/>
      <c r="B69" s="11" t="str">
        <f>CONCATENATE("          ", "6118", " - ", "VACATION")</f>
        <v xml:space="preserve">          6118 - VACATION</v>
      </c>
      <c r="C69" s="11"/>
      <c r="D69" s="6">
        <v>257.8</v>
      </c>
      <c r="E69" s="2"/>
      <c r="F69" s="7">
        <f t="shared" si="14"/>
        <v>5.7594660219877569E-4</v>
      </c>
      <c r="G69" s="2"/>
      <c r="H69" s="6">
        <v>170.943553846154</v>
      </c>
      <c r="I69" s="2"/>
      <c r="J69" s="7">
        <f t="shared" si="15"/>
        <v>3.7845745120195271E-4</v>
      </c>
      <c r="K69" s="2"/>
      <c r="L69" s="6">
        <f t="shared" si="16"/>
        <v>86.856446153846008</v>
      </c>
      <c r="M69" s="2"/>
      <c r="N69" s="7">
        <f t="shared" si="17"/>
        <v>0.50810015469793723</v>
      </c>
      <c r="O69" s="11"/>
      <c r="P69" s="6">
        <v>3303.15</v>
      </c>
      <c r="Q69" s="2"/>
      <c r="R69" s="7">
        <f t="shared" si="18"/>
        <v>1.1449034823297528E-3</v>
      </c>
      <c r="S69" s="2"/>
      <c r="T69" s="6">
        <v>2222.2662</v>
      </c>
      <c r="U69" s="2"/>
      <c r="V69" s="7">
        <f t="shared" si="19"/>
        <v>7.6512461911893814E-4</v>
      </c>
      <c r="W69" s="2"/>
      <c r="X69" s="6">
        <f t="shared" si="20"/>
        <v>1080.8838000000001</v>
      </c>
      <c r="Y69" s="2"/>
      <c r="Z69" s="7">
        <f t="shared" si="21"/>
        <v>0.48638808437981013</v>
      </c>
    </row>
    <row r="70" spans="1:26" s="24" customFormat="1" hidden="1" outlineLevel="2" x14ac:dyDescent="0.25">
      <c r="A70" s="27"/>
      <c r="B70" s="11" t="str">
        <f>CONCATENATE("          ", "6119", " - ", "SICK LEAVE")</f>
        <v xml:space="preserve">          6119 - SICK LEAVE</v>
      </c>
      <c r="C70" s="11"/>
      <c r="D70" s="6">
        <v>256.57</v>
      </c>
      <c r="E70" s="2"/>
      <c r="F70" s="7">
        <f t="shared" si="14"/>
        <v>5.7319868008588E-4</v>
      </c>
      <c r="G70" s="2"/>
      <c r="H70" s="6">
        <v>163.79053730769201</v>
      </c>
      <c r="I70" s="2"/>
      <c r="J70" s="7">
        <f t="shared" si="15"/>
        <v>3.626211570180369E-4</v>
      </c>
      <c r="K70" s="2"/>
      <c r="L70" s="6">
        <f t="shared" si="16"/>
        <v>92.779462692307987</v>
      </c>
      <c r="M70" s="2"/>
      <c r="N70" s="7">
        <f t="shared" si="17"/>
        <v>0.56645190996605177</v>
      </c>
      <c r="O70" s="11"/>
      <c r="P70" s="6">
        <v>-4833.5600000000004</v>
      </c>
      <c r="Q70" s="2"/>
      <c r="R70" s="7">
        <f t="shared" si="18"/>
        <v>-1.6753582719676069E-3</v>
      </c>
      <c r="S70" s="2"/>
      <c r="T70" s="6">
        <v>2261.2648799999961</v>
      </c>
      <c r="U70" s="2"/>
      <c r="V70" s="7">
        <f t="shared" si="19"/>
        <v>7.7855183597582886E-4</v>
      </c>
      <c r="W70" s="2"/>
      <c r="X70" s="6">
        <f t="shared" si="20"/>
        <v>-7094.8248799999965</v>
      </c>
      <c r="Y70" s="2"/>
      <c r="Z70" s="7">
        <f t="shared" si="21"/>
        <v>-3.137547017490498</v>
      </c>
    </row>
    <row r="71" spans="1:26" s="24" customFormat="1" hidden="1" outlineLevel="2" x14ac:dyDescent="0.25">
      <c r="A71" s="27"/>
      <c r="B71" s="11" t="str">
        <f>CONCATENATE("          ", "6156", " - ", "EMPLOYEE MEALS")</f>
        <v xml:space="preserve">          6156 - EMPLOYEE MEALS</v>
      </c>
      <c r="C71" s="11"/>
      <c r="D71" s="6">
        <v>204.48</v>
      </c>
      <c r="E71" s="2"/>
      <c r="F71" s="7">
        <f t="shared" si="14"/>
        <v>4.5682529564625927E-4</v>
      </c>
      <c r="G71" s="2"/>
      <c r="H71" s="6"/>
      <c r="I71" s="2"/>
      <c r="J71" s="7">
        <f t="shared" si="15"/>
        <v>0</v>
      </c>
      <c r="K71" s="2"/>
      <c r="L71" s="6">
        <f t="shared" si="16"/>
        <v>204.48</v>
      </c>
      <c r="M71" s="2"/>
      <c r="N71" s="7">
        <f t="shared" si="17"/>
        <v>0</v>
      </c>
      <c r="O71" s="11"/>
      <c r="P71" s="6">
        <v>2063.08</v>
      </c>
      <c r="Q71" s="2"/>
      <c r="R71" s="7">
        <f t="shared" si="18"/>
        <v>7.1508332238162556E-4</v>
      </c>
      <c r="S71" s="2"/>
      <c r="T71" s="6"/>
      <c r="U71" s="2"/>
      <c r="V71" s="7">
        <f t="shared" si="19"/>
        <v>0</v>
      </c>
      <c r="W71" s="2"/>
      <c r="X71" s="6">
        <f t="shared" si="20"/>
        <v>2063.08</v>
      </c>
      <c r="Y71" s="2"/>
      <c r="Z71" s="7">
        <f t="shared" si="21"/>
        <v>0</v>
      </c>
    </row>
    <row r="72" spans="1:26" s="26" customFormat="1" outlineLevel="1" collapsed="1" x14ac:dyDescent="0.25">
      <c r="A72" s="25"/>
      <c r="B72" s="12" t="str">
        <f>CONCATENATE("     ","*Payroll                                          ")</f>
        <v xml:space="preserve">     *Payroll                                          </v>
      </c>
      <c r="C72" s="12"/>
      <c r="D72" s="1">
        <f>SUM(OSRRefD22_1x_0)</f>
        <v>5490.55</v>
      </c>
      <c r="E72" s="1"/>
      <c r="F72" s="5">
        <f t="shared" ref="F72:F82" si="22">IF(D$12=0,0,D72/D$12)</f>
        <v>1.226634451785294E-2</v>
      </c>
      <c r="G72" s="1"/>
      <c r="H72" s="1">
        <f>SUM(OSRRefH22_1x_0)</f>
        <v>8567.4018907692298</v>
      </c>
      <c r="I72" s="1"/>
      <c r="J72" s="5">
        <f t="shared" ref="J72:J82" si="23">IF(H$12=0,0,H72/H$12)</f>
        <v>1.8967647565824038E-2</v>
      </c>
      <c r="K72" s="1"/>
      <c r="L72" s="1">
        <f t="shared" ref="L72:L82" si="24">+D72-H72</f>
        <v>-3076.8518907692296</v>
      </c>
      <c r="M72" s="1"/>
      <c r="N72" s="5">
        <f t="shared" ref="N72:N82" si="25">IF(H72=0,0,L72/H72)</f>
        <v>-0.35913476804261046</v>
      </c>
      <c r="O72" s="12"/>
      <c r="P72" s="1">
        <f>SUM(OSRRefP22_1x_0)</f>
        <v>106281.83000000002</v>
      </c>
      <c r="Q72" s="1"/>
      <c r="R72" s="5">
        <f t="shared" ref="R72:R82" si="26">IF(P$12=0,0,P72/P$12)</f>
        <v>3.6838302007289651E-2</v>
      </c>
      <c r="S72" s="1"/>
      <c r="T72" s="1">
        <f>SUM(OSRRefT22_1x_0)</f>
        <v>124943.75408</v>
      </c>
      <c r="U72" s="1"/>
      <c r="V72" s="5">
        <f t="shared" ref="V72:V82" si="27">IF(T$12=0,0,T72/T$12)</f>
        <v>4.3018042686222863E-2</v>
      </c>
      <c r="W72" s="1"/>
      <c r="X72" s="1">
        <f t="shared" ref="X72:X82" si="28">+P72-T72</f>
        <v>-18661.924079999982</v>
      </c>
      <c r="Y72" s="1"/>
      <c r="Z72" s="5">
        <f t="shared" ref="Z72:Z82" si="29">IF(T72=0,0,X72/T72)</f>
        <v>-0.14936260093522541</v>
      </c>
    </row>
    <row r="73" spans="1:26" s="24" customFormat="1" hidden="1" outlineLevel="2" x14ac:dyDescent="0.25">
      <c r="A73" s="27"/>
      <c r="B73" s="11" t="str">
        <f>CONCATENATE("          ", "6001", " - ", "ADMINISTRATIVE SALARIES")</f>
        <v xml:space="preserve">          6001 - ADMINISTRATIVE SALARIES</v>
      </c>
      <c r="C73" s="11"/>
      <c r="D73" s="6"/>
      <c r="E73" s="2"/>
      <c r="F73" s="7">
        <f t="shared" si="22"/>
        <v>0</v>
      </c>
      <c r="G73" s="2"/>
      <c r="H73" s="6">
        <v>3145.3613907692297</v>
      </c>
      <c r="I73" s="2"/>
      <c r="J73" s="7">
        <f t="shared" si="23"/>
        <v>6.9636171021159208E-3</v>
      </c>
      <c r="K73" s="2"/>
      <c r="L73" s="6">
        <f t="shared" si="24"/>
        <v>-3145.3613907692297</v>
      </c>
      <c r="M73" s="2"/>
      <c r="N73" s="7">
        <f t="shared" si="25"/>
        <v>-1</v>
      </c>
      <c r="O73" s="11"/>
      <c r="P73" s="6"/>
      <c r="Q73" s="2"/>
      <c r="R73" s="7">
        <f t="shared" si="26"/>
        <v>0</v>
      </c>
      <c r="S73" s="2"/>
      <c r="T73" s="6">
        <v>40889.698079999995</v>
      </c>
      <c r="U73" s="2"/>
      <c r="V73" s="7">
        <f t="shared" si="27"/>
        <v>1.4078292991788461E-2</v>
      </c>
      <c r="W73" s="2"/>
      <c r="X73" s="6">
        <f t="shared" si="28"/>
        <v>-40889.698079999995</v>
      </c>
      <c r="Y73" s="2"/>
      <c r="Z73" s="7">
        <f t="shared" si="29"/>
        <v>-1</v>
      </c>
    </row>
    <row r="74" spans="1:26" s="24" customFormat="1" hidden="1" outlineLevel="2" x14ac:dyDescent="0.25">
      <c r="A74" s="27"/>
      <c r="B74" s="11" t="str">
        <f>CONCATENATE("          ", "6002", " - ", "STAFF SALARIES")</f>
        <v xml:space="preserve">          6002 - STAFF SALARIES</v>
      </c>
      <c r="C74" s="11"/>
      <c r="D74" s="6">
        <v>2282.3000000000002</v>
      </c>
      <c r="E74" s="2"/>
      <c r="F74" s="7">
        <f t="shared" si="22"/>
        <v>5.0988476733834975E-3</v>
      </c>
      <c r="G74" s="2"/>
      <c r="H74" s="6">
        <v>0</v>
      </c>
      <c r="I74" s="2"/>
      <c r="J74" s="7">
        <f t="shared" si="23"/>
        <v>0</v>
      </c>
      <c r="K74" s="2"/>
      <c r="L74" s="6">
        <f t="shared" si="24"/>
        <v>2282.3000000000002</v>
      </c>
      <c r="M74" s="2"/>
      <c r="N74" s="7">
        <f t="shared" si="25"/>
        <v>0</v>
      </c>
      <c r="O74" s="11"/>
      <c r="P74" s="6">
        <v>36505.870000000003</v>
      </c>
      <c r="Q74" s="2"/>
      <c r="R74" s="7">
        <f t="shared" si="26"/>
        <v>1.2653284800410898E-2</v>
      </c>
      <c r="S74" s="2"/>
      <c r="T74" s="6">
        <v>0</v>
      </c>
      <c r="U74" s="2"/>
      <c r="V74" s="7">
        <f t="shared" si="27"/>
        <v>0</v>
      </c>
      <c r="W74" s="2"/>
      <c r="X74" s="6">
        <f t="shared" si="28"/>
        <v>36505.870000000003</v>
      </c>
      <c r="Y74" s="2"/>
      <c r="Z74" s="7">
        <f t="shared" si="29"/>
        <v>0</v>
      </c>
    </row>
    <row r="75" spans="1:26" s="24" customFormat="1" hidden="1" outlineLevel="2" x14ac:dyDescent="0.25">
      <c r="A75" s="27"/>
      <c r="B75" s="11" t="str">
        <f>CONCATENATE("          ", "6003", " - ", "STAFF HOURLY-9 MONTH")</f>
        <v xml:space="preserve">          6003 - STAFF HOURLY-9 MONTH</v>
      </c>
      <c r="C75" s="11"/>
      <c r="D75" s="6"/>
      <c r="E75" s="2"/>
      <c r="F75" s="7">
        <f t="shared" si="22"/>
        <v>0</v>
      </c>
      <c r="G75" s="2"/>
      <c r="H75" s="6">
        <v>0</v>
      </c>
      <c r="I75" s="2"/>
      <c r="J75" s="7">
        <f t="shared" si="23"/>
        <v>0</v>
      </c>
      <c r="K75" s="2"/>
      <c r="L75" s="6">
        <f t="shared" si="24"/>
        <v>0</v>
      </c>
      <c r="M75" s="2"/>
      <c r="N75" s="7">
        <f t="shared" si="25"/>
        <v>0</v>
      </c>
      <c r="O75" s="11"/>
      <c r="P75" s="6"/>
      <c r="Q75" s="2"/>
      <c r="R75" s="7">
        <f t="shared" si="26"/>
        <v>0</v>
      </c>
      <c r="S75" s="2"/>
      <c r="T75" s="6">
        <v>0</v>
      </c>
      <c r="U75" s="2"/>
      <c r="V75" s="7">
        <f t="shared" si="27"/>
        <v>0</v>
      </c>
      <c r="W75" s="2"/>
      <c r="X75" s="6">
        <f t="shared" si="28"/>
        <v>0</v>
      </c>
      <c r="Y75" s="2"/>
      <c r="Z75" s="7">
        <f t="shared" si="29"/>
        <v>0</v>
      </c>
    </row>
    <row r="76" spans="1:26" s="24" customFormat="1" hidden="1" outlineLevel="2" x14ac:dyDescent="0.25">
      <c r="A76" s="27"/>
      <c r="B76" s="11" t="str">
        <f>CONCATENATE("          ", "6004", " - ", "STAFF HOURLY")</f>
        <v xml:space="preserve">          6004 - STAFF HOURLY</v>
      </c>
      <c r="C76" s="11"/>
      <c r="D76" s="6">
        <v>3208.25</v>
      </c>
      <c r="E76" s="2"/>
      <c r="F76" s="7">
        <f t="shared" si="22"/>
        <v>7.1674968444694412E-3</v>
      </c>
      <c r="G76" s="2"/>
      <c r="H76" s="6">
        <v>1400.8</v>
      </c>
      <c r="I76" s="2"/>
      <c r="J76" s="7">
        <f t="shared" si="23"/>
        <v>3.1012763319570053E-3</v>
      </c>
      <c r="K76" s="2"/>
      <c r="L76" s="6">
        <f t="shared" si="24"/>
        <v>1807.45</v>
      </c>
      <c r="M76" s="2"/>
      <c r="N76" s="7">
        <f t="shared" si="25"/>
        <v>1.2902984009137637</v>
      </c>
      <c r="O76" s="11"/>
      <c r="P76" s="6">
        <v>11783.41</v>
      </c>
      <c r="Q76" s="2"/>
      <c r="R76" s="7">
        <f t="shared" si="26"/>
        <v>4.0842429628443252E-3</v>
      </c>
      <c r="S76" s="2"/>
      <c r="T76" s="6">
        <v>17472.919999999998</v>
      </c>
      <c r="U76" s="2"/>
      <c r="V76" s="7">
        <f t="shared" si="27"/>
        <v>6.0159135120246513E-3</v>
      </c>
      <c r="W76" s="2"/>
      <c r="X76" s="6">
        <f t="shared" si="28"/>
        <v>-5689.5099999999984</v>
      </c>
      <c r="Y76" s="2"/>
      <c r="Z76" s="7">
        <f t="shared" si="29"/>
        <v>-0.32561872886729859</v>
      </c>
    </row>
    <row r="77" spans="1:26" s="24" customFormat="1" hidden="1" outlineLevel="2" x14ac:dyDescent="0.25">
      <c r="A77" s="27"/>
      <c r="B77" s="11" t="str">
        <f>CONCATENATE("          ", "6005", " - ", "TEMPORARY WAGES-HOURLY")</f>
        <v xml:space="preserve">          6005 - TEMPORARY WAGES-HOURLY</v>
      </c>
      <c r="C77" s="11"/>
      <c r="D77" s="6"/>
      <c r="E77" s="2"/>
      <c r="F77" s="7">
        <f t="shared" si="22"/>
        <v>0</v>
      </c>
      <c r="G77" s="2"/>
      <c r="H77" s="6">
        <v>0</v>
      </c>
      <c r="I77" s="2"/>
      <c r="J77" s="7">
        <f t="shared" si="23"/>
        <v>0</v>
      </c>
      <c r="K77" s="2"/>
      <c r="L77" s="6">
        <f t="shared" si="24"/>
        <v>0</v>
      </c>
      <c r="M77" s="2"/>
      <c r="N77" s="7">
        <f t="shared" si="25"/>
        <v>0</v>
      </c>
      <c r="O77" s="11"/>
      <c r="P77" s="6">
        <v>29960.57</v>
      </c>
      <c r="Q77" s="2"/>
      <c r="R77" s="7">
        <f t="shared" si="26"/>
        <v>1.0384621021020638E-2</v>
      </c>
      <c r="S77" s="2"/>
      <c r="T77" s="6">
        <v>0</v>
      </c>
      <c r="U77" s="2"/>
      <c r="V77" s="7">
        <f t="shared" si="27"/>
        <v>0</v>
      </c>
      <c r="W77" s="2"/>
      <c r="X77" s="6">
        <f t="shared" si="28"/>
        <v>29960.57</v>
      </c>
      <c r="Y77" s="2"/>
      <c r="Z77" s="7">
        <f t="shared" si="29"/>
        <v>0</v>
      </c>
    </row>
    <row r="78" spans="1:26" s="24" customFormat="1" hidden="1" outlineLevel="2" x14ac:dyDescent="0.25">
      <c r="A78" s="27"/>
      <c r="B78" s="11" t="str">
        <f>CONCATENATE("          ", "6006", " - ", "TEMPORARY PART TIME")</f>
        <v xml:space="preserve">          6006 - TEMPORARY PART TIME</v>
      </c>
      <c r="C78" s="11"/>
      <c r="D78" s="6"/>
      <c r="E78" s="2"/>
      <c r="F78" s="7">
        <f t="shared" si="22"/>
        <v>0</v>
      </c>
      <c r="G78" s="2"/>
      <c r="H78" s="6">
        <v>0</v>
      </c>
      <c r="I78" s="2"/>
      <c r="J78" s="7">
        <f t="shared" si="23"/>
        <v>0</v>
      </c>
      <c r="K78" s="2"/>
      <c r="L78" s="6">
        <f t="shared" si="24"/>
        <v>0</v>
      </c>
      <c r="M78" s="2"/>
      <c r="N78" s="7">
        <f t="shared" si="25"/>
        <v>0</v>
      </c>
      <c r="O78" s="11"/>
      <c r="P78" s="6">
        <v>9008.99</v>
      </c>
      <c r="Q78" s="2"/>
      <c r="R78" s="7">
        <f t="shared" si="26"/>
        <v>3.1226023714557073E-3</v>
      </c>
      <c r="S78" s="2"/>
      <c r="T78" s="6">
        <v>0</v>
      </c>
      <c r="U78" s="2"/>
      <c r="V78" s="7">
        <f t="shared" si="27"/>
        <v>0</v>
      </c>
      <c r="W78" s="2"/>
      <c r="X78" s="6">
        <f t="shared" si="28"/>
        <v>9008.99</v>
      </c>
      <c r="Y78" s="2"/>
      <c r="Z78" s="7">
        <f t="shared" si="29"/>
        <v>0</v>
      </c>
    </row>
    <row r="79" spans="1:26" s="24" customFormat="1" hidden="1" outlineLevel="2" x14ac:dyDescent="0.25">
      <c r="A79" s="27"/>
      <c r="B79" s="11" t="str">
        <f>CONCATENATE("          ", "6007", " - ", "STUDENT HOURLY")</f>
        <v xml:space="preserve">          6007 - STUDENT HOURLY</v>
      </c>
      <c r="C79" s="11"/>
      <c r="D79" s="6"/>
      <c r="E79" s="2"/>
      <c r="F79" s="7">
        <f t="shared" si="22"/>
        <v>0</v>
      </c>
      <c r="G79" s="2"/>
      <c r="H79" s="6">
        <v>4021.2404999999994</v>
      </c>
      <c r="I79" s="2"/>
      <c r="J79" s="7">
        <f t="shared" si="23"/>
        <v>8.9027541317511089E-3</v>
      </c>
      <c r="K79" s="2"/>
      <c r="L79" s="6">
        <f t="shared" si="24"/>
        <v>-4021.2404999999994</v>
      </c>
      <c r="M79" s="2"/>
      <c r="N79" s="7">
        <f t="shared" si="25"/>
        <v>-1</v>
      </c>
      <c r="O79" s="11"/>
      <c r="P79" s="6">
        <v>19022.990000000002</v>
      </c>
      <c r="Q79" s="2"/>
      <c r="R79" s="7">
        <f t="shared" si="26"/>
        <v>6.5935508515580785E-3</v>
      </c>
      <c r="S79" s="2"/>
      <c r="T79" s="6">
        <v>13399.9905</v>
      </c>
      <c r="U79" s="2"/>
      <c r="V79" s="7">
        <f t="shared" si="27"/>
        <v>4.6136068790993134E-3</v>
      </c>
      <c r="W79" s="2"/>
      <c r="X79" s="6">
        <f t="shared" si="28"/>
        <v>5622.9995000000017</v>
      </c>
      <c r="Y79" s="2"/>
      <c r="Z79" s="7">
        <f t="shared" si="29"/>
        <v>0.41962712585505202</v>
      </c>
    </row>
    <row r="80" spans="1:26" s="24" customFormat="1" hidden="1" outlineLevel="2" x14ac:dyDescent="0.25">
      <c r="A80" s="27"/>
      <c r="B80" s="11" t="str">
        <f>CONCATENATE("          ", "6008", " - ", "STUDENT HOURLY-FICA EXEMPT")</f>
        <v xml:space="preserve">          6008 - STUDENT HOURLY-FICA EXEMPT</v>
      </c>
      <c r="C80" s="11"/>
      <c r="D80" s="6"/>
      <c r="E80" s="2"/>
      <c r="F80" s="7">
        <f t="shared" si="22"/>
        <v>0</v>
      </c>
      <c r="G80" s="2"/>
      <c r="H80" s="6">
        <v>0</v>
      </c>
      <c r="I80" s="2"/>
      <c r="J80" s="7">
        <f t="shared" si="23"/>
        <v>0</v>
      </c>
      <c r="K80" s="2"/>
      <c r="L80" s="6">
        <f t="shared" si="24"/>
        <v>0</v>
      </c>
      <c r="M80" s="2"/>
      <c r="N80" s="7">
        <f t="shared" si="25"/>
        <v>0</v>
      </c>
      <c r="O80" s="11"/>
      <c r="P80" s="6"/>
      <c r="Q80" s="2"/>
      <c r="R80" s="7">
        <f t="shared" si="26"/>
        <v>0</v>
      </c>
      <c r="S80" s="2"/>
      <c r="T80" s="6">
        <v>53181.145499999999</v>
      </c>
      <c r="U80" s="2"/>
      <c r="V80" s="7">
        <f t="shared" si="27"/>
        <v>1.8310229303310437E-2</v>
      </c>
      <c r="W80" s="2"/>
      <c r="X80" s="6">
        <f t="shared" si="28"/>
        <v>-53181.145499999999</v>
      </c>
      <c r="Y80" s="2"/>
      <c r="Z80" s="7">
        <f t="shared" si="29"/>
        <v>-1</v>
      </c>
    </row>
    <row r="81" spans="1:26" s="24" customFormat="1" hidden="1" outlineLevel="2" x14ac:dyDescent="0.25">
      <c r="A81" s="27"/>
      <c r="B81" s="11" t="str">
        <f>CONCATENATE("          ", "6009", " - ", "TEMPORARY-SEASONAL")</f>
        <v xml:space="preserve">          6009 - TEMPORARY-SEASONAL</v>
      </c>
      <c r="C81" s="11"/>
      <c r="D81" s="6"/>
      <c r="E81" s="2"/>
      <c r="F81" s="7">
        <f t="shared" si="22"/>
        <v>0</v>
      </c>
      <c r="G81" s="2"/>
      <c r="H81" s="6">
        <v>0</v>
      </c>
      <c r="I81" s="2"/>
      <c r="J81" s="7">
        <f t="shared" si="23"/>
        <v>0</v>
      </c>
      <c r="K81" s="2"/>
      <c r="L81" s="6">
        <f t="shared" si="24"/>
        <v>0</v>
      </c>
      <c r="M81" s="2"/>
      <c r="N81" s="7">
        <f t="shared" si="25"/>
        <v>0</v>
      </c>
      <c r="O81" s="11"/>
      <c r="P81" s="6"/>
      <c r="Q81" s="2"/>
      <c r="R81" s="7">
        <f t="shared" si="26"/>
        <v>0</v>
      </c>
      <c r="S81" s="2"/>
      <c r="T81" s="6">
        <v>0</v>
      </c>
      <c r="U81" s="2"/>
      <c r="V81" s="7">
        <f t="shared" si="27"/>
        <v>0</v>
      </c>
      <c r="W81" s="2"/>
      <c r="X81" s="6">
        <f t="shared" si="28"/>
        <v>0</v>
      </c>
      <c r="Y81" s="2"/>
      <c r="Z81" s="7">
        <f t="shared" si="29"/>
        <v>0</v>
      </c>
    </row>
    <row r="82" spans="1:26" s="24" customFormat="1" hidden="1" outlineLevel="2" x14ac:dyDescent="0.25">
      <c r="A82" s="27"/>
      <c r="B82" s="11" t="str">
        <f>CONCATENATE("          ", "6010", " - ", "GRATUITY")</f>
        <v xml:space="preserve">          6010 - GRATUITY</v>
      </c>
      <c r="C82" s="11"/>
      <c r="D82" s="6"/>
      <c r="E82" s="2"/>
      <c r="F82" s="7">
        <f t="shared" si="22"/>
        <v>0</v>
      </c>
      <c r="G82" s="2"/>
      <c r="H82" s="6">
        <v>0</v>
      </c>
      <c r="I82" s="2"/>
      <c r="J82" s="7">
        <f t="shared" si="23"/>
        <v>0</v>
      </c>
      <c r="K82" s="2"/>
      <c r="L82" s="6">
        <f t="shared" si="24"/>
        <v>0</v>
      </c>
      <c r="M82" s="2"/>
      <c r="N82" s="7">
        <f t="shared" si="25"/>
        <v>0</v>
      </c>
      <c r="O82" s="11"/>
      <c r="P82" s="6"/>
      <c r="Q82" s="2"/>
      <c r="R82" s="7">
        <f t="shared" si="26"/>
        <v>0</v>
      </c>
      <c r="S82" s="2"/>
      <c r="T82" s="6">
        <v>0</v>
      </c>
      <c r="U82" s="2"/>
      <c r="V82" s="7">
        <f t="shared" si="27"/>
        <v>0</v>
      </c>
      <c r="W82" s="2"/>
      <c r="X82" s="6">
        <f t="shared" si="28"/>
        <v>0</v>
      </c>
      <c r="Y82" s="2"/>
      <c r="Z82" s="7">
        <f t="shared" si="29"/>
        <v>0</v>
      </c>
    </row>
    <row r="83" spans="1:26" s="26" customFormat="1" outlineLevel="1" collapsed="1" x14ac:dyDescent="0.25">
      <c r="A83" s="25"/>
      <c r="B83" s="12" t="str">
        <f>CONCATENATE("     ","Advertising/Promo                                 ")</f>
        <v xml:space="preserve">     Advertising/Promo                                 </v>
      </c>
      <c r="C83" s="12"/>
      <c r="D83" s="1">
        <f>SUM(OSRRefD22_2x_0)</f>
        <v>34.450000000000003</v>
      </c>
      <c r="E83" s="1"/>
      <c r="F83" s="5">
        <f t="shared" ref="F83:F103" si="30">IF(D$12=0,0,D83/D$12)</f>
        <v>7.6964159991263853E-5</v>
      </c>
      <c r="G83" s="1"/>
      <c r="H83" s="1">
        <f>SUM(OSRRefH22_2x_0)</f>
        <v>250</v>
      </c>
      <c r="I83" s="1"/>
      <c r="J83" s="5">
        <f t="shared" ref="J83:J103" si="31">IF(H$12=0,0,H83/H$12)</f>
        <v>5.5348306895292075E-4</v>
      </c>
      <c r="K83" s="1"/>
      <c r="L83" s="1">
        <f t="shared" ref="L83:L103" si="32">+D83-H83</f>
        <v>-215.55</v>
      </c>
      <c r="M83" s="1"/>
      <c r="N83" s="5">
        <f t="shared" ref="N83:N103" si="33">IF(H83=0,0,L83/H83)</f>
        <v>-0.86220000000000008</v>
      </c>
      <c r="O83" s="12"/>
      <c r="P83" s="1">
        <f>SUM(OSRRefP22_2x_0)</f>
        <v>1780.37</v>
      </c>
      <c r="Q83" s="1"/>
      <c r="R83" s="5">
        <f t="shared" ref="R83:R103" si="34">IF(P$12=0,0,P83/P$12)</f>
        <v>6.1709332389852777E-4</v>
      </c>
      <c r="S83" s="1"/>
      <c r="T83" s="1">
        <f>SUM(OSRRefT22_2x_0)</f>
        <v>3000</v>
      </c>
      <c r="U83" s="1"/>
      <c r="V83" s="5">
        <f t="shared" ref="V83:V103" si="35">IF(T$12=0,0,T83/T$12)</f>
        <v>1.0328977947632082E-3</v>
      </c>
      <c r="W83" s="1"/>
      <c r="X83" s="1">
        <f t="shared" ref="X83:X103" si="36">+P83-T83</f>
        <v>-1219.6300000000001</v>
      </c>
      <c r="Y83" s="1"/>
      <c r="Z83" s="5">
        <f t="shared" ref="Z83:Z103" si="37">IF(T83=0,0,X83/T83)</f>
        <v>-0.40654333333333337</v>
      </c>
    </row>
    <row r="84" spans="1:26" s="24" customFormat="1" hidden="1" outlineLevel="2" x14ac:dyDescent="0.25">
      <c r="A84" s="27"/>
      <c r="B84" s="11" t="str">
        <f>CONCATENATE("          ", "6362", " - ", "ADVERTISING EXPENSE")</f>
        <v xml:space="preserve">          6362 - ADVERTISING EXPENSE</v>
      </c>
      <c r="C84" s="11"/>
      <c r="D84" s="6">
        <v>34.450000000000003</v>
      </c>
      <c r="E84" s="2"/>
      <c r="F84" s="7">
        <f t="shared" si="30"/>
        <v>7.6964159991263853E-5</v>
      </c>
      <c r="G84" s="2"/>
      <c r="H84" s="6">
        <v>250</v>
      </c>
      <c r="I84" s="2"/>
      <c r="J84" s="7">
        <f t="shared" si="31"/>
        <v>5.5348306895292075E-4</v>
      </c>
      <c r="K84" s="2"/>
      <c r="L84" s="6">
        <f t="shared" si="32"/>
        <v>-215.55</v>
      </c>
      <c r="M84" s="2"/>
      <c r="N84" s="7">
        <f t="shared" si="33"/>
        <v>-0.86220000000000008</v>
      </c>
      <c r="O84" s="11"/>
      <c r="P84" s="6">
        <v>1780.37</v>
      </c>
      <c r="Q84" s="2"/>
      <c r="R84" s="7">
        <f t="shared" si="34"/>
        <v>6.1709332389852777E-4</v>
      </c>
      <c r="S84" s="2"/>
      <c r="T84" s="6">
        <v>3000</v>
      </c>
      <c r="U84" s="2"/>
      <c r="V84" s="7">
        <f t="shared" si="35"/>
        <v>1.0328977947632082E-3</v>
      </c>
      <c r="W84" s="2"/>
      <c r="X84" s="6">
        <f t="shared" si="36"/>
        <v>-1219.6300000000001</v>
      </c>
      <c r="Y84" s="2"/>
      <c r="Z84" s="7">
        <f t="shared" si="37"/>
        <v>-0.40654333333333337</v>
      </c>
    </row>
    <row r="85" spans="1:26" s="26" customFormat="1" outlineLevel="1" collapsed="1" x14ac:dyDescent="0.25">
      <c r="A85" s="25"/>
      <c r="B85" s="12" t="str">
        <f>CONCATENATE("     ","Depreciation                                      ")</f>
        <v xml:space="preserve">     Depreciation                                      </v>
      </c>
      <c r="C85" s="12"/>
      <c r="D85" s="1">
        <f>SUM(OSRRefD22_3x_0)</f>
        <v>280.45</v>
      </c>
      <c r="E85" s="1"/>
      <c r="F85" s="5">
        <f t="shared" si="30"/>
        <v>6.2654858257039036E-4</v>
      </c>
      <c r="G85" s="1"/>
      <c r="H85" s="1">
        <f>SUM(OSRRefH22_3x_0)</f>
        <v>0</v>
      </c>
      <c r="I85" s="1"/>
      <c r="J85" s="5">
        <f t="shared" si="31"/>
        <v>0</v>
      </c>
      <c r="K85" s="1"/>
      <c r="L85" s="1">
        <f t="shared" si="32"/>
        <v>280.45</v>
      </c>
      <c r="M85" s="1"/>
      <c r="N85" s="5">
        <f t="shared" si="33"/>
        <v>0</v>
      </c>
      <c r="O85" s="12"/>
      <c r="P85" s="1">
        <f>SUM(OSRRefP22_3x_0)</f>
        <v>3365.29</v>
      </c>
      <c r="Q85" s="1"/>
      <c r="R85" s="5">
        <f t="shared" si="34"/>
        <v>1.166441802536819E-3</v>
      </c>
      <c r="S85" s="1"/>
      <c r="T85" s="1">
        <f>SUM(OSRRefT22_3x_0)</f>
        <v>0</v>
      </c>
      <c r="U85" s="1"/>
      <c r="V85" s="5">
        <f t="shared" si="35"/>
        <v>0</v>
      </c>
      <c r="W85" s="1"/>
      <c r="X85" s="1">
        <f t="shared" si="36"/>
        <v>3365.29</v>
      </c>
      <c r="Y85" s="1"/>
      <c r="Z85" s="5">
        <f t="shared" si="37"/>
        <v>0</v>
      </c>
    </row>
    <row r="86" spans="1:26" s="24" customFormat="1" hidden="1" outlineLevel="2" x14ac:dyDescent="0.25">
      <c r="A86" s="27"/>
      <c r="B86" s="11" t="str">
        <f>CONCATENATE("          ", "6322", " - ", "EQUIPMENT DEPRECIATION EXPENSE")</f>
        <v xml:space="preserve">          6322 - EQUIPMENT DEPRECIATION EXPENSE</v>
      </c>
      <c r="C86" s="11"/>
      <c r="D86" s="6">
        <v>280.45</v>
      </c>
      <c r="E86" s="2"/>
      <c r="F86" s="7">
        <f t="shared" si="30"/>
        <v>6.2654858257039036E-4</v>
      </c>
      <c r="G86" s="2"/>
      <c r="H86" s="6"/>
      <c r="I86" s="2"/>
      <c r="J86" s="7">
        <f t="shared" si="31"/>
        <v>0</v>
      </c>
      <c r="K86" s="2"/>
      <c r="L86" s="6">
        <f t="shared" si="32"/>
        <v>280.45</v>
      </c>
      <c r="M86" s="2"/>
      <c r="N86" s="7">
        <f t="shared" si="33"/>
        <v>0</v>
      </c>
      <c r="O86" s="11"/>
      <c r="P86" s="6">
        <v>3365.29</v>
      </c>
      <c r="Q86" s="2"/>
      <c r="R86" s="7">
        <f t="shared" si="34"/>
        <v>1.166441802536819E-3</v>
      </c>
      <c r="S86" s="2"/>
      <c r="T86" s="6"/>
      <c r="U86" s="2"/>
      <c r="V86" s="7">
        <f t="shared" si="35"/>
        <v>0</v>
      </c>
      <c r="W86" s="2"/>
      <c r="X86" s="6">
        <f t="shared" si="36"/>
        <v>3365.29</v>
      </c>
      <c r="Y86" s="2"/>
      <c r="Z86" s="7">
        <f t="shared" si="37"/>
        <v>0</v>
      </c>
    </row>
    <row r="87" spans="1:26" s="26" customFormat="1" outlineLevel="1" collapsed="1" x14ac:dyDescent="0.25">
      <c r="A87" s="25"/>
      <c r="B87" s="12" t="str">
        <f>CONCATENATE("     ","Discounts and Markdowns                           ")</f>
        <v xml:space="preserve">     Discounts and Markdowns                           </v>
      </c>
      <c r="C87" s="12"/>
      <c r="D87" s="1">
        <f>SUM(OSRRefD22_4x_0)</f>
        <v>2379.19</v>
      </c>
      <c r="E87" s="1"/>
      <c r="F87" s="5">
        <f t="shared" si="30"/>
        <v>5.3153079770570403E-3</v>
      </c>
      <c r="G87" s="1"/>
      <c r="H87" s="1">
        <f>SUM(OSRRefH22_4x_0)</f>
        <v>2500</v>
      </c>
      <c r="I87" s="1"/>
      <c r="J87" s="5">
        <f t="shared" si="31"/>
        <v>5.5348306895292073E-3</v>
      </c>
      <c r="K87" s="1"/>
      <c r="L87" s="1">
        <f t="shared" si="32"/>
        <v>-120.80999999999995</v>
      </c>
      <c r="M87" s="1"/>
      <c r="N87" s="5">
        <f t="shared" si="33"/>
        <v>-4.8323999999999978E-2</v>
      </c>
      <c r="O87" s="12"/>
      <c r="P87" s="1">
        <f>SUM(OSRRefP22_4x_0)</f>
        <v>76736.39</v>
      </c>
      <c r="Q87" s="1"/>
      <c r="R87" s="5">
        <f t="shared" si="34"/>
        <v>2.6597569027266101E-2</v>
      </c>
      <c r="S87" s="1"/>
      <c r="T87" s="1">
        <f>SUM(OSRRefT22_4x_0)</f>
        <v>30000</v>
      </c>
      <c r="U87" s="1"/>
      <c r="V87" s="5">
        <f t="shared" si="35"/>
        <v>1.0328977947632082E-2</v>
      </c>
      <c r="W87" s="1"/>
      <c r="X87" s="1">
        <f t="shared" si="36"/>
        <v>46736.39</v>
      </c>
      <c r="Y87" s="1"/>
      <c r="Z87" s="5">
        <f t="shared" si="37"/>
        <v>1.5578796666666666</v>
      </c>
    </row>
    <row r="88" spans="1:26" s="24" customFormat="1" hidden="1" outlineLevel="2" x14ac:dyDescent="0.25">
      <c r="A88" s="27"/>
      <c r="B88" s="11" t="str">
        <f>CONCATENATE("          ", "6382", " - ", "DISCOUNTS/MARK DOWNS")</f>
        <v xml:space="preserve">          6382 - DISCOUNTS/MARK DOWNS</v>
      </c>
      <c r="C88" s="11"/>
      <c r="D88" s="6">
        <v>2379.19</v>
      </c>
      <c r="E88" s="2"/>
      <c r="F88" s="7">
        <f t="shared" si="30"/>
        <v>5.3153079770570403E-3</v>
      </c>
      <c r="G88" s="2"/>
      <c r="H88" s="6">
        <v>2500</v>
      </c>
      <c r="I88" s="2"/>
      <c r="J88" s="7">
        <f t="shared" si="31"/>
        <v>5.5348306895292073E-3</v>
      </c>
      <c r="K88" s="2"/>
      <c r="L88" s="6">
        <f t="shared" si="32"/>
        <v>-120.80999999999995</v>
      </c>
      <c r="M88" s="2"/>
      <c r="N88" s="7">
        <f t="shared" si="33"/>
        <v>-4.8323999999999978E-2</v>
      </c>
      <c r="O88" s="11"/>
      <c r="P88" s="6">
        <v>76736.39</v>
      </c>
      <c r="Q88" s="2"/>
      <c r="R88" s="7">
        <f t="shared" si="34"/>
        <v>2.6597569027266101E-2</v>
      </c>
      <c r="S88" s="2"/>
      <c r="T88" s="6">
        <v>30000</v>
      </c>
      <c r="U88" s="2"/>
      <c r="V88" s="7">
        <f t="shared" si="35"/>
        <v>1.0328977947632082E-2</v>
      </c>
      <c r="W88" s="2"/>
      <c r="X88" s="6">
        <f t="shared" si="36"/>
        <v>46736.39</v>
      </c>
      <c r="Y88" s="2"/>
      <c r="Z88" s="7">
        <f t="shared" si="37"/>
        <v>1.5578796666666666</v>
      </c>
    </row>
    <row r="89" spans="1:26" s="26" customFormat="1" outlineLevel="1" collapsed="1" x14ac:dyDescent="0.25">
      <c r="A89" s="25"/>
      <c r="B89" s="12" t="str">
        <f>CONCATENATE("     ","Employees' Appreciation                           ")</f>
        <v xml:space="preserve">     Employees' Appreciation                           </v>
      </c>
      <c r="C89" s="12"/>
      <c r="D89" s="1">
        <f>SUM(OSRRefD22_5x_0)</f>
        <v>0</v>
      </c>
      <c r="E89" s="1"/>
      <c r="F89" s="5">
        <f t="shared" si="30"/>
        <v>0</v>
      </c>
      <c r="G89" s="1"/>
      <c r="H89" s="1">
        <f>SUM(OSRRefH22_5x_0)</f>
        <v>40</v>
      </c>
      <c r="I89" s="1"/>
      <c r="J89" s="5">
        <f t="shared" si="31"/>
        <v>8.8557291032467317E-5</v>
      </c>
      <c r="K89" s="1"/>
      <c r="L89" s="1">
        <f t="shared" si="32"/>
        <v>-40</v>
      </c>
      <c r="M89" s="1"/>
      <c r="N89" s="5">
        <f t="shared" si="33"/>
        <v>-1</v>
      </c>
      <c r="O89" s="12"/>
      <c r="P89" s="1">
        <f>SUM(OSRRefP22_5x_0)</f>
        <v>0</v>
      </c>
      <c r="Q89" s="1"/>
      <c r="R89" s="5">
        <f t="shared" si="34"/>
        <v>0</v>
      </c>
      <c r="S89" s="1"/>
      <c r="T89" s="1">
        <f>SUM(OSRRefT22_5x_0)</f>
        <v>480</v>
      </c>
      <c r="U89" s="1"/>
      <c r="V89" s="5">
        <f t="shared" si="35"/>
        <v>1.6526364716211331E-4</v>
      </c>
      <c r="W89" s="1"/>
      <c r="X89" s="1">
        <f t="shared" si="36"/>
        <v>-480</v>
      </c>
      <c r="Y89" s="1"/>
      <c r="Z89" s="5">
        <f t="shared" si="37"/>
        <v>-1</v>
      </c>
    </row>
    <row r="90" spans="1:26" s="24" customFormat="1" hidden="1" outlineLevel="2" x14ac:dyDescent="0.25">
      <c r="A90" s="27"/>
      <c r="B90" s="11" t="str">
        <f>CONCATENATE("          ", "6277", " - ", "EMPLOYEE APPRECIATION")</f>
        <v xml:space="preserve">          6277 - EMPLOYEE APPRECIATION</v>
      </c>
      <c r="C90" s="11"/>
      <c r="D90" s="6"/>
      <c r="E90" s="2"/>
      <c r="F90" s="7">
        <f t="shared" si="30"/>
        <v>0</v>
      </c>
      <c r="G90" s="2"/>
      <c r="H90" s="6">
        <v>40</v>
      </c>
      <c r="I90" s="2"/>
      <c r="J90" s="7">
        <f t="shared" si="31"/>
        <v>8.8557291032467317E-5</v>
      </c>
      <c r="K90" s="2"/>
      <c r="L90" s="6">
        <f t="shared" si="32"/>
        <v>-40</v>
      </c>
      <c r="M90" s="2"/>
      <c r="N90" s="7">
        <f t="shared" si="33"/>
        <v>-1</v>
      </c>
      <c r="O90" s="11"/>
      <c r="P90" s="6"/>
      <c r="Q90" s="2"/>
      <c r="R90" s="7">
        <f t="shared" si="34"/>
        <v>0</v>
      </c>
      <c r="S90" s="2"/>
      <c r="T90" s="6">
        <v>480</v>
      </c>
      <c r="U90" s="2"/>
      <c r="V90" s="7">
        <f t="shared" si="35"/>
        <v>1.6526364716211331E-4</v>
      </c>
      <c r="W90" s="2"/>
      <c r="X90" s="6">
        <f t="shared" si="36"/>
        <v>-480</v>
      </c>
      <c r="Y90" s="2"/>
      <c r="Z90" s="7">
        <f t="shared" si="37"/>
        <v>-1</v>
      </c>
    </row>
    <row r="91" spans="1:26" s="26" customFormat="1" outlineLevel="1" collapsed="1" x14ac:dyDescent="0.25">
      <c r="A91" s="25"/>
      <c r="B91" s="12" t="str">
        <f>CONCATENATE("     ","Freight out/Postage                               ")</f>
        <v xml:space="preserve">     Freight out/Postage                               </v>
      </c>
      <c r="C91" s="12"/>
      <c r="D91" s="1">
        <f>SUM(OSRRefD22_6x_0)</f>
        <v>142.69</v>
      </c>
      <c r="E91" s="1"/>
      <c r="F91" s="5">
        <f t="shared" si="30"/>
        <v>3.1878130592607952E-4</v>
      </c>
      <c r="G91" s="1"/>
      <c r="H91" s="1">
        <f>SUM(OSRRefH22_6x_0)</f>
        <v>25</v>
      </c>
      <c r="I91" s="1"/>
      <c r="J91" s="5">
        <f t="shared" si="31"/>
        <v>5.534830689529207E-5</v>
      </c>
      <c r="K91" s="1"/>
      <c r="L91" s="1">
        <f t="shared" si="32"/>
        <v>117.69</v>
      </c>
      <c r="M91" s="1"/>
      <c r="N91" s="5">
        <f t="shared" si="33"/>
        <v>4.7076000000000002</v>
      </c>
      <c r="O91" s="12"/>
      <c r="P91" s="1">
        <f>SUM(OSRRefP22_6x_0)</f>
        <v>263.27999999999997</v>
      </c>
      <c r="Q91" s="1"/>
      <c r="R91" s="5">
        <f t="shared" si="34"/>
        <v>9.1255374060450562E-5</v>
      </c>
      <c r="S91" s="1"/>
      <c r="T91" s="1">
        <f>SUM(OSRRefT22_6x_0)</f>
        <v>300</v>
      </c>
      <c r="U91" s="1"/>
      <c r="V91" s="5">
        <f t="shared" si="35"/>
        <v>1.0328977947632082E-4</v>
      </c>
      <c r="W91" s="1"/>
      <c r="X91" s="1">
        <f t="shared" si="36"/>
        <v>-36.720000000000027</v>
      </c>
      <c r="Y91" s="1"/>
      <c r="Z91" s="5">
        <f t="shared" si="37"/>
        <v>-0.12240000000000009</v>
      </c>
    </row>
    <row r="92" spans="1:26" s="24" customFormat="1" hidden="1" outlineLevel="2" x14ac:dyDescent="0.25">
      <c r="A92" s="27"/>
      <c r="B92" s="11" t="str">
        <f>CONCATENATE("          ", "6305", " - ", "FREIGHT OUT")</f>
        <v xml:space="preserve">          6305 - FREIGHT OUT</v>
      </c>
      <c r="C92" s="11"/>
      <c r="D92" s="6">
        <v>142.69</v>
      </c>
      <c r="E92" s="2"/>
      <c r="F92" s="7">
        <f t="shared" si="30"/>
        <v>3.1878130592607952E-4</v>
      </c>
      <c r="G92" s="2"/>
      <c r="H92" s="6">
        <v>25</v>
      </c>
      <c r="I92" s="2"/>
      <c r="J92" s="7">
        <f t="shared" si="31"/>
        <v>5.534830689529207E-5</v>
      </c>
      <c r="K92" s="2"/>
      <c r="L92" s="6">
        <f t="shared" si="32"/>
        <v>117.69</v>
      </c>
      <c r="M92" s="2"/>
      <c r="N92" s="7">
        <f t="shared" si="33"/>
        <v>4.7076000000000002</v>
      </c>
      <c r="O92" s="11"/>
      <c r="P92" s="6">
        <v>263.27999999999997</v>
      </c>
      <c r="Q92" s="2"/>
      <c r="R92" s="7">
        <f t="shared" si="34"/>
        <v>9.1255374060450562E-5</v>
      </c>
      <c r="S92" s="2"/>
      <c r="T92" s="6">
        <v>300</v>
      </c>
      <c r="U92" s="2"/>
      <c r="V92" s="7">
        <f t="shared" si="35"/>
        <v>1.0328977947632082E-4</v>
      </c>
      <c r="W92" s="2"/>
      <c r="X92" s="6">
        <f t="shared" si="36"/>
        <v>-36.720000000000027</v>
      </c>
      <c r="Y92" s="2"/>
      <c r="Z92" s="7">
        <f t="shared" si="37"/>
        <v>-0.12240000000000009</v>
      </c>
    </row>
    <row r="93" spans="1:26" s="26" customFormat="1" outlineLevel="1" collapsed="1" x14ac:dyDescent="0.25">
      <c r="A93" s="25"/>
      <c r="B93" s="12" t="str">
        <f>CONCATENATE("     ","General                                           ")</f>
        <v xml:space="preserve">     General                                           </v>
      </c>
      <c r="C93" s="12"/>
      <c r="D93" s="1">
        <f>SUM(OSRRefD22_7x_0)</f>
        <v>0</v>
      </c>
      <c r="E93" s="1"/>
      <c r="F93" s="5">
        <f t="shared" si="30"/>
        <v>0</v>
      </c>
      <c r="G93" s="1"/>
      <c r="H93" s="1">
        <f>SUM(OSRRefH22_7x_0)</f>
        <v>0</v>
      </c>
      <c r="I93" s="1"/>
      <c r="J93" s="5">
        <f t="shared" si="31"/>
        <v>0</v>
      </c>
      <c r="K93" s="1"/>
      <c r="L93" s="1">
        <f t="shared" si="32"/>
        <v>0</v>
      </c>
      <c r="M93" s="1"/>
      <c r="N93" s="5">
        <f t="shared" si="33"/>
        <v>0</v>
      </c>
      <c r="O93" s="12"/>
      <c r="P93" s="1">
        <f>SUM(OSRRefP22_7x_0)</f>
        <v>205</v>
      </c>
      <c r="Q93" s="1"/>
      <c r="R93" s="5">
        <f t="shared" si="34"/>
        <v>7.1054966888454759E-5</v>
      </c>
      <c r="S93" s="1"/>
      <c r="T93" s="1">
        <f>SUM(OSRRefT22_7x_0)</f>
        <v>0</v>
      </c>
      <c r="U93" s="1"/>
      <c r="V93" s="5">
        <f t="shared" si="35"/>
        <v>0</v>
      </c>
      <c r="W93" s="1"/>
      <c r="X93" s="1">
        <f t="shared" si="36"/>
        <v>205</v>
      </c>
      <c r="Y93" s="1"/>
      <c r="Z93" s="5">
        <f t="shared" si="37"/>
        <v>0</v>
      </c>
    </row>
    <row r="94" spans="1:26" s="24" customFormat="1" hidden="1" outlineLevel="2" x14ac:dyDescent="0.25">
      <c r="A94" s="27"/>
      <c r="B94" s="11" t="str">
        <f>CONCATENATE("          ", "6279", " - ", "GENERAL EXPENSE")</f>
        <v xml:space="preserve">          6279 - GENERAL EXPENSE</v>
      </c>
      <c r="C94" s="11"/>
      <c r="D94" s="6"/>
      <c r="E94" s="2"/>
      <c r="F94" s="7">
        <f t="shared" si="30"/>
        <v>0</v>
      </c>
      <c r="G94" s="2"/>
      <c r="H94" s="6"/>
      <c r="I94" s="2"/>
      <c r="J94" s="7">
        <f t="shared" si="31"/>
        <v>0</v>
      </c>
      <c r="K94" s="2"/>
      <c r="L94" s="6">
        <f t="shared" si="32"/>
        <v>0</v>
      </c>
      <c r="M94" s="2"/>
      <c r="N94" s="7">
        <f t="shared" si="33"/>
        <v>0</v>
      </c>
      <c r="O94" s="11"/>
      <c r="P94" s="6">
        <v>205</v>
      </c>
      <c r="Q94" s="2"/>
      <c r="R94" s="7">
        <f t="shared" si="34"/>
        <v>7.1054966888454759E-5</v>
      </c>
      <c r="S94" s="2"/>
      <c r="T94" s="6"/>
      <c r="U94" s="2"/>
      <c r="V94" s="7">
        <f t="shared" si="35"/>
        <v>0</v>
      </c>
      <c r="W94" s="2"/>
      <c r="X94" s="6">
        <f t="shared" si="36"/>
        <v>205</v>
      </c>
      <c r="Y94" s="2"/>
      <c r="Z94" s="7">
        <f t="shared" si="37"/>
        <v>0</v>
      </c>
    </row>
    <row r="95" spans="1:26" s="26" customFormat="1" outlineLevel="1" collapsed="1" x14ac:dyDescent="0.25">
      <c r="A95" s="25"/>
      <c r="B95" s="12" t="str">
        <f>CONCATENATE("     ","Inventory Adjustment                              ")</f>
        <v xml:space="preserve">     Inventory Adjustment                              </v>
      </c>
      <c r="C95" s="12"/>
      <c r="D95" s="1">
        <f>SUM(OSRRefD22_8x_0)</f>
        <v>-43236</v>
      </c>
      <c r="E95" s="1"/>
      <c r="F95" s="5">
        <f t="shared" si="30"/>
        <v>-9.6592813392809396E-2</v>
      </c>
      <c r="G95" s="1"/>
      <c r="H95" s="1">
        <f>SUM(OSRRefH22_8x_0)</f>
        <v>18000</v>
      </c>
      <c r="I95" s="1"/>
      <c r="J95" s="5">
        <f t="shared" si="31"/>
        <v>3.985078096461029E-2</v>
      </c>
      <c r="K95" s="1"/>
      <c r="L95" s="1">
        <f t="shared" si="32"/>
        <v>-61236</v>
      </c>
      <c r="M95" s="1"/>
      <c r="N95" s="5">
        <f t="shared" si="33"/>
        <v>-3.4020000000000001</v>
      </c>
      <c r="O95" s="12"/>
      <c r="P95" s="1">
        <f>SUM(OSRRefP22_8x_0)</f>
        <v>-43236</v>
      </c>
      <c r="Q95" s="1"/>
      <c r="R95" s="5">
        <f t="shared" si="34"/>
        <v>-1.4986012431166975E-2</v>
      </c>
      <c r="S95" s="1"/>
      <c r="T95" s="1">
        <f>SUM(OSRRefT22_8x_0)</f>
        <v>18000</v>
      </c>
      <c r="U95" s="1"/>
      <c r="V95" s="5">
        <f t="shared" si="35"/>
        <v>6.1973867685792489E-3</v>
      </c>
      <c r="W95" s="1"/>
      <c r="X95" s="1">
        <f t="shared" si="36"/>
        <v>-61236</v>
      </c>
      <c r="Y95" s="1"/>
      <c r="Z95" s="5">
        <f t="shared" si="37"/>
        <v>-3.4020000000000001</v>
      </c>
    </row>
    <row r="96" spans="1:26" s="24" customFormat="1" hidden="1" outlineLevel="2" x14ac:dyDescent="0.25">
      <c r="A96" s="27"/>
      <c r="B96" s="11" t="str">
        <f>CONCATENATE("          ", "6408", " - ", "INVENTORY ADJUSTMENT")</f>
        <v xml:space="preserve">          6408 - INVENTORY ADJUSTMENT</v>
      </c>
      <c r="C96" s="11"/>
      <c r="D96" s="6"/>
      <c r="E96" s="2"/>
      <c r="F96" s="7">
        <f t="shared" si="30"/>
        <v>0</v>
      </c>
      <c r="G96" s="2"/>
      <c r="H96" s="6">
        <v>18000</v>
      </c>
      <c r="I96" s="2"/>
      <c r="J96" s="7">
        <f t="shared" si="31"/>
        <v>3.985078096461029E-2</v>
      </c>
      <c r="K96" s="2"/>
      <c r="L96" s="6">
        <f t="shared" si="32"/>
        <v>-18000</v>
      </c>
      <c r="M96" s="2"/>
      <c r="N96" s="7">
        <f t="shared" si="33"/>
        <v>-1</v>
      </c>
      <c r="O96" s="11"/>
      <c r="P96" s="6"/>
      <c r="Q96" s="2"/>
      <c r="R96" s="7">
        <f t="shared" si="34"/>
        <v>0</v>
      </c>
      <c r="S96" s="2"/>
      <c r="T96" s="6">
        <v>18000</v>
      </c>
      <c r="U96" s="2"/>
      <c r="V96" s="7">
        <f t="shared" si="35"/>
        <v>6.1973867685792489E-3</v>
      </c>
      <c r="W96" s="2"/>
      <c r="X96" s="6">
        <f t="shared" si="36"/>
        <v>-18000</v>
      </c>
      <c r="Y96" s="2"/>
      <c r="Z96" s="7">
        <f t="shared" si="37"/>
        <v>-1</v>
      </c>
    </row>
    <row r="97" spans="1:26" s="24" customFormat="1" hidden="1" outlineLevel="2" x14ac:dyDescent="0.25">
      <c r="A97" s="27"/>
      <c r="B97" s="11" t="str">
        <f>CONCATENATE("          ", "7781", " - ", "INV. SHRINKAGE-ELECTRONICS")</f>
        <v xml:space="preserve">          7781 - INV. SHRINKAGE-ELECTRONICS</v>
      </c>
      <c r="C97" s="11"/>
      <c r="D97" s="6">
        <v>-18505</v>
      </c>
      <c r="E97" s="2"/>
      <c r="F97" s="7">
        <f t="shared" si="30"/>
        <v>-4.1341706259458273E-2</v>
      </c>
      <c r="G97" s="2"/>
      <c r="H97" s="6"/>
      <c r="I97" s="2"/>
      <c r="J97" s="7">
        <f t="shared" si="31"/>
        <v>0</v>
      </c>
      <c r="K97" s="2"/>
      <c r="L97" s="6">
        <f t="shared" si="32"/>
        <v>-18505</v>
      </c>
      <c r="M97" s="2"/>
      <c r="N97" s="7">
        <f t="shared" si="33"/>
        <v>0</v>
      </c>
      <c r="O97" s="11"/>
      <c r="P97" s="6">
        <v>-18505</v>
      </c>
      <c r="Q97" s="2"/>
      <c r="R97" s="7">
        <f t="shared" si="34"/>
        <v>-6.4140105476627081E-3</v>
      </c>
      <c r="S97" s="2"/>
      <c r="T97" s="6"/>
      <c r="U97" s="2"/>
      <c r="V97" s="7">
        <f t="shared" si="35"/>
        <v>0</v>
      </c>
      <c r="W97" s="2"/>
      <c r="X97" s="6">
        <f t="shared" si="36"/>
        <v>-18505</v>
      </c>
      <c r="Y97" s="2"/>
      <c r="Z97" s="7">
        <f t="shared" si="37"/>
        <v>0</v>
      </c>
    </row>
    <row r="98" spans="1:26" s="24" customFormat="1" hidden="1" outlineLevel="2" x14ac:dyDescent="0.25">
      <c r="A98" s="27"/>
      <c r="B98" s="11" t="str">
        <f>CONCATENATE("          ", "7782", " - ", "INV. SHRINKAGE-COMPUTER HARDWA")</f>
        <v xml:space="preserve">          7782 - INV. SHRINKAGE-COMPUTER HARDWA</v>
      </c>
      <c r="C98" s="11"/>
      <c r="D98" s="6">
        <v>-30263</v>
      </c>
      <c r="E98" s="2"/>
      <c r="F98" s="7">
        <f t="shared" si="30"/>
        <v>-6.7610054392325633E-2</v>
      </c>
      <c r="G98" s="2"/>
      <c r="H98" s="6"/>
      <c r="I98" s="2"/>
      <c r="J98" s="7">
        <f t="shared" si="31"/>
        <v>0</v>
      </c>
      <c r="K98" s="2"/>
      <c r="L98" s="6">
        <f t="shared" si="32"/>
        <v>-30263</v>
      </c>
      <c r="M98" s="2"/>
      <c r="N98" s="7">
        <f t="shared" si="33"/>
        <v>0</v>
      </c>
      <c r="O98" s="11"/>
      <c r="P98" s="6">
        <v>-30263</v>
      </c>
      <c r="Q98" s="2"/>
      <c r="R98" s="7">
        <f t="shared" si="34"/>
        <v>-1.048944616070881E-2</v>
      </c>
      <c r="S98" s="2"/>
      <c r="T98" s="6"/>
      <c r="U98" s="2"/>
      <c r="V98" s="7">
        <f t="shared" si="35"/>
        <v>0</v>
      </c>
      <c r="W98" s="2"/>
      <c r="X98" s="6">
        <f t="shared" si="36"/>
        <v>-30263</v>
      </c>
      <c r="Y98" s="2"/>
      <c r="Z98" s="7">
        <f t="shared" si="37"/>
        <v>0</v>
      </c>
    </row>
    <row r="99" spans="1:26" s="24" customFormat="1" hidden="1" outlineLevel="2" x14ac:dyDescent="0.25">
      <c r="A99" s="27"/>
      <c r="B99" s="11" t="str">
        <f>CONCATENATE("          ", "7783", " - ", "INV. SHRINKAGE-COMPUTER EQUIPM")</f>
        <v xml:space="preserve">          7783 - INV. SHRINKAGE-COMPUTER EQUIPM</v>
      </c>
      <c r="C99" s="11"/>
      <c r="D99" s="6">
        <v>2729</v>
      </c>
      <c r="E99" s="2"/>
      <c r="F99" s="7">
        <f t="shared" si="30"/>
        <v>6.096812557798521E-3</v>
      </c>
      <c r="G99" s="2"/>
      <c r="H99" s="6"/>
      <c r="I99" s="2"/>
      <c r="J99" s="7">
        <f t="shared" si="31"/>
        <v>0</v>
      </c>
      <c r="K99" s="2"/>
      <c r="L99" s="6">
        <f t="shared" si="32"/>
        <v>2729</v>
      </c>
      <c r="M99" s="2"/>
      <c r="N99" s="7">
        <f t="shared" si="33"/>
        <v>0</v>
      </c>
      <c r="O99" s="11"/>
      <c r="P99" s="6">
        <v>2729</v>
      </c>
      <c r="Q99" s="2"/>
      <c r="R99" s="7">
        <f t="shared" si="34"/>
        <v>9.4589758360289281E-4</v>
      </c>
      <c r="S99" s="2"/>
      <c r="T99" s="6"/>
      <c r="U99" s="2"/>
      <c r="V99" s="7">
        <f t="shared" si="35"/>
        <v>0</v>
      </c>
      <c r="W99" s="2"/>
      <c r="X99" s="6">
        <f t="shared" si="36"/>
        <v>2729</v>
      </c>
      <c r="Y99" s="2"/>
      <c r="Z99" s="7">
        <f t="shared" si="37"/>
        <v>0</v>
      </c>
    </row>
    <row r="100" spans="1:26" s="24" customFormat="1" hidden="1" outlineLevel="2" x14ac:dyDescent="0.25">
      <c r="A100" s="27"/>
      <c r="B100" s="11" t="str">
        <f>CONCATENATE("          ", "7784", " - ", "INV. SHRINKAGE-SOFTWARE LICENS")</f>
        <v xml:space="preserve">          7784 - INV. SHRINKAGE-SOFTWARE LICENS</v>
      </c>
      <c r="C100" s="11"/>
      <c r="D100" s="6">
        <v>1394</v>
      </c>
      <c r="E100" s="2"/>
      <c r="F100" s="7">
        <f t="shared" si="30"/>
        <v>3.1143117279483832E-3</v>
      </c>
      <c r="G100" s="2"/>
      <c r="H100" s="6"/>
      <c r="I100" s="2"/>
      <c r="J100" s="7">
        <f t="shared" si="31"/>
        <v>0</v>
      </c>
      <c r="K100" s="2"/>
      <c r="L100" s="6">
        <f t="shared" si="32"/>
        <v>1394</v>
      </c>
      <c r="M100" s="2"/>
      <c r="N100" s="7">
        <f t="shared" si="33"/>
        <v>0</v>
      </c>
      <c r="O100" s="11"/>
      <c r="P100" s="6">
        <v>1394</v>
      </c>
      <c r="Q100" s="2"/>
      <c r="R100" s="7">
        <f t="shared" si="34"/>
        <v>4.8317377484149234E-4</v>
      </c>
      <c r="S100" s="2"/>
      <c r="T100" s="6"/>
      <c r="U100" s="2"/>
      <c r="V100" s="7">
        <f t="shared" si="35"/>
        <v>0</v>
      </c>
      <c r="W100" s="2"/>
      <c r="X100" s="6">
        <f t="shared" si="36"/>
        <v>1394</v>
      </c>
      <c r="Y100" s="2"/>
      <c r="Z100" s="7">
        <f t="shared" si="37"/>
        <v>0</v>
      </c>
    </row>
    <row r="101" spans="1:26" s="24" customFormat="1" hidden="1" outlineLevel="2" x14ac:dyDescent="0.25">
      <c r="A101" s="27"/>
      <c r="B101" s="11" t="str">
        <f>CONCATENATE("          ", "7785", " - ", "INV. SHRINKAGE-SOFTWARE")</f>
        <v xml:space="preserve">          7785 - INV. SHRINKAGE-SOFTWARE</v>
      </c>
      <c r="C101" s="11"/>
      <c r="D101" s="6">
        <v>-3743</v>
      </c>
      <c r="E101" s="2"/>
      <c r="F101" s="7">
        <f t="shared" si="30"/>
        <v>-8.3621727386734568E-3</v>
      </c>
      <c r="G101" s="2"/>
      <c r="H101" s="6"/>
      <c r="I101" s="2"/>
      <c r="J101" s="7">
        <f t="shared" si="31"/>
        <v>0</v>
      </c>
      <c r="K101" s="2"/>
      <c r="L101" s="6">
        <f t="shared" si="32"/>
        <v>-3743</v>
      </c>
      <c r="M101" s="2"/>
      <c r="N101" s="7">
        <f t="shared" si="33"/>
        <v>0</v>
      </c>
      <c r="O101" s="11"/>
      <c r="P101" s="6">
        <v>-3743</v>
      </c>
      <c r="Q101" s="2"/>
      <c r="R101" s="7">
        <f t="shared" si="34"/>
        <v>-1.2973597125048105E-3</v>
      </c>
      <c r="S101" s="2"/>
      <c r="T101" s="6"/>
      <c r="U101" s="2"/>
      <c r="V101" s="7">
        <f t="shared" si="35"/>
        <v>0</v>
      </c>
      <c r="W101" s="2"/>
      <c r="X101" s="6">
        <f t="shared" si="36"/>
        <v>-3743</v>
      </c>
      <c r="Y101" s="2"/>
      <c r="Z101" s="7">
        <f t="shared" si="37"/>
        <v>0</v>
      </c>
    </row>
    <row r="102" spans="1:26" s="24" customFormat="1" hidden="1" outlineLevel="2" x14ac:dyDescent="0.25">
      <c r="A102" s="27"/>
      <c r="B102" s="11" t="str">
        <f>CONCATENATE("          ", "7786", " - ", "INV. SHRINKAGE-COMPUTER SUPPLI")</f>
        <v xml:space="preserve">          7786 - INV. SHRINKAGE-COMPUTER SUPPLI</v>
      </c>
      <c r="C102" s="11"/>
      <c r="D102" s="6">
        <v>5000</v>
      </c>
      <c r="E102" s="2"/>
      <c r="F102" s="7">
        <f t="shared" si="30"/>
        <v>1.1170415093071677E-2</v>
      </c>
      <c r="G102" s="2"/>
      <c r="H102" s="6"/>
      <c r="I102" s="2"/>
      <c r="J102" s="7">
        <f t="shared" si="31"/>
        <v>0</v>
      </c>
      <c r="K102" s="2"/>
      <c r="L102" s="6">
        <f t="shared" si="32"/>
        <v>5000</v>
      </c>
      <c r="M102" s="2"/>
      <c r="N102" s="7">
        <f t="shared" si="33"/>
        <v>0</v>
      </c>
      <c r="O102" s="11"/>
      <c r="P102" s="6">
        <v>5000</v>
      </c>
      <c r="Q102" s="2"/>
      <c r="R102" s="7">
        <f t="shared" si="34"/>
        <v>1.7330479728891403E-3</v>
      </c>
      <c r="S102" s="2"/>
      <c r="T102" s="6"/>
      <c r="U102" s="2"/>
      <c r="V102" s="7">
        <f t="shared" si="35"/>
        <v>0</v>
      </c>
      <c r="W102" s="2"/>
      <c r="X102" s="6">
        <f t="shared" si="36"/>
        <v>5000</v>
      </c>
      <c r="Y102" s="2"/>
      <c r="Z102" s="7">
        <f t="shared" si="37"/>
        <v>0</v>
      </c>
    </row>
    <row r="103" spans="1:26" s="24" customFormat="1" hidden="1" outlineLevel="2" x14ac:dyDescent="0.25">
      <c r="A103" s="27"/>
      <c r="B103" s="11" t="str">
        <f>CONCATENATE("          ", "7788", " - ", "INV. SHRINKAGE-MUSIC")</f>
        <v xml:space="preserve">          7788 - INV. SHRINKAGE-MUSIC</v>
      </c>
      <c r="C103" s="11"/>
      <c r="D103" s="6">
        <v>152</v>
      </c>
      <c r="E103" s="2"/>
      <c r="F103" s="7">
        <f t="shared" si="30"/>
        <v>3.3958061882937899E-4</v>
      </c>
      <c r="G103" s="2"/>
      <c r="H103" s="6"/>
      <c r="I103" s="2"/>
      <c r="J103" s="7">
        <f t="shared" si="31"/>
        <v>0</v>
      </c>
      <c r="K103" s="2"/>
      <c r="L103" s="6">
        <f t="shared" si="32"/>
        <v>152</v>
      </c>
      <c r="M103" s="2"/>
      <c r="N103" s="7">
        <f t="shared" si="33"/>
        <v>0</v>
      </c>
      <c r="O103" s="11"/>
      <c r="P103" s="6">
        <v>152</v>
      </c>
      <c r="Q103" s="2"/>
      <c r="R103" s="7">
        <f t="shared" si="34"/>
        <v>5.2684658375829866E-5</v>
      </c>
      <c r="S103" s="2"/>
      <c r="T103" s="6"/>
      <c r="U103" s="2"/>
      <c r="V103" s="7">
        <f t="shared" si="35"/>
        <v>0</v>
      </c>
      <c r="W103" s="2"/>
      <c r="X103" s="6">
        <f t="shared" si="36"/>
        <v>152</v>
      </c>
      <c r="Y103" s="2"/>
      <c r="Z103" s="7">
        <f t="shared" si="37"/>
        <v>0</v>
      </c>
    </row>
    <row r="104" spans="1:26" s="26" customFormat="1" outlineLevel="1" collapsed="1" x14ac:dyDescent="0.25">
      <c r="A104" s="25"/>
      <c r="B104" s="12" t="str">
        <f>CONCATENATE("     ","Repair and Maintenance                            ")</f>
        <v xml:space="preserve">     Repair and Maintenance                            </v>
      </c>
      <c r="C104" s="12"/>
      <c r="D104" s="1">
        <f>SUM(OSRRefD22_9x_0)</f>
        <v>0</v>
      </c>
      <c r="E104" s="1"/>
      <c r="F104" s="5">
        <f t="shared" ref="F104:F110" si="38">IF(D$12=0,0,D104/D$12)</f>
        <v>0</v>
      </c>
      <c r="G104" s="1"/>
      <c r="H104" s="1">
        <f>SUM(OSRRefH22_9x_0)</f>
        <v>0</v>
      </c>
      <c r="I104" s="1"/>
      <c r="J104" s="5">
        <f t="shared" ref="J104:J110" si="39">IF(H$12=0,0,H104/H$12)</f>
        <v>0</v>
      </c>
      <c r="K104" s="1"/>
      <c r="L104" s="1">
        <f t="shared" ref="L104:L110" si="40">+D104-H104</f>
        <v>0</v>
      </c>
      <c r="M104" s="1"/>
      <c r="N104" s="5">
        <f t="shared" ref="N104:N110" si="41">IF(H104=0,0,L104/H104)</f>
        <v>0</v>
      </c>
      <c r="O104" s="12"/>
      <c r="P104" s="1">
        <f>SUM(OSRRefP22_9x_0)</f>
        <v>197.18</v>
      </c>
      <c r="Q104" s="1"/>
      <c r="R104" s="5">
        <f t="shared" ref="R104:R110" si="42">IF(P$12=0,0,P104/P$12)</f>
        <v>6.8344479858856137E-5</v>
      </c>
      <c r="S104" s="1"/>
      <c r="T104" s="1">
        <f>SUM(OSRRefT22_9x_0)</f>
        <v>0</v>
      </c>
      <c r="U104" s="1"/>
      <c r="V104" s="5">
        <f t="shared" ref="V104:V110" si="43">IF(T$12=0,0,T104/T$12)</f>
        <v>0</v>
      </c>
      <c r="W104" s="1"/>
      <c r="X104" s="1">
        <f t="shared" ref="X104:X110" si="44">+P104-T104</f>
        <v>197.18</v>
      </c>
      <c r="Y104" s="1"/>
      <c r="Z104" s="5">
        <f t="shared" ref="Z104:Z110" si="45">IF(T104=0,0,X104/T104)</f>
        <v>0</v>
      </c>
    </row>
    <row r="105" spans="1:26" s="24" customFormat="1" hidden="1" outlineLevel="2" x14ac:dyDescent="0.25">
      <c r="A105" s="27"/>
      <c r="B105" s="11" t="str">
        <f>CONCATENATE("          ", "6375", " - ", "OUTSIDE REPAIRS &amp; MAINTENANCE")</f>
        <v xml:space="preserve">          6375 - OUTSIDE REPAIRS &amp; MAINTENANCE</v>
      </c>
      <c r="C105" s="11"/>
      <c r="D105" s="6"/>
      <c r="E105" s="2"/>
      <c r="F105" s="7">
        <f t="shared" si="38"/>
        <v>0</v>
      </c>
      <c r="G105" s="2"/>
      <c r="H105" s="6"/>
      <c r="I105" s="2"/>
      <c r="J105" s="7">
        <f t="shared" si="39"/>
        <v>0</v>
      </c>
      <c r="K105" s="2"/>
      <c r="L105" s="6">
        <f t="shared" si="40"/>
        <v>0</v>
      </c>
      <c r="M105" s="2"/>
      <c r="N105" s="7">
        <f t="shared" si="41"/>
        <v>0</v>
      </c>
      <c r="O105" s="11"/>
      <c r="P105" s="6">
        <v>197.18</v>
      </c>
      <c r="Q105" s="2"/>
      <c r="R105" s="7">
        <f t="shared" si="42"/>
        <v>6.8344479858856137E-5</v>
      </c>
      <c r="S105" s="2"/>
      <c r="T105" s="6"/>
      <c r="U105" s="2"/>
      <c r="V105" s="7">
        <f t="shared" si="43"/>
        <v>0</v>
      </c>
      <c r="W105" s="2"/>
      <c r="X105" s="6">
        <f t="shared" si="44"/>
        <v>197.18</v>
      </c>
      <c r="Y105" s="2"/>
      <c r="Z105" s="7">
        <f t="shared" si="45"/>
        <v>0</v>
      </c>
    </row>
    <row r="106" spans="1:26" s="26" customFormat="1" outlineLevel="1" collapsed="1" x14ac:dyDescent="0.25">
      <c r="A106" s="25"/>
      <c r="B106" s="12" t="str">
        <f>CONCATENATE("     ","Subscriptions &amp; Dues                              ")</f>
        <v xml:space="preserve">     Subscriptions &amp; Dues                              </v>
      </c>
      <c r="C106" s="12"/>
      <c r="D106" s="1">
        <f>SUM(OSRRefD22_10x_0)</f>
        <v>0</v>
      </c>
      <c r="E106" s="1"/>
      <c r="F106" s="5">
        <f t="shared" si="38"/>
        <v>0</v>
      </c>
      <c r="G106" s="1"/>
      <c r="H106" s="1">
        <f>SUM(OSRRefH22_10x_0)</f>
        <v>0</v>
      </c>
      <c r="I106" s="1"/>
      <c r="J106" s="5">
        <f t="shared" si="39"/>
        <v>0</v>
      </c>
      <c r="K106" s="1"/>
      <c r="L106" s="1">
        <f t="shared" si="40"/>
        <v>0</v>
      </c>
      <c r="M106" s="1"/>
      <c r="N106" s="5">
        <f t="shared" si="41"/>
        <v>0</v>
      </c>
      <c r="O106" s="12"/>
      <c r="P106" s="1">
        <f>SUM(OSRRefP22_10x_0)</f>
        <v>-4886.5</v>
      </c>
      <c r="Q106" s="1"/>
      <c r="R106" s="5">
        <f t="shared" si="42"/>
        <v>-1.693707783904557E-3</v>
      </c>
      <c r="S106" s="1"/>
      <c r="T106" s="1">
        <f>SUM(OSRRefT22_10x_0)</f>
        <v>0</v>
      </c>
      <c r="U106" s="1"/>
      <c r="V106" s="5">
        <f t="shared" si="43"/>
        <v>0</v>
      </c>
      <c r="W106" s="1"/>
      <c r="X106" s="1">
        <f t="shared" si="44"/>
        <v>-4886.5</v>
      </c>
      <c r="Y106" s="1"/>
      <c r="Z106" s="5">
        <f t="shared" si="45"/>
        <v>0</v>
      </c>
    </row>
    <row r="107" spans="1:26" s="24" customFormat="1" hidden="1" outlineLevel="2" x14ac:dyDescent="0.25">
      <c r="A107" s="27"/>
      <c r="B107" s="11" t="str">
        <f>CONCATENATE("          ", "6258", " - ", "MEMBERSHIP DUES")</f>
        <v xml:space="preserve">          6258 - MEMBERSHIP DUES</v>
      </c>
      <c r="C107" s="11"/>
      <c r="D107" s="6"/>
      <c r="E107" s="2"/>
      <c r="F107" s="7">
        <f t="shared" si="38"/>
        <v>0</v>
      </c>
      <c r="G107" s="2"/>
      <c r="H107" s="6"/>
      <c r="I107" s="2"/>
      <c r="J107" s="7">
        <f t="shared" si="39"/>
        <v>0</v>
      </c>
      <c r="K107" s="2"/>
      <c r="L107" s="6">
        <f t="shared" si="40"/>
        <v>0</v>
      </c>
      <c r="M107" s="2"/>
      <c r="N107" s="7">
        <f t="shared" si="41"/>
        <v>0</v>
      </c>
      <c r="O107" s="11"/>
      <c r="P107" s="6">
        <v>-4886.5</v>
      </c>
      <c r="Q107" s="2"/>
      <c r="R107" s="7">
        <f t="shared" si="42"/>
        <v>-1.693707783904557E-3</v>
      </c>
      <c r="S107" s="2"/>
      <c r="T107" s="6"/>
      <c r="U107" s="2"/>
      <c r="V107" s="7">
        <f t="shared" si="43"/>
        <v>0</v>
      </c>
      <c r="W107" s="2"/>
      <c r="X107" s="6">
        <f t="shared" si="44"/>
        <v>-4886.5</v>
      </c>
      <c r="Y107" s="2"/>
      <c r="Z107" s="7">
        <f t="shared" si="45"/>
        <v>0</v>
      </c>
    </row>
    <row r="108" spans="1:26" s="26" customFormat="1" outlineLevel="1" collapsed="1" x14ac:dyDescent="0.25">
      <c r="A108" s="25"/>
      <c r="B108" s="12" t="str">
        <f>CONCATENATE("     ","Supplies                                          ")</f>
        <v xml:space="preserve">     Supplies                                          </v>
      </c>
      <c r="C108" s="12"/>
      <c r="D108" s="1">
        <f>SUM(OSRRefD22_11x_0)</f>
        <v>65.59</v>
      </c>
      <c r="E108" s="1"/>
      <c r="F108" s="5">
        <f t="shared" si="38"/>
        <v>1.4653350519091426E-4</v>
      </c>
      <c r="G108" s="1"/>
      <c r="H108" s="1">
        <f>SUM(OSRRefH22_11x_0)</f>
        <v>225</v>
      </c>
      <c r="I108" s="1"/>
      <c r="J108" s="5">
        <f t="shared" si="39"/>
        <v>4.9813476205762871E-4</v>
      </c>
      <c r="K108" s="1"/>
      <c r="L108" s="1">
        <f t="shared" si="40"/>
        <v>-159.41</v>
      </c>
      <c r="M108" s="1"/>
      <c r="N108" s="5">
        <f t="shared" si="41"/>
        <v>-0.70848888888888883</v>
      </c>
      <c r="O108" s="12"/>
      <c r="P108" s="1">
        <f>SUM(OSRRefP22_11x_0)</f>
        <v>3260.11</v>
      </c>
      <c r="Q108" s="1"/>
      <c r="R108" s="5">
        <f t="shared" si="42"/>
        <v>1.1299854053791231E-3</v>
      </c>
      <c r="S108" s="1"/>
      <c r="T108" s="1">
        <f>SUM(OSRRefT22_11x_0)</f>
        <v>3250</v>
      </c>
      <c r="U108" s="1"/>
      <c r="V108" s="5">
        <f t="shared" si="43"/>
        <v>1.1189726109934756E-3</v>
      </c>
      <c r="W108" s="1"/>
      <c r="X108" s="1">
        <f t="shared" si="44"/>
        <v>10.110000000000127</v>
      </c>
      <c r="Y108" s="1"/>
      <c r="Z108" s="5">
        <f t="shared" si="45"/>
        <v>3.1107692307692698E-3</v>
      </c>
    </row>
    <row r="109" spans="1:26" s="24" customFormat="1" hidden="1" outlineLevel="2" x14ac:dyDescent="0.25">
      <c r="A109" s="27"/>
      <c r="B109" s="11" t="str">
        <f>CONCATENATE("          ", "6241", " - ", "OFFICE EXPENSE")</f>
        <v xml:space="preserve">          6241 - OFFICE EXPENSE</v>
      </c>
      <c r="C109" s="11"/>
      <c r="D109" s="6">
        <v>65.59</v>
      </c>
      <c r="E109" s="2"/>
      <c r="F109" s="7">
        <f t="shared" si="38"/>
        <v>1.4653350519091426E-4</v>
      </c>
      <c r="G109" s="2"/>
      <c r="H109" s="6">
        <v>225</v>
      </c>
      <c r="I109" s="2"/>
      <c r="J109" s="7">
        <f t="shared" si="39"/>
        <v>4.9813476205762871E-4</v>
      </c>
      <c r="K109" s="2"/>
      <c r="L109" s="6">
        <f t="shared" si="40"/>
        <v>-159.41</v>
      </c>
      <c r="M109" s="2"/>
      <c r="N109" s="7">
        <f t="shared" si="41"/>
        <v>-0.70848888888888883</v>
      </c>
      <c r="O109" s="11"/>
      <c r="P109" s="6">
        <v>1250.73</v>
      </c>
      <c r="Q109" s="2"/>
      <c r="R109" s="7">
        <f t="shared" si="42"/>
        <v>4.335150182263269E-4</v>
      </c>
      <c r="S109" s="2"/>
      <c r="T109" s="6">
        <v>3250</v>
      </c>
      <c r="U109" s="2"/>
      <c r="V109" s="7">
        <f t="shared" si="43"/>
        <v>1.1189726109934756E-3</v>
      </c>
      <c r="W109" s="2"/>
      <c r="X109" s="6">
        <f t="shared" si="44"/>
        <v>-1999.27</v>
      </c>
      <c r="Y109" s="2"/>
      <c r="Z109" s="7">
        <f t="shared" si="45"/>
        <v>-0.61516000000000004</v>
      </c>
    </row>
    <row r="110" spans="1:26" s="24" customFormat="1" hidden="1" outlineLevel="2" x14ac:dyDescent="0.25">
      <c r="A110" s="27"/>
      <c r="B110" s="11" t="str">
        <f>CONCATENATE("          ", "6247", " - ", "STORE SUPPLIES")</f>
        <v xml:space="preserve">          6247 - STORE SUPPLIES</v>
      </c>
      <c r="C110" s="11"/>
      <c r="D110" s="6"/>
      <c r="E110" s="2"/>
      <c r="F110" s="7">
        <f t="shared" si="38"/>
        <v>0</v>
      </c>
      <c r="G110" s="2"/>
      <c r="H110" s="6"/>
      <c r="I110" s="2"/>
      <c r="J110" s="7">
        <f t="shared" si="39"/>
        <v>0</v>
      </c>
      <c r="K110" s="2"/>
      <c r="L110" s="6">
        <f t="shared" si="40"/>
        <v>0</v>
      </c>
      <c r="M110" s="2"/>
      <c r="N110" s="7">
        <f t="shared" si="41"/>
        <v>0</v>
      </c>
      <c r="O110" s="11"/>
      <c r="P110" s="6">
        <v>2009.38</v>
      </c>
      <c r="Q110" s="2"/>
      <c r="R110" s="7">
        <f t="shared" si="42"/>
        <v>6.9647038715279618E-4</v>
      </c>
      <c r="S110" s="2"/>
      <c r="T110" s="6"/>
      <c r="U110" s="2"/>
      <c r="V110" s="7">
        <f t="shared" si="43"/>
        <v>0</v>
      </c>
      <c r="W110" s="2"/>
      <c r="X110" s="6">
        <f t="shared" si="44"/>
        <v>2009.38</v>
      </c>
      <c r="Y110" s="2"/>
      <c r="Z110" s="7">
        <f t="shared" si="45"/>
        <v>0</v>
      </c>
    </row>
    <row r="111" spans="1:26" s="26" customFormat="1" outlineLevel="1" collapsed="1" x14ac:dyDescent="0.25">
      <c r="A111" s="25"/>
      <c r="B111" s="12" t="str">
        <f>CONCATENATE("     ","Telephone/Data Lines                              ")</f>
        <v xml:space="preserve">     Telephone/Data Lines                              </v>
      </c>
      <c r="C111" s="12"/>
      <c r="D111" s="1">
        <f>SUM(OSRRefD22_12x_0)</f>
        <v>207.15</v>
      </c>
      <c r="E111" s="1"/>
      <c r="F111" s="5">
        <f t="shared" ref="F111:F113" si="46">IF(D$12=0,0,D111/D$12)</f>
        <v>4.6279029730595956E-4</v>
      </c>
      <c r="G111" s="1"/>
      <c r="H111" s="1">
        <f>SUM(OSRRefH22_12x_0)</f>
        <v>280</v>
      </c>
      <c r="I111" s="1"/>
      <c r="J111" s="5">
        <f t="shared" ref="J111:J113" si="47">IF(H$12=0,0,H111/H$12)</f>
        <v>6.1990103722727125E-4</v>
      </c>
      <c r="K111" s="1"/>
      <c r="L111" s="1">
        <f t="shared" ref="L111:L113" si="48">+D111-H111</f>
        <v>-72.849999999999994</v>
      </c>
      <c r="M111" s="1"/>
      <c r="N111" s="5">
        <f t="shared" ref="N111:N113" si="49">IF(H111=0,0,L111/H111)</f>
        <v>-0.26017857142857143</v>
      </c>
      <c r="O111" s="12"/>
      <c r="P111" s="1">
        <f>SUM(OSRRefP22_12x_0)</f>
        <v>2932.35</v>
      </c>
      <c r="Q111" s="1"/>
      <c r="R111" s="5">
        <f t="shared" ref="R111:R113" si="50">IF(P$12=0,0,P111/P$12)</f>
        <v>1.0163806446602942E-3</v>
      </c>
      <c r="S111" s="1"/>
      <c r="T111" s="1">
        <f>SUM(OSRRefT22_12x_0)</f>
        <v>3360</v>
      </c>
      <c r="U111" s="1"/>
      <c r="V111" s="5">
        <f t="shared" ref="V111:V113" si="51">IF(T$12=0,0,T111/T$12)</f>
        <v>1.1568455301347931E-3</v>
      </c>
      <c r="W111" s="1"/>
      <c r="X111" s="1">
        <f t="shared" ref="X111:X113" si="52">+P111-T111</f>
        <v>-427.65000000000009</v>
      </c>
      <c r="Y111" s="1"/>
      <c r="Z111" s="5">
        <f t="shared" ref="Z111:Z113" si="53">IF(T111=0,0,X111/T111)</f>
        <v>-0.12727678571428575</v>
      </c>
    </row>
    <row r="112" spans="1:26" s="24" customFormat="1" hidden="1" outlineLevel="2" x14ac:dyDescent="0.25">
      <c r="A112" s="27"/>
      <c r="B112" s="11" t="str">
        <f>CONCATENATE("          ", "6303", " - ", "DATA PHONE LINES")</f>
        <v xml:space="preserve">          6303 - DATA PHONE LINES</v>
      </c>
      <c r="C112" s="11"/>
      <c r="D112" s="6"/>
      <c r="E112" s="2"/>
      <c r="F112" s="7">
        <f t="shared" si="46"/>
        <v>0</v>
      </c>
      <c r="G112" s="2"/>
      <c r="H112" s="6">
        <v>280</v>
      </c>
      <c r="I112" s="2"/>
      <c r="J112" s="7">
        <f t="shared" si="47"/>
        <v>6.1990103722727125E-4</v>
      </c>
      <c r="K112" s="2"/>
      <c r="L112" s="6">
        <f t="shared" si="48"/>
        <v>-280</v>
      </c>
      <c r="M112" s="2"/>
      <c r="N112" s="7">
        <f t="shared" si="49"/>
        <v>-1</v>
      </c>
      <c r="O112" s="11"/>
      <c r="P112" s="6"/>
      <c r="Q112" s="2"/>
      <c r="R112" s="7">
        <f t="shared" si="50"/>
        <v>0</v>
      </c>
      <c r="S112" s="2"/>
      <c r="T112" s="6">
        <v>3360</v>
      </c>
      <c r="U112" s="2"/>
      <c r="V112" s="7">
        <f t="shared" si="51"/>
        <v>1.1568455301347931E-3</v>
      </c>
      <c r="W112" s="2"/>
      <c r="X112" s="6">
        <f t="shared" si="52"/>
        <v>-3360</v>
      </c>
      <c r="Y112" s="2"/>
      <c r="Z112" s="7">
        <f t="shared" si="53"/>
        <v>-1</v>
      </c>
    </row>
    <row r="113" spans="1:26" s="24" customFormat="1" hidden="1" outlineLevel="2" x14ac:dyDescent="0.25">
      <c r="A113" s="27"/>
      <c r="B113" s="11" t="str">
        <f>CONCATENATE("          ", "6309", " - ", "TELEPHONE")</f>
        <v xml:space="preserve">          6309 - TELEPHONE</v>
      </c>
      <c r="C113" s="11"/>
      <c r="D113" s="6">
        <v>207.15</v>
      </c>
      <c r="E113" s="2"/>
      <c r="F113" s="7">
        <f t="shared" si="46"/>
        <v>4.6279029730595956E-4</v>
      </c>
      <c r="G113" s="2"/>
      <c r="H113" s="6"/>
      <c r="I113" s="2"/>
      <c r="J113" s="7">
        <f t="shared" si="47"/>
        <v>0</v>
      </c>
      <c r="K113" s="2"/>
      <c r="L113" s="6">
        <f t="shared" si="48"/>
        <v>207.15</v>
      </c>
      <c r="M113" s="2"/>
      <c r="N113" s="7">
        <f t="shared" si="49"/>
        <v>0</v>
      </c>
      <c r="O113" s="11"/>
      <c r="P113" s="6">
        <v>2932.35</v>
      </c>
      <c r="Q113" s="2"/>
      <c r="R113" s="7">
        <f t="shared" si="50"/>
        <v>1.0163806446602942E-3</v>
      </c>
      <c r="S113" s="2"/>
      <c r="T113" s="6"/>
      <c r="U113" s="2"/>
      <c r="V113" s="7">
        <f t="shared" si="51"/>
        <v>0</v>
      </c>
      <c r="W113" s="2"/>
      <c r="X113" s="6">
        <f t="shared" si="52"/>
        <v>2932.35</v>
      </c>
      <c r="Y113" s="2"/>
      <c r="Z113" s="7">
        <f t="shared" si="53"/>
        <v>0</v>
      </c>
    </row>
    <row r="114" spans="1:26" s="26" customFormat="1" outlineLevel="1" collapsed="1" x14ac:dyDescent="0.25">
      <c r="A114" s="25"/>
      <c r="B114" s="12" t="str">
        <f>CONCATENATE("     ","Training                                          ")</f>
        <v xml:space="preserve">     Training                                          </v>
      </c>
      <c r="C114" s="12"/>
      <c r="D114" s="1">
        <f>SUM(OSRRefD22_13x_0)</f>
        <v>0</v>
      </c>
      <c r="E114" s="1"/>
      <c r="F114" s="5">
        <f t="shared" ref="F114:F117" si="54">IF(D$12=0,0,D114/D$12)</f>
        <v>0</v>
      </c>
      <c r="G114" s="1"/>
      <c r="H114" s="1">
        <f>SUM(OSRRefH22_13x_0)</f>
        <v>375</v>
      </c>
      <c r="I114" s="1"/>
      <c r="J114" s="5">
        <f t="shared" ref="J114:J117" si="55">IF(H$12=0,0,H114/H$12)</f>
        <v>8.3022460342938107E-4</v>
      </c>
      <c r="K114" s="1"/>
      <c r="L114" s="1">
        <f t="shared" ref="L114:L117" si="56">+D114-H114</f>
        <v>-375</v>
      </c>
      <c r="M114" s="1"/>
      <c r="N114" s="5">
        <f t="shared" ref="N114:N117" si="57">IF(H114=0,0,L114/H114)</f>
        <v>-1</v>
      </c>
      <c r="O114" s="12"/>
      <c r="P114" s="1">
        <f>SUM(OSRRefP22_13x_0)</f>
        <v>1875.75</v>
      </c>
      <c r="Q114" s="1"/>
      <c r="R114" s="5">
        <f t="shared" ref="R114:R117" si="58">IF(P$12=0,0,P114/P$12)</f>
        <v>6.5015294702936105E-4</v>
      </c>
      <c r="S114" s="1"/>
      <c r="T114" s="1">
        <f>SUM(OSRRefT22_13x_0)</f>
        <v>4500</v>
      </c>
      <c r="U114" s="1"/>
      <c r="V114" s="5">
        <f t="shared" ref="V114:V117" si="59">IF(T$12=0,0,T114/T$12)</f>
        <v>1.5493466921448122E-3</v>
      </c>
      <c r="W114" s="1"/>
      <c r="X114" s="1">
        <f t="shared" ref="X114:X117" si="60">+P114-T114</f>
        <v>-2624.25</v>
      </c>
      <c r="Y114" s="1"/>
      <c r="Z114" s="5">
        <f t="shared" ref="Z114:Z117" si="61">IF(T114=0,0,X114/T114)</f>
        <v>-0.58316666666666672</v>
      </c>
    </row>
    <row r="115" spans="1:26" s="24" customFormat="1" hidden="1" outlineLevel="2" x14ac:dyDescent="0.25">
      <c r="A115" s="27"/>
      <c r="B115" s="11" t="str">
        <f>CONCATENATE("          ", "6376", " - ", "TRAINING")</f>
        <v xml:space="preserve">          6376 - TRAINING</v>
      </c>
      <c r="C115" s="11"/>
      <c r="D115" s="6"/>
      <c r="E115" s="2"/>
      <c r="F115" s="7">
        <f t="shared" si="54"/>
        <v>0</v>
      </c>
      <c r="G115" s="2"/>
      <c r="H115" s="6">
        <v>375</v>
      </c>
      <c r="I115" s="2"/>
      <c r="J115" s="7">
        <f t="shared" si="55"/>
        <v>8.3022460342938107E-4</v>
      </c>
      <c r="K115" s="2"/>
      <c r="L115" s="6">
        <f t="shared" si="56"/>
        <v>-375</v>
      </c>
      <c r="M115" s="2"/>
      <c r="N115" s="7">
        <f t="shared" si="57"/>
        <v>-1</v>
      </c>
      <c r="O115" s="11"/>
      <c r="P115" s="6">
        <v>1875.75</v>
      </c>
      <c r="Q115" s="2"/>
      <c r="R115" s="7">
        <f t="shared" si="58"/>
        <v>6.5015294702936105E-4</v>
      </c>
      <c r="S115" s="2"/>
      <c r="T115" s="6">
        <v>4500</v>
      </c>
      <c r="U115" s="2"/>
      <c r="V115" s="7">
        <f t="shared" si="59"/>
        <v>1.5493466921448122E-3</v>
      </c>
      <c r="W115" s="2"/>
      <c r="X115" s="6">
        <f t="shared" si="60"/>
        <v>-2624.25</v>
      </c>
      <c r="Y115" s="2"/>
      <c r="Z115" s="7">
        <f t="shared" si="61"/>
        <v>-0.58316666666666672</v>
      </c>
    </row>
    <row r="116" spans="1:26" s="26" customFormat="1" outlineLevel="1" collapsed="1" x14ac:dyDescent="0.25">
      <c r="A116" s="25"/>
      <c r="B116" s="12" t="str">
        <f>CONCATENATE("     ","Travel                                            ")</f>
        <v xml:space="preserve">     Travel                                            </v>
      </c>
      <c r="C116" s="12"/>
      <c r="D116" s="1">
        <f>SUM(OSRRefD22_14x_0)</f>
        <v>0</v>
      </c>
      <c r="E116" s="1"/>
      <c r="F116" s="5">
        <f t="shared" si="54"/>
        <v>0</v>
      </c>
      <c r="G116" s="1"/>
      <c r="H116" s="1">
        <f>SUM(OSRRefH22_14x_0)</f>
        <v>0</v>
      </c>
      <c r="I116" s="1"/>
      <c r="J116" s="5">
        <f t="shared" si="55"/>
        <v>0</v>
      </c>
      <c r="K116" s="1"/>
      <c r="L116" s="1">
        <f t="shared" si="56"/>
        <v>0</v>
      </c>
      <c r="M116" s="1"/>
      <c r="N116" s="5">
        <f t="shared" si="57"/>
        <v>0</v>
      </c>
      <c r="O116" s="12"/>
      <c r="P116" s="1">
        <f>SUM(OSRRefP22_14x_0)</f>
        <v>-178.06</v>
      </c>
      <c r="Q116" s="1"/>
      <c r="R116" s="5">
        <f t="shared" si="58"/>
        <v>-6.1717304410528067E-5</v>
      </c>
      <c r="S116" s="1"/>
      <c r="T116" s="1">
        <f>SUM(OSRRefT22_14x_0)</f>
        <v>0</v>
      </c>
      <c r="U116" s="1"/>
      <c r="V116" s="5">
        <f t="shared" si="59"/>
        <v>0</v>
      </c>
      <c r="W116" s="1"/>
      <c r="X116" s="1">
        <f t="shared" si="60"/>
        <v>-178.06</v>
      </c>
      <c r="Y116" s="1"/>
      <c r="Z116" s="5">
        <f t="shared" si="61"/>
        <v>0</v>
      </c>
    </row>
    <row r="117" spans="1:26" s="24" customFormat="1" hidden="1" outlineLevel="2" x14ac:dyDescent="0.25">
      <c r="A117" s="27"/>
      <c r="B117" s="11" t="str">
        <f>CONCATENATE("          ", "6292", " - ", "TRAVEL/CONFERENCE")</f>
        <v xml:space="preserve">          6292 - TRAVEL/CONFERENCE</v>
      </c>
      <c r="C117" s="11"/>
      <c r="D117" s="6"/>
      <c r="E117" s="2"/>
      <c r="F117" s="7">
        <f t="shared" si="54"/>
        <v>0</v>
      </c>
      <c r="G117" s="2"/>
      <c r="H117" s="6"/>
      <c r="I117" s="2"/>
      <c r="J117" s="7">
        <f t="shared" si="55"/>
        <v>0</v>
      </c>
      <c r="K117" s="2"/>
      <c r="L117" s="6">
        <f t="shared" si="56"/>
        <v>0</v>
      </c>
      <c r="M117" s="2"/>
      <c r="N117" s="7">
        <f t="shared" si="57"/>
        <v>0</v>
      </c>
      <c r="O117" s="11"/>
      <c r="P117" s="6">
        <v>-178.06</v>
      </c>
      <c r="Q117" s="2"/>
      <c r="R117" s="7">
        <f t="shared" si="58"/>
        <v>-6.1717304410528067E-5</v>
      </c>
      <c r="S117" s="2"/>
      <c r="T117" s="6"/>
      <c r="U117" s="2"/>
      <c r="V117" s="7">
        <f t="shared" si="59"/>
        <v>0</v>
      </c>
      <c r="W117" s="2"/>
      <c r="X117" s="6">
        <f t="shared" si="60"/>
        <v>-178.06</v>
      </c>
      <c r="Y117" s="2"/>
      <c r="Z117" s="7">
        <f t="shared" si="61"/>
        <v>0</v>
      </c>
    </row>
    <row r="118" spans="1:26" s="60" customFormat="1" x14ac:dyDescent="0.25">
      <c r="A118" s="36"/>
      <c r="B118" s="36"/>
      <c r="C118" s="36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6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3" customFormat="1" collapsed="1" x14ac:dyDescent="0.25">
      <c r="A119" s="10"/>
      <c r="B119" s="28" t="s">
        <v>0</v>
      </c>
      <c r="C119" s="10"/>
      <c r="D119" s="4">
        <f>SUM(OSRRefD25x_0)</f>
        <v>557.77</v>
      </c>
      <c r="E119" s="4"/>
      <c r="F119" s="13">
        <f t="shared" ref="F119:F123" si="62">IF(D$12=0,0,D119/D$12)</f>
        <v>1.2461044852925178E-3</v>
      </c>
      <c r="G119" s="4"/>
      <c r="H119" s="4">
        <f>SUM(OSRRefH25x_0)</f>
        <v>1350</v>
      </c>
      <c r="I119" s="4"/>
      <c r="J119" s="13">
        <f t="shared" ref="J119:J123" si="63">IF(H$12=0,0,H119/H$12)</f>
        <v>2.9888085723457718E-3</v>
      </c>
      <c r="K119" s="4"/>
      <c r="L119" s="4">
        <f t="shared" ref="L119:L123" si="64">+D119-H119</f>
        <v>-792.23</v>
      </c>
      <c r="M119" s="4"/>
      <c r="N119" s="13">
        <f t="shared" ref="N119:N123" si="65">IF(H119=0,0,L119/H119)</f>
        <v>-0.58683703703703705</v>
      </c>
      <c r="O119" s="10"/>
      <c r="P119" s="4">
        <f>SUM(OSRRefP25x_0)</f>
        <v>13920.349999999999</v>
      </c>
      <c r="Q119" s="4"/>
      <c r="R119" s="13">
        <f t="shared" ref="R119:R123" si="66">IF(P$12=0,0,P119/P$12)</f>
        <v>4.8249268698814683E-3</v>
      </c>
      <c r="S119" s="4"/>
      <c r="T119" s="4">
        <f>SUM(OSRRefT25x_0)</f>
        <v>22950</v>
      </c>
      <c r="U119" s="4"/>
      <c r="V119" s="13">
        <f t="shared" ref="V119:V123" si="67">IF(T$12=0,0,T119/T$12)</f>
        <v>7.9016681299385431E-3</v>
      </c>
      <c r="W119" s="4"/>
      <c r="X119" s="4">
        <f t="shared" ref="X119:X123" si="68">+P119-T119</f>
        <v>-9029.6500000000015</v>
      </c>
      <c r="Y119" s="4"/>
      <c r="Z119" s="13">
        <f t="shared" ref="Z119:Z123" si="69">IF(T119=0,0,X119/T119)</f>
        <v>-0.39344880174291946</v>
      </c>
    </row>
    <row r="120" spans="1:26" s="24" customFormat="1" hidden="1" outlineLevel="1" x14ac:dyDescent="0.25">
      <c r="A120" s="44"/>
      <c r="B120" s="11" t="str">
        <f>CONCATENATE("          ", "4187", " - ", "NON-TAXABLE SALES-COMPUTER REP")</f>
        <v xml:space="preserve">          4187 - NON-TAXABLE SALES-COMPUTER REP</v>
      </c>
      <c r="C120" s="11"/>
      <c r="D120" s="2">
        <f>--166.52</f>
        <v>166.52</v>
      </c>
      <c r="E120" s="2"/>
      <c r="F120" s="19">
        <f t="shared" si="62"/>
        <v>3.7201950425965917E-4</v>
      </c>
      <c r="G120" s="2"/>
      <c r="H120" s="2"/>
      <c r="I120" s="2"/>
      <c r="J120" s="19">
        <f t="shared" si="63"/>
        <v>0</v>
      </c>
      <c r="K120" s="2"/>
      <c r="L120" s="2">
        <f t="shared" si="64"/>
        <v>166.52</v>
      </c>
      <c r="M120" s="2"/>
      <c r="N120" s="19">
        <f t="shared" si="65"/>
        <v>0</v>
      </c>
      <c r="O120" s="11"/>
      <c r="P120" s="2">
        <f>--16449.71</f>
        <v>16449.71</v>
      </c>
      <c r="Q120" s="2"/>
      <c r="R120" s="19">
        <f t="shared" si="66"/>
        <v>5.7016273140228441E-3</v>
      </c>
      <c r="S120" s="2"/>
      <c r="T120" s="2"/>
      <c r="U120" s="2"/>
      <c r="V120" s="19">
        <f t="shared" si="67"/>
        <v>0</v>
      </c>
      <c r="W120" s="2"/>
      <c r="X120" s="2">
        <f t="shared" si="68"/>
        <v>16449.71</v>
      </c>
      <c r="Y120" s="2"/>
      <c r="Z120" s="19">
        <f t="shared" si="69"/>
        <v>0</v>
      </c>
    </row>
    <row r="121" spans="1:26" s="24" customFormat="1" hidden="1" outlineLevel="1" x14ac:dyDescent="0.25">
      <c r="A121" s="44"/>
      <c r="B121" s="11" t="str">
        <f>CONCATENATE("          ", "4387", " - ", "SALES RETURN NON TAXABLE-COMPU")</f>
        <v xml:space="preserve">          4387 - SALES RETURN NON TAXABLE-COMPU</v>
      </c>
      <c r="C121" s="11"/>
      <c r="D121" s="2">
        <f t="shared" ref="D121:D122" si="70">0</f>
        <v>0</v>
      </c>
      <c r="E121" s="2"/>
      <c r="F121" s="19">
        <f t="shared" si="62"/>
        <v>0</v>
      </c>
      <c r="G121" s="2"/>
      <c r="H121" s="2"/>
      <c r="I121" s="2"/>
      <c r="J121" s="19">
        <f t="shared" si="63"/>
        <v>0</v>
      </c>
      <c r="K121" s="2"/>
      <c r="L121" s="2">
        <f t="shared" si="64"/>
        <v>0</v>
      </c>
      <c r="M121" s="2"/>
      <c r="N121" s="19">
        <f t="shared" si="65"/>
        <v>0</v>
      </c>
      <c r="O121" s="11"/>
      <c r="P121" s="2">
        <f>-7889</f>
        <v>-7889</v>
      </c>
      <c r="Q121" s="2"/>
      <c r="R121" s="19">
        <f t="shared" si="66"/>
        <v>-2.7344030916244856E-3</v>
      </c>
      <c r="S121" s="2"/>
      <c r="T121" s="2"/>
      <c r="U121" s="2"/>
      <c r="V121" s="19">
        <f t="shared" si="67"/>
        <v>0</v>
      </c>
      <c r="W121" s="2"/>
      <c r="X121" s="2">
        <f t="shared" si="68"/>
        <v>-7889</v>
      </c>
      <c r="Y121" s="2"/>
      <c r="Z121" s="19">
        <f t="shared" si="69"/>
        <v>0</v>
      </c>
    </row>
    <row r="122" spans="1:26" s="24" customFormat="1" hidden="1" outlineLevel="1" x14ac:dyDescent="0.25">
      <c r="A122" s="44"/>
      <c r="B122" s="11" t="str">
        <f>CONCATENATE("          ", "5087", " - ", "PURCHASES @ COST-COMPUTER REPA")</f>
        <v xml:space="preserve">          5087 - PURCHASES @ COST-COMPUTER REPA</v>
      </c>
      <c r="C122" s="11"/>
      <c r="D122" s="2">
        <f t="shared" si="70"/>
        <v>0</v>
      </c>
      <c r="E122" s="2"/>
      <c r="F122" s="19">
        <f t="shared" si="62"/>
        <v>0</v>
      </c>
      <c r="G122" s="2"/>
      <c r="H122" s="2"/>
      <c r="I122" s="2"/>
      <c r="J122" s="19">
        <f t="shared" si="63"/>
        <v>0</v>
      </c>
      <c r="K122" s="2"/>
      <c r="L122" s="2">
        <f t="shared" si="64"/>
        <v>0</v>
      </c>
      <c r="M122" s="2"/>
      <c r="N122" s="19">
        <f t="shared" si="65"/>
        <v>0</v>
      </c>
      <c r="O122" s="11"/>
      <c r="P122" s="2">
        <f>-72.06</f>
        <v>-72.06</v>
      </c>
      <c r="Q122" s="2"/>
      <c r="R122" s="19">
        <f t="shared" si="66"/>
        <v>-2.4976687385278291E-5</v>
      </c>
      <c r="S122" s="2"/>
      <c r="T122" s="2"/>
      <c r="U122" s="2"/>
      <c r="V122" s="19">
        <f t="shared" si="67"/>
        <v>0</v>
      </c>
      <c r="W122" s="2"/>
      <c r="X122" s="2">
        <f t="shared" si="68"/>
        <v>-72.06</v>
      </c>
      <c r="Y122" s="2"/>
      <c r="Z122" s="19">
        <f t="shared" si="69"/>
        <v>0</v>
      </c>
    </row>
    <row r="123" spans="1:26" s="24" customFormat="1" hidden="1" outlineLevel="1" x14ac:dyDescent="0.25">
      <c r="A123" s="44"/>
      <c r="B123" s="11" t="str">
        <f>CONCATENATE("          ", "9150", " - ", "MISC. INCOME")</f>
        <v xml:space="preserve">          9150 - MISC. INCOME</v>
      </c>
      <c r="C123" s="11"/>
      <c r="D123" s="2">
        <f>--391.25</f>
        <v>391.25</v>
      </c>
      <c r="E123" s="2"/>
      <c r="F123" s="19">
        <f t="shared" si="62"/>
        <v>8.740849810328587E-4</v>
      </c>
      <c r="G123" s="2"/>
      <c r="H123" s="2">
        <v>1350</v>
      </c>
      <c r="I123" s="2"/>
      <c r="J123" s="19">
        <f t="shared" si="63"/>
        <v>2.9888085723457718E-3</v>
      </c>
      <c r="K123" s="2"/>
      <c r="L123" s="2">
        <f t="shared" si="64"/>
        <v>-958.75</v>
      </c>
      <c r="M123" s="2"/>
      <c r="N123" s="19">
        <f t="shared" si="65"/>
        <v>-0.71018518518518514</v>
      </c>
      <c r="O123" s="11"/>
      <c r="P123" s="2">
        <f>--5431.7</f>
        <v>5431.7</v>
      </c>
      <c r="Q123" s="2"/>
      <c r="R123" s="19">
        <f t="shared" si="66"/>
        <v>1.8826793348683886E-3</v>
      </c>
      <c r="S123" s="2"/>
      <c r="T123" s="2">
        <v>22950</v>
      </c>
      <c r="U123" s="2"/>
      <c r="V123" s="19">
        <f t="shared" si="67"/>
        <v>7.9016681299385431E-3</v>
      </c>
      <c r="W123" s="2"/>
      <c r="X123" s="2">
        <f t="shared" si="68"/>
        <v>-17518.3</v>
      </c>
      <c r="Y123" s="2"/>
      <c r="Z123" s="19">
        <f t="shared" si="69"/>
        <v>-0.76332461873638346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10"/>
      <c r="B125" s="29" t="s">
        <v>3</v>
      </c>
      <c r="C125" s="29"/>
      <c r="D125" s="22">
        <f>+D58-D60+D119</f>
        <v>154690.10999999996</v>
      </c>
      <c r="E125" s="14"/>
      <c r="F125" s="20">
        <f>IF(D$12=0,0,D125/D$12)</f>
        <v>0.34559054789858346</v>
      </c>
      <c r="G125" s="14"/>
      <c r="H125" s="22">
        <f>+H58-H60+H119</f>
        <v>45109.082452418079</v>
      </c>
      <c r="I125" s="14"/>
      <c r="J125" s="20">
        <f>IF(H$12=0,0,H125/H$12)</f>
        <v>9.9868453573658811E-2</v>
      </c>
      <c r="K125" s="15"/>
      <c r="L125" s="22">
        <f>+D125-H125</f>
        <v>109581.02754758188</v>
      </c>
      <c r="M125" s="15"/>
      <c r="N125" s="20">
        <f>IF(H125=0,0,L125/H125)</f>
        <v>2.4292453224507513</v>
      </c>
      <c r="O125" s="28"/>
      <c r="P125" s="22">
        <f>+P58-P60+P119</f>
        <v>273652.22000000026</v>
      </c>
      <c r="Q125" s="14"/>
      <c r="R125" s="20">
        <f>IF(P$12=0,0,P125/P$12)</f>
        <v>9.4850485029522702E-2</v>
      </c>
      <c r="S125" s="14"/>
      <c r="T125" s="22">
        <f>+T58-T60+T119</f>
        <v>297897.32588171499</v>
      </c>
      <c r="U125" s="14"/>
      <c r="V125" s="20">
        <f>IF(T$12=0,0,T125/T$12)</f>
        <v>0.10256583032302673</v>
      </c>
      <c r="W125" s="15"/>
      <c r="X125" s="22">
        <f>+P125-T125</f>
        <v>-24245.105881714728</v>
      </c>
      <c r="Y125" s="15"/>
      <c r="Z125" s="20">
        <f>IF(T125=0,0,X125/T125)</f>
        <v>-8.1387457272247027E-2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52"/>
      <c r="B127" s="10" t="s">
        <v>14</v>
      </c>
      <c r="C127" s="10"/>
      <c r="D127" s="4">
        <v>148266.75999999998</v>
      </c>
      <c r="E127" s="4"/>
      <c r="F127" s="13">
        <f>IF(D$12=0,0,D127/D$12)</f>
        <v>0.33124025074096713</v>
      </c>
      <c r="G127" s="4"/>
      <c r="H127" s="4">
        <v>91659</v>
      </c>
      <c r="I127" s="4"/>
      <c r="J127" s="13">
        <f>IF(H$12=0,0,H127/H$12)</f>
        <v>0.20292681846862304</v>
      </c>
      <c r="K127" s="4"/>
      <c r="L127" s="4">
        <f>+D127-H127</f>
        <v>56607.75999999998</v>
      </c>
      <c r="M127" s="4"/>
      <c r="N127" s="13">
        <f>IF(H127=0,0,L127/H127)</f>
        <v>0.61759085305316419</v>
      </c>
      <c r="O127" s="10"/>
      <c r="P127" s="4">
        <v>436914.47</v>
      </c>
      <c r="Q127" s="4"/>
      <c r="R127" s="13">
        <f>IF(P$12=0,0,P127/P$12)</f>
        <v>0.15143874731188661</v>
      </c>
      <c r="S127" s="4"/>
      <c r="T127" s="4">
        <v>375751</v>
      </c>
      <c r="U127" s="4"/>
      <c r="V127" s="13">
        <f>IF(T$12=0,0,T127/T$12)</f>
        <v>0.12937079309335675</v>
      </c>
      <c r="W127" s="4"/>
      <c r="X127" s="4">
        <f>+P127-T127</f>
        <v>61163.469999999972</v>
      </c>
      <c r="Y127" s="4"/>
      <c r="Z127" s="13">
        <f>IF(T127=0,0,X127/T127)</f>
        <v>0.16277659939694097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9" t="s">
        <v>4</v>
      </c>
      <c r="C129" s="29"/>
      <c r="D129" s="31">
        <f>+D125-D127</f>
        <v>6423.3499999999767</v>
      </c>
      <c r="E129" s="14"/>
      <c r="F129" s="33">
        <f>IF(D$12=0,0,D129/D$12)</f>
        <v>1.4350297157616338E-2</v>
      </c>
      <c r="G129" s="14"/>
      <c r="H129" s="31">
        <f>+H125-H127</f>
        <v>-46549.917547581921</v>
      </c>
      <c r="I129" s="14"/>
      <c r="J129" s="33">
        <f>IF(H$12=0,0,H129/H$12)</f>
        <v>-0.10305836489496424</v>
      </c>
      <c r="K129" s="15"/>
      <c r="L129" s="31">
        <f>D129-H129</f>
        <v>52973.267547581898</v>
      </c>
      <c r="M129" s="15"/>
      <c r="N129" s="33">
        <f>IF(H129=0,0,L129/H129)</f>
        <v>-1.1379884291617535</v>
      </c>
      <c r="O129" s="28"/>
      <c r="P129" s="31">
        <f>+P125-P127</f>
        <v>-163262.24999999971</v>
      </c>
      <c r="Q129" s="14"/>
      <c r="R129" s="33">
        <f>IF(P$12=0,0,P129/P$12)</f>
        <v>-5.658826228236391E-2</v>
      </c>
      <c r="S129" s="14"/>
      <c r="T129" s="31">
        <f>+T125-T127</f>
        <v>-77853.674118285009</v>
      </c>
      <c r="U129" s="14"/>
      <c r="V129" s="33">
        <f>IF(T$12=0,0,T129/T$12)</f>
        <v>-2.6804962770330013E-2</v>
      </c>
      <c r="W129" s="15"/>
      <c r="X129" s="31">
        <f>P129-T129</f>
        <v>-85408.5758817147</v>
      </c>
      <c r="Y129" s="15"/>
      <c r="Z129" s="33">
        <f>IF(T129=0,0,X129/T129)</f>
        <v>1.0970397588680445</v>
      </c>
    </row>
    <row r="130" spans="1:26" ht="15.75" thickTop="1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9" t="s">
        <v>5</v>
      </c>
      <c r="C132" s="29"/>
      <c r="D132" s="34">
        <f>SUM(D129:D131)</f>
        <v>6423.3499999999767</v>
      </c>
      <c r="E132" s="14"/>
      <c r="F132" s="35">
        <f>IF(D$12=0,0,D132/D$12)</f>
        <v>1.4350297157616338E-2</v>
      </c>
      <c r="G132" s="14"/>
      <c r="H132" s="34">
        <f>SUM(H129:H131)</f>
        <v>-46549.917547581921</v>
      </c>
      <c r="I132" s="14"/>
      <c r="J132" s="35">
        <f>IF(H$12=0,0,H132/H$12)</f>
        <v>-0.10305836489496424</v>
      </c>
      <c r="K132" s="15"/>
      <c r="L132" s="34">
        <f>+D132-H132</f>
        <v>52973.267547581898</v>
      </c>
      <c r="M132" s="15"/>
      <c r="N132" s="35">
        <f>IF(H132=0,0,L132/H132)</f>
        <v>-1.1379884291617535</v>
      </c>
      <c r="O132" s="28"/>
      <c r="P132" s="34">
        <f>SUM(P129:P131)</f>
        <v>-163262.24999999971</v>
      </c>
      <c r="Q132" s="14"/>
      <c r="R132" s="35">
        <f>IF(P$12=0,0,P132/P$12)</f>
        <v>-5.658826228236391E-2</v>
      </c>
      <c r="S132" s="14"/>
      <c r="T132" s="34">
        <f>SUM(T129:T131)</f>
        <v>-77853.674118285009</v>
      </c>
      <c r="U132" s="14"/>
      <c r="V132" s="35">
        <f>IF(T$12=0,0,T132/T$12)</f>
        <v>-2.6804962770330013E-2</v>
      </c>
      <c r="W132" s="15"/>
      <c r="X132" s="34">
        <f>+P132-T132</f>
        <v>-85408.5758817147</v>
      </c>
      <c r="Y132" s="15"/>
      <c r="Z132" s="35">
        <f>IF(T132=0,0,X132/T132)</f>
        <v>1.0970397588680445</v>
      </c>
    </row>
    <row r="133" spans="1:26" ht="15.75" thickTop="1" x14ac:dyDescent="0.25">
      <c r="A133" s="9"/>
      <c r="C133" s="9"/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A134" s="9"/>
      <c r="B134" s="55">
        <v>44043.47348364583</v>
      </c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62" t="s">
        <v>314</v>
      </c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A136" s="9"/>
      <c r="B136" s="63"/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307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119.47</v>
      </c>
      <c r="E12" s="4"/>
      <c r="F12" s="13"/>
      <c r="G12" s="4"/>
      <c r="H12" s="4">
        <f>SUM(OSRRefH13x_0)</f>
        <v>120957</v>
      </c>
      <c r="I12" s="4"/>
      <c r="J12" s="13"/>
      <c r="K12" s="4"/>
      <c r="L12" s="4">
        <f t="shared" ref="L12:L24" si="0">+D12-H12</f>
        <v>-120837.53</v>
      </c>
      <c r="M12" s="4"/>
      <c r="N12" s="13">
        <f t="shared" ref="N12:N24" si="1">IF(H12=0,0,L12/H12)</f>
        <v>-0.99901229362500721</v>
      </c>
      <c r="O12" s="10"/>
      <c r="P12" s="4">
        <f>SUM(OSRRefP13x_0)</f>
        <v>2364728.7199999997</v>
      </c>
      <c r="Q12" s="4"/>
      <c r="R12" s="13"/>
      <c r="S12" s="4"/>
      <c r="T12" s="4">
        <f>SUM(OSRRefT13x_0)</f>
        <v>3299885.2</v>
      </c>
      <c r="U12" s="4"/>
      <c r="V12" s="13"/>
      <c r="W12" s="4"/>
      <c r="X12" s="4">
        <f t="shared" ref="X12:X24" si="2">+P12-T12</f>
        <v>-935156.48000000045</v>
      </c>
      <c r="Y12" s="4"/>
      <c r="Z12" s="13">
        <f t="shared" ref="Z12:Z24" si="3">IF(T12=0,0,X12/T12)</f>
        <v>-0.28339061007334448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8" si="4">0</f>
        <v>0</v>
      </c>
      <c r="E13" s="2"/>
      <c r="F13" s="19"/>
      <c r="G13" s="2"/>
      <c r="H13" s="2">
        <v>14500</v>
      </c>
      <c r="I13" s="2"/>
      <c r="J13" s="19"/>
      <c r="K13" s="2"/>
      <c r="L13" s="2">
        <f t="shared" si="0"/>
        <v>-14500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774976.20000000007</v>
      </c>
      <c r="U13" s="2"/>
      <c r="V13" s="19"/>
      <c r="W13" s="2"/>
      <c r="X13" s="2">
        <f t="shared" si="2"/>
        <v>-774976.20000000007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--275749.46</f>
        <v>275749.46000000002</v>
      </c>
      <c r="Q14" s="2"/>
      <c r="R14" s="19"/>
      <c r="S14" s="2"/>
      <c r="T14" s="2"/>
      <c r="U14" s="2"/>
      <c r="V14" s="19"/>
      <c r="W14" s="2"/>
      <c r="X14" s="2">
        <f t="shared" si="2"/>
        <v>275749.46000000002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--3121.95</f>
        <v>3121.95</v>
      </c>
      <c r="Q15" s="2"/>
      <c r="R15" s="19"/>
      <c r="S15" s="2"/>
      <c r="T15" s="2"/>
      <c r="U15" s="2"/>
      <c r="V15" s="19"/>
      <c r="W15" s="2"/>
      <c r="X15" s="2">
        <f t="shared" si="2"/>
        <v>3121.95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--149404.53</f>
        <v>149404.53</v>
      </c>
      <c r="Q16" s="2"/>
      <c r="R16" s="19"/>
      <c r="S16" s="2"/>
      <c r="T16" s="2"/>
      <c r="U16" s="2"/>
      <c r="V16" s="19"/>
      <c r="W16" s="2"/>
      <c r="X16" s="2">
        <f t="shared" si="2"/>
        <v>149404.53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19"/>
      <c r="G17" s="2"/>
      <c r="H17" s="2">
        <v>106457</v>
      </c>
      <c r="I17" s="2"/>
      <c r="J17" s="19"/>
      <c r="K17" s="2"/>
      <c r="L17" s="2">
        <f t="shared" si="0"/>
        <v>-106457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2524909</v>
      </c>
      <c r="U17" s="2"/>
      <c r="V17" s="19"/>
      <c r="W17" s="2"/>
      <c r="X17" s="2">
        <f t="shared" si="2"/>
        <v>-2524909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"4131", " - ", "NON-TAXABLE SALES-FOOD")</f>
        <v xml:space="preserve">          4131 - NON-TAXABLE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--2.48</f>
        <v>2.48</v>
      </c>
      <c r="Q18" s="2"/>
      <c r="R18" s="19"/>
      <c r="S18" s="2"/>
      <c r="T18" s="2"/>
      <c r="U18" s="2"/>
      <c r="V18" s="19"/>
      <c r="W18" s="2"/>
      <c r="X18" s="2">
        <f t="shared" si="2"/>
        <v>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"4132", " - ", "NON-TAXABLE SALES-JUICE")</f>
        <v xml:space="preserve">          4132 - NON-TAXABLE SALES-JUICE</v>
      </c>
      <c r="C19" s="11"/>
      <c r="D19" s="2">
        <f>--114.48</f>
        <v>114.48</v>
      </c>
      <c r="E19" s="2"/>
      <c r="F19" s="19"/>
      <c r="G19" s="2"/>
      <c r="H19" s="2"/>
      <c r="I19" s="2"/>
      <c r="J19" s="19"/>
      <c r="K19" s="2"/>
      <c r="L19" s="2">
        <f t="shared" si="0"/>
        <v>114.48</v>
      </c>
      <c r="M19" s="2"/>
      <c r="N19" s="19">
        <f t="shared" si="1"/>
        <v>0</v>
      </c>
      <c r="O19" s="11"/>
      <c r="P19" s="2">
        <f>--1093892.63</f>
        <v>1093892.6299999999</v>
      </c>
      <c r="Q19" s="2"/>
      <c r="R19" s="19"/>
      <c r="S19" s="2"/>
      <c r="T19" s="2"/>
      <c r="U19" s="2"/>
      <c r="V19" s="19"/>
      <c r="W19" s="2"/>
      <c r="X19" s="2">
        <f t="shared" si="2"/>
        <v>1093892.6299999999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"4133", " - ", "NON-TAXABLE SALES-CANDY")</f>
        <v xml:space="preserve">          4133 - NON-TAXABLE SALES-CANDY</v>
      </c>
      <c r="C20" s="11"/>
      <c r="D20" s="2">
        <f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--1.59</f>
        <v>1.59</v>
      </c>
      <c r="Q20" s="2"/>
      <c r="R20" s="19"/>
      <c r="S20" s="2"/>
      <c r="T20" s="2"/>
      <c r="U20" s="2"/>
      <c r="V20" s="19"/>
      <c r="W20" s="2"/>
      <c r="X20" s="2">
        <f t="shared" si="2"/>
        <v>1.59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>--4.99</f>
        <v>4.99</v>
      </c>
      <c r="E21" s="2"/>
      <c r="F21" s="19"/>
      <c r="G21" s="2"/>
      <c r="H21" s="2"/>
      <c r="I21" s="2"/>
      <c r="J21" s="19"/>
      <c r="K21" s="2"/>
      <c r="L21" s="2">
        <f t="shared" si="0"/>
        <v>4.99</v>
      </c>
      <c r="M21" s="2"/>
      <c r="N21" s="19">
        <f t="shared" si="1"/>
        <v>0</v>
      </c>
      <c r="O21" s="11"/>
      <c r="P21" s="2">
        <f>--99.83</f>
        <v>99.83</v>
      </c>
      <c r="Q21" s="2"/>
      <c r="R21" s="19"/>
      <c r="S21" s="2"/>
      <c r="T21" s="2"/>
      <c r="U21" s="2"/>
      <c r="V21" s="19"/>
      <c r="W21" s="2"/>
      <c r="X21" s="2">
        <f t="shared" si="2"/>
        <v>99.83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ref="D22:D24" si="5"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--1575.68</f>
        <v>1575.68</v>
      </c>
      <c r="Q22" s="2"/>
      <c r="R22" s="19"/>
      <c r="S22" s="2"/>
      <c r="T22" s="2"/>
      <c r="U22" s="2"/>
      <c r="V22" s="19"/>
      <c r="W22" s="2"/>
      <c r="X22" s="2">
        <f t="shared" si="2"/>
        <v>1575.68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--828068.07</f>
        <v>828068.07</v>
      </c>
      <c r="Q23" s="2"/>
      <c r="R23" s="19"/>
      <c r="S23" s="2"/>
      <c r="T23" s="2"/>
      <c r="U23" s="2"/>
      <c r="V23" s="19"/>
      <c r="W23" s="2"/>
      <c r="X23" s="2">
        <f t="shared" si="2"/>
        <v>828068.07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"4153", " - ", "NON-TAXABLE SALES-FOOD")</f>
        <v xml:space="preserve">          4153 - NON-TAXABLE SALES-FOOD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--12812.5</f>
        <v>12812.5</v>
      </c>
      <c r="Q24" s="2"/>
      <c r="R24" s="19"/>
      <c r="S24" s="2"/>
      <c r="T24" s="2"/>
      <c r="U24" s="2"/>
      <c r="V24" s="19"/>
      <c r="W24" s="2"/>
      <c r="X24" s="2">
        <f t="shared" si="2"/>
        <v>12812.5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3589.06</v>
      </c>
      <c r="E26" s="4"/>
      <c r="F26" s="13">
        <f t="shared" ref="F26:F29" si="6">IF(D$12=0,0,D26/D$12)</f>
        <v>30.041516698752826</v>
      </c>
      <c r="G26" s="4"/>
      <c r="H26" s="4">
        <f>SUM(OSRRefH16x_0)</f>
        <v>59788.999999999993</v>
      </c>
      <c r="I26" s="4"/>
      <c r="J26" s="13">
        <f t="shared" ref="J26:J29" si="7">IF(H$12=0,0,H26/H$12)</f>
        <v>0.49429962714022335</v>
      </c>
      <c r="K26" s="4"/>
      <c r="L26" s="4">
        <f t="shared" ref="L26:L29" si="8">+D26-H26</f>
        <v>-56199.939999999995</v>
      </c>
      <c r="M26" s="4"/>
      <c r="N26" s="13">
        <f t="shared" ref="N26:N29" si="9">IF(H26=0,0,L26/H26)</f>
        <v>-0.93997123216645206</v>
      </c>
      <c r="O26" s="10"/>
      <c r="P26" s="4">
        <f>SUM(OSRRefP16x_0)</f>
        <v>1235919.8999999999</v>
      </c>
      <c r="Q26" s="4"/>
      <c r="R26" s="13">
        <f t="shared" ref="R26:R29" si="10">IF(P$12=0,0,P26/P$12)</f>
        <v>0.52264764644969508</v>
      </c>
      <c r="S26" s="4"/>
      <c r="T26" s="4">
        <f>SUM(OSRRefT16x_0)</f>
        <v>1591254</v>
      </c>
      <c r="U26" s="4"/>
      <c r="V26" s="13">
        <f t="shared" ref="V26:V29" si="11">IF(T$12=0,0,T26/T$12)</f>
        <v>0.48221495705365747</v>
      </c>
      <c r="W26" s="4"/>
      <c r="X26" s="4">
        <f t="shared" ref="X26:X29" si="12">+P26-T26</f>
        <v>-355334.10000000009</v>
      </c>
      <c r="Y26" s="4"/>
      <c r="Z26" s="13">
        <f t="shared" ref="Z26:Z29" si="13">IF(T26=0,0,X26/T26)</f>
        <v>-0.22330445045228486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6"/>
        <v>0</v>
      </c>
      <c r="G27" s="2"/>
      <c r="H27" s="2">
        <v>59788.999999999993</v>
      </c>
      <c r="I27" s="2"/>
      <c r="J27" s="19">
        <f t="shared" si="7"/>
        <v>0.49429962714022335</v>
      </c>
      <c r="K27" s="2"/>
      <c r="L27" s="2">
        <f t="shared" si="8"/>
        <v>-59788.999999999993</v>
      </c>
      <c r="M27" s="2"/>
      <c r="N27" s="19">
        <f t="shared" si="9"/>
        <v>-1</v>
      </c>
      <c r="O27" s="11"/>
      <c r="P27" s="2"/>
      <c r="Q27" s="2"/>
      <c r="R27" s="19">
        <f t="shared" si="10"/>
        <v>0</v>
      </c>
      <c r="S27" s="2"/>
      <c r="T27" s="2">
        <v>1591254</v>
      </c>
      <c r="U27" s="2"/>
      <c r="V27" s="19">
        <f t="shared" si="11"/>
        <v>0.48221495705365747</v>
      </c>
      <c r="W27" s="2"/>
      <c r="X27" s="2">
        <f t="shared" si="12"/>
        <v>-1591254</v>
      </c>
      <c r="Y27" s="2"/>
      <c r="Z27" s="19">
        <f t="shared" si="13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-2889.94</v>
      </c>
      <c r="E28" s="2"/>
      <c r="F28" s="19">
        <f t="shared" si="6"/>
        <v>-24.189671047124801</v>
      </c>
      <c r="G28" s="2"/>
      <c r="H28" s="2"/>
      <c r="I28" s="2"/>
      <c r="J28" s="19">
        <f t="shared" si="7"/>
        <v>0</v>
      </c>
      <c r="K28" s="2"/>
      <c r="L28" s="2">
        <f t="shared" si="8"/>
        <v>-2889.94</v>
      </c>
      <c r="M28" s="2"/>
      <c r="N28" s="19">
        <f t="shared" si="9"/>
        <v>0</v>
      </c>
      <c r="O28" s="11"/>
      <c r="P28" s="2">
        <v>1155614.0999999999</v>
      </c>
      <c r="Q28" s="2"/>
      <c r="R28" s="19">
        <f t="shared" si="10"/>
        <v>0.48868781024488933</v>
      </c>
      <c r="S28" s="2"/>
      <c r="T28" s="2"/>
      <c r="U28" s="2"/>
      <c r="V28" s="19">
        <f t="shared" si="11"/>
        <v>0</v>
      </c>
      <c r="W28" s="2"/>
      <c r="X28" s="2">
        <f t="shared" si="12"/>
        <v>1155614.0999999999</v>
      </c>
      <c r="Y28" s="2"/>
      <c r="Z28" s="19">
        <f t="shared" si="13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6479</v>
      </c>
      <c r="E29" s="2"/>
      <c r="F29" s="19">
        <f t="shared" si="6"/>
        <v>54.231187745877627</v>
      </c>
      <c r="G29" s="2"/>
      <c r="H29" s="2"/>
      <c r="I29" s="2"/>
      <c r="J29" s="19">
        <f t="shared" si="7"/>
        <v>0</v>
      </c>
      <c r="K29" s="2"/>
      <c r="L29" s="2">
        <f t="shared" si="8"/>
        <v>6479</v>
      </c>
      <c r="M29" s="2"/>
      <c r="N29" s="19">
        <f t="shared" si="9"/>
        <v>0</v>
      </c>
      <c r="O29" s="11"/>
      <c r="P29" s="2">
        <v>80305.799999999988</v>
      </c>
      <c r="Q29" s="2"/>
      <c r="R29" s="19">
        <f t="shared" si="10"/>
        <v>3.3959836204805763E-2</v>
      </c>
      <c r="S29" s="2"/>
      <c r="T29" s="2"/>
      <c r="U29" s="2"/>
      <c r="V29" s="19">
        <f t="shared" si="11"/>
        <v>0</v>
      </c>
      <c r="W29" s="2"/>
      <c r="X29" s="2">
        <f t="shared" si="12"/>
        <v>80305.799999999988</v>
      </c>
      <c r="Y29" s="2"/>
      <c r="Z29" s="19">
        <f t="shared" si="13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2">
        <f>D12-D26</f>
        <v>-3469.59</v>
      </c>
      <c r="E31" s="14"/>
      <c r="F31" s="20">
        <f>IF(D$12=0,0,D31/D$12)</f>
        <v>-29.041516698752826</v>
      </c>
      <c r="G31" s="14"/>
      <c r="H31" s="22">
        <f>H12-H26</f>
        <v>61168.000000000007</v>
      </c>
      <c r="I31" s="14"/>
      <c r="J31" s="20">
        <f>IF(H$12=0,0,H31/H$12)</f>
        <v>0.50570037285977665</v>
      </c>
      <c r="K31" s="15"/>
      <c r="L31" s="22">
        <f>+D31-H31</f>
        <v>-64637.590000000011</v>
      </c>
      <c r="M31" s="15"/>
      <c r="N31" s="20">
        <f>IF(H31=0,0,L31/H31)</f>
        <v>-1.0567223057808004</v>
      </c>
      <c r="O31" s="28"/>
      <c r="P31" s="22">
        <f>P12-P26</f>
        <v>1128808.8199999998</v>
      </c>
      <c r="Q31" s="14"/>
      <c r="R31" s="20">
        <f>IF(P$12=0,0,P31/P$12)</f>
        <v>0.47735235355030492</v>
      </c>
      <c r="S31" s="14"/>
      <c r="T31" s="22">
        <f>T12-T26</f>
        <v>1708631.2000000002</v>
      </c>
      <c r="U31" s="14"/>
      <c r="V31" s="20">
        <f>IF(T$12=0,0,T31/T$12)</f>
        <v>0.51778504294634253</v>
      </c>
      <c r="W31" s="15"/>
      <c r="X31" s="22">
        <f>+P31-T31</f>
        <v>-579822.38000000035</v>
      </c>
      <c r="Y31" s="15"/>
      <c r="Z31" s="20">
        <f>IF(T31=0,0,X31/T31)</f>
        <v>-0.33934905320703512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1">
        <f>SUM(OSRRefD22x_0)</f>
        <v>42396.920000000006</v>
      </c>
      <c r="E33" s="21"/>
      <c r="F33" s="32">
        <f t="shared" ref="F33:F43" si="14">IF(D$12=0,0,D33/D$12)</f>
        <v>354.8750313886332</v>
      </c>
      <c r="G33" s="21"/>
      <c r="H33" s="21">
        <f>SUM(OSRRefH22x_0)</f>
        <v>65345.183510158698</v>
      </c>
      <c r="I33" s="21"/>
      <c r="J33" s="32">
        <f t="shared" ref="J33:J43" si="15">IF(H$12=0,0,H33/H$12)</f>
        <v>0.54023482320294569</v>
      </c>
      <c r="K33" s="4"/>
      <c r="L33" s="21">
        <f t="shared" ref="L33:L43" si="16">+D33-H33</f>
        <v>-22948.263510158693</v>
      </c>
      <c r="M33" s="4"/>
      <c r="N33" s="32">
        <f t="shared" ref="N33:N43" si="17">IF(H33=0,0,L33/H33)</f>
        <v>-0.35118523320989847</v>
      </c>
      <c r="O33" s="10"/>
      <c r="P33" s="21">
        <f>SUM(OSRRefP22x_0)</f>
        <v>1074075.23</v>
      </c>
      <c r="Q33" s="21"/>
      <c r="R33" s="32">
        <f t="shared" ref="R33:R43" si="18">IF(P$12=0,0,P33/P$12)</f>
        <v>0.45420653156358676</v>
      </c>
      <c r="S33" s="21"/>
      <c r="T33" s="21">
        <f>SUM(OSRRefT22x_0)</f>
        <v>1261597.6757186709</v>
      </c>
      <c r="U33" s="21"/>
      <c r="V33" s="32">
        <f t="shared" ref="V33:V43" si="19">IF(T$12=0,0,T33/T$12)</f>
        <v>0.38231562592500817</v>
      </c>
      <c r="W33" s="4"/>
      <c r="X33" s="21">
        <f t="shared" ref="X33:X43" si="20">+P33-T33</f>
        <v>-187522.44571867096</v>
      </c>
      <c r="Y33" s="4"/>
      <c r="Z33" s="32">
        <f t="shared" ref="Z33:Z43" si="21">IF(T33=0,0,X33/T33)</f>
        <v>-0.14863886429708942</v>
      </c>
    </row>
    <row r="34" spans="1:26" s="26" customFormat="1" outlineLevel="1" collapsed="1" x14ac:dyDescent="0.25">
      <c r="A34" s="25"/>
      <c r="B34" s="12" t="str">
        <f>CONCATENATE("     ","*Benefits                                         ")</f>
        <v xml:space="preserve">     *Benefits                                         </v>
      </c>
      <c r="C34" s="12"/>
      <c r="D34" s="1">
        <f>SUM(OSRRefD22_0x_0)</f>
        <v>7380.7699999999995</v>
      </c>
      <c r="E34" s="1"/>
      <c r="F34" s="5">
        <f t="shared" si="14"/>
        <v>61.779275131832257</v>
      </c>
      <c r="G34" s="1"/>
      <c r="H34" s="1">
        <f>SUM(OSRRefH22_0x_0)</f>
        <v>12009.596549239999</v>
      </c>
      <c r="I34" s="1"/>
      <c r="J34" s="5">
        <f t="shared" si="15"/>
        <v>9.9288148261282932E-2</v>
      </c>
      <c r="K34" s="1"/>
      <c r="L34" s="1">
        <f t="shared" si="16"/>
        <v>-4628.8265492399996</v>
      </c>
      <c r="M34" s="1"/>
      <c r="N34" s="5">
        <f t="shared" si="17"/>
        <v>-0.38542731475296099</v>
      </c>
      <c r="O34" s="12"/>
      <c r="P34" s="1">
        <f>SUM(OSRRefP22_0x_0)</f>
        <v>144729.35999999999</v>
      </c>
      <c r="Q34" s="1"/>
      <c r="R34" s="5">
        <f t="shared" si="18"/>
        <v>6.1203367124496207E-2</v>
      </c>
      <c r="S34" s="1"/>
      <c r="T34" s="1">
        <f>SUM(OSRRefT22_0x_0)</f>
        <v>156535.31197005999</v>
      </c>
      <c r="U34" s="1"/>
      <c r="V34" s="5">
        <f t="shared" si="19"/>
        <v>4.7436593239686027E-2</v>
      </c>
      <c r="W34" s="1"/>
      <c r="X34" s="1">
        <f t="shared" si="20"/>
        <v>-11805.951970060007</v>
      </c>
      <c r="Y34" s="1"/>
      <c r="Z34" s="5">
        <f t="shared" si="21"/>
        <v>-7.5420375258958144E-2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6">
        <v>994.16</v>
      </c>
      <c r="E35" s="2"/>
      <c r="F35" s="7">
        <f t="shared" si="14"/>
        <v>8.3214196032476764</v>
      </c>
      <c r="G35" s="2"/>
      <c r="H35" s="6">
        <v>2343.076176747692</v>
      </c>
      <c r="I35" s="2"/>
      <c r="J35" s="7">
        <f t="shared" si="15"/>
        <v>1.9371149885890789E-2</v>
      </c>
      <c r="K35" s="2"/>
      <c r="L35" s="6">
        <f t="shared" si="16"/>
        <v>-1348.9161767476921</v>
      </c>
      <c r="M35" s="2"/>
      <c r="N35" s="7">
        <f t="shared" si="17"/>
        <v>-0.57570308218491462</v>
      </c>
      <c r="O35" s="11"/>
      <c r="P35" s="6">
        <v>24045.040000000001</v>
      </c>
      <c r="Q35" s="2"/>
      <c r="R35" s="7">
        <f t="shared" si="18"/>
        <v>1.0168202295948774E-2</v>
      </c>
      <c r="S35" s="2"/>
      <c r="T35" s="6">
        <v>21184.099556459998</v>
      </c>
      <c r="U35" s="2"/>
      <c r="V35" s="7">
        <f t="shared" si="19"/>
        <v>6.4196474339349736E-3</v>
      </c>
      <c r="W35" s="2"/>
      <c r="X35" s="6">
        <f t="shared" si="20"/>
        <v>2860.9404435400029</v>
      </c>
      <c r="Y35" s="2"/>
      <c r="Z35" s="7">
        <f t="shared" si="21"/>
        <v>0.13505131223137457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246.92</v>
      </c>
      <c r="E36" s="2"/>
      <c r="F36" s="7">
        <f t="shared" si="14"/>
        <v>2.0667950112999081</v>
      </c>
      <c r="G36" s="2"/>
      <c r="H36" s="6">
        <v>581.71236584615428</v>
      </c>
      <c r="I36" s="2"/>
      <c r="J36" s="7">
        <f t="shared" si="15"/>
        <v>4.8092492856647755E-3</v>
      </c>
      <c r="K36" s="2"/>
      <c r="L36" s="6">
        <f t="shared" si="16"/>
        <v>-334.79236584615433</v>
      </c>
      <c r="M36" s="2"/>
      <c r="N36" s="7">
        <f t="shared" si="17"/>
        <v>-0.57552905095831675</v>
      </c>
      <c r="O36" s="11"/>
      <c r="P36" s="6">
        <v>9516.2099999999991</v>
      </c>
      <c r="Q36" s="2"/>
      <c r="R36" s="7">
        <f t="shared" si="18"/>
        <v>4.0242290456048591E-3</v>
      </c>
      <c r="S36" s="2"/>
      <c r="T36" s="6">
        <v>13394.869869</v>
      </c>
      <c r="U36" s="2"/>
      <c r="V36" s="7">
        <f t="shared" si="19"/>
        <v>4.0591926861576876E-3</v>
      </c>
      <c r="W36" s="2"/>
      <c r="X36" s="6">
        <f t="shared" si="20"/>
        <v>-3878.659869000001</v>
      </c>
      <c r="Y36" s="2"/>
      <c r="Z36" s="7">
        <f t="shared" si="21"/>
        <v>-0.28956308698276023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6">
        <v>4620.57</v>
      </c>
      <c r="E37" s="2"/>
      <c r="F37" s="7">
        <f t="shared" si="14"/>
        <v>38.675567087971871</v>
      </c>
      <c r="G37" s="2"/>
      <c r="H37" s="6">
        <v>5998</v>
      </c>
      <c r="I37" s="2"/>
      <c r="J37" s="7">
        <f t="shared" si="15"/>
        <v>4.958787006952884E-2</v>
      </c>
      <c r="K37" s="2"/>
      <c r="L37" s="6">
        <f t="shared" si="16"/>
        <v>-1377.4300000000003</v>
      </c>
      <c r="M37" s="2"/>
      <c r="N37" s="7">
        <f t="shared" si="17"/>
        <v>-0.22964821607202407</v>
      </c>
      <c r="O37" s="11"/>
      <c r="P37" s="6">
        <v>64558.850000000006</v>
      </c>
      <c r="Q37" s="2"/>
      <c r="R37" s="7">
        <f t="shared" si="18"/>
        <v>2.7300742556211698E-2</v>
      </c>
      <c r="S37" s="2"/>
      <c r="T37" s="6">
        <v>71976</v>
      </c>
      <c r="U37" s="2"/>
      <c r="V37" s="7">
        <f t="shared" si="19"/>
        <v>2.1811667872567202E-2</v>
      </c>
      <c r="W37" s="2"/>
      <c r="X37" s="6">
        <f t="shared" si="20"/>
        <v>-7417.1499999999942</v>
      </c>
      <c r="Y37" s="2"/>
      <c r="Z37" s="7">
        <f t="shared" si="21"/>
        <v>-0.10305032232966536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-1401.68</v>
      </c>
      <c r="E38" s="2"/>
      <c r="F38" s="7">
        <f t="shared" si="14"/>
        <v>-11.732485142713653</v>
      </c>
      <c r="G38" s="2"/>
      <c r="H38" s="6">
        <v>79.602744799999996</v>
      </c>
      <c r="I38" s="2"/>
      <c r="J38" s="7">
        <f t="shared" si="15"/>
        <v>6.5810779698570563E-4</v>
      </c>
      <c r="K38" s="2"/>
      <c r="L38" s="6">
        <f t="shared" si="16"/>
        <v>-1481.2827448</v>
      </c>
      <c r="M38" s="2"/>
      <c r="N38" s="7">
        <f t="shared" si="17"/>
        <v>-18.608438044714259</v>
      </c>
      <c r="O38" s="11"/>
      <c r="P38" s="6">
        <v>0</v>
      </c>
      <c r="Q38" s="2"/>
      <c r="R38" s="7">
        <f t="shared" si="18"/>
        <v>0</v>
      </c>
      <c r="S38" s="2"/>
      <c r="T38" s="6">
        <v>1832.9821926000002</v>
      </c>
      <c r="U38" s="2"/>
      <c r="V38" s="7">
        <f t="shared" si="19"/>
        <v>5.5546847284263109E-4</v>
      </c>
      <c r="W38" s="2"/>
      <c r="X38" s="6">
        <f t="shared" si="20"/>
        <v>-1832.9821926000002</v>
      </c>
      <c r="Y38" s="2"/>
      <c r="Z38" s="7">
        <f t="shared" si="21"/>
        <v>-1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6">
        <v>1284.74</v>
      </c>
      <c r="E39" s="2"/>
      <c r="F39" s="7">
        <f t="shared" si="14"/>
        <v>10.753662007198461</v>
      </c>
      <c r="G39" s="2"/>
      <c r="H39" s="6">
        <v>1534.1686464615379</v>
      </c>
      <c r="I39" s="2"/>
      <c r="J39" s="7">
        <f t="shared" si="15"/>
        <v>1.2683587113284373E-2</v>
      </c>
      <c r="K39" s="2"/>
      <c r="L39" s="6">
        <f t="shared" si="16"/>
        <v>-249.42864646153794</v>
      </c>
      <c r="M39" s="2"/>
      <c r="N39" s="7">
        <f t="shared" si="17"/>
        <v>-0.16258228652816573</v>
      </c>
      <c r="O39" s="11"/>
      <c r="P39" s="6">
        <v>17974.95</v>
      </c>
      <c r="Q39" s="2"/>
      <c r="R39" s="7">
        <f t="shared" si="18"/>
        <v>7.6012736040183089E-3</v>
      </c>
      <c r="S39" s="2"/>
      <c r="T39" s="6">
        <v>19716.462082000002</v>
      </c>
      <c r="U39" s="2"/>
      <c r="V39" s="7">
        <f t="shared" si="19"/>
        <v>5.9748933332589875E-3</v>
      </c>
      <c r="W39" s="2"/>
      <c r="X39" s="6">
        <f t="shared" si="20"/>
        <v>-1741.5120820000011</v>
      </c>
      <c r="Y39" s="2"/>
      <c r="Z39" s="7">
        <f t="shared" si="21"/>
        <v>-8.8327818386337256E-2</v>
      </c>
    </row>
    <row r="40" spans="1:26" s="24" customFormat="1" hidden="1" outlineLevel="2" x14ac:dyDescent="0.25">
      <c r="A40" s="27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4"/>
        <v>0</v>
      </c>
      <c r="G40" s="2"/>
      <c r="H40" s="6">
        <v>0</v>
      </c>
      <c r="I40" s="2"/>
      <c r="J40" s="7">
        <f t="shared" si="15"/>
        <v>0</v>
      </c>
      <c r="K40" s="2"/>
      <c r="L40" s="6">
        <f t="shared" si="16"/>
        <v>0</v>
      </c>
      <c r="M40" s="2"/>
      <c r="N40" s="7">
        <f t="shared" si="17"/>
        <v>0</v>
      </c>
      <c r="O40" s="11"/>
      <c r="P40" s="6"/>
      <c r="Q40" s="2"/>
      <c r="R40" s="7">
        <f t="shared" si="18"/>
        <v>0</v>
      </c>
      <c r="S40" s="2"/>
      <c r="T40" s="6">
        <v>0</v>
      </c>
      <c r="U40" s="2"/>
      <c r="V40" s="7">
        <f t="shared" si="19"/>
        <v>0</v>
      </c>
      <c r="W40" s="2"/>
      <c r="X40" s="6">
        <f t="shared" si="20"/>
        <v>0</v>
      </c>
      <c r="Y40" s="2"/>
      <c r="Z40" s="7">
        <f t="shared" si="21"/>
        <v>0</v>
      </c>
    </row>
    <row r="41" spans="1:26" s="24" customFormat="1" hidden="1" outlineLevel="2" x14ac:dyDescent="0.25">
      <c r="A41" s="27"/>
      <c r="B41" s="11" t="str">
        <f>CONCATENATE("          ", "6118", " - ", "VACATION")</f>
        <v xml:space="preserve">          6118 - VACATION</v>
      </c>
      <c r="C41" s="11"/>
      <c r="D41" s="6">
        <v>950.98</v>
      </c>
      <c r="E41" s="2"/>
      <c r="F41" s="7">
        <f t="shared" si="14"/>
        <v>7.9599899556373988</v>
      </c>
      <c r="G41" s="2"/>
      <c r="H41" s="6">
        <v>639.8641476923076</v>
      </c>
      <c r="I41" s="2"/>
      <c r="J41" s="7">
        <f t="shared" si="15"/>
        <v>5.2900133741106969E-3</v>
      </c>
      <c r="K41" s="2"/>
      <c r="L41" s="6">
        <f t="shared" si="16"/>
        <v>311.11585230769242</v>
      </c>
      <c r="M41" s="2"/>
      <c r="N41" s="7">
        <f t="shared" si="17"/>
        <v>0.486221729143198</v>
      </c>
      <c r="O41" s="11"/>
      <c r="P41" s="6">
        <v>13978.95</v>
      </c>
      <c r="Q41" s="2"/>
      <c r="R41" s="7">
        <f t="shared" si="18"/>
        <v>5.9114391776829275E-3</v>
      </c>
      <c r="S41" s="2"/>
      <c r="T41" s="6">
        <v>8296.6688599999998</v>
      </c>
      <c r="U41" s="2"/>
      <c r="V41" s="7">
        <f t="shared" si="19"/>
        <v>2.5142295435004827E-3</v>
      </c>
      <c r="W41" s="2"/>
      <c r="X41" s="6">
        <f t="shared" si="20"/>
        <v>5682.281140000001</v>
      </c>
      <c r="Y41" s="2"/>
      <c r="Z41" s="7">
        <f t="shared" si="21"/>
        <v>0.68488705959996588</v>
      </c>
    </row>
    <row r="42" spans="1:26" s="24" customFormat="1" hidden="1" outlineLevel="2" x14ac:dyDescent="0.25">
      <c r="A42" s="27"/>
      <c r="B42" s="11" t="str">
        <f>CONCATENATE("          ", "6119", " - ", "SICK LEAVE")</f>
        <v xml:space="preserve">          6119 - SICK LEAVE</v>
      </c>
      <c r="C42" s="11"/>
      <c r="D42" s="6">
        <v>640.52</v>
      </c>
      <c r="E42" s="2"/>
      <c r="F42" s="7">
        <f t="shared" si="14"/>
        <v>5.3613459445885994</v>
      </c>
      <c r="G42" s="2"/>
      <c r="H42" s="6">
        <v>833.17246769230769</v>
      </c>
      <c r="I42" s="2"/>
      <c r="J42" s="7">
        <f t="shared" si="15"/>
        <v>6.8881707358177512E-3</v>
      </c>
      <c r="K42" s="2"/>
      <c r="L42" s="6">
        <f t="shared" si="16"/>
        <v>-192.65246769230771</v>
      </c>
      <c r="M42" s="2"/>
      <c r="N42" s="7">
        <f t="shared" si="17"/>
        <v>-0.23122759712152979</v>
      </c>
      <c r="O42" s="11"/>
      <c r="P42" s="6">
        <v>9513.4599999999991</v>
      </c>
      <c r="Q42" s="2"/>
      <c r="R42" s="7">
        <f t="shared" si="18"/>
        <v>4.0230661215126615E-3</v>
      </c>
      <c r="S42" s="2"/>
      <c r="T42" s="6">
        <v>20009.229410000004</v>
      </c>
      <c r="U42" s="2"/>
      <c r="V42" s="7">
        <f t="shared" si="19"/>
        <v>6.0636137917767568E-3</v>
      </c>
      <c r="W42" s="2"/>
      <c r="X42" s="6">
        <f t="shared" si="20"/>
        <v>-10495.769410000004</v>
      </c>
      <c r="Y42" s="2"/>
      <c r="Z42" s="7">
        <f t="shared" si="21"/>
        <v>-0.5245464078069163</v>
      </c>
    </row>
    <row r="43" spans="1:26" s="24" customFormat="1" hidden="1" outlineLevel="2" x14ac:dyDescent="0.25">
      <c r="A43" s="27"/>
      <c r="B43" s="11" t="str">
        <f>CONCATENATE("          ", "6156", " - ", "EMPLOYEE MEALS")</f>
        <v xml:space="preserve">          6156 - EMPLOYEE MEALS</v>
      </c>
      <c r="C43" s="11"/>
      <c r="D43" s="6">
        <v>44.56</v>
      </c>
      <c r="E43" s="2"/>
      <c r="F43" s="7">
        <f t="shared" si="14"/>
        <v>0.37298066460199214</v>
      </c>
      <c r="G43" s="2"/>
      <c r="H43" s="6"/>
      <c r="I43" s="2"/>
      <c r="J43" s="7">
        <f t="shared" si="15"/>
        <v>0</v>
      </c>
      <c r="K43" s="2"/>
      <c r="L43" s="6">
        <f t="shared" si="16"/>
        <v>44.56</v>
      </c>
      <c r="M43" s="2"/>
      <c r="N43" s="7">
        <f t="shared" si="17"/>
        <v>0</v>
      </c>
      <c r="O43" s="11"/>
      <c r="P43" s="6">
        <v>5141.8999999999996</v>
      </c>
      <c r="Q43" s="2"/>
      <c r="R43" s="7">
        <f t="shared" si="18"/>
        <v>2.1744143235169909E-3</v>
      </c>
      <c r="S43" s="2"/>
      <c r="T43" s="6">
        <v>125</v>
      </c>
      <c r="U43" s="2"/>
      <c r="V43" s="7">
        <f t="shared" si="19"/>
        <v>3.7880105647311608E-5</v>
      </c>
      <c r="W43" s="2"/>
      <c r="X43" s="6">
        <f t="shared" si="20"/>
        <v>5016.8999999999996</v>
      </c>
      <c r="Y43" s="2"/>
      <c r="Z43" s="7">
        <f t="shared" si="21"/>
        <v>40.135199999999998</v>
      </c>
    </row>
    <row r="44" spans="1:26" s="26" customFormat="1" outlineLevel="1" collapsed="1" x14ac:dyDescent="0.25">
      <c r="A44" s="25"/>
      <c r="B44" s="12" t="str">
        <f>CONCATENATE("     ","*Payroll                                          ")</f>
        <v xml:space="preserve">     *Payroll                                          </v>
      </c>
      <c r="C44" s="12"/>
      <c r="D44" s="1">
        <f>SUM(OSRRefD22_1x_0)</f>
        <v>9732.81</v>
      </c>
      <c r="E44" s="1"/>
      <c r="F44" s="5">
        <f t="shared" ref="F44:F54" si="22">IF(D$12=0,0,D44/D$12)</f>
        <v>81.466560642839198</v>
      </c>
      <c r="G44" s="1"/>
      <c r="H44" s="1">
        <f>SUM(OSRRefH22_1x_0)</f>
        <v>29475.0842923077</v>
      </c>
      <c r="I44" s="1"/>
      <c r="J44" s="5">
        <f t="shared" ref="J44:J54" si="23">IF(H$12=0,0,H44/H$12)</f>
        <v>0.24368233580783005</v>
      </c>
      <c r="K44" s="1"/>
      <c r="L44" s="1">
        <f t="shared" ref="L44:L54" si="24">+D44-H44</f>
        <v>-19742.274292307702</v>
      </c>
      <c r="M44" s="1"/>
      <c r="N44" s="5">
        <f t="shared" ref="N44:N54" si="25">IF(H44=0,0,L44/H44)</f>
        <v>-0.66979534635156135</v>
      </c>
      <c r="O44" s="12"/>
      <c r="P44" s="1">
        <f>SUM(OSRRefP22_1x_0)</f>
        <v>517542.44999999995</v>
      </c>
      <c r="Q44" s="1"/>
      <c r="R44" s="5">
        <f t="shared" ref="R44:R54" si="26">IF(P$12=0,0,P44/P$12)</f>
        <v>0.2188591213963858</v>
      </c>
      <c r="S44" s="1"/>
      <c r="T44" s="1">
        <f>SUM(OSRRefT22_1x_0)</f>
        <v>688428.86108000018</v>
      </c>
      <c r="U44" s="1"/>
      <c r="V44" s="5">
        <f t="shared" ref="V44:V54" si="27">IF(T$12=0,0,T44/T$12)</f>
        <v>0.20862206390695051</v>
      </c>
      <c r="W44" s="1"/>
      <c r="X44" s="1">
        <f t="shared" ref="X44:X54" si="28">+P44-T44</f>
        <v>-170886.41108000022</v>
      </c>
      <c r="Y44" s="1"/>
      <c r="Z44" s="5">
        <f t="shared" ref="Z44:Z54" si="29">IF(T44=0,0,X44/T44)</f>
        <v>-0.24822668069423376</v>
      </c>
    </row>
    <row r="45" spans="1:26" s="24" customFormat="1" hidden="1" outlineLevel="2" x14ac:dyDescent="0.25">
      <c r="A45" s="27"/>
      <c r="B45" s="11" t="str">
        <f>CONCATENATE("          ", "6001", " - ", "ADMINISTRATIVE SALARIES")</f>
        <v xml:space="preserve">          6001 - ADMINISTRATIVE SALARIES</v>
      </c>
      <c r="C45" s="11"/>
      <c r="D45" s="6"/>
      <c r="E45" s="2"/>
      <c r="F45" s="7">
        <f t="shared" si="22"/>
        <v>0</v>
      </c>
      <c r="G45" s="2"/>
      <c r="H45" s="6">
        <v>13189.7717923077</v>
      </c>
      <c r="I45" s="2"/>
      <c r="J45" s="7">
        <f t="shared" si="23"/>
        <v>0.10904513002395645</v>
      </c>
      <c r="K45" s="2"/>
      <c r="L45" s="6">
        <f t="shared" si="24"/>
        <v>-13189.7717923077</v>
      </c>
      <c r="M45" s="2"/>
      <c r="N45" s="7">
        <f t="shared" si="25"/>
        <v>-1</v>
      </c>
      <c r="O45" s="11"/>
      <c r="P45" s="6"/>
      <c r="Q45" s="2"/>
      <c r="R45" s="7">
        <f t="shared" si="26"/>
        <v>0</v>
      </c>
      <c r="S45" s="2"/>
      <c r="T45" s="6">
        <v>168951.40765000007</v>
      </c>
      <c r="U45" s="2"/>
      <c r="V45" s="7">
        <f t="shared" si="27"/>
        <v>5.1199177368352104E-2</v>
      </c>
      <c r="W45" s="2"/>
      <c r="X45" s="6">
        <f t="shared" si="28"/>
        <v>-168951.40765000007</v>
      </c>
      <c r="Y45" s="2"/>
      <c r="Z45" s="7">
        <f t="shared" si="29"/>
        <v>-1</v>
      </c>
    </row>
    <row r="46" spans="1:26" s="24" customFormat="1" hidden="1" outlineLevel="2" x14ac:dyDescent="0.25">
      <c r="A46" s="27"/>
      <c r="B46" s="11" t="str">
        <f>CONCATENATE("          ", "6002", " - ", "STAFF SALARIES")</f>
        <v xml:space="preserve">          6002 - STAFF SALARIES</v>
      </c>
      <c r="C46" s="11"/>
      <c r="D46" s="6">
        <v>9732.81</v>
      </c>
      <c r="E46" s="2"/>
      <c r="F46" s="7">
        <f t="shared" si="22"/>
        <v>81.466560642839198</v>
      </c>
      <c r="G46" s="2"/>
      <c r="H46" s="6">
        <v>3559.68</v>
      </c>
      <c r="I46" s="2"/>
      <c r="J46" s="7">
        <f t="shared" si="23"/>
        <v>2.9429301321957389E-2</v>
      </c>
      <c r="K46" s="2"/>
      <c r="L46" s="6">
        <f t="shared" si="24"/>
        <v>6173.1299999999992</v>
      </c>
      <c r="M46" s="2"/>
      <c r="N46" s="7">
        <f t="shared" si="25"/>
        <v>1.7341811623516719</v>
      </c>
      <c r="O46" s="11"/>
      <c r="P46" s="6">
        <v>170946.37</v>
      </c>
      <c r="Q46" s="2"/>
      <c r="R46" s="7">
        <f t="shared" si="26"/>
        <v>7.2290055326092548E-2</v>
      </c>
      <c r="S46" s="2"/>
      <c r="T46" s="6">
        <v>46275.839999999997</v>
      </c>
      <c r="U46" s="2"/>
      <c r="V46" s="7">
        <f t="shared" si="27"/>
        <v>1.4023469664944705E-2</v>
      </c>
      <c r="W46" s="2"/>
      <c r="X46" s="6">
        <f t="shared" si="28"/>
        <v>124670.53</v>
      </c>
      <c r="Y46" s="2"/>
      <c r="Z46" s="7">
        <f t="shared" si="29"/>
        <v>2.6940738406909523</v>
      </c>
    </row>
    <row r="47" spans="1:26" s="24" customFormat="1" hidden="1" outlineLevel="2" x14ac:dyDescent="0.25">
      <c r="A47" s="27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2"/>
        <v>0</v>
      </c>
      <c r="G47" s="2"/>
      <c r="H47" s="6">
        <v>0</v>
      </c>
      <c r="I47" s="2"/>
      <c r="J47" s="7">
        <f t="shared" si="23"/>
        <v>0</v>
      </c>
      <c r="K47" s="2"/>
      <c r="L47" s="6">
        <f t="shared" si="24"/>
        <v>0</v>
      </c>
      <c r="M47" s="2"/>
      <c r="N47" s="7">
        <f t="shared" si="25"/>
        <v>0</v>
      </c>
      <c r="O47" s="11"/>
      <c r="P47" s="6"/>
      <c r="Q47" s="2"/>
      <c r="R47" s="7">
        <f t="shared" si="26"/>
        <v>0</v>
      </c>
      <c r="S47" s="2"/>
      <c r="T47" s="6">
        <v>0</v>
      </c>
      <c r="U47" s="2"/>
      <c r="V47" s="7">
        <f t="shared" si="27"/>
        <v>0</v>
      </c>
      <c r="W47" s="2"/>
      <c r="X47" s="6">
        <f t="shared" si="28"/>
        <v>0</v>
      </c>
      <c r="Y47" s="2"/>
      <c r="Z47" s="7">
        <f t="shared" si="29"/>
        <v>0</v>
      </c>
    </row>
    <row r="48" spans="1:26" s="24" customFormat="1" hidden="1" outlineLevel="2" x14ac:dyDescent="0.25">
      <c r="A48" s="27"/>
      <c r="B48" s="11" t="str">
        <f>CONCATENATE("          ", "6004", " - ", "STAFF HOURLY")</f>
        <v xml:space="preserve">          6004 - STAFF HOURLY</v>
      </c>
      <c r="C48" s="11"/>
      <c r="D48" s="6"/>
      <c r="E48" s="2"/>
      <c r="F48" s="7">
        <f t="shared" si="22"/>
        <v>0</v>
      </c>
      <c r="G48" s="2"/>
      <c r="H48" s="6">
        <v>1545</v>
      </c>
      <c r="I48" s="2"/>
      <c r="J48" s="7">
        <f t="shared" si="23"/>
        <v>1.2773134254321784E-2</v>
      </c>
      <c r="K48" s="2"/>
      <c r="L48" s="6">
        <f t="shared" si="24"/>
        <v>-1545</v>
      </c>
      <c r="M48" s="2"/>
      <c r="N48" s="7">
        <f t="shared" si="25"/>
        <v>-1</v>
      </c>
      <c r="O48" s="11"/>
      <c r="P48" s="6">
        <v>-3363.69</v>
      </c>
      <c r="Q48" s="2"/>
      <c r="R48" s="7">
        <f t="shared" si="26"/>
        <v>-1.4224422326126274E-3</v>
      </c>
      <c r="S48" s="2"/>
      <c r="T48" s="6">
        <v>21799.95</v>
      </c>
      <c r="U48" s="2"/>
      <c r="V48" s="7">
        <f t="shared" si="27"/>
        <v>6.6062752728488858E-3</v>
      </c>
      <c r="W48" s="2"/>
      <c r="X48" s="6">
        <f t="shared" si="28"/>
        <v>-25163.64</v>
      </c>
      <c r="Y48" s="2"/>
      <c r="Z48" s="7">
        <f t="shared" si="29"/>
        <v>-1.1542980603166519</v>
      </c>
    </row>
    <row r="49" spans="1:26" s="24" customFormat="1" hidden="1" outlineLevel="2" x14ac:dyDescent="0.25">
      <c r="A49" s="27"/>
      <c r="B49" s="11" t="str">
        <f>CONCATENATE("          ", "6005", " - ", "TEMPORARY WAGES-HOURLY")</f>
        <v xml:space="preserve">          6005 - TEMPORARY WAGES-HOURLY</v>
      </c>
      <c r="C49" s="11"/>
      <c r="D49" s="6"/>
      <c r="E49" s="2"/>
      <c r="F49" s="7">
        <f t="shared" si="22"/>
        <v>0</v>
      </c>
      <c r="G49" s="2"/>
      <c r="H49" s="6">
        <v>0</v>
      </c>
      <c r="I49" s="2"/>
      <c r="J49" s="7">
        <f t="shared" si="23"/>
        <v>0</v>
      </c>
      <c r="K49" s="2"/>
      <c r="L49" s="6">
        <f t="shared" si="24"/>
        <v>0</v>
      </c>
      <c r="M49" s="2"/>
      <c r="N49" s="7">
        <f t="shared" si="25"/>
        <v>0</v>
      </c>
      <c r="O49" s="11"/>
      <c r="P49" s="6">
        <v>67287.22</v>
      </c>
      <c r="Q49" s="2"/>
      <c r="R49" s="7">
        <f t="shared" si="26"/>
        <v>2.8454519721822471E-2</v>
      </c>
      <c r="S49" s="2"/>
      <c r="T49" s="6">
        <v>15224.809600000001</v>
      </c>
      <c r="U49" s="2"/>
      <c r="V49" s="7">
        <f t="shared" si="27"/>
        <v>4.6137391688656319E-3</v>
      </c>
      <c r="W49" s="2"/>
      <c r="X49" s="6">
        <f t="shared" si="28"/>
        <v>52062.410400000001</v>
      </c>
      <c r="Y49" s="2"/>
      <c r="Z49" s="7">
        <f t="shared" si="29"/>
        <v>3.4195771091941931</v>
      </c>
    </row>
    <row r="50" spans="1:26" s="24" customFormat="1" hidden="1" outlineLevel="2" x14ac:dyDescent="0.25">
      <c r="A50" s="27"/>
      <c r="B50" s="11" t="str">
        <f>CONCATENATE("          ", "6006", " - ", "TEMPORARY PART TIME")</f>
        <v xml:space="preserve">          6006 - TEMPORARY PART TIME</v>
      </c>
      <c r="C50" s="11"/>
      <c r="D50" s="6"/>
      <c r="E50" s="2"/>
      <c r="F50" s="7">
        <f t="shared" si="22"/>
        <v>0</v>
      </c>
      <c r="G50" s="2"/>
      <c r="H50" s="6">
        <v>0</v>
      </c>
      <c r="I50" s="2"/>
      <c r="J50" s="7">
        <f t="shared" si="23"/>
        <v>0</v>
      </c>
      <c r="K50" s="2"/>
      <c r="L50" s="6">
        <f t="shared" si="24"/>
        <v>0</v>
      </c>
      <c r="M50" s="2"/>
      <c r="N50" s="7">
        <f t="shared" si="25"/>
        <v>0</v>
      </c>
      <c r="O50" s="11"/>
      <c r="P50" s="6">
        <v>21785.59</v>
      </c>
      <c r="Q50" s="2"/>
      <c r="R50" s="7">
        <f t="shared" si="26"/>
        <v>9.2127227177246796E-3</v>
      </c>
      <c r="S50" s="2"/>
      <c r="T50" s="6">
        <v>0</v>
      </c>
      <c r="U50" s="2"/>
      <c r="V50" s="7">
        <f t="shared" si="27"/>
        <v>0</v>
      </c>
      <c r="W50" s="2"/>
      <c r="X50" s="6">
        <f t="shared" si="28"/>
        <v>21785.59</v>
      </c>
      <c r="Y50" s="2"/>
      <c r="Z50" s="7">
        <f t="shared" si="29"/>
        <v>0</v>
      </c>
    </row>
    <row r="51" spans="1:26" s="24" customFormat="1" hidden="1" outlineLevel="2" x14ac:dyDescent="0.25">
      <c r="A51" s="27"/>
      <c r="B51" s="11" t="str">
        <f>CONCATENATE("          ", "6007", " - ", "STUDENT HOURLY")</f>
        <v xml:space="preserve">          6007 - STUDENT HOURLY</v>
      </c>
      <c r="C51" s="11"/>
      <c r="D51" s="6"/>
      <c r="E51" s="2"/>
      <c r="F51" s="7">
        <f t="shared" si="22"/>
        <v>0</v>
      </c>
      <c r="G51" s="2"/>
      <c r="H51" s="6">
        <v>11180.6325</v>
      </c>
      <c r="I51" s="2"/>
      <c r="J51" s="7">
        <f t="shared" si="23"/>
        <v>9.2434770207594427E-2</v>
      </c>
      <c r="K51" s="2"/>
      <c r="L51" s="6">
        <f t="shared" si="24"/>
        <v>-11180.6325</v>
      </c>
      <c r="M51" s="2"/>
      <c r="N51" s="7">
        <f t="shared" si="25"/>
        <v>-1</v>
      </c>
      <c r="O51" s="11"/>
      <c r="P51" s="6">
        <v>250050.06999999998</v>
      </c>
      <c r="Q51" s="2"/>
      <c r="R51" s="7">
        <f t="shared" si="26"/>
        <v>0.10574154569408706</v>
      </c>
      <c r="S51" s="2"/>
      <c r="T51" s="6">
        <v>25590.776249999999</v>
      </c>
      <c r="U51" s="2"/>
      <c r="V51" s="7">
        <f t="shared" si="27"/>
        <v>7.7550504635737014E-3</v>
      </c>
      <c r="W51" s="2"/>
      <c r="X51" s="6">
        <f t="shared" si="28"/>
        <v>224459.29374999998</v>
      </c>
      <c r="Y51" s="2"/>
      <c r="Z51" s="7">
        <f t="shared" si="29"/>
        <v>8.7711014139322945</v>
      </c>
    </row>
    <row r="52" spans="1:26" s="24" customFormat="1" hidden="1" outlineLevel="2" x14ac:dyDescent="0.25">
      <c r="A52" s="27"/>
      <c r="B52" s="11" t="str">
        <f>CONCATENATE("          ", "6008", " - ", "STUDENT HOURLY-FICA EXEMPT")</f>
        <v xml:space="preserve">          6008 - STUDENT HOURLY-FICA EXEMPT</v>
      </c>
      <c r="C52" s="11"/>
      <c r="D52" s="6"/>
      <c r="E52" s="2"/>
      <c r="F52" s="7">
        <f t="shared" si="22"/>
        <v>0</v>
      </c>
      <c r="G52" s="2"/>
      <c r="H52" s="6">
        <v>0</v>
      </c>
      <c r="I52" s="2"/>
      <c r="J52" s="7">
        <f t="shared" si="23"/>
        <v>0</v>
      </c>
      <c r="K52" s="2"/>
      <c r="L52" s="6">
        <f t="shared" si="24"/>
        <v>0</v>
      </c>
      <c r="M52" s="2"/>
      <c r="N52" s="7">
        <f t="shared" si="25"/>
        <v>0</v>
      </c>
      <c r="O52" s="11"/>
      <c r="P52" s="6">
        <v>10836.89</v>
      </c>
      <c r="Q52" s="2"/>
      <c r="R52" s="7">
        <f t="shared" si="26"/>
        <v>4.5827201692716793E-3</v>
      </c>
      <c r="S52" s="2"/>
      <c r="T52" s="6">
        <v>410586.07758000004</v>
      </c>
      <c r="U52" s="2"/>
      <c r="V52" s="7">
        <f t="shared" si="27"/>
        <v>0.12442435196836545</v>
      </c>
      <c r="W52" s="2"/>
      <c r="X52" s="6">
        <f t="shared" si="28"/>
        <v>-399749.18758000003</v>
      </c>
      <c r="Y52" s="2"/>
      <c r="Z52" s="7">
        <f t="shared" si="29"/>
        <v>-0.97360628966312546</v>
      </c>
    </row>
    <row r="53" spans="1:26" s="24" customFormat="1" hidden="1" outlineLevel="2" x14ac:dyDescent="0.25">
      <c r="A53" s="27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2"/>
        <v>0</v>
      </c>
      <c r="G53" s="2"/>
      <c r="H53" s="6">
        <v>0</v>
      </c>
      <c r="I53" s="2"/>
      <c r="J53" s="7">
        <f t="shared" si="23"/>
        <v>0</v>
      </c>
      <c r="K53" s="2"/>
      <c r="L53" s="6">
        <f t="shared" si="24"/>
        <v>0</v>
      </c>
      <c r="M53" s="2"/>
      <c r="N53" s="7">
        <f t="shared" si="25"/>
        <v>0</v>
      </c>
      <c r="O53" s="11"/>
      <c r="P53" s="6"/>
      <c r="Q53" s="2"/>
      <c r="R53" s="7">
        <f t="shared" si="26"/>
        <v>0</v>
      </c>
      <c r="S53" s="2"/>
      <c r="T53" s="6">
        <v>0</v>
      </c>
      <c r="U53" s="2"/>
      <c r="V53" s="7">
        <f t="shared" si="27"/>
        <v>0</v>
      </c>
      <c r="W53" s="2"/>
      <c r="X53" s="6">
        <f t="shared" si="28"/>
        <v>0</v>
      </c>
      <c r="Y53" s="2"/>
      <c r="Z53" s="7">
        <f t="shared" si="29"/>
        <v>0</v>
      </c>
    </row>
    <row r="54" spans="1:26" s="24" customFormat="1" hidden="1" outlineLevel="2" x14ac:dyDescent="0.25">
      <c r="A54" s="27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2"/>
        <v>0</v>
      </c>
      <c r="G54" s="2"/>
      <c r="H54" s="6">
        <v>0</v>
      </c>
      <c r="I54" s="2"/>
      <c r="J54" s="7">
        <f t="shared" si="23"/>
        <v>0</v>
      </c>
      <c r="K54" s="2"/>
      <c r="L54" s="6">
        <f t="shared" si="24"/>
        <v>0</v>
      </c>
      <c r="M54" s="2"/>
      <c r="N54" s="7">
        <f t="shared" si="25"/>
        <v>0</v>
      </c>
      <c r="O54" s="11"/>
      <c r="P54" s="6"/>
      <c r="Q54" s="2"/>
      <c r="R54" s="7">
        <f t="shared" si="26"/>
        <v>0</v>
      </c>
      <c r="S54" s="2"/>
      <c r="T54" s="6">
        <v>0</v>
      </c>
      <c r="U54" s="2"/>
      <c r="V54" s="7">
        <f t="shared" si="27"/>
        <v>0</v>
      </c>
      <c r="W54" s="2"/>
      <c r="X54" s="6">
        <f t="shared" si="28"/>
        <v>0</v>
      </c>
      <c r="Y54" s="2"/>
      <c r="Z54" s="7">
        <f t="shared" si="29"/>
        <v>0</v>
      </c>
    </row>
    <row r="55" spans="1:26" s="26" customFormat="1" outlineLevel="1" collapsed="1" x14ac:dyDescent="0.25">
      <c r="A55" s="25"/>
      <c r="B55" s="12" t="str">
        <f>CONCATENATE("     ","Advertising/Promo                                 ")</f>
        <v xml:space="preserve">     Advertising/Promo                                 </v>
      </c>
      <c r="C55" s="12"/>
      <c r="D55" s="1">
        <f>SUM(OSRRefD22_2x_0)</f>
        <v>0</v>
      </c>
      <c r="E55" s="1"/>
      <c r="F55" s="5">
        <f t="shared" ref="F55:F64" si="30">IF(D$12=0,0,D55/D$12)</f>
        <v>0</v>
      </c>
      <c r="G55" s="1"/>
      <c r="H55" s="1">
        <f>SUM(OSRRefH22_2x_0)</f>
        <v>75</v>
      </c>
      <c r="I55" s="1"/>
      <c r="J55" s="5">
        <f t="shared" ref="J55:J64" si="31">IF(H$12=0,0,H55/H$12)</f>
        <v>6.2005506088940701E-4</v>
      </c>
      <c r="K55" s="1"/>
      <c r="L55" s="1">
        <f t="shared" ref="L55:L64" si="32">+D55-H55</f>
        <v>-75</v>
      </c>
      <c r="M55" s="1"/>
      <c r="N55" s="5">
        <f t="shared" ref="N55:N64" si="33">IF(H55=0,0,L55/H55)</f>
        <v>-1</v>
      </c>
      <c r="O55" s="12"/>
      <c r="P55" s="1">
        <f>SUM(OSRRefP22_2x_0)</f>
        <v>3607.19</v>
      </c>
      <c r="Q55" s="1"/>
      <c r="R55" s="5">
        <f t="shared" ref="R55:R64" si="34">IF(P$12=0,0,P55/P$12)</f>
        <v>1.5254138749581391E-3</v>
      </c>
      <c r="S55" s="1"/>
      <c r="T55" s="1">
        <f>SUM(OSRRefT22_2x_0)</f>
        <v>1350</v>
      </c>
      <c r="U55" s="1"/>
      <c r="V55" s="5">
        <f t="shared" ref="V55:V64" si="35">IF(T$12=0,0,T55/T$12)</f>
        <v>4.0910514099096537E-4</v>
      </c>
      <c r="W55" s="1"/>
      <c r="X55" s="1">
        <f t="shared" ref="X55:X64" si="36">+P55-T55</f>
        <v>2257.19</v>
      </c>
      <c r="Y55" s="1"/>
      <c r="Z55" s="5">
        <f t="shared" ref="Z55:Z64" si="37">IF(T55=0,0,X55/T55)</f>
        <v>1.6719925925925927</v>
      </c>
    </row>
    <row r="56" spans="1:26" s="24" customFormat="1" hidden="1" outlineLevel="2" x14ac:dyDescent="0.25">
      <c r="A56" s="27"/>
      <c r="B56" s="11" t="str">
        <f>CONCATENATE("          ", "6362", " - ", "ADVERTISING EXPENSE")</f>
        <v xml:space="preserve">          6362 - ADVERTISING EXPENSE</v>
      </c>
      <c r="C56" s="11"/>
      <c r="D56" s="6"/>
      <c r="E56" s="2"/>
      <c r="F56" s="7">
        <f t="shared" si="30"/>
        <v>0</v>
      </c>
      <c r="G56" s="2"/>
      <c r="H56" s="6">
        <v>75</v>
      </c>
      <c r="I56" s="2"/>
      <c r="J56" s="7">
        <f t="shared" si="31"/>
        <v>6.2005506088940701E-4</v>
      </c>
      <c r="K56" s="2"/>
      <c r="L56" s="6">
        <f t="shared" si="32"/>
        <v>-75</v>
      </c>
      <c r="M56" s="2"/>
      <c r="N56" s="7">
        <f t="shared" si="33"/>
        <v>-1</v>
      </c>
      <c r="O56" s="11"/>
      <c r="P56" s="6">
        <v>3607.19</v>
      </c>
      <c r="Q56" s="2"/>
      <c r="R56" s="7">
        <f t="shared" si="34"/>
        <v>1.5254138749581391E-3</v>
      </c>
      <c r="S56" s="2"/>
      <c r="T56" s="6">
        <v>1350</v>
      </c>
      <c r="U56" s="2"/>
      <c r="V56" s="7">
        <f t="shared" si="35"/>
        <v>4.0910514099096537E-4</v>
      </c>
      <c r="W56" s="2"/>
      <c r="X56" s="6">
        <f t="shared" si="36"/>
        <v>2257.19</v>
      </c>
      <c r="Y56" s="2"/>
      <c r="Z56" s="7">
        <f t="shared" si="37"/>
        <v>1.6719925925925927</v>
      </c>
    </row>
    <row r="57" spans="1:26" s="26" customFormat="1" outlineLevel="1" collapsed="1" x14ac:dyDescent="0.25">
      <c r="A57" s="25"/>
      <c r="B57" s="12" t="str">
        <f>CONCATENATE("     ","Bad Debts/Over/Short                              ")</f>
        <v xml:space="preserve">     Bad Debts/Over/Short                              </v>
      </c>
      <c r="C57" s="12"/>
      <c r="D57" s="1">
        <f>SUM(OSRRefD22_3x_0)</f>
        <v>0</v>
      </c>
      <c r="E57" s="1"/>
      <c r="F57" s="5">
        <f t="shared" si="30"/>
        <v>0</v>
      </c>
      <c r="G57" s="1"/>
      <c r="H57" s="1">
        <f>SUM(OSRRefH22_3x_0)</f>
        <v>10</v>
      </c>
      <c r="I57" s="1"/>
      <c r="J57" s="5">
        <f t="shared" si="31"/>
        <v>8.2674008118587591E-5</v>
      </c>
      <c r="K57" s="1"/>
      <c r="L57" s="1">
        <f t="shared" si="32"/>
        <v>-10</v>
      </c>
      <c r="M57" s="1"/>
      <c r="N57" s="5">
        <f t="shared" si="33"/>
        <v>-1</v>
      </c>
      <c r="O57" s="12"/>
      <c r="P57" s="1">
        <f>SUM(OSRRefP22_3x_0)</f>
        <v>-428.92</v>
      </c>
      <c r="Q57" s="1"/>
      <c r="R57" s="5">
        <f t="shared" si="34"/>
        <v>-1.8138232786380675E-4</v>
      </c>
      <c r="S57" s="1"/>
      <c r="T57" s="1">
        <f>SUM(OSRRefT22_3x_0)</f>
        <v>120</v>
      </c>
      <c r="U57" s="1"/>
      <c r="V57" s="5">
        <f t="shared" si="35"/>
        <v>3.6364901421419143E-5</v>
      </c>
      <c r="W57" s="1"/>
      <c r="X57" s="1">
        <f t="shared" si="36"/>
        <v>-548.92000000000007</v>
      </c>
      <c r="Y57" s="1"/>
      <c r="Z57" s="5">
        <f t="shared" si="37"/>
        <v>-4.5743333333333336</v>
      </c>
    </row>
    <row r="58" spans="1:26" s="24" customFormat="1" hidden="1" outlineLevel="2" x14ac:dyDescent="0.25">
      <c r="A58" s="27"/>
      <c r="B58" s="11" t="str">
        <f>CONCATENATE("          ", "6272", " - ", "CASH (OVER/SHORT)")</f>
        <v xml:space="preserve">          6272 - CASH (OVER/SHORT)</v>
      </c>
      <c r="C58" s="11"/>
      <c r="D58" s="6"/>
      <c r="E58" s="2"/>
      <c r="F58" s="7">
        <f t="shared" si="30"/>
        <v>0</v>
      </c>
      <c r="G58" s="2"/>
      <c r="H58" s="6">
        <v>10</v>
      </c>
      <c r="I58" s="2"/>
      <c r="J58" s="7">
        <f t="shared" si="31"/>
        <v>8.2674008118587591E-5</v>
      </c>
      <c r="K58" s="2"/>
      <c r="L58" s="6">
        <f t="shared" si="32"/>
        <v>-10</v>
      </c>
      <c r="M58" s="2"/>
      <c r="N58" s="7">
        <f t="shared" si="33"/>
        <v>-1</v>
      </c>
      <c r="O58" s="11"/>
      <c r="P58" s="6">
        <v>-428.92</v>
      </c>
      <c r="Q58" s="2"/>
      <c r="R58" s="7">
        <f t="shared" si="34"/>
        <v>-1.8138232786380675E-4</v>
      </c>
      <c r="S58" s="2"/>
      <c r="T58" s="6">
        <v>120</v>
      </c>
      <c r="U58" s="2"/>
      <c r="V58" s="7">
        <f t="shared" si="35"/>
        <v>3.6364901421419143E-5</v>
      </c>
      <c r="W58" s="2"/>
      <c r="X58" s="6">
        <f t="shared" si="36"/>
        <v>-548.92000000000007</v>
      </c>
      <c r="Y58" s="2"/>
      <c r="Z58" s="7">
        <f t="shared" si="37"/>
        <v>-4.5743333333333336</v>
      </c>
    </row>
    <row r="59" spans="1:26" s="26" customFormat="1" outlineLevel="1" collapsed="1" x14ac:dyDescent="0.25">
      <c r="A59" s="25"/>
      <c r="B59" s="12" t="str">
        <f>CONCATENATE("     ","Bank/card Fees                                    ")</f>
        <v xml:space="preserve">     Bank/card Fees                                    </v>
      </c>
      <c r="C59" s="12"/>
      <c r="D59" s="1">
        <f>SUM(OSRRefD22_4x_0)</f>
        <v>60</v>
      </c>
      <c r="E59" s="1"/>
      <c r="F59" s="5">
        <f t="shared" si="30"/>
        <v>0.50221813007449567</v>
      </c>
      <c r="G59" s="1"/>
      <c r="H59" s="1">
        <f>SUM(OSRRefH22_4x_0)</f>
        <v>3375</v>
      </c>
      <c r="I59" s="1"/>
      <c r="J59" s="5">
        <f t="shared" si="31"/>
        <v>2.7902477740023315E-2</v>
      </c>
      <c r="K59" s="1"/>
      <c r="L59" s="1">
        <f t="shared" si="32"/>
        <v>-3315</v>
      </c>
      <c r="M59" s="1"/>
      <c r="N59" s="5">
        <f t="shared" si="33"/>
        <v>-0.98222222222222222</v>
      </c>
      <c r="O59" s="12"/>
      <c r="P59" s="1">
        <f>SUM(OSRRefP22_4x_0)</f>
        <v>89280.63</v>
      </c>
      <c r="Q59" s="1"/>
      <c r="R59" s="5">
        <f t="shared" si="34"/>
        <v>3.7755125670398258E-2</v>
      </c>
      <c r="S59" s="1"/>
      <c r="T59" s="1">
        <f>SUM(OSRRefT22_4x_0)</f>
        <v>106758</v>
      </c>
      <c r="U59" s="1"/>
      <c r="V59" s="5">
        <f t="shared" si="35"/>
        <v>3.2352034549565541E-2</v>
      </c>
      <c r="W59" s="1"/>
      <c r="X59" s="1">
        <f t="shared" si="36"/>
        <v>-17477.369999999995</v>
      </c>
      <c r="Y59" s="1"/>
      <c r="Z59" s="5">
        <f t="shared" si="37"/>
        <v>-0.16371016691957507</v>
      </c>
    </row>
    <row r="60" spans="1:26" s="24" customFormat="1" hidden="1" outlineLevel="2" x14ac:dyDescent="0.25">
      <c r="A60" s="27"/>
      <c r="B60" s="11" t="str">
        <f>CONCATENATE("          ", "6381", " - ", "BANK/CREDIT CARD FEES")</f>
        <v xml:space="preserve">          6381 - BANK/CREDIT CARD FEES</v>
      </c>
      <c r="C60" s="11"/>
      <c r="D60" s="6">
        <v>60</v>
      </c>
      <c r="E60" s="2"/>
      <c r="F60" s="7">
        <f t="shared" si="30"/>
        <v>0.50221813007449567</v>
      </c>
      <c r="G60" s="2"/>
      <c r="H60" s="6">
        <v>3375</v>
      </c>
      <c r="I60" s="2"/>
      <c r="J60" s="7">
        <f t="shared" si="31"/>
        <v>2.7902477740023315E-2</v>
      </c>
      <c r="K60" s="2"/>
      <c r="L60" s="6">
        <f t="shared" si="32"/>
        <v>-3315</v>
      </c>
      <c r="M60" s="2"/>
      <c r="N60" s="7">
        <f t="shared" si="33"/>
        <v>-0.98222222222222222</v>
      </c>
      <c r="O60" s="11"/>
      <c r="P60" s="6">
        <v>89280.63</v>
      </c>
      <c r="Q60" s="2"/>
      <c r="R60" s="7">
        <f t="shared" si="34"/>
        <v>3.7755125670398258E-2</v>
      </c>
      <c r="S60" s="2"/>
      <c r="T60" s="6">
        <v>106758</v>
      </c>
      <c r="U60" s="2"/>
      <c r="V60" s="7">
        <f t="shared" si="35"/>
        <v>3.2352034549565541E-2</v>
      </c>
      <c r="W60" s="2"/>
      <c r="X60" s="6">
        <f t="shared" si="36"/>
        <v>-17477.369999999995</v>
      </c>
      <c r="Y60" s="2"/>
      <c r="Z60" s="7">
        <f t="shared" si="37"/>
        <v>-0.16371016691957507</v>
      </c>
    </row>
    <row r="61" spans="1:26" s="26" customFormat="1" outlineLevel="1" collapsed="1" x14ac:dyDescent="0.25">
      <c r="A61" s="25"/>
      <c r="B61" s="12" t="str">
        <f>CONCATENATE("     ","Depreciation                                      ")</f>
        <v xml:space="preserve">     Depreciation                                      </v>
      </c>
      <c r="C61" s="12"/>
      <c r="D61" s="1">
        <f>SUM(OSRRefD22_5x_0)</f>
        <v>8990.6999999999989</v>
      </c>
      <c r="E61" s="1"/>
      <c r="F61" s="5">
        <f t="shared" si="30"/>
        <v>75.254875701012793</v>
      </c>
      <c r="G61" s="1"/>
      <c r="H61" s="1">
        <f>SUM(OSRRefH22_5x_0)</f>
        <v>9234</v>
      </c>
      <c r="I61" s="1"/>
      <c r="J61" s="5">
        <f t="shared" si="31"/>
        <v>7.6341179096703793E-2</v>
      </c>
      <c r="K61" s="1"/>
      <c r="L61" s="1">
        <f t="shared" si="32"/>
        <v>-243.30000000000109</v>
      </c>
      <c r="M61" s="1"/>
      <c r="N61" s="5">
        <f t="shared" si="33"/>
        <v>-2.6348278102664185E-2</v>
      </c>
      <c r="O61" s="12"/>
      <c r="P61" s="1">
        <f>SUM(OSRRefP22_5x_0)</f>
        <v>103709.66</v>
      </c>
      <c r="Q61" s="1"/>
      <c r="R61" s="5">
        <f t="shared" si="34"/>
        <v>4.3856895348232595E-2</v>
      </c>
      <c r="S61" s="1"/>
      <c r="T61" s="1">
        <f>SUM(OSRRefT22_5x_0)</f>
        <v>108054</v>
      </c>
      <c r="U61" s="1"/>
      <c r="V61" s="5">
        <f t="shared" si="35"/>
        <v>3.2744775484916867E-2</v>
      </c>
      <c r="W61" s="1"/>
      <c r="X61" s="1">
        <f t="shared" si="36"/>
        <v>-4344.3399999999965</v>
      </c>
      <c r="Y61" s="1"/>
      <c r="Z61" s="5">
        <f t="shared" si="37"/>
        <v>-4.0205267736502084E-2</v>
      </c>
    </row>
    <row r="62" spans="1:26" s="24" customFormat="1" hidden="1" outlineLevel="2" x14ac:dyDescent="0.25">
      <c r="A62" s="27"/>
      <c r="B62" s="11" t="str">
        <f>CONCATENATE("          ", "6321", " - ", "BUILDING DEPRECIATION")</f>
        <v xml:space="preserve">          6321 - BUILDING DEPRECIATION</v>
      </c>
      <c r="C62" s="11"/>
      <c r="D62" s="6">
        <v>5080.4799999999996</v>
      </c>
      <c r="E62" s="2"/>
      <c r="F62" s="7">
        <f t="shared" si="30"/>
        <v>42.525152758014563</v>
      </c>
      <c r="G62" s="2"/>
      <c r="H62" s="6">
        <v>5081</v>
      </c>
      <c r="I62" s="2"/>
      <c r="J62" s="7">
        <f t="shared" si="31"/>
        <v>4.2006663525054361E-2</v>
      </c>
      <c r="K62" s="2"/>
      <c r="L62" s="6">
        <f t="shared" si="32"/>
        <v>-0.52000000000043656</v>
      </c>
      <c r="M62" s="2"/>
      <c r="N62" s="7">
        <f t="shared" si="33"/>
        <v>-1.02342058649958E-4</v>
      </c>
      <c r="O62" s="11"/>
      <c r="P62" s="6">
        <v>60966.09</v>
      </c>
      <c r="Q62" s="2"/>
      <c r="R62" s="7">
        <f t="shared" si="34"/>
        <v>2.5781430861126432E-2</v>
      </c>
      <c r="S62" s="2"/>
      <c r="T62" s="6">
        <v>60972</v>
      </c>
      <c r="U62" s="2"/>
      <c r="V62" s="7">
        <f t="shared" si="35"/>
        <v>1.8477006412223065E-2</v>
      </c>
      <c r="W62" s="2"/>
      <c r="X62" s="6">
        <f t="shared" si="36"/>
        <v>-5.9100000000034925</v>
      </c>
      <c r="Y62" s="2"/>
      <c r="Z62" s="7">
        <f t="shared" si="37"/>
        <v>-9.6929738240561123E-5</v>
      </c>
    </row>
    <row r="63" spans="1:26" s="24" customFormat="1" hidden="1" outlineLevel="2" x14ac:dyDescent="0.25">
      <c r="A63" s="27"/>
      <c r="B63" s="11" t="str">
        <f>CONCATENATE("          ", "6322", " - ", "EQUIPMENT DEPRECIATION EXPENSE")</f>
        <v xml:space="preserve">          6322 - EQUIPMENT DEPRECIATION EXPENSE</v>
      </c>
      <c r="C63" s="11"/>
      <c r="D63" s="6">
        <v>3910.22</v>
      </c>
      <c r="E63" s="2"/>
      <c r="F63" s="7">
        <f t="shared" si="30"/>
        <v>32.729722942998244</v>
      </c>
      <c r="G63" s="2"/>
      <c r="H63" s="6">
        <v>3175</v>
      </c>
      <c r="I63" s="2"/>
      <c r="J63" s="7">
        <f t="shared" si="31"/>
        <v>2.6248997577651562E-2</v>
      </c>
      <c r="K63" s="2"/>
      <c r="L63" s="6">
        <f t="shared" si="32"/>
        <v>735.2199999999998</v>
      </c>
      <c r="M63" s="2"/>
      <c r="N63" s="7">
        <f t="shared" si="33"/>
        <v>0.2315653543307086</v>
      </c>
      <c r="O63" s="11"/>
      <c r="P63" s="6">
        <v>42743.57</v>
      </c>
      <c r="Q63" s="2"/>
      <c r="R63" s="7">
        <f t="shared" si="34"/>
        <v>1.807546448710616E-2</v>
      </c>
      <c r="S63" s="2"/>
      <c r="T63" s="6">
        <v>38100</v>
      </c>
      <c r="U63" s="2"/>
      <c r="V63" s="7">
        <f t="shared" si="35"/>
        <v>1.1545856201300577E-2</v>
      </c>
      <c r="W63" s="2"/>
      <c r="X63" s="6">
        <f t="shared" si="36"/>
        <v>4643.57</v>
      </c>
      <c r="Y63" s="2"/>
      <c r="Z63" s="7">
        <f t="shared" si="37"/>
        <v>0.1218784776902887</v>
      </c>
    </row>
    <row r="64" spans="1:26" s="24" customFormat="1" hidden="1" outlineLevel="2" x14ac:dyDescent="0.25">
      <c r="A64" s="27"/>
      <c r="B64" s="11" t="str">
        <f>CONCATENATE("          ", "6324", " - ", "FURNITURE + FIXT DEPRECIATION")</f>
        <v xml:space="preserve">          6324 - FURNITURE + FIXT DEPRECIATION</v>
      </c>
      <c r="C64" s="11"/>
      <c r="D64" s="6"/>
      <c r="E64" s="2"/>
      <c r="F64" s="7">
        <f t="shared" si="30"/>
        <v>0</v>
      </c>
      <c r="G64" s="2"/>
      <c r="H64" s="6">
        <v>978</v>
      </c>
      <c r="I64" s="2"/>
      <c r="J64" s="7">
        <f t="shared" si="31"/>
        <v>8.0855179939978671E-3</v>
      </c>
      <c r="K64" s="2"/>
      <c r="L64" s="6">
        <f t="shared" si="32"/>
        <v>-978</v>
      </c>
      <c r="M64" s="2"/>
      <c r="N64" s="7">
        <f t="shared" si="33"/>
        <v>-1</v>
      </c>
      <c r="O64" s="11"/>
      <c r="P64" s="6"/>
      <c r="Q64" s="2"/>
      <c r="R64" s="7">
        <f t="shared" si="34"/>
        <v>0</v>
      </c>
      <c r="S64" s="2"/>
      <c r="T64" s="6">
        <v>8982</v>
      </c>
      <c r="U64" s="2"/>
      <c r="V64" s="7">
        <f t="shared" si="35"/>
        <v>2.7219128713932227E-3</v>
      </c>
      <c r="W64" s="2"/>
      <c r="X64" s="6">
        <f t="shared" si="36"/>
        <v>-8982</v>
      </c>
      <c r="Y64" s="2"/>
      <c r="Z64" s="7">
        <f t="shared" si="37"/>
        <v>-1</v>
      </c>
    </row>
    <row r="65" spans="1:26" s="26" customFormat="1" outlineLevel="1" collapsed="1" x14ac:dyDescent="0.25">
      <c r="A65" s="25"/>
      <c r="B65" s="12" t="str">
        <f>CONCATENATE("     ","Discounts and Markdowns                           ")</f>
        <v xml:space="preserve">     Discounts and Markdowns                           </v>
      </c>
      <c r="C65" s="12"/>
      <c r="D65" s="1">
        <f>SUM(OSRRefD22_6x_0)</f>
        <v>0</v>
      </c>
      <c r="E65" s="1"/>
      <c r="F65" s="5">
        <f t="shared" ref="F65:F86" si="38">IF(D$12=0,0,D65/D$12)</f>
        <v>0</v>
      </c>
      <c r="G65" s="1"/>
      <c r="H65" s="1">
        <f>SUM(OSRRefH22_6x_0)</f>
        <v>0</v>
      </c>
      <c r="I65" s="1"/>
      <c r="J65" s="5">
        <f t="shared" ref="J65:J86" si="39">IF(H$12=0,0,H65/H$12)</f>
        <v>0</v>
      </c>
      <c r="K65" s="1"/>
      <c r="L65" s="1">
        <f t="shared" ref="L65:L86" si="40">+D65-H65</f>
        <v>0</v>
      </c>
      <c r="M65" s="1"/>
      <c r="N65" s="5">
        <f t="shared" ref="N65:N86" si="41">IF(H65=0,0,L65/H65)</f>
        <v>0</v>
      </c>
      <c r="O65" s="12"/>
      <c r="P65" s="1">
        <f>SUM(OSRRefP22_6x_0)</f>
        <v>125.87</v>
      </c>
      <c r="Q65" s="1"/>
      <c r="R65" s="5">
        <f t="shared" ref="R65:R86" si="42">IF(P$12=0,0,P65/P$12)</f>
        <v>5.3228092903612225E-5</v>
      </c>
      <c r="S65" s="1"/>
      <c r="T65" s="1">
        <f>SUM(OSRRefT22_6x_0)</f>
        <v>0</v>
      </c>
      <c r="U65" s="1"/>
      <c r="V65" s="5">
        <f t="shared" ref="V65:V86" si="43">IF(T$12=0,0,T65/T$12)</f>
        <v>0</v>
      </c>
      <c r="W65" s="1"/>
      <c r="X65" s="1">
        <f t="shared" ref="X65:X86" si="44">+P65-T65</f>
        <v>125.87</v>
      </c>
      <c r="Y65" s="1"/>
      <c r="Z65" s="5">
        <f t="shared" ref="Z65:Z86" si="45">IF(T65=0,0,X65/T65)</f>
        <v>0</v>
      </c>
    </row>
    <row r="66" spans="1:26" s="24" customFormat="1" hidden="1" outlineLevel="2" x14ac:dyDescent="0.25">
      <c r="A66" s="27"/>
      <c r="B66" s="11" t="str">
        <f>CONCATENATE("          ", "6382", " - ", "DISCOUNTS/MARK DOWNS")</f>
        <v xml:space="preserve">          6382 - DISCOUNTS/MARK DOWNS</v>
      </c>
      <c r="C66" s="11"/>
      <c r="D66" s="6"/>
      <c r="E66" s="2"/>
      <c r="F66" s="7">
        <f t="shared" si="38"/>
        <v>0</v>
      </c>
      <c r="G66" s="2"/>
      <c r="H66" s="6"/>
      <c r="I66" s="2"/>
      <c r="J66" s="7">
        <f t="shared" si="39"/>
        <v>0</v>
      </c>
      <c r="K66" s="2"/>
      <c r="L66" s="6">
        <f t="shared" si="40"/>
        <v>0</v>
      </c>
      <c r="M66" s="2"/>
      <c r="N66" s="7">
        <f t="shared" si="41"/>
        <v>0</v>
      </c>
      <c r="O66" s="11"/>
      <c r="P66" s="6">
        <v>125.87</v>
      </c>
      <c r="Q66" s="2"/>
      <c r="R66" s="7">
        <f t="shared" si="42"/>
        <v>5.3228092903612225E-5</v>
      </c>
      <c r="S66" s="2"/>
      <c r="T66" s="6"/>
      <c r="U66" s="2"/>
      <c r="V66" s="7">
        <f t="shared" si="43"/>
        <v>0</v>
      </c>
      <c r="W66" s="2"/>
      <c r="X66" s="6">
        <f t="shared" si="44"/>
        <v>125.87</v>
      </c>
      <c r="Y66" s="2"/>
      <c r="Z66" s="7">
        <f t="shared" si="45"/>
        <v>0</v>
      </c>
    </row>
    <row r="67" spans="1:26" s="26" customFormat="1" outlineLevel="1" collapsed="1" x14ac:dyDescent="0.25">
      <c r="A67" s="25"/>
      <c r="B67" s="12" t="str">
        <f>CONCATENATE("     ","Employees' Appreciation                           ")</f>
        <v xml:space="preserve">     Employees' Appreciation                           </v>
      </c>
      <c r="C67" s="12"/>
      <c r="D67" s="1">
        <f>SUM(OSRRefD22_7x_0)</f>
        <v>0</v>
      </c>
      <c r="E67" s="1"/>
      <c r="F67" s="5">
        <f t="shared" si="38"/>
        <v>0</v>
      </c>
      <c r="G67" s="1"/>
      <c r="H67" s="1">
        <f>SUM(OSRRefH22_7x_0)</f>
        <v>25</v>
      </c>
      <c r="I67" s="1"/>
      <c r="J67" s="5">
        <f t="shared" si="39"/>
        <v>2.06685020296469E-4</v>
      </c>
      <c r="K67" s="1"/>
      <c r="L67" s="1">
        <f t="shared" si="40"/>
        <v>-25</v>
      </c>
      <c r="M67" s="1"/>
      <c r="N67" s="5">
        <f t="shared" si="41"/>
        <v>-1</v>
      </c>
      <c r="O67" s="12"/>
      <c r="P67" s="1">
        <f>SUM(OSRRefP22_7x_0)</f>
        <v>163.84</v>
      </c>
      <c r="Q67" s="1"/>
      <c r="R67" s="5">
        <f t="shared" si="42"/>
        <v>6.9284903005702923E-5</v>
      </c>
      <c r="S67" s="1"/>
      <c r="T67" s="1">
        <f>SUM(OSRRefT22_7x_0)</f>
        <v>300</v>
      </c>
      <c r="U67" s="1"/>
      <c r="V67" s="5">
        <f t="shared" si="43"/>
        <v>9.0912253553547854E-5</v>
      </c>
      <c r="W67" s="1"/>
      <c r="X67" s="1">
        <f t="shared" si="44"/>
        <v>-136.16</v>
      </c>
      <c r="Y67" s="1"/>
      <c r="Z67" s="5">
        <f t="shared" si="45"/>
        <v>-0.45386666666666664</v>
      </c>
    </row>
    <row r="68" spans="1:26" s="24" customFormat="1" hidden="1" outlineLevel="2" x14ac:dyDescent="0.25">
      <c r="A68" s="27"/>
      <c r="B68" s="11" t="str">
        <f>CONCATENATE("          ", "6277", " - ", "EMPLOYEE APPRECIATION")</f>
        <v xml:space="preserve">          6277 - EMPLOYEE APPRECIATION</v>
      </c>
      <c r="C68" s="11"/>
      <c r="D68" s="6"/>
      <c r="E68" s="2"/>
      <c r="F68" s="7">
        <f t="shared" si="38"/>
        <v>0</v>
      </c>
      <c r="G68" s="2"/>
      <c r="H68" s="6">
        <v>25</v>
      </c>
      <c r="I68" s="2"/>
      <c r="J68" s="7">
        <f t="shared" si="39"/>
        <v>2.06685020296469E-4</v>
      </c>
      <c r="K68" s="2"/>
      <c r="L68" s="6">
        <f t="shared" si="40"/>
        <v>-25</v>
      </c>
      <c r="M68" s="2"/>
      <c r="N68" s="7">
        <f t="shared" si="41"/>
        <v>-1</v>
      </c>
      <c r="O68" s="11"/>
      <c r="P68" s="6">
        <v>163.84</v>
      </c>
      <c r="Q68" s="2"/>
      <c r="R68" s="7">
        <f t="shared" si="42"/>
        <v>6.9284903005702923E-5</v>
      </c>
      <c r="S68" s="2"/>
      <c r="T68" s="6">
        <v>300</v>
      </c>
      <c r="U68" s="2"/>
      <c r="V68" s="7">
        <f t="shared" si="43"/>
        <v>9.0912253553547854E-5</v>
      </c>
      <c r="W68" s="2"/>
      <c r="X68" s="6">
        <f t="shared" si="44"/>
        <v>-136.16</v>
      </c>
      <c r="Y68" s="2"/>
      <c r="Z68" s="7">
        <f t="shared" si="45"/>
        <v>-0.45386666666666664</v>
      </c>
    </row>
    <row r="69" spans="1:26" s="26" customFormat="1" outlineLevel="1" collapsed="1" x14ac:dyDescent="0.25">
      <c r="A69" s="25"/>
      <c r="B69" s="12" t="str">
        <f>CONCATENATE("     ","Equipment Rental                                  ")</f>
        <v xml:space="preserve">     Equipment Rental                                  </v>
      </c>
      <c r="C69" s="12"/>
      <c r="D69" s="1">
        <f>SUM(OSRRefD22_8x_0)</f>
        <v>36.270000000000003</v>
      </c>
      <c r="E69" s="1"/>
      <c r="F69" s="5">
        <f t="shared" si="38"/>
        <v>0.30359085963003268</v>
      </c>
      <c r="G69" s="1"/>
      <c r="H69" s="1">
        <f>SUM(OSRRefH22_8x_0)</f>
        <v>80</v>
      </c>
      <c r="I69" s="1"/>
      <c r="J69" s="5">
        <f t="shared" si="39"/>
        <v>6.6139206494870073E-4</v>
      </c>
      <c r="K69" s="1"/>
      <c r="L69" s="1">
        <f t="shared" si="40"/>
        <v>-43.73</v>
      </c>
      <c r="M69" s="1"/>
      <c r="N69" s="5">
        <f t="shared" si="41"/>
        <v>-0.54662499999999992</v>
      </c>
      <c r="O69" s="12"/>
      <c r="P69" s="1">
        <f>SUM(OSRRefP22_8x_0)</f>
        <v>1022.39</v>
      </c>
      <c r="Q69" s="1"/>
      <c r="R69" s="5">
        <f t="shared" si="42"/>
        <v>4.3234980458984744E-4</v>
      </c>
      <c r="S69" s="1"/>
      <c r="T69" s="1">
        <f>SUM(OSRRefT22_8x_0)</f>
        <v>960</v>
      </c>
      <c r="U69" s="1"/>
      <c r="V69" s="5">
        <f t="shared" si="43"/>
        <v>2.9091921137135314E-4</v>
      </c>
      <c r="W69" s="1"/>
      <c r="X69" s="1">
        <f t="shared" si="44"/>
        <v>62.389999999999986</v>
      </c>
      <c r="Y69" s="1"/>
      <c r="Z69" s="5">
        <f t="shared" si="45"/>
        <v>6.4989583333333323E-2</v>
      </c>
    </row>
    <row r="70" spans="1:26" s="24" customFormat="1" hidden="1" outlineLevel="2" x14ac:dyDescent="0.25">
      <c r="A70" s="27"/>
      <c r="B70" s="11" t="str">
        <f>CONCATENATE("          ", "6351", " - ", "EQUIPMENT RENTAL")</f>
        <v xml:space="preserve">          6351 - EQUIPMENT RENTAL</v>
      </c>
      <c r="C70" s="11"/>
      <c r="D70" s="6">
        <v>36.270000000000003</v>
      </c>
      <c r="E70" s="2"/>
      <c r="F70" s="7">
        <f t="shared" si="38"/>
        <v>0.30359085963003268</v>
      </c>
      <c r="G70" s="2"/>
      <c r="H70" s="6">
        <v>80</v>
      </c>
      <c r="I70" s="2"/>
      <c r="J70" s="7">
        <f t="shared" si="39"/>
        <v>6.6139206494870073E-4</v>
      </c>
      <c r="K70" s="2"/>
      <c r="L70" s="6">
        <f t="shared" si="40"/>
        <v>-43.73</v>
      </c>
      <c r="M70" s="2"/>
      <c r="N70" s="7">
        <f t="shared" si="41"/>
        <v>-0.54662499999999992</v>
      </c>
      <c r="O70" s="11"/>
      <c r="P70" s="6">
        <v>1022.39</v>
      </c>
      <c r="Q70" s="2"/>
      <c r="R70" s="7">
        <f t="shared" si="42"/>
        <v>4.3234980458984744E-4</v>
      </c>
      <c r="S70" s="2"/>
      <c r="T70" s="6">
        <v>960</v>
      </c>
      <c r="U70" s="2"/>
      <c r="V70" s="7">
        <f t="shared" si="43"/>
        <v>2.9091921137135314E-4</v>
      </c>
      <c r="W70" s="2"/>
      <c r="X70" s="6">
        <f t="shared" si="44"/>
        <v>62.389999999999986</v>
      </c>
      <c r="Y70" s="2"/>
      <c r="Z70" s="7">
        <f t="shared" si="45"/>
        <v>6.4989583333333323E-2</v>
      </c>
    </row>
    <row r="71" spans="1:26" s="26" customFormat="1" outlineLevel="1" collapsed="1" x14ac:dyDescent="0.25">
      <c r="A71" s="25"/>
      <c r="B71" s="12" t="str">
        <f>CONCATENATE("     ","Freight out/Postage                               ")</f>
        <v xml:space="preserve">     Freight out/Postage                               </v>
      </c>
      <c r="C71" s="12"/>
      <c r="D71" s="1">
        <f>SUM(OSRRefD22_9x_0)</f>
        <v>0</v>
      </c>
      <c r="E71" s="1"/>
      <c r="F71" s="5">
        <f t="shared" si="38"/>
        <v>0</v>
      </c>
      <c r="G71" s="1"/>
      <c r="H71" s="1">
        <f>SUM(OSRRefH22_9x_0)</f>
        <v>0</v>
      </c>
      <c r="I71" s="1"/>
      <c r="J71" s="5">
        <f t="shared" si="39"/>
        <v>0</v>
      </c>
      <c r="K71" s="1"/>
      <c r="L71" s="1">
        <f t="shared" si="40"/>
        <v>0</v>
      </c>
      <c r="M71" s="1"/>
      <c r="N71" s="5">
        <f t="shared" si="41"/>
        <v>0</v>
      </c>
      <c r="O71" s="12"/>
      <c r="P71" s="1">
        <f>SUM(OSRRefP22_9x_0)</f>
        <v>331.18</v>
      </c>
      <c r="Q71" s="1"/>
      <c r="R71" s="5">
        <f t="shared" si="42"/>
        <v>1.4004989121965756E-4</v>
      </c>
      <c r="S71" s="1"/>
      <c r="T71" s="1">
        <f>SUM(OSRRefT22_9x_0)</f>
        <v>0</v>
      </c>
      <c r="U71" s="1"/>
      <c r="V71" s="5">
        <f t="shared" si="43"/>
        <v>0</v>
      </c>
      <c r="W71" s="1"/>
      <c r="X71" s="1">
        <f t="shared" si="44"/>
        <v>331.18</v>
      </c>
      <c r="Y71" s="1"/>
      <c r="Z71" s="5">
        <f t="shared" si="45"/>
        <v>0</v>
      </c>
    </row>
    <row r="72" spans="1:26" s="24" customFormat="1" hidden="1" outlineLevel="2" x14ac:dyDescent="0.25">
      <c r="A72" s="27"/>
      <c r="B72" s="11" t="str">
        <f>CONCATENATE("          ", "6305", " - ", "FREIGHT OUT")</f>
        <v xml:space="preserve">          6305 - FREIGHT OUT</v>
      </c>
      <c r="C72" s="11"/>
      <c r="D72" s="6"/>
      <c r="E72" s="2"/>
      <c r="F72" s="7">
        <f t="shared" si="38"/>
        <v>0</v>
      </c>
      <c r="G72" s="2"/>
      <c r="H72" s="6"/>
      <c r="I72" s="2"/>
      <c r="J72" s="7">
        <f t="shared" si="39"/>
        <v>0</v>
      </c>
      <c r="K72" s="2"/>
      <c r="L72" s="6">
        <f t="shared" si="40"/>
        <v>0</v>
      </c>
      <c r="M72" s="2"/>
      <c r="N72" s="7">
        <f t="shared" si="41"/>
        <v>0</v>
      </c>
      <c r="O72" s="11"/>
      <c r="P72" s="6">
        <v>331.18</v>
      </c>
      <c r="Q72" s="2"/>
      <c r="R72" s="7">
        <f t="shared" si="42"/>
        <v>1.4004989121965756E-4</v>
      </c>
      <c r="S72" s="2"/>
      <c r="T72" s="6"/>
      <c r="U72" s="2"/>
      <c r="V72" s="7">
        <f t="shared" si="43"/>
        <v>0</v>
      </c>
      <c r="W72" s="2"/>
      <c r="X72" s="6">
        <f t="shared" si="44"/>
        <v>331.18</v>
      </c>
      <c r="Y72" s="2"/>
      <c r="Z72" s="7">
        <f t="shared" si="45"/>
        <v>0</v>
      </c>
    </row>
    <row r="73" spans="1:26" s="26" customFormat="1" outlineLevel="1" collapsed="1" x14ac:dyDescent="0.25">
      <c r="A73" s="25"/>
      <c r="B73" s="12" t="str">
        <f>CONCATENATE("     ","General                                           ")</f>
        <v xml:space="preserve">     General                                           </v>
      </c>
      <c r="C73" s="12"/>
      <c r="D73" s="1">
        <f>SUM(OSRRefD22_10x_0)</f>
        <v>0</v>
      </c>
      <c r="E73" s="1"/>
      <c r="F73" s="5">
        <f t="shared" si="38"/>
        <v>0</v>
      </c>
      <c r="G73" s="1"/>
      <c r="H73" s="1">
        <f>SUM(OSRRefH22_10x_0)</f>
        <v>640</v>
      </c>
      <c r="I73" s="1"/>
      <c r="J73" s="5">
        <f t="shared" si="39"/>
        <v>5.2911365195896058E-3</v>
      </c>
      <c r="K73" s="1"/>
      <c r="L73" s="1">
        <f t="shared" si="40"/>
        <v>-640</v>
      </c>
      <c r="M73" s="1"/>
      <c r="N73" s="5">
        <f t="shared" si="41"/>
        <v>-1</v>
      </c>
      <c r="O73" s="12"/>
      <c r="P73" s="1">
        <f>SUM(OSRRefP22_10x_0)</f>
        <v>10781.14</v>
      </c>
      <c r="Q73" s="1"/>
      <c r="R73" s="5">
        <f t="shared" si="42"/>
        <v>4.5591445263116698E-3</v>
      </c>
      <c r="S73" s="1"/>
      <c r="T73" s="1">
        <f>SUM(OSRRefT22_10x_0)</f>
        <v>12746</v>
      </c>
      <c r="U73" s="1"/>
      <c r="V73" s="5">
        <f t="shared" si="43"/>
        <v>3.86255861264507E-3</v>
      </c>
      <c r="W73" s="1"/>
      <c r="X73" s="1">
        <f t="shared" si="44"/>
        <v>-1964.8600000000006</v>
      </c>
      <c r="Y73" s="1"/>
      <c r="Z73" s="5">
        <f t="shared" si="45"/>
        <v>-0.15415502902871495</v>
      </c>
    </row>
    <row r="74" spans="1:26" s="24" customFormat="1" hidden="1" outlineLevel="2" x14ac:dyDescent="0.25">
      <c r="A74" s="27"/>
      <c r="B74" s="11" t="str">
        <f>CONCATENATE("          ", "6279", " - ", "GENERAL EXPENSE")</f>
        <v xml:space="preserve">          6279 - GENERAL EXPENSE</v>
      </c>
      <c r="C74" s="11"/>
      <c r="D74" s="6"/>
      <c r="E74" s="2"/>
      <c r="F74" s="7">
        <f t="shared" si="38"/>
        <v>0</v>
      </c>
      <c r="G74" s="2"/>
      <c r="H74" s="6">
        <v>640</v>
      </c>
      <c r="I74" s="2"/>
      <c r="J74" s="7">
        <f t="shared" si="39"/>
        <v>5.2911365195896058E-3</v>
      </c>
      <c r="K74" s="2"/>
      <c r="L74" s="6">
        <f t="shared" si="40"/>
        <v>-640</v>
      </c>
      <c r="M74" s="2"/>
      <c r="N74" s="7">
        <f t="shared" si="41"/>
        <v>-1</v>
      </c>
      <c r="O74" s="11"/>
      <c r="P74" s="6">
        <v>10781.14</v>
      </c>
      <c r="Q74" s="2"/>
      <c r="R74" s="7">
        <f t="shared" si="42"/>
        <v>4.5591445263116698E-3</v>
      </c>
      <c r="S74" s="2"/>
      <c r="T74" s="6">
        <v>12746</v>
      </c>
      <c r="U74" s="2"/>
      <c r="V74" s="7">
        <f t="shared" si="43"/>
        <v>3.86255861264507E-3</v>
      </c>
      <c r="W74" s="2"/>
      <c r="X74" s="6">
        <f t="shared" si="44"/>
        <v>-1964.8600000000006</v>
      </c>
      <c r="Y74" s="2"/>
      <c r="Z74" s="7">
        <f t="shared" si="45"/>
        <v>-0.15415502902871495</v>
      </c>
    </row>
    <row r="75" spans="1:26" s="26" customFormat="1" outlineLevel="1" collapsed="1" x14ac:dyDescent="0.25">
      <c r="A75" s="25"/>
      <c r="B75" s="12" t="str">
        <f>CONCATENATE("     ","Insurance                                         ")</f>
        <v xml:space="preserve">     Insurance                                         </v>
      </c>
      <c r="C75" s="12"/>
      <c r="D75" s="1">
        <f>SUM(OSRRefD22_11x_0)</f>
        <v>243.54</v>
      </c>
      <c r="E75" s="1"/>
      <c r="F75" s="5">
        <f t="shared" si="38"/>
        <v>2.0385033899723779</v>
      </c>
      <c r="G75" s="1"/>
      <c r="H75" s="1">
        <f>SUM(OSRRefH22_11x_0)</f>
        <v>230</v>
      </c>
      <c r="I75" s="1"/>
      <c r="J75" s="5">
        <f t="shared" si="39"/>
        <v>1.9015021867275148E-3</v>
      </c>
      <c r="K75" s="1"/>
      <c r="L75" s="1">
        <f t="shared" si="40"/>
        <v>13.539999999999992</v>
      </c>
      <c r="M75" s="1"/>
      <c r="N75" s="5">
        <f t="shared" si="41"/>
        <v>5.886956521739127E-2</v>
      </c>
      <c r="O75" s="12"/>
      <c r="P75" s="1">
        <f>SUM(OSRRefP22_11x_0)</f>
        <v>2922.48</v>
      </c>
      <c r="Q75" s="1"/>
      <c r="R75" s="5">
        <f t="shared" si="42"/>
        <v>1.2358626912604166E-3</v>
      </c>
      <c r="S75" s="1"/>
      <c r="T75" s="1">
        <f>SUM(OSRRefT22_11x_0)</f>
        <v>2760</v>
      </c>
      <c r="U75" s="1"/>
      <c r="V75" s="5">
        <f t="shared" si="43"/>
        <v>8.3639273269264032E-4</v>
      </c>
      <c r="W75" s="1"/>
      <c r="X75" s="1">
        <f t="shared" si="44"/>
        <v>162.48000000000002</v>
      </c>
      <c r="Y75" s="1"/>
      <c r="Z75" s="5">
        <f t="shared" si="45"/>
        <v>5.8869565217391312E-2</v>
      </c>
    </row>
    <row r="76" spans="1:26" s="24" customFormat="1" hidden="1" outlineLevel="2" x14ac:dyDescent="0.25">
      <c r="A76" s="27"/>
      <c r="B76" s="11" t="str">
        <f>CONCATENATE("          ", "6314", " - ", "LIABILITY INSURANCE")</f>
        <v xml:space="preserve">          6314 - LIABILITY INSURANCE</v>
      </c>
      <c r="C76" s="11"/>
      <c r="D76" s="6">
        <v>243.54</v>
      </c>
      <c r="E76" s="2"/>
      <c r="F76" s="7">
        <f t="shared" si="38"/>
        <v>2.0385033899723779</v>
      </c>
      <c r="G76" s="2"/>
      <c r="H76" s="6">
        <v>230</v>
      </c>
      <c r="I76" s="2"/>
      <c r="J76" s="7">
        <f t="shared" si="39"/>
        <v>1.9015021867275148E-3</v>
      </c>
      <c r="K76" s="2"/>
      <c r="L76" s="6">
        <f t="shared" si="40"/>
        <v>13.539999999999992</v>
      </c>
      <c r="M76" s="2"/>
      <c r="N76" s="7">
        <f t="shared" si="41"/>
        <v>5.886956521739127E-2</v>
      </c>
      <c r="O76" s="11"/>
      <c r="P76" s="6">
        <v>2922.48</v>
      </c>
      <c r="Q76" s="2"/>
      <c r="R76" s="7">
        <f t="shared" si="42"/>
        <v>1.2358626912604166E-3</v>
      </c>
      <c r="S76" s="2"/>
      <c r="T76" s="6">
        <v>2760</v>
      </c>
      <c r="U76" s="2"/>
      <c r="V76" s="7">
        <f t="shared" si="43"/>
        <v>8.3639273269264032E-4</v>
      </c>
      <c r="W76" s="2"/>
      <c r="X76" s="6">
        <f t="shared" si="44"/>
        <v>162.48000000000002</v>
      </c>
      <c r="Y76" s="2"/>
      <c r="Z76" s="7">
        <f t="shared" si="45"/>
        <v>5.8869565217391312E-2</v>
      </c>
    </row>
    <row r="77" spans="1:26" s="26" customFormat="1" outlineLevel="1" collapsed="1" x14ac:dyDescent="0.25">
      <c r="A77" s="25"/>
      <c r="B77" s="12" t="str">
        <f>CONCATENATE("     ","Interest                                          ")</f>
        <v xml:space="preserve">     Interest                                          </v>
      </c>
      <c r="C77" s="12"/>
      <c r="D77" s="1">
        <f>SUM(OSRRefD22_12x_0)</f>
        <v>4175</v>
      </c>
      <c r="E77" s="1"/>
      <c r="F77" s="5">
        <f t="shared" si="38"/>
        <v>34.946011551016994</v>
      </c>
      <c r="G77" s="1"/>
      <c r="H77" s="1">
        <f>SUM(OSRRefH22_12x_0)</f>
        <v>4044</v>
      </c>
      <c r="I77" s="1"/>
      <c r="J77" s="5">
        <f t="shared" si="39"/>
        <v>3.3433368883156823E-2</v>
      </c>
      <c r="K77" s="1"/>
      <c r="L77" s="1">
        <f t="shared" si="40"/>
        <v>131</v>
      </c>
      <c r="M77" s="1"/>
      <c r="N77" s="5">
        <f t="shared" si="41"/>
        <v>3.2393669634025714E-2</v>
      </c>
      <c r="O77" s="12"/>
      <c r="P77" s="1">
        <f>SUM(OSRRefP22_12x_0)</f>
        <v>48843.77</v>
      </c>
      <c r="Q77" s="1"/>
      <c r="R77" s="5">
        <f t="shared" si="42"/>
        <v>2.0655126140642469E-2</v>
      </c>
      <c r="S77" s="1"/>
      <c r="T77" s="1">
        <f>SUM(OSRRefT22_12x_0)</f>
        <v>49840</v>
      </c>
      <c r="U77" s="1"/>
      <c r="V77" s="5">
        <f t="shared" si="43"/>
        <v>1.5103555723696083E-2</v>
      </c>
      <c r="W77" s="1"/>
      <c r="X77" s="1">
        <f t="shared" si="44"/>
        <v>-996.2300000000032</v>
      </c>
      <c r="Y77" s="1"/>
      <c r="Z77" s="5">
        <f t="shared" si="45"/>
        <v>-1.998856340288931E-2</v>
      </c>
    </row>
    <row r="78" spans="1:26" s="24" customFormat="1" hidden="1" outlineLevel="2" x14ac:dyDescent="0.25">
      <c r="A78" s="27"/>
      <c r="B78" s="11" t="str">
        <f>CONCATENATE("          ", "6401", " - ", "INTEREST EXPENSE")</f>
        <v xml:space="preserve">          6401 - INTEREST EXPENSE</v>
      </c>
      <c r="C78" s="11"/>
      <c r="D78" s="6">
        <v>4175</v>
      </c>
      <c r="E78" s="2"/>
      <c r="F78" s="7">
        <f t="shared" si="38"/>
        <v>34.946011551016994</v>
      </c>
      <c r="G78" s="2"/>
      <c r="H78" s="6">
        <v>4044</v>
      </c>
      <c r="I78" s="2"/>
      <c r="J78" s="7">
        <f t="shared" si="39"/>
        <v>3.3433368883156823E-2</v>
      </c>
      <c r="K78" s="2"/>
      <c r="L78" s="6">
        <f t="shared" si="40"/>
        <v>131</v>
      </c>
      <c r="M78" s="2"/>
      <c r="N78" s="7">
        <f t="shared" si="41"/>
        <v>3.2393669634025714E-2</v>
      </c>
      <c r="O78" s="11"/>
      <c r="P78" s="6">
        <v>48843.77</v>
      </c>
      <c r="Q78" s="2"/>
      <c r="R78" s="7">
        <f t="shared" si="42"/>
        <v>2.0655126140642469E-2</v>
      </c>
      <c r="S78" s="2"/>
      <c r="T78" s="6">
        <v>49840</v>
      </c>
      <c r="U78" s="2"/>
      <c r="V78" s="7">
        <f t="shared" si="43"/>
        <v>1.5103555723696083E-2</v>
      </c>
      <c r="W78" s="2"/>
      <c r="X78" s="6">
        <f t="shared" si="44"/>
        <v>-996.2300000000032</v>
      </c>
      <c r="Y78" s="2"/>
      <c r="Z78" s="7">
        <f t="shared" si="45"/>
        <v>-1.998856340288931E-2</v>
      </c>
    </row>
    <row r="79" spans="1:26" s="26" customFormat="1" outlineLevel="1" collapsed="1" x14ac:dyDescent="0.25">
      <c r="A79" s="25"/>
      <c r="B79" s="12" t="str">
        <f>CONCATENATE("     ","R/H Commissions                                   ")</f>
        <v xml:space="preserve">     R/H Commissions                                   </v>
      </c>
      <c r="C79" s="12"/>
      <c r="D79" s="1">
        <f>SUM(OSRRefD22_13x_0)</f>
        <v>0</v>
      </c>
      <c r="E79" s="1"/>
      <c r="F79" s="5">
        <f t="shared" si="38"/>
        <v>0</v>
      </c>
      <c r="G79" s="1"/>
      <c r="H79" s="1">
        <f>SUM(OSRRefH22_13x_0)</f>
        <v>0</v>
      </c>
      <c r="I79" s="1"/>
      <c r="J79" s="5">
        <f t="shared" si="39"/>
        <v>0</v>
      </c>
      <c r="K79" s="1"/>
      <c r="L79" s="1">
        <f t="shared" si="40"/>
        <v>0</v>
      </c>
      <c r="M79" s="1"/>
      <c r="N79" s="5">
        <f t="shared" si="41"/>
        <v>0</v>
      </c>
      <c r="O79" s="12"/>
      <c r="P79" s="1">
        <f>SUM(OSRRefP22_13x_0)</f>
        <v>0</v>
      </c>
      <c r="Q79" s="1"/>
      <c r="R79" s="5">
        <f t="shared" si="42"/>
        <v>0</v>
      </c>
      <c r="S79" s="1"/>
      <c r="T79" s="1">
        <f>SUM(OSRRefT22_13x_0)</f>
        <v>0</v>
      </c>
      <c r="U79" s="1"/>
      <c r="V79" s="5">
        <f t="shared" si="43"/>
        <v>0</v>
      </c>
      <c r="W79" s="1"/>
      <c r="X79" s="1">
        <f t="shared" si="44"/>
        <v>0</v>
      </c>
      <c r="Y79" s="1"/>
      <c r="Z79" s="5">
        <f t="shared" si="45"/>
        <v>0</v>
      </c>
    </row>
    <row r="80" spans="1:26" s="24" customFormat="1" hidden="1" outlineLevel="2" x14ac:dyDescent="0.25">
      <c r="A80" s="27"/>
      <c r="B80" s="11" t="str">
        <f>CONCATENATE("          ", "6387", " - ", "COMMISSION DUE HOUSING")</f>
        <v xml:space="preserve">          6387 - COMMISSION DUE HOUSING</v>
      </c>
      <c r="C80" s="11"/>
      <c r="D80" s="6"/>
      <c r="E80" s="2"/>
      <c r="F80" s="7">
        <f t="shared" si="38"/>
        <v>0</v>
      </c>
      <c r="G80" s="2"/>
      <c r="H80" s="6"/>
      <c r="I80" s="2"/>
      <c r="J80" s="7">
        <f t="shared" si="39"/>
        <v>0</v>
      </c>
      <c r="K80" s="2"/>
      <c r="L80" s="6">
        <f t="shared" si="40"/>
        <v>0</v>
      </c>
      <c r="M80" s="2"/>
      <c r="N80" s="7">
        <f t="shared" si="41"/>
        <v>0</v>
      </c>
      <c r="O80" s="11"/>
      <c r="P80" s="6"/>
      <c r="Q80" s="2"/>
      <c r="R80" s="7">
        <f t="shared" si="42"/>
        <v>0</v>
      </c>
      <c r="S80" s="2"/>
      <c r="T80" s="6">
        <v>0</v>
      </c>
      <c r="U80" s="2"/>
      <c r="V80" s="7">
        <f t="shared" si="43"/>
        <v>0</v>
      </c>
      <c r="W80" s="2"/>
      <c r="X80" s="6">
        <f t="shared" si="44"/>
        <v>0</v>
      </c>
      <c r="Y80" s="2"/>
      <c r="Z80" s="7">
        <f t="shared" si="45"/>
        <v>0</v>
      </c>
    </row>
    <row r="81" spans="1:26" s="26" customFormat="1" outlineLevel="1" collapsed="1" x14ac:dyDescent="0.25">
      <c r="A81" s="25"/>
      <c r="B81" s="12" t="str">
        <f>CONCATENATE("     ","Rent                                              ")</f>
        <v xml:space="preserve">     Rent                                              </v>
      </c>
      <c r="C81" s="12"/>
      <c r="D81" s="1">
        <f>SUM(OSRRefD22_14x_0)</f>
        <v>1150</v>
      </c>
      <c r="E81" s="1"/>
      <c r="F81" s="5">
        <f t="shared" si="38"/>
        <v>9.6258474930945006</v>
      </c>
      <c r="G81" s="1"/>
      <c r="H81" s="1">
        <f>SUM(OSRRefH22_14x_0)</f>
        <v>1150</v>
      </c>
      <c r="I81" s="1"/>
      <c r="J81" s="5">
        <f t="shared" si="39"/>
        <v>9.5075109336375738E-3</v>
      </c>
      <c r="K81" s="1"/>
      <c r="L81" s="1">
        <f t="shared" si="40"/>
        <v>0</v>
      </c>
      <c r="M81" s="1"/>
      <c r="N81" s="5">
        <f t="shared" si="41"/>
        <v>0</v>
      </c>
      <c r="O81" s="12"/>
      <c r="P81" s="1">
        <f>SUM(OSRRefP22_14x_0)</f>
        <v>13800</v>
      </c>
      <c r="Q81" s="1"/>
      <c r="R81" s="5">
        <f t="shared" si="42"/>
        <v>5.835764535392458E-3</v>
      </c>
      <c r="S81" s="1"/>
      <c r="T81" s="1">
        <f>SUM(OSRRefT22_14x_0)</f>
        <v>13800</v>
      </c>
      <c r="U81" s="1"/>
      <c r="V81" s="5">
        <f t="shared" si="43"/>
        <v>4.1819636634632014E-3</v>
      </c>
      <c r="W81" s="1"/>
      <c r="X81" s="1">
        <f t="shared" si="44"/>
        <v>0</v>
      </c>
      <c r="Y81" s="1"/>
      <c r="Z81" s="5">
        <f t="shared" si="45"/>
        <v>0</v>
      </c>
    </row>
    <row r="82" spans="1:26" s="24" customFormat="1" hidden="1" outlineLevel="2" x14ac:dyDescent="0.25">
      <c r="A82" s="27"/>
      <c r="B82" s="11" t="str">
        <f>CONCATENATE("          ", "6273", " - ", "RENT")</f>
        <v xml:space="preserve">          6273 - RENT</v>
      </c>
      <c r="C82" s="11"/>
      <c r="D82" s="6">
        <v>1150</v>
      </c>
      <c r="E82" s="2"/>
      <c r="F82" s="7">
        <f t="shared" si="38"/>
        <v>9.6258474930945006</v>
      </c>
      <c r="G82" s="2"/>
      <c r="H82" s="6">
        <v>1150</v>
      </c>
      <c r="I82" s="2"/>
      <c r="J82" s="7">
        <f t="shared" si="39"/>
        <v>9.5075109336375738E-3</v>
      </c>
      <c r="K82" s="2"/>
      <c r="L82" s="6">
        <f t="shared" si="40"/>
        <v>0</v>
      </c>
      <c r="M82" s="2"/>
      <c r="N82" s="7">
        <f t="shared" si="41"/>
        <v>0</v>
      </c>
      <c r="O82" s="11"/>
      <c r="P82" s="6">
        <v>13800</v>
      </c>
      <c r="Q82" s="2"/>
      <c r="R82" s="7">
        <f t="shared" si="42"/>
        <v>5.835764535392458E-3</v>
      </c>
      <c r="S82" s="2"/>
      <c r="T82" s="6">
        <v>13800</v>
      </c>
      <c r="U82" s="2"/>
      <c r="V82" s="7">
        <f t="shared" si="43"/>
        <v>4.1819636634632014E-3</v>
      </c>
      <c r="W82" s="2"/>
      <c r="X82" s="6">
        <f t="shared" si="44"/>
        <v>0</v>
      </c>
      <c r="Y82" s="2"/>
      <c r="Z82" s="7">
        <f t="shared" si="45"/>
        <v>0</v>
      </c>
    </row>
    <row r="83" spans="1:26" s="26" customFormat="1" outlineLevel="1" collapsed="1" x14ac:dyDescent="0.25">
      <c r="A83" s="25"/>
      <c r="B83" s="12" t="str">
        <f>CONCATENATE("     ","Repair and Maintenance                            ")</f>
        <v xml:space="preserve">     Repair and Maintenance                            </v>
      </c>
      <c r="C83" s="12"/>
      <c r="D83" s="1">
        <f>SUM(OSRRefD22_15x_0)</f>
        <v>301.45</v>
      </c>
      <c r="E83" s="1"/>
      <c r="F83" s="5">
        <f t="shared" si="38"/>
        <v>2.5232275885159452</v>
      </c>
      <c r="G83" s="1"/>
      <c r="H83" s="1">
        <f>SUM(OSRRefH22_15x_0)</f>
        <v>832</v>
      </c>
      <c r="I83" s="1"/>
      <c r="J83" s="5">
        <f t="shared" si="39"/>
        <v>6.8784774754664883E-3</v>
      </c>
      <c r="K83" s="1"/>
      <c r="L83" s="1">
        <f t="shared" si="40"/>
        <v>-530.54999999999995</v>
      </c>
      <c r="M83" s="1"/>
      <c r="N83" s="5">
        <f t="shared" si="41"/>
        <v>-0.63768028846153846</v>
      </c>
      <c r="O83" s="12"/>
      <c r="P83" s="1">
        <f>SUM(OSRRefP22_15x_0)</f>
        <v>17916.859999999997</v>
      </c>
      <c r="Q83" s="1"/>
      <c r="R83" s="5">
        <f t="shared" si="42"/>
        <v>7.5767084183762101E-3</v>
      </c>
      <c r="S83" s="1"/>
      <c r="T83" s="1">
        <f>SUM(OSRRefT22_15x_0)</f>
        <v>15629</v>
      </c>
      <c r="U83" s="1"/>
      <c r="V83" s="5">
        <f t="shared" si="43"/>
        <v>4.7362253692946653E-3</v>
      </c>
      <c r="W83" s="1"/>
      <c r="X83" s="1">
        <f t="shared" si="44"/>
        <v>2287.8599999999969</v>
      </c>
      <c r="Y83" s="1"/>
      <c r="Z83" s="5">
        <f t="shared" si="45"/>
        <v>0.14638556529528421</v>
      </c>
    </row>
    <row r="84" spans="1:26" s="24" customFormat="1" hidden="1" outlineLevel="2" x14ac:dyDescent="0.25">
      <c r="A84" s="27"/>
      <c r="B84" s="11" t="str">
        <f>CONCATENATE("          ", "6371", " - ", "COMPUTER SOFTWARE MAINTENANCE")</f>
        <v xml:space="preserve">          6371 - COMPUTER SOFTWARE MAINTENANCE</v>
      </c>
      <c r="C84" s="11"/>
      <c r="D84" s="6"/>
      <c r="E84" s="2"/>
      <c r="F84" s="7">
        <f t="shared" si="38"/>
        <v>0</v>
      </c>
      <c r="G84" s="2"/>
      <c r="H84" s="6"/>
      <c r="I84" s="2"/>
      <c r="J84" s="7">
        <f t="shared" si="39"/>
        <v>0</v>
      </c>
      <c r="K84" s="2"/>
      <c r="L84" s="6">
        <f t="shared" si="40"/>
        <v>0</v>
      </c>
      <c r="M84" s="2"/>
      <c r="N84" s="7">
        <f t="shared" si="41"/>
        <v>0</v>
      </c>
      <c r="O84" s="11"/>
      <c r="P84" s="6">
        <v>1311.93</v>
      </c>
      <c r="Q84" s="2"/>
      <c r="R84" s="7">
        <f t="shared" si="42"/>
        <v>5.5479091064619039E-4</v>
      </c>
      <c r="S84" s="2"/>
      <c r="T84" s="6">
        <v>0</v>
      </c>
      <c r="U84" s="2"/>
      <c r="V84" s="7">
        <f t="shared" si="43"/>
        <v>0</v>
      </c>
      <c r="W84" s="2"/>
      <c r="X84" s="6">
        <f t="shared" si="44"/>
        <v>1311.93</v>
      </c>
      <c r="Y84" s="2"/>
      <c r="Z84" s="7">
        <f t="shared" si="45"/>
        <v>0</v>
      </c>
    </row>
    <row r="85" spans="1:26" s="24" customFormat="1" hidden="1" outlineLevel="2" x14ac:dyDescent="0.25">
      <c r="A85" s="27"/>
      <c r="B85" s="11" t="str">
        <f>CONCATENATE("          ", "6373", " - ", "MAINTENANCE CONTRACTS")</f>
        <v xml:space="preserve">          6373 - MAINTENANCE CONTRACTS</v>
      </c>
      <c r="C85" s="11"/>
      <c r="D85" s="6">
        <v>301.45</v>
      </c>
      <c r="E85" s="2"/>
      <c r="F85" s="7">
        <f t="shared" si="38"/>
        <v>2.5232275885159452</v>
      </c>
      <c r="G85" s="2"/>
      <c r="H85" s="6"/>
      <c r="I85" s="2"/>
      <c r="J85" s="7">
        <f t="shared" si="39"/>
        <v>0</v>
      </c>
      <c r="K85" s="2"/>
      <c r="L85" s="6">
        <f t="shared" si="40"/>
        <v>301.45</v>
      </c>
      <c r="M85" s="2"/>
      <c r="N85" s="7">
        <f t="shared" si="41"/>
        <v>0</v>
      </c>
      <c r="O85" s="11"/>
      <c r="P85" s="6">
        <v>1185.52</v>
      </c>
      <c r="Q85" s="2"/>
      <c r="R85" s="7">
        <f t="shared" si="42"/>
        <v>5.0133446173901929E-4</v>
      </c>
      <c r="S85" s="2"/>
      <c r="T85" s="6"/>
      <c r="U85" s="2"/>
      <c r="V85" s="7">
        <f t="shared" si="43"/>
        <v>0</v>
      </c>
      <c r="W85" s="2"/>
      <c r="X85" s="6">
        <f t="shared" si="44"/>
        <v>1185.52</v>
      </c>
      <c r="Y85" s="2"/>
      <c r="Z85" s="7">
        <f t="shared" si="45"/>
        <v>0</v>
      </c>
    </row>
    <row r="86" spans="1:26" s="24" customFormat="1" hidden="1" outlineLevel="2" x14ac:dyDescent="0.25">
      <c r="A86" s="27"/>
      <c r="B86" s="11" t="str">
        <f>CONCATENATE("          ", "6375", " - ", "OUTSIDE REPAIRS &amp; MAINTENANCE")</f>
        <v xml:space="preserve">          6375 - OUTSIDE REPAIRS &amp; MAINTENANCE</v>
      </c>
      <c r="C86" s="11"/>
      <c r="D86" s="6"/>
      <c r="E86" s="2"/>
      <c r="F86" s="7">
        <f t="shared" si="38"/>
        <v>0</v>
      </c>
      <c r="G86" s="2"/>
      <c r="H86" s="6">
        <v>832</v>
      </c>
      <c r="I86" s="2"/>
      <c r="J86" s="7">
        <f t="shared" si="39"/>
        <v>6.8784774754664883E-3</v>
      </c>
      <c r="K86" s="2"/>
      <c r="L86" s="6">
        <f t="shared" si="40"/>
        <v>-832</v>
      </c>
      <c r="M86" s="2"/>
      <c r="N86" s="7">
        <f t="shared" si="41"/>
        <v>-1</v>
      </c>
      <c r="O86" s="11"/>
      <c r="P86" s="6">
        <v>15419.409999999998</v>
      </c>
      <c r="Q86" s="2"/>
      <c r="R86" s="7">
        <f t="shared" si="42"/>
        <v>6.5205830459910009E-3</v>
      </c>
      <c r="S86" s="2"/>
      <c r="T86" s="6">
        <v>15629</v>
      </c>
      <c r="U86" s="2"/>
      <c r="V86" s="7">
        <f t="shared" si="43"/>
        <v>4.7362253692946653E-3</v>
      </c>
      <c r="W86" s="2"/>
      <c r="X86" s="6">
        <f t="shared" si="44"/>
        <v>-209.59000000000196</v>
      </c>
      <c r="Y86" s="2"/>
      <c r="Z86" s="7">
        <f t="shared" si="45"/>
        <v>-1.3410326956299312E-2</v>
      </c>
    </row>
    <row r="87" spans="1:26" s="26" customFormat="1" outlineLevel="1" collapsed="1" x14ac:dyDescent="0.25">
      <c r="A87" s="25"/>
      <c r="B87" s="12" t="str">
        <f>CONCATENATE("     ","Royalty &amp; Commissions                             ")</f>
        <v xml:space="preserve">     Royalty &amp; Commissions                             </v>
      </c>
      <c r="C87" s="12"/>
      <c r="D87" s="1">
        <f>SUM(OSRRefD22_16x_0)</f>
        <v>0</v>
      </c>
      <c r="E87" s="1"/>
      <c r="F87" s="5">
        <f t="shared" ref="F87:F89" si="46">IF(D$12=0,0,D87/D$12)</f>
        <v>0</v>
      </c>
      <c r="G87" s="1"/>
      <c r="H87" s="1">
        <f>SUM(OSRRefH22_16x_0)</f>
        <v>315</v>
      </c>
      <c r="I87" s="1"/>
      <c r="J87" s="5">
        <f t="shared" ref="J87:J89" si="47">IF(H$12=0,0,H87/H$12)</f>
        <v>2.6042312557355094E-3</v>
      </c>
      <c r="K87" s="1"/>
      <c r="L87" s="1">
        <f t="shared" ref="L87:L89" si="48">+D87-H87</f>
        <v>-315</v>
      </c>
      <c r="M87" s="1"/>
      <c r="N87" s="5">
        <f t="shared" ref="N87:N89" si="49">IF(H87=0,0,L87/H87)</f>
        <v>-1</v>
      </c>
      <c r="O87" s="12"/>
      <c r="P87" s="1">
        <f>SUM(OSRRefP22_16x_0)</f>
        <v>24556.14</v>
      </c>
      <c r="Q87" s="1"/>
      <c r="R87" s="5">
        <f t="shared" ref="R87:R89" si="50">IF(P$12=0,0,P87/P$12)</f>
        <v>1.0384337024502329E-2</v>
      </c>
      <c r="S87" s="1"/>
      <c r="T87" s="1">
        <f>SUM(OSRRefT22_16x_0)</f>
        <v>29151</v>
      </c>
      <c r="U87" s="1"/>
      <c r="V87" s="5">
        <f t="shared" ref="V87:V89" si="51">IF(T$12=0,0,T87/T$12)</f>
        <v>8.833943677798245E-3</v>
      </c>
      <c r="W87" s="1"/>
      <c r="X87" s="1">
        <f t="shared" ref="X87:X89" si="52">+P87-T87</f>
        <v>-4594.8600000000006</v>
      </c>
      <c r="Y87" s="1"/>
      <c r="Z87" s="5">
        <f t="shared" ref="Z87:Z89" si="53">IF(T87=0,0,X87/T87)</f>
        <v>-0.15762272306267369</v>
      </c>
    </row>
    <row r="88" spans="1:26" s="24" customFormat="1" hidden="1" outlineLevel="2" x14ac:dyDescent="0.25">
      <c r="A88" s="27"/>
      <c r="B88" s="11" t="str">
        <f>CONCATENATE("          ", "6254", " - ", "ROYALTY &amp; COMMISSIONS")</f>
        <v xml:space="preserve">          6254 - ROYALTY &amp; COMMISSIONS</v>
      </c>
      <c r="C88" s="11"/>
      <c r="D88" s="6"/>
      <c r="E88" s="2"/>
      <c r="F88" s="7">
        <f t="shared" si="46"/>
        <v>0</v>
      </c>
      <c r="G88" s="2"/>
      <c r="H88" s="6"/>
      <c r="I88" s="2"/>
      <c r="J88" s="7">
        <f t="shared" si="47"/>
        <v>0</v>
      </c>
      <c r="K88" s="2"/>
      <c r="L88" s="6">
        <f t="shared" si="48"/>
        <v>0</v>
      </c>
      <c r="M88" s="2"/>
      <c r="N88" s="7">
        <f t="shared" si="49"/>
        <v>0</v>
      </c>
      <c r="O88" s="11"/>
      <c r="P88" s="6">
        <v>24556.14</v>
      </c>
      <c r="Q88" s="2"/>
      <c r="R88" s="7">
        <f t="shared" si="50"/>
        <v>1.0384337024502329E-2</v>
      </c>
      <c r="S88" s="2"/>
      <c r="T88" s="6"/>
      <c r="U88" s="2"/>
      <c r="V88" s="7">
        <f t="shared" si="51"/>
        <v>0</v>
      </c>
      <c r="W88" s="2"/>
      <c r="X88" s="6">
        <f t="shared" si="52"/>
        <v>24556.14</v>
      </c>
      <c r="Y88" s="2"/>
      <c r="Z88" s="7">
        <f t="shared" si="53"/>
        <v>0</v>
      </c>
    </row>
    <row r="89" spans="1:26" s="24" customFormat="1" hidden="1" outlineLevel="2" x14ac:dyDescent="0.25">
      <c r="A89" s="27"/>
      <c r="B89" s="11" t="str">
        <f>CONCATENATE("          ", "6259", " - ", "ROYALTY &amp; COMMISSIONS")</f>
        <v xml:space="preserve">          6259 - ROYALTY &amp; COMMISSIONS</v>
      </c>
      <c r="C89" s="11"/>
      <c r="D89" s="6"/>
      <c r="E89" s="2"/>
      <c r="F89" s="7">
        <f t="shared" si="46"/>
        <v>0</v>
      </c>
      <c r="G89" s="2"/>
      <c r="H89" s="6">
        <v>315</v>
      </c>
      <c r="I89" s="2"/>
      <c r="J89" s="7">
        <f t="shared" si="47"/>
        <v>2.6042312557355094E-3</v>
      </c>
      <c r="K89" s="2"/>
      <c r="L89" s="6">
        <f t="shared" si="48"/>
        <v>-315</v>
      </c>
      <c r="M89" s="2"/>
      <c r="N89" s="7">
        <f t="shared" si="49"/>
        <v>-1</v>
      </c>
      <c r="O89" s="11"/>
      <c r="P89" s="6"/>
      <c r="Q89" s="2"/>
      <c r="R89" s="7">
        <f t="shared" si="50"/>
        <v>0</v>
      </c>
      <c r="S89" s="2"/>
      <c r="T89" s="6">
        <v>29151</v>
      </c>
      <c r="U89" s="2"/>
      <c r="V89" s="7">
        <f t="shared" si="51"/>
        <v>8.833943677798245E-3</v>
      </c>
      <c r="W89" s="2"/>
      <c r="X89" s="6">
        <f t="shared" si="52"/>
        <v>-29151</v>
      </c>
      <c r="Y89" s="2"/>
      <c r="Z89" s="7">
        <f t="shared" si="53"/>
        <v>-1</v>
      </c>
    </row>
    <row r="90" spans="1:26" s="26" customFormat="1" outlineLevel="1" collapsed="1" x14ac:dyDescent="0.25">
      <c r="A90" s="25"/>
      <c r="B90" s="12" t="str">
        <f>CONCATENATE("     ","Services                                          ")</f>
        <v xml:space="preserve">     Services                                          </v>
      </c>
      <c r="C90" s="12"/>
      <c r="D90" s="1">
        <f>SUM(OSRRefD22_17x_0)</f>
        <v>8915.8700000000008</v>
      </c>
      <c r="E90" s="1"/>
      <c r="F90" s="5">
        <f t="shared" ref="F90:F95" si="54">IF(D$12=0,0,D90/D$12)</f>
        <v>74.628525989788244</v>
      </c>
      <c r="G90" s="1"/>
      <c r="H90" s="1">
        <f>SUM(OSRRefH22_17x_0)</f>
        <v>770</v>
      </c>
      <c r="I90" s="1"/>
      <c r="J90" s="5">
        <f t="shared" ref="J90:J95" si="55">IF(H$12=0,0,H90/H$12)</f>
        <v>6.3658986251312446E-3</v>
      </c>
      <c r="K90" s="1"/>
      <c r="L90" s="1">
        <f t="shared" ref="L90:L95" si="56">+D90-H90</f>
        <v>8145.8700000000008</v>
      </c>
      <c r="M90" s="1"/>
      <c r="N90" s="5">
        <f t="shared" ref="N90:N95" si="57">IF(H90=0,0,L90/H90)</f>
        <v>10.57905194805195</v>
      </c>
      <c r="O90" s="12"/>
      <c r="P90" s="1">
        <f>SUM(OSRRefP22_17x_0)</f>
        <v>26021.010000000002</v>
      </c>
      <c r="Q90" s="1"/>
      <c r="R90" s="5">
        <f t="shared" ref="R90:R95" si="58">IF(P$12=0,0,P90/P$12)</f>
        <v>1.100380342993424E-2</v>
      </c>
      <c r="S90" s="1"/>
      <c r="T90" s="1">
        <f>SUM(OSRRefT22_17x_0)</f>
        <v>10461</v>
      </c>
      <c r="U90" s="1"/>
      <c r="V90" s="5">
        <f t="shared" ref="V90:V95" si="59">IF(T$12=0,0,T90/T$12)</f>
        <v>3.1701102814122137E-3</v>
      </c>
      <c r="W90" s="1"/>
      <c r="X90" s="1">
        <f t="shared" ref="X90:X95" si="60">+P90-T90</f>
        <v>15560.010000000002</v>
      </c>
      <c r="Y90" s="1"/>
      <c r="Z90" s="5">
        <f t="shared" ref="Z90:Z95" si="61">IF(T90=0,0,X90/T90)</f>
        <v>1.4874304559793521</v>
      </c>
    </row>
    <row r="91" spans="1:26" s="24" customFormat="1" hidden="1" outlineLevel="2" x14ac:dyDescent="0.25">
      <c r="A91" s="27"/>
      <c r="B91" s="11" t="str">
        <f>CONCATENATE("          ", "6281", " - ", "STORAGE FEE")</f>
        <v xml:space="preserve">          6281 - STORAGE FEE</v>
      </c>
      <c r="C91" s="11"/>
      <c r="D91" s="6"/>
      <c r="E91" s="2"/>
      <c r="F91" s="7">
        <f t="shared" si="54"/>
        <v>0</v>
      </c>
      <c r="G91" s="2"/>
      <c r="H91" s="6"/>
      <c r="I91" s="2"/>
      <c r="J91" s="7">
        <f t="shared" si="55"/>
        <v>0</v>
      </c>
      <c r="K91" s="2"/>
      <c r="L91" s="6">
        <f t="shared" si="56"/>
        <v>0</v>
      </c>
      <c r="M91" s="2"/>
      <c r="N91" s="7">
        <f t="shared" si="57"/>
        <v>0</v>
      </c>
      <c r="O91" s="11"/>
      <c r="P91" s="6"/>
      <c r="Q91" s="2"/>
      <c r="R91" s="7">
        <f t="shared" si="58"/>
        <v>0</v>
      </c>
      <c r="S91" s="2"/>
      <c r="T91" s="6">
        <v>0</v>
      </c>
      <c r="U91" s="2"/>
      <c r="V91" s="7">
        <f t="shared" si="59"/>
        <v>0</v>
      </c>
      <c r="W91" s="2"/>
      <c r="X91" s="6">
        <f t="shared" si="60"/>
        <v>0</v>
      </c>
      <c r="Y91" s="2"/>
      <c r="Z91" s="7">
        <f t="shared" si="61"/>
        <v>0</v>
      </c>
    </row>
    <row r="92" spans="1:26" s="24" customFormat="1" hidden="1" outlineLevel="2" x14ac:dyDescent="0.25">
      <c r="A92" s="27"/>
      <c r="B92" s="11" t="str">
        <f>CONCATENATE("          ", "6282", " - ", "JANITORIAL/EXTERMINATOR EXPENS")</f>
        <v xml:space="preserve">          6282 - JANITORIAL/EXTERMINATOR EXPENS</v>
      </c>
      <c r="C92" s="11"/>
      <c r="D92" s="6">
        <v>582.70000000000005</v>
      </c>
      <c r="E92" s="2"/>
      <c r="F92" s="7">
        <f t="shared" si="54"/>
        <v>4.8773750732401444</v>
      </c>
      <c r="G92" s="2"/>
      <c r="H92" s="6">
        <v>554</v>
      </c>
      <c r="I92" s="2"/>
      <c r="J92" s="7">
        <f t="shared" si="55"/>
        <v>4.5801400497697525E-3</v>
      </c>
      <c r="K92" s="2"/>
      <c r="L92" s="6">
        <f t="shared" si="56"/>
        <v>28.700000000000045</v>
      </c>
      <c r="M92" s="2"/>
      <c r="N92" s="7">
        <f t="shared" si="57"/>
        <v>5.1805054151624633E-2</v>
      </c>
      <c r="O92" s="11"/>
      <c r="P92" s="6">
        <v>7000.79</v>
      </c>
      <c r="Q92" s="2"/>
      <c r="R92" s="7">
        <f t="shared" si="58"/>
        <v>2.9605044928789973E-3</v>
      </c>
      <c r="S92" s="2"/>
      <c r="T92" s="6">
        <v>5817</v>
      </c>
      <c r="U92" s="2"/>
      <c r="V92" s="7">
        <f t="shared" si="59"/>
        <v>1.762788596403293E-3</v>
      </c>
      <c r="W92" s="2"/>
      <c r="X92" s="6">
        <f t="shared" si="60"/>
        <v>1183.79</v>
      </c>
      <c r="Y92" s="2"/>
      <c r="Z92" s="7">
        <f t="shared" si="61"/>
        <v>0.20350524325253566</v>
      </c>
    </row>
    <row r="93" spans="1:26" s="24" customFormat="1" hidden="1" outlineLevel="2" x14ac:dyDescent="0.25">
      <c r="A93" s="27"/>
      <c r="B93" s="11" t="str">
        <f>CONCATENATE("          ", "6284", " - ", "TRASH REMOVAL EXPENSE")</f>
        <v xml:space="preserve">          6284 - TRASH REMOVAL EXPENSE</v>
      </c>
      <c r="C93" s="11"/>
      <c r="D93" s="6">
        <v>289</v>
      </c>
      <c r="E93" s="2"/>
      <c r="F93" s="7">
        <f t="shared" si="54"/>
        <v>2.4190173265254877</v>
      </c>
      <c r="G93" s="2"/>
      <c r="H93" s="6">
        <v>150</v>
      </c>
      <c r="I93" s="2"/>
      <c r="J93" s="7">
        <f t="shared" si="55"/>
        <v>1.240110121778814E-3</v>
      </c>
      <c r="K93" s="2"/>
      <c r="L93" s="6">
        <f t="shared" si="56"/>
        <v>139</v>
      </c>
      <c r="M93" s="2"/>
      <c r="N93" s="7">
        <f t="shared" si="57"/>
        <v>0.92666666666666664</v>
      </c>
      <c r="O93" s="11"/>
      <c r="P93" s="6">
        <v>3467</v>
      </c>
      <c r="Q93" s="2"/>
      <c r="R93" s="7">
        <f t="shared" si="58"/>
        <v>1.466130119145337E-3</v>
      </c>
      <c r="S93" s="2"/>
      <c r="T93" s="6">
        <v>1800</v>
      </c>
      <c r="U93" s="2"/>
      <c r="V93" s="7">
        <f t="shared" si="59"/>
        <v>5.4547352132128712E-4</v>
      </c>
      <c r="W93" s="2"/>
      <c r="X93" s="6">
        <f t="shared" si="60"/>
        <v>1667</v>
      </c>
      <c r="Y93" s="2"/>
      <c r="Z93" s="7">
        <f t="shared" si="61"/>
        <v>0.92611111111111111</v>
      </c>
    </row>
    <row r="94" spans="1:26" s="24" customFormat="1" hidden="1" outlineLevel="2" x14ac:dyDescent="0.25">
      <c r="A94" s="27"/>
      <c r="B94" s="11" t="str">
        <f>CONCATENATE("          ", "6285", " - ", "JANITORIAL SERVICES")</f>
        <v xml:space="preserve">          6285 - JANITORIAL SERVICES</v>
      </c>
      <c r="C94" s="11"/>
      <c r="D94" s="6">
        <v>8044.17</v>
      </c>
      <c r="E94" s="2"/>
      <c r="F94" s="7">
        <f t="shared" si="54"/>
        <v>67.332133590022607</v>
      </c>
      <c r="G94" s="2"/>
      <c r="H94" s="6">
        <v>21</v>
      </c>
      <c r="I94" s="2"/>
      <c r="J94" s="7">
        <f t="shared" si="55"/>
        <v>1.7361541704903396E-4</v>
      </c>
      <c r="K94" s="2"/>
      <c r="L94" s="6">
        <f t="shared" si="56"/>
        <v>8023.17</v>
      </c>
      <c r="M94" s="2"/>
      <c r="N94" s="7">
        <f t="shared" si="57"/>
        <v>382.05571428571432</v>
      </c>
      <c r="O94" s="11"/>
      <c r="P94" s="6">
        <v>9366.0499999999993</v>
      </c>
      <c r="Q94" s="2"/>
      <c r="R94" s="7">
        <f t="shared" si="58"/>
        <v>3.9607291613559803E-3</v>
      </c>
      <c r="S94" s="2"/>
      <c r="T94" s="6">
        <v>1944</v>
      </c>
      <c r="U94" s="2"/>
      <c r="V94" s="7">
        <f t="shared" si="59"/>
        <v>5.8911140302699016E-4</v>
      </c>
      <c r="W94" s="2"/>
      <c r="X94" s="6">
        <f t="shared" si="60"/>
        <v>7422.0499999999993</v>
      </c>
      <c r="Y94" s="2"/>
      <c r="Z94" s="7">
        <f t="shared" si="61"/>
        <v>3.8179269547325099</v>
      </c>
    </row>
    <row r="95" spans="1:26" s="24" customFormat="1" hidden="1" outlineLevel="2" x14ac:dyDescent="0.25">
      <c r="A95" s="27"/>
      <c r="B95" s="11" t="str">
        <f>CONCATENATE("          ", "6286", " - ", "LAUNDRY EXPENSE")</f>
        <v xml:space="preserve">          6286 - LAUNDRY EXPENSE</v>
      </c>
      <c r="C95" s="11"/>
      <c r="D95" s="6"/>
      <c r="E95" s="2"/>
      <c r="F95" s="7">
        <f t="shared" si="54"/>
        <v>0</v>
      </c>
      <c r="G95" s="2"/>
      <c r="H95" s="6">
        <v>45</v>
      </c>
      <c r="I95" s="2"/>
      <c r="J95" s="7">
        <f t="shared" si="55"/>
        <v>3.7203303653364419E-4</v>
      </c>
      <c r="K95" s="2"/>
      <c r="L95" s="6">
        <f t="shared" si="56"/>
        <v>-45</v>
      </c>
      <c r="M95" s="2"/>
      <c r="N95" s="7">
        <f t="shared" si="57"/>
        <v>-1</v>
      </c>
      <c r="O95" s="11"/>
      <c r="P95" s="6">
        <v>6187.17</v>
      </c>
      <c r="Q95" s="2"/>
      <c r="R95" s="7">
        <f t="shared" si="58"/>
        <v>2.616439656553924E-3</v>
      </c>
      <c r="S95" s="2"/>
      <c r="T95" s="6">
        <v>900</v>
      </c>
      <c r="U95" s="2"/>
      <c r="V95" s="7">
        <f t="shared" si="59"/>
        <v>2.7273676066064356E-4</v>
      </c>
      <c r="W95" s="2"/>
      <c r="X95" s="6">
        <f t="shared" si="60"/>
        <v>5287.17</v>
      </c>
      <c r="Y95" s="2"/>
      <c r="Z95" s="7">
        <f t="shared" si="61"/>
        <v>5.8746333333333336</v>
      </c>
    </row>
    <row r="96" spans="1:26" s="26" customFormat="1" outlineLevel="1" collapsed="1" x14ac:dyDescent="0.25">
      <c r="A96" s="25"/>
      <c r="B96" s="12" t="str">
        <f>CONCATENATE("     ","Subscriptions &amp; Dues                              ")</f>
        <v xml:space="preserve">     Subscriptions &amp; Dues                              </v>
      </c>
      <c r="C96" s="12"/>
      <c r="D96" s="1">
        <f>SUM(OSRRefD22_18x_0)</f>
        <v>0</v>
      </c>
      <c r="E96" s="1"/>
      <c r="F96" s="5">
        <f t="shared" ref="F96:F107" si="62">IF(D$12=0,0,D96/D$12)</f>
        <v>0</v>
      </c>
      <c r="G96" s="1"/>
      <c r="H96" s="1">
        <f>SUM(OSRRefH22_18x_0)</f>
        <v>180</v>
      </c>
      <c r="I96" s="1"/>
      <c r="J96" s="5">
        <f t="shared" ref="J96:J107" si="63">IF(H$12=0,0,H96/H$12)</f>
        <v>1.4881321461345767E-3</v>
      </c>
      <c r="K96" s="1"/>
      <c r="L96" s="1">
        <f t="shared" ref="L96:L107" si="64">+D96-H96</f>
        <v>-180</v>
      </c>
      <c r="M96" s="1"/>
      <c r="N96" s="5">
        <f t="shared" ref="N96:N107" si="65">IF(H96=0,0,L96/H96)</f>
        <v>-1</v>
      </c>
      <c r="O96" s="12"/>
      <c r="P96" s="1">
        <f>SUM(OSRRefP22_18x_0)</f>
        <v>1411.2</v>
      </c>
      <c r="Q96" s="1"/>
      <c r="R96" s="5">
        <f t="shared" ref="R96:R107" si="66">IF(P$12=0,0,P96/P$12)</f>
        <v>5.9677035596708962E-4</v>
      </c>
      <c r="S96" s="1"/>
      <c r="T96" s="1">
        <f>SUM(OSRRefT22_18x_0)</f>
        <v>2160</v>
      </c>
      <c r="U96" s="1"/>
      <c r="V96" s="5">
        <f t="shared" ref="V96:V107" si="67">IF(T$12=0,0,T96/T$12)</f>
        <v>6.5456822558554461E-4</v>
      </c>
      <c r="W96" s="1"/>
      <c r="X96" s="1">
        <f t="shared" ref="X96:X107" si="68">+P96-T96</f>
        <v>-748.8</v>
      </c>
      <c r="Y96" s="1"/>
      <c r="Z96" s="5">
        <f t="shared" ref="Z96:Z107" si="69">IF(T96=0,0,X96/T96)</f>
        <v>-0.34666666666666662</v>
      </c>
    </row>
    <row r="97" spans="1:26" s="24" customFormat="1" hidden="1" outlineLevel="2" x14ac:dyDescent="0.25">
      <c r="A97" s="27"/>
      <c r="B97" s="11" t="str">
        <f>CONCATENATE("          ", "6275", " - ", "SUBSCRIPTIONS")</f>
        <v xml:space="preserve">          6275 - SUBSCRIPTIONS</v>
      </c>
      <c r="C97" s="11"/>
      <c r="D97" s="6"/>
      <c r="E97" s="2"/>
      <c r="F97" s="7">
        <f t="shared" si="62"/>
        <v>0</v>
      </c>
      <c r="G97" s="2"/>
      <c r="H97" s="6">
        <v>180</v>
      </c>
      <c r="I97" s="2"/>
      <c r="J97" s="7">
        <f t="shared" si="63"/>
        <v>1.4881321461345767E-3</v>
      </c>
      <c r="K97" s="2"/>
      <c r="L97" s="6">
        <f t="shared" si="64"/>
        <v>-180</v>
      </c>
      <c r="M97" s="2"/>
      <c r="N97" s="7">
        <f t="shared" si="65"/>
        <v>-1</v>
      </c>
      <c r="O97" s="11"/>
      <c r="P97" s="6">
        <v>1411.2</v>
      </c>
      <c r="Q97" s="2"/>
      <c r="R97" s="7">
        <f t="shared" si="66"/>
        <v>5.9677035596708962E-4</v>
      </c>
      <c r="S97" s="2"/>
      <c r="T97" s="6">
        <v>2160</v>
      </c>
      <c r="U97" s="2"/>
      <c r="V97" s="7">
        <f t="shared" si="67"/>
        <v>6.5456822558554461E-4</v>
      </c>
      <c r="W97" s="2"/>
      <c r="X97" s="6">
        <f t="shared" si="68"/>
        <v>-748.8</v>
      </c>
      <c r="Y97" s="2"/>
      <c r="Z97" s="7">
        <f t="shared" si="69"/>
        <v>-0.34666666666666662</v>
      </c>
    </row>
    <row r="98" spans="1:26" s="26" customFormat="1" outlineLevel="1" collapsed="1" x14ac:dyDescent="0.25">
      <c r="A98" s="25"/>
      <c r="B98" s="12" t="str">
        <f>CONCATENATE("     ","Supplies                                          ")</f>
        <v xml:space="preserve">     Supplies                                          </v>
      </c>
      <c r="C98" s="12"/>
      <c r="D98" s="1">
        <f>SUM(OSRRefD22_19x_0)</f>
        <v>-29.9</v>
      </c>
      <c r="E98" s="1"/>
      <c r="F98" s="5">
        <f t="shared" si="62"/>
        <v>-0.25027203482045701</v>
      </c>
      <c r="G98" s="1"/>
      <c r="H98" s="1">
        <f>SUM(OSRRefH22_19x_0)</f>
        <v>1457</v>
      </c>
      <c r="I98" s="1"/>
      <c r="J98" s="5">
        <f t="shared" si="63"/>
        <v>1.2045602982878214E-2</v>
      </c>
      <c r="K98" s="1"/>
      <c r="L98" s="1">
        <f t="shared" si="64"/>
        <v>-1486.9</v>
      </c>
      <c r="M98" s="1"/>
      <c r="N98" s="5">
        <f t="shared" si="65"/>
        <v>-1.0205216197666438</v>
      </c>
      <c r="O98" s="12"/>
      <c r="P98" s="1">
        <f>SUM(OSRRefP22_19x_0)</f>
        <v>50142.16</v>
      </c>
      <c r="Q98" s="1"/>
      <c r="R98" s="5">
        <f t="shared" si="66"/>
        <v>2.1204191235940167E-2</v>
      </c>
      <c r="S98" s="1"/>
      <c r="T98" s="1">
        <f>SUM(OSRRefT22_19x_0)</f>
        <v>41740</v>
      </c>
      <c r="U98" s="1"/>
      <c r="V98" s="5">
        <f t="shared" si="67"/>
        <v>1.2648924877750291E-2</v>
      </c>
      <c r="W98" s="1"/>
      <c r="X98" s="1">
        <f t="shared" si="68"/>
        <v>8402.1600000000035</v>
      </c>
      <c r="Y98" s="1"/>
      <c r="Z98" s="5">
        <f t="shared" si="69"/>
        <v>0.20129755630091048</v>
      </c>
    </row>
    <row r="99" spans="1:26" s="24" customFormat="1" hidden="1" outlineLevel="2" x14ac:dyDescent="0.25">
      <c r="A99" s="27"/>
      <c r="B99" s="11" t="str">
        <f>CONCATENATE("          ", "6234", " - ", "EXPENDABLE SUPPLIES &amp; EQUIPMEN")</f>
        <v xml:space="preserve">          6234 - EXPENDABLE SUPPLIES &amp; EQUIPMEN</v>
      </c>
      <c r="C99" s="11"/>
      <c r="D99" s="6"/>
      <c r="E99" s="2"/>
      <c r="F99" s="7">
        <f t="shared" si="62"/>
        <v>0</v>
      </c>
      <c r="G99" s="2"/>
      <c r="H99" s="6"/>
      <c r="I99" s="2"/>
      <c r="J99" s="7">
        <f t="shared" si="63"/>
        <v>0</v>
      </c>
      <c r="K99" s="2"/>
      <c r="L99" s="6">
        <f t="shared" si="64"/>
        <v>0</v>
      </c>
      <c r="M99" s="2"/>
      <c r="N99" s="7">
        <f t="shared" si="65"/>
        <v>0</v>
      </c>
      <c r="O99" s="11"/>
      <c r="P99" s="6">
        <v>1092.46</v>
      </c>
      <c r="Q99" s="2"/>
      <c r="R99" s="7">
        <f t="shared" si="66"/>
        <v>4.6198111045904673E-4</v>
      </c>
      <c r="S99" s="2"/>
      <c r="T99" s="6">
        <v>3000</v>
      </c>
      <c r="U99" s="2"/>
      <c r="V99" s="7">
        <f t="shared" si="67"/>
        <v>9.0912253553547854E-4</v>
      </c>
      <c r="W99" s="2"/>
      <c r="X99" s="6">
        <f t="shared" si="68"/>
        <v>-1907.54</v>
      </c>
      <c r="Y99" s="2"/>
      <c r="Z99" s="7">
        <f t="shared" si="69"/>
        <v>-0.63584666666666667</v>
      </c>
    </row>
    <row r="100" spans="1:26" s="24" customFormat="1" hidden="1" outlineLevel="2" x14ac:dyDescent="0.25">
      <c r="A100" s="27"/>
      <c r="B100" s="11" t="str">
        <f>CONCATENATE("          ", "6237", " - ", "JANITORIAL SUPPLIES")</f>
        <v xml:space="preserve">          6237 - JANITORIAL SUPPLIES</v>
      </c>
      <c r="C100" s="11"/>
      <c r="D100" s="6"/>
      <c r="E100" s="2"/>
      <c r="F100" s="7">
        <f t="shared" si="62"/>
        <v>0</v>
      </c>
      <c r="G100" s="2"/>
      <c r="H100" s="6">
        <v>100</v>
      </c>
      <c r="I100" s="2"/>
      <c r="J100" s="7">
        <f t="shared" si="63"/>
        <v>8.2674008118587602E-4</v>
      </c>
      <c r="K100" s="2"/>
      <c r="L100" s="6">
        <f t="shared" si="64"/>
        <v>-100</v>
      </c>
      <c r="M100" s="2"/>
      <c r="N100" s="7">
        <f t="shared" si="65"/>
        <v>-1</v>
      </c>
      <c r="O100" s="11"/>
      <c r="P100" s="6">
        <v>4418.97</v>
      </c>
      <c r="Q100" s="2"/>
      <c r="R100" s="7">
        <f t="shared" si="66"/>
        <v>1.8687006093451603E-3</v>
      </c>
      <c r="S100" s="2"/>
      <c r="T100" s="6">
        <v>1600</v>
      </c>
      <c r="U100" s="2"/>
      <c r="V100" s="7">
        <f t="shared" si="67"/>
        <v>4.8486535228558857E-4</v>
      </c>
      <c r="W100" s="2"/>
      <c r="X100" s="6">
        <f t="shared" si="68"/>
        <v>2818.9700000000003</v>
      </c>
      <c r="Y100" s="2"/>
      <c r="Z100" s="7">
        <f t="shared" si="69"/>
        <v>1.7618562500000001</v>
      </c>
    </row>
    <row r="101" spans="1:26" s="24" customFormat="1" hidden="1" outlineLevel="2" x14ac:dyDescent="0.25">
      <c r="A101" s="27"/>
      <c r="B101" s="11" t="str">
        <f>CONCATENATE("          ", "6239", " - ", "KITCHEN SUPPLIES")</f>
        <v xml:space="preserve">          6239 - KITCHEN SUPPLIES</v>
      </c>
      <c r="C101" s="11"/>
      <c r="D101" s="6"/>
      <c r="E101" s="2"/>
      <c r="F101" s="7">
        <f t="shared" si="62"/>
        <v>0</v>
      </c>
      <c r="G101" s="2"/>
      <c r="H101" s="6"/>
      <c r="I101" s="2"/>
      <c r="J101" s="7">
        <f t="shared" si="63"/>
        <v>0</v>
      </c>
      <c r="K101" s="2"/>
      <c r="L101" s="6">
        <f t="shared" si="64"/>
        <v>0</v>
      </c>
      <c r="M101" s="2"/>
      <c r="N101" s="7">
        <f t="shared" si="65"/>
        <v>0</v>
      </c>
      <c r="O101" s="11"/>
      <c r="P101" s="6">
        <v>441.2</v>
      </c>
      <c r="Q101" s="2"/>
      <c r="R101" s="7">
        <f t="shared" si="66"/>
        <v>1.8657531253732989E-4</v>
      </c>
      <c r="S101" s="2"/>
      <c r="T101" s="6"/>
      <c r="U101" s="2"/>
      <c r="V101" s="7">
        <f t="shared" si="67"/>
        <v>0</v>
      </c>
      <c r="W101" s="2"/>
      <c r="X101" s="6">
        <f t="shared" si="68"/>
        <v>441.2</v>
      </c>
      <c r="Y101" s="2"/>
      <c r="Z101" s="7">
        <f t="shared" si="69"/>
        <v>0</v>
      </c>
    </row>
    <row r="102" spans="1:26" s="24" customFormat="1" hidden="1" outlineLevel="2" x14ac:dyDescent="0.25">
      <c r="A102" s="27"/>
      <c r="B102" s="11" t="str">
        <f>CONCATENATE("          ", "6241", " - ", "OFFICE EXPENSE")</f>
        <v xml:space="preserve">          6241 - OFFICE EXPENSE</v>
      </c>
      <c r="C102" s="11"/>
      <c r="D102" s="6"/>
      <c r="E102" s="2"/>
      <c r="F102" s="7">
        <f t="shared" si="62"/>
        <v>0</v>
      </c>
      <c r="G102" s="2"/>
      <c r="H102" s="6"/>
      <c r="I102" s="2"/>
      <c r="J102" s="7">
        <f t="shared" si="63"/>
        <v>0</v>
      </c>
      <c r="K102" s="2"/>
      <c r="L102" s="6">
        <f t="shared" si="64"/>
        <v>0</v>
      </c>
      <c r="M102" s="2"/>
      <c r="N102" s="7">
        <f t="shared" si="65"/>
        <v>0</v>
      </c>
      <c r="O102" s="11"/>
      <c r="P102" s="6">
        <v>2377.21</v>
      </c>
      <c r="Q102" s="2"/>
      <c r="R102" s="7">
        <f t="shared" si="66"/>
        <v>1.0052781022594423E-3</v>
      </c>
      <c r="S102" s="2"/>
      <c r="T102" s="6">
        <v>480</v>
      </c>
      <c r="U102" s="2"/>
      <c r="V102" s="7">
        <f t="shared" si="67"/>
        <v>1.4545960568567657E-4</v>
      </c>
      <c r="W102" s="2"/>
      <c r="X102" s="6">
        <f t="shared" si="68"/>
        <v>1897.21</v>
      </c>
      <c r="Y102" s="2"/>
      <c r="Z102" s="7">
        <f t="shared" si="69"/>
        <v>3.9525208333333333</v>
      </c>
    </row>
    <row r="103" spans="1:26" s="24" customFormat="1" hidden="1" outlineLevel="2" x14ac:dyDescent="0.25">
      <c r="A103" s="27"/>
      <c r="B103" s="11" t="str">
        <f>CONCATENATE("          ", "6243", " - ", "PAPER SUPPLIES")</f>
        <v xml:space="preserve">          6243 - PAPER SUPPLIES</v>
      </c>
      <c r="C103" s="11"/>
      <c r="D103" s="6"/>
      <c r="E103" s="2"/>
      <c r="F103" s="7">
        <f t="shared" si="62"/>
        <v>0</v>
      </c>
      <c r="G103" s="2"/>
      <c r="H103" s="6"/>
      <c r="I103" s="2"/>
      <c r="J103" s="7">
        <f t="shared" si="63"/>
        <v>0</v>
      </c>
      <c r="K103" s="2"/>
      <c r="L103" s="6">
        <f t="shared" si="64"/>
        <v>0</v>
      </c>
      <c r="M103" s="2"/>
      <c r="N103" s="7">
        <f t="shared" si="65"/>
        <v>0</v>
      </c>
      <c r="O103" s="11"/>
      <c r="P103" s="6">
        <v>4964.92</v>
      </c>
      <c r="Q103" s="2"/>
      <c r="R103" s="7">
        <f t="shared" si="66"/>
        <v>2.0995727577580235E-3</v>
      </c>
      <c r="S103" s="2"/>
      <c r="T103" s="6"/>
      <c r="U103" s="2"/>
      <c r="V103" s="7">
        <f t="shared" si="67"/>
        <v>0</v>
      </c>
      <c r="W103" s="2"/>
      <c r="X103" s="6">
        <f t="shared" si="68"/>
        <v>4964.92</v>
      </c>
      <c r="Y103" s="2"/>
      <c r="Z103" s="7">
        <f t="shared" si="69"/>
        <v>0</v>
      </c>
    </row>
    <row r="104" spans="1:26" s="24" customFormat="1" hidden="1" outlineLevel="2" x14ac:dyDescent="0.25">
      <c r="A104" s="27"/>
      <c r="B104" s="11" t="str">
        <f>CONCATENATE("          ", "6244", " - ", "SAFETY SUPPLY EXPENSE")</f>
        <v xml:space="preserve">          6244 - SAFETY SUPPLY EXPENSE</v>
      </c>
      <c r="C104" s="11"/>
      <c r="D104" s="6"/>
      <c r="E104" s="2"/>
      <c r="F104" s="7">
        <f t="shared" si="62"/>
        <v>0</v>
      </c>
      <c r="G104" s="2"/>
      <c r="H104" s="6"/>
      <c r="I104" s="2"/>
      <c r="J104" s="7">
        <f t="shared" si="63"/>
        <v>0</v>
      </c>
      <c r="K104" s="2"/>
      <c r="L104" s="6">
        <f t="shared" si="64"/>
        <v>0</v>
      </c>
      <c r="M104" s="2"/>
      <c r="N104" s="7">
        <f t="shared" si="65"/>
        <v>0</v>
      </c>
      <c r="O104" s="11"/>
      <c r="P104" s="6"/>
      <c r="Q104" s="2"/>
      <c r="R104" s="7">
        <f t="shared" si="66"/>
        <v>0</v>
      </c>
      <c r="S104" s="2"/>
      <c r="T104" s="6">
        <v>30</v>
      </c>
      <c r="U104" s="2"/>
      <c r="V104" s="7">
        <f t="shared" si="67"/>
        <v>9.0912253553547857E-6</v>
      </c>
      <c r="W104" s="2"/>
      <c r="X104" s="6">
        <f t="shared" si="68"/>
        <v>-30</v>
      </c>
      <c r="Y104" s="2"/>
      <c r="Z104" s="7">
        <f t="shared" si="69"/>
        <v>-1</v>
      </c>
    </row>
    <row r="105" spans="1:26" s="24" customFormat="1" hidden="1" outlineLevel="2" x14ac:dyDescent="0.25">
      <c r="A105" s="27"/>
      <c r="B105" s="11" t="str">
        <f>CONCATENATE("          ", "6245", " - ", "PRINTING")</f>
        <v xml:space="preserve">          6245 - PRINTING</v>
      </c>
      <c r="C105" s="11"/>
      <c r="D105" s="6"/>
      <c r="E105" s="2"/>
      <c r="F105" s="7">
        <f t="shared" si="62"/>
        <v>0</v>
      </c>
      <c r="G105" s="2"/>
      <c r="H105" s="6"/>
      <c r="I105" s="2"/>
      <c r="J105" s="7">
        <f t="shared" si="63"/>
        <v>0</v>
      </c>
      <c r="K105" s="2"/>
      <c r="L105" s="6">
        <f t="shared" si="64"/>
        <v>0</v>
      </c>
      <c r="M105" s="2"/>
      <c r="N105" s="7">
        <f t="shared" si="65"/>
        <v>0</v>
      </c>
      <c r="O105" s="11"/>
      <c r="P105" s="6">
        <v>81.739999999999995</v>
      </c>
      <c r="Q105" s="2"/>
      <c r="R105" s="7">
        <f t="shared" si="66"/>
        <v>3.4566332834998515E-5</v>
      </c>
      <c r="S105" s="2"/>
      <c r="T105" s="6"/>
      <c r="U105" s="2"/>
      <c r="V105" s="7">
        <f t="shared" si="67"/>
        <v>0</v>
      </c>
      <c r="W105" s="2"/>
      <c r="X105" s="6">
        <f t="shared" si="68"/>
        <v>81.739999999999995</v>
      </c>
      <c r="Y105" s="2"/>
      <c r="Z105" s="7">
        <f t="shared" si="69"/>
        <v>0</v>
      </c>
    </row>
    <row r="106" spans="1:26" s="24" customFormat="1" hidden="1" outlineLevel="2" x14ac:dyDescent="0.25">
      <c r="A106" s="27"/>
      <c r="B106" s="11" t="str">
        <f>CONCATENATE("          ", "6247", " - ", "STORE SUPPLIES")</f>
        <v xml:space="preserve">          6247 - STORE SUPPLIES</v>
      </c>
      <c r="C106" s="11"/>
      <c r="D106" s="6">
        <v>-29.9</v>
      </c>
      <c r="E106" s="2"/>
      <c r="F106" s="7">
        <f t="shared" si="62"/>
        <v>-0.25027203482045701</v>
      </c>
      <c r="G106" s="2"/>
      <c r="H106" s="6">
        <v>1357</v>
      </c>
      <c r="I106" s="2"/>
      <c r="J106" s="7">
        <f t="shared" si="63"/>
        <v>1.1218862901692337E-2</v>
      </c>
      <c r="K106" s="2"/>
      <c r="L106" s="6">
        <f t="shared" si="64"/>
        <v>-1386.9</v>
      </c>
      <c r="M106" s="2"/>
      <c r="N106" s="7">
        <f t="shared" si="65"/>
        <v>-1.0220338983050847</v>
      </c>
      <c r="O106" s="11"/>
      <c r="P106" s="6">
        <v>36571.480000000003</v>
      </c>
      <c r="Q106" s="2"/>
      <c r="R106" s="7">
        <f t="shared" si="66"/>
        <v>1.5465401883392361E-2</v>
      </c>
      <c r="S106" s="2"/>
      <c r="T106" s="6">
        <v>36030</v>
      </c>
      <c r="U106" s="2"/>
      <c r="V106" s="7">
        <f t="shared" si="67"/>
        <v>1.0918561651781098E-2</v>
      </c>
      <c r="W106" s="2"/>
      <c r="X106" s="6">
        <f t="shared" si="68"/>
        <v>541.4800000000032</v>
      </c>
      <c r="Y106" s="2"/>
      <c r="Z106" s="7">
        <f t="shared" si="69"/>
        <v>1.5028587288370891E-2</v>
      </c>
    </row>
    <row r="107" spans="1:26" s="24" customFormat="1" hidden="1" outlineLevel="2" x14ac:dyDescent="0.25">
      <c r="A107" s="27"/>
      <c r="B107" s="11" t="str">
        <f>CONCATENATE("          ", "6248", " - ", "UNIFORMS")</f>
        <v xml:space="preserve">          6248 - UNIFORMS</v>
      </c>
      <c r="C107" s="11"/>
      <c r="D107" s="6"/>
      <c r="E107" s="2"/>
      <c r="F107" s="7">
        <f t="shared" si="62"/>
        <v>0</v>
      </c>
      <c r="G107" s="2"/>
      <c r="H107" s="6"/>
      <c r="I107" s="2"/>
      <c r="J107" s="7">
        <f t="shared" si="63"/>
        <v>0</v>
      </c>
      <c r="K107" s="2"/>
      <c r="L107" s="6">
        <f t="shared" si="64"/>
        <v>0</v>
      </c>
      <c r="M107" s="2"/>
      <c r="N107" s="7">
        <f t="shared" si="65"/>
        <v>0</v>
      </c>
      <c r="O107" s="11"/>
      <c r="P107" s="6">
        <v>194.18</v>
      </c>
      <c r="Q107" s="2"/>
      <c r="R107" s="7">
        <f t="shared" si="66"/>
        <v>8.2115127353804893E-5</v>
      </c>
      <c r="S107" s="2"/>
      <c r="T107" s="6">
        <v>600</v>
      </c>
      <c r="U107" s="2"/>
      <c r="V107" s="7">
        <f t="shared" si="67"/>
        <v>1.8182450710709571E-4</v>
      </c>
      <c r="W107" s="2"/>
      <c r="X107" s="6">
        <f t="shared" si="68"/>
        <v>-405.82</v>
      </c>
      <c r="Y107" s="2"/>
      <c r="Z107" s="7">
        <f t="shared" si="69"/>
        <v>-0.67636666666666667</v>
      </c>
    </row>
    <row r="108" spans="1:26" s="26" customFormat="1" outlineLevel="1" collapsed="1" x14ac:dyDescent="0.25">
      <c r="A108" s="25"/>
      <c r="B108" s="12" t="str">
        <f>CONCATENATE("     ","Telephone/Data Lines                              ")</f>
        <v xml:space="preserve">     Telephone/Data Lines                              </v>
      </c>
      <c r="C108" s="12"/>
      <c r="D108" s="1">
        <f>SUM(OSRRefD22_20x_0)</f>
        <v>350.41</v>
      </c>
      <c r="E108" s="1"/>
      <c r="F108" s="5">
        <f t="shared" ref="F108:F114" si="70">IF(D$12=0,0,D108/D$12)</f>
        <v>2.9330375826567341</v>
      </c>
      <c r="G108" s="1"/>
      <c r="H108" s="1">
        <f>SUM(OSRRefH22_20x_0)</f>
        <v>340</v>
      </c>
      <c r="I108" s="1"/>
      <c r="J108" s="5">
        <f t="shared" ref="J108:J114" si="71">IF(H$12=0,0,H108/H$12)</f>
        <v>2.8109162760319782E-3</v>
      </c>
      <c r="K108" s="1"/>
      <c r="L108" s="1">
        <f t="shared" ref="L108:L114" si="72">+D108-H108</f>
        <v>10.410000000000025</v>
      </c>
      <c r="M108" s="1"/>
      <c r="N108" s="5">
        <f t="shared" ref="N108:N114" si="73">IF(H108=0,0,L108/H108)</f>
        <v>3.0617647058823604E-2</v>
      </c>
      <c r="O108" s="12"/>
      <c r="P108" s="1">
        <f>SUM(OSRRefP22_20x_0)</f>
        <v>4727.08</v>
      </c>
      <c r="Q108" s="1"/>
      <c r="R108" s="5">
        <f t="shared" ref="R108:R114" si="74">IF(P$12=0,0,P108/P$12)</f>
        <v>1.9989946246349987E-3</v>
      </c>
      <c r="S108" s="1"/>
      <c r="T108" s="1">
        <f>SUM(OSRRefT22_20x_0)</f>
        <v>4080</v>
      </c>
      <c r="U108" s="1"/>
      <c r="V108" s="5">
        <f t="shared" ref="V108:V114" si="75">IF(T$12=0,0,T108/T$12)</f>
        <v>1.2364066483282509E-3</v>
      </c>
      <c r="W108" s="1"/>
      <c r="X108" s="1">
        <f t="shared" ref="X108:X114" si="76">+P108-T108</f>
        <v>647.07999999999993</v>
      </c>
      <c r="Y108" s="1"/>
      <c r="Z108" s="5">
        <f t="shared" ref="Z108:Z114" si="77">IF(T108=0,0,X108/T108)</f>
        <v>0.15859803921568624</v>
      </c>
    </row>
    <row r="109" spans="1:26" s="24" customFormat="1" hidden="1" outlineLevel="2" x14ac:dyDescent="0.25">
      <c r="A109" s="27"/>
      <c r="B109" s="11" t="str">
        <f>CONCATENATE("          ", "6309", " - ", "TELEPHONE")</f>
        <v xml:space="preserve">          6309 - TELEPHONE</v>
      </c>
      <c r="C109" s="11"/>
      <c r="D109" s="6">
        <v>350.41</v>
      </c>
      <c r="E109" s="2"/>
      <c r="F109" s="7">
        <f t="shared" si="70"/>
        <v>2.9330375826567341</v>
      </c>
      <c r="G109" s="2"/>
      <c r="H109" s="6">
        <v>340</v>
      </c>
      <c r="I109" s="2"/>
      <c r="J109" s="7">
        <f t="shared" si="71"/>
        <v>2.8109162760319782E-3</v>
      </c>
      <c r="K109" s="2"/>
      <c r="L109" s="6">
        <f t="shared" si="72"/>
        <v>10.410000000000025</v>
      </c>
      <c r="M109" s="2"/>
      <c r="N109" s="7">
        <f t="shared" si="73"/>
        <v>3.0617647058823604E-2</v>
      </c>
      <c r="O109" s="11"/>
      <c r="P109" s="6">
        <v>4727.08</v>
      </c>
      <c r="Q109" s="2"/>
      <c r="R109" s="7">
        <f t="shared" si="74"/>
        <v>1.9989946246349987E-3</v>
      </c>
      <c r="S109" s="2"/>
      <c r="T109" s="6">
        <v>4080</v>
      </c>
      <c r="U109" s="2"/>
      <c r="V109" s="7">
        <f t="shared" si="75"/>
        <v>1.2364066483282509E-3</v>
      </c>
      <c r="W109" s="2"/>
      <c r="X109" s="6">
        <f t="shared" si="76"/>
        <v>647.07999999999993</v>
      </c>
      <c r="Y109" s="2"/>
      <c r="Z109" s="7">
        <f t="shared" si="77"/>
        <v>0.15859803921568624</v>
      </c>
    </row>
    <row r="110" spans="1:26" s="26" customFormat="1" outlineLevel="1" collapsed="1" x14ac:dyDescent="0.25">
      <c r="A110" s="25"/>
      <c r="B110" s="12" t="str">
        <f>CONCATENATE("     ","Training                                          ")</f>
        <v xml:space="preserve">     Training                                          </v>
      </c>
      <c r="C110" s="12"/>
      <c r="D110" s="1">
        <f>SUM(OSRRefD22_21x_0)</f>
        <v>0</v>
      </c>
      <c r="E110" s="1"/>
      <c r="F110" s="5">
        <f t="shared" si="70"/>
        <v>0</v>
      </c>
      <c r="G110" s="1"/>
      <c r="H110" s="1">
        <f>SUM(OSRRefH22_21x_0)</f>
        <v>0</v>
      </c>
      <c r="I110" s="1"/>
      <c r="J110" s="5">
        <f t="shared" si="71"/>
        <v>0</v>
      </c>
      <c r="K110" s="1"/>
      <c r="L110" s="1">
        <f t="shared" si="72"/>
        <v>0</v>
      </c>
      <c r="M110" s="1"/>
      <c r="N110" s="5">
        <f t="shared" si="73"/>
        <v>0</v>
      </c>
      <c r="O110" s="12"/>
      <c r="P110" s="1">
        <f>SUM(OSRRefP22_21x_0)</f>
        <v>110</v>
      </c>
      <c r="Q110" s="1"/>
      <c r="R110" s="5">
        <f t="shared" si="74"/>
        <v>4.6516963687910897E-5</v>
      </c>
      <c r="S110" s="1"/>
      <c r="T110" s="1">
        <f>SUM(OSRRefT22_21x_0)</f>
        <v>2200</v>
      </c>
      <c r="U110" s="1"/>
      <c r="V110" s="5">
        <f t="shared" si="75"/>
        <v>6.6668985939268433E-4</v>
      </c>
      <c r="W110" s="1"/>
      <c r="X110" s="1">
        <f t="shared" si="76"/>
        <v>-2090</v>
      </c>
      <c r="Y110" s="1"/>
      <c r="Z110" s="5">
        <f t="shared" si="77"/>
        <v>-0.95</v>
      </c>
    </row>
    <row r="111" spans="1:26" s="24" customFormat="1" hidden="1" outlineLevel="2" x14ac:dyDescent="0.25">
      <c r="A111" s="27"/>
      <c r="B111" s="11" t="str">
        <f>CONCATENATE("          ", "6376", " - ", "TRAINING")</f>
        <v xml:space="preserve">          6376 - TRAINING</v>
      </c>
      <c r="C111" s="11"/>
      <c r="D111" s="6"/>
      <c r="E111" s="2"/>
      <c r="F111" s="7">
        <f t="shared" si="70"/>
        <v>0</v>
      </c>
      <c r="G111" s="2"/>
      <c r="H111" s="6"/>
      <c r="I111" s="2"/>
      <c r="J111" s="7">
        <f t="shared" si="71"/>
        <v>0</v>
      </c>
      <c r="K111" s="2"/>
      <c r="L111" s="6">
        <f t="shared" si="72"/>
        <v>0</v>
      </c>
      <c r="M111" s="2"/>
      <c r="N111" s="7">
        <f t="shared" si="73"/>
        <v>0</v>
      </c>
      <c r="O111" s="11"/>
      <c r="P111" s="6">
        <v>110</v>
      </c>
      <c r="Q111" s="2"/>
      <c r="R111" s="7">
        <f t="shared" si="74"/>
        <v>4.6516963687910897E-5</v>
      </c>
      <c r="S111" s="2"/>
      <c r="T111" s="6">
        <v>2200</v>
      </c>
      <c r="U111" s="2"/>
      <c r="V111" s="7">
        <f t="shared" si="75"/>
        <v>6.6668985939268433E-4</v>
      </c>
      <c r="W111" s="2"/>
      <c r="X111" s="6">
        <f t="shared" si="76"/>
        <v>-2090</v>
      </c>
      <c r="Y111" s="2"/>
      <c r="Z111" s="7">
        <f t="shared" si="77"/>
        <v>-0.95</v>
      </c>
    </row>
    <row r="112" spans="1:26" s="26" customFormat="1" outlineLevel="1" collapsed="1" x14ac:dyDescent="0.25">
      <c r="A112" s="25"/>
      <c r="B112" s="12" t="str">
        <f>CONCATENATE("     ","Travel                                            ")</f>
        <v xml:space="preserve">     Travel                                            </v>
      </c>
      <c r="C112" s="12"/>
      <c r="D112" s="1">
        <f>SUM(OSRRefD22_22x_0)</f>
        <v>0</v>
      </c>
      <c r="E112" s="1"/>
      <c r="F112" s="5">
        <f t="shared" si="70"/>
        <v>0</v>
      </c>
      <c r="G112" s="1"/>
      <c r="H112" s="1">
        <f>SUM(OSRRefH22_22x_0)</f>
        <v>0</v>
      </c>
      <c r="I112" s="1"/>
      <c r="J112" s="5">
        <f t="shared" si="71"/>
        <v>0</v>
      </c>
      <c r="K112" s="1"/>
      <c r="L112" s="1">
        <f t="shared" si="72"/>
        <v>0</v>
      </c>
      <c r="M112" s="1"/>
      <c r="N112" s="5">
        <f t="shared" si="73"/>
        <v>0</v>
      </c>
      <c r="O112" s="12"/>
      <c r="P112" s="1">
        <f>SUM(OSRRefP22_22x_0)</f>
        <v>66</v>
      </c>
      <c r="Q112" s="1"/>
      <c r="R112" s="5">
        <f t="shared" si="74"/>
        <v>2.7910178212746537E-5</v>
      </c>
      <c r="S112" s="1"/>
      <c r="T112" s="1">
        <f>SUM(OSRRefT22_22x_0)</f>
        <v>1000</v>
      </c>
      <c r="U112" s="1"/>
      <c r="V112" s="5">
        <f t="shared" si="75"/>
        <v>3.0304084517849286E-4</v>
      </c>
      <c r="W112" s="1"/>
      <c r="X112" s="1">
        <f t="shared" si="76"/>
        <v>-934</v>
      </c>
      <c r="Y112" s="1"/>
      <c r="Z112" s="5">
        <f t="shared" si="77"/>
        <v>-0.93400000000000005</v>
      </c>
    </row>
    <row r="113" spans="1:26" s="24" customFormat="1" hidden="1" outlineLevel="2" x14ac:dyDescent="0.25">
      <c r="A113" s="27"/>
      <c r="B113" s="11" t="str">
        <f>CONCATENATE("          ", "6292", " - ", "TRAVEL/CONFERENCE")</f>
        <v xml:space="preserve">          6292 - TRAVEL/CONFERENCE</v>
      </c>
      <c r="C113" s="11"/>
      <c r="D113" s="6"/>
      <c r="E113" s="2"/>
      <c r="F113" s="7">
        <f t="shared" si="70"/>
        <v>0</v>
      </c>
      <c r="G113" s="2"/>
      <c r="H113" s="6"/>
      <c r="I113" s="2"/>
      <c r="J113" s="7">
        <f t="shared" si="71"/>
        <v>0</v>
      </c>
      <c r="K113" s="2"/>
      <c r="L113" s="6">
        <f t="shared" si="72"/>
        <v>0</v>
      </c>
      <c r="M113" s="2"/>
      <c r="N113" s="7">
        <f t="shared" si="73"/>
        <v>0</v>
      </c>
      <c r="O113" s="11"/>
      <c r="P113" s="6"/>
      <c r="Q113" s="2"/>
      <c r="R113" s="7">
        <f t="shared" si="74"/>
        <v>0</v>
      </c>
      <c r="S113" s="2"/>
      <c r="T113" s="6">
        <v>1000</v>
      </c>
      <c r="U113" s="2"/>
      <c r="V113" s="7">
        <f t="shared" si="75"/>
        <v>3.0304084517849286E-4</v>
      </c>
      <c r="W113" s="2"/>
      <c r="X113" s="6">
        <f t="shared" si="76"/>
        <v>-1000</v>
      </c>
      <c r="Y113" s="2"/>
      <c r="Z113" s="7">
        <f t="shared" si="77"/>
        <v>-1</v>
      </c>
    </row>
    <row r="114" spans="1:26" s="24" customFormat="1" hidden="1" outlineLevel="2" x14ac:dyDescent="0.25">
      <c r="A114" s="27"/>
      <c r="B114" s="11" t="str">
        <f>CONCATENATE("          ", "6298", " - ", "VEHICLE MILEAGE")</f>
        <v xml:space="preserve">          6298 - VEHICLE MILEAGE</v>
      </c>
      <c r="C114" s="11"/>
      <c r="D114" s="6"/>
      <c r="E114" s="2"/>
      <c r="F114" s="7">
        <f t="shared" si="70"/>
        <v>0</v>
      </c>
      <c r="G114" s="2"/>
      <c r="H114" s="6"/>
      <c r="I114" s="2"/>
      <c r="J114" s="7">
        <f t="shared" si="71"/>
        <v>0</v>
      </c>
      <c r="K114" s="2"/>
      <c r="L114" s="6">
        <f t="shared" si="72"/>
        <v>0</v>
      </c>
      <c r="M114" s="2"/>
      <c r="N114" s="7">
        <f t="shared" si="73"/>
        <v>0</v>
      </c>
      <c r="O114" s="11"/>
      <c r="P114" s="6">
        <v>66</v>
      </c>
      <c r="Q114" s="2"/>
      <c r="R114" s="7">
        <f t="shared" si="74"/>
        <v>2.7910178212746537E-5</v>
      </c>
      <c r="S114" s="2"/>
      <c r="T114" s="6"/>
      <c r="U114" s="2"/>
      <c r="V114" s="7">
        <f t="shared" si="75"/>
        <v>0</v>
      </c>
      <c r="W114" s="2"/>
      <c r="X114" s="6">
        <f t="shared" si="76"/>
        <v>66</v>
      </c>
      <c r="Y114" s="2"/>
      <c r="Z114" s="7">
        <f t="shared" si="77"/>
        <v>0</v>
      </c>
    </row>
    <row r="115" spans="1:26" s="26" customFormat="1" outlineLevel="1" collapsed="1" x14ac:dyDescent="0.25">
      <c r="A115" s="25"/>
      <c r="B115" s="12" t="str">
        <f>CONCATENATE("     ","Utilities                                         ")</f>
        <v xml:space="preserve">     Utilities                                         </v>
      </c>
      <c r="C115" s="12"/>
      <c r="D115" s="1">
        <f>SUM(OSRRefD22_23x_0)</f>
        <v>1090</v>
      </c>
      <c r="E115" s="1"/>
      <c r="F115" s="5">
        <f t="shared" ref="F115:F116" si="78">IF(D$12=0,0,D115/D$12)</f>
        <v>9.1236293630200045</v>
      </c>
      <c r="G115" s="1"/>
      <c r="H115" s="1">
        <f>SUM(OSRRefH22_23x_0)</f>
        <v>1103.502668611</v>
      </c>
      <c r="I115" s="1"/>
      <c r="J115" s="5">
        <f t="shared" ref="J115:J116" si="79">IF(H$12=0,0,H115/H$12)</f>
        <v>9.1230988583628891E-3</v>
      </c>
      <c r="K115" s="1"/>
      <c r="L115" s="1">
        <f t="shared" ref="L115:L116" si="80">+D115-H115</f>
        <v>-13.50266861099999</v>
      </c>
      <c r="M115" s="1"/>
      <c r="N115" s="5">
        <f t="shared" ref="N115:N116" si="81">IF(H115=0,0,L115/H115)</f>
        <v>-1.2236190264946127E-2</v>
      </c>
      <c r="O115" s="12"/>
      <c r="P115" s="1">
        <f>SUM(OSRRefP22_23x_0)</f>
        <v>12693.74</v>
      </c>
      <c r="Q115" s="1"/>
      <c r="R115" s="5">
        <f t="shared" ref="R115:R116" si="82">IF(P$12=0,0,P115/P$12)</f>
        <v>5.3679476603980189E-3</v>
      </c>
      <c r="S115" s="1"/>
      <c r="T115" s="1">
        <f>SUM(OSRRefT22_23x_0)</f>
        <v>13524.502668611001</v>
      </c>
      <c r="U115" s="1"/>
      <c r="V115" s="5">
        <f t="shared" ref="V115:V116" si="83">IF(T$12=0,0,T115/T$12)</f>
        <v>4.0984767193146601E-3</v>
      </c>
      <c r="W115" s="1"/>
      <c r="X115" s="1">
        <f t="shared" ref="X115:X116" si="84">+P115-T115</f>
        <v>-830.76266861100157</v>
      </c>
      <c r="Y115" s="1"/>
      <c r="Z115" s="5">
        <f t="shared" ref="Z115:Z116" si="85">IF(T115=0,0,X115/T115)</f>
        <v>-6.1426485614078617E-2</v>
      </c>
    </row>
    <row r="116" spans="1:26" s="24" customFormat="1" hidden="1" outlineLevel="2" x14ac:dyDescent="0.25">
      <c r="A116" s="27"/>
      <c r="B116" s="11" t="str">
        <f>CONCATENATE("          ", "6274", " - ", "UTILITIES")</f>
        <v xml:space="preserve">          6274 - UTILITIES</v>
      </c>
      <c r="C116" s="11"/>
      <c r="D116" s="6">
        <v>1090</v>
      </c>
      <c r="E116" s="2"/>
      <c r="F116" s="7">
        <f t="shared" si="78"/>
        <v>9.1236293630200045</v>
      </c>
      <c r="G116" s="2"/>
      <c r="H116" s="6">
        <v>1103.502668611</v>
      </c>
      <c r="I116" s="2"/>
      <c r="J116" s="7">
        <f t="shared" si="79"/>
        <v>9.1230988583628891E-3</v>
      </c>
      <c r="K116" s="2"/>
      <c r="L116" s="6">
        <f t="shared" si="80"/>
        <v>-13.50266861099999</v>
      </c>
      <c r="M116" s="2"/>
      <c r="N116" s="7">
        <f t="shared" si="81"/>
        <v>-1.2236190264946127E-2</v>
      </c>
      <c r="O116" s="11"/>
      <c r="P116" s="6">
        <v>12693.74</v>
      </c>
      <c r="Q116" s="2"/>
      <c r="R116" s="7">
        <f t="shared" si="82"/>
        <v>5.3679476603980189E-3</v>
      </c>
      <c r="S116" s="2"/>
      <c r="T116" s="6">
        <v>13524.502668611001</v>
      </c>
      <c r="U116" s="2"/>
      <c r="V116" s="7">
        <f t="shared" si="83"/>
        <v>4.0984767193146601E-3</v>
      </c>
      <c r="W116" s="2"/>
      <c r="X116" s="6">
        <f t="shared" si="84"/>
        <v>-830.76266861100157</v>
      </c>
      <c r="Y116" s="2"/>
      <c r="Z116" s="7">
        <f t="shared" si="85"/>
        <v>-6.1426485614078617E-2</v>
      </c>
    </row>
    <row r="117" spans="1:26" s="60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x14ac:dyDescent="0.25">
      <c r="A118" s="10"/>
      <c r="B118" s="28" t="s">
        <v>0</v>
      </c>
      <c r="C118" s="10"/>
      <c r="D118" s="4">
        <f>SUM(0)</f>
        <v>0</v>
      </c>
      <c r="E118" s="4"/>
      <c r="F118" s="13">
        <f>IF(D$12=0,0,D118/D$12)</f>
        <v>0</v>
      </c>
      <c r="G118" s="4"/>
      <c r="H118" s="4">
        <f>SUM(0)</f>
        <v>0</v>
      </c>
      <c r="I118" s="4"/>
      <c r="J118" s="13">
        <f>IF(H$12=0,0,H118/H$12)</f>
        <v>0</v>
      </c>
      <c r="K118" s="4"/>
      <c r="L118" s="4">
        <f>+D118-H118</f>
        <v>0</v>
      </c>
      <c r="M118" s="4"/>
      <c r="N118" s="13">
        <f>IF(H118=0,0,L118/H118)</f>
        <v>0</v>
      </c>
      <c r="O118" s="10"/>
      <c r="P118" s="4">
        <f>SUM(0)</f>
        <v>0</v>
      </c>
      <c r="Q118" s="4"/>
      <c r="R118" s="13">
        <f>IF(P$12=0,0,P118/P$12)</f>
        <v>0</v>
      </c>
      <c r="S118" s="4"/>
      <c r="T118" s="4">
        <f>SUM(0)</f>
        <v>0</v>
      </c>
      <c r="U118" s="4"/>
      <c r="V118" s="13">
        <f>IF(T$12=0,0,T118/T$12)</f>
        <v>0</v>
      </c>
      <c r="W118" s="4"/>
      <c r="X118" s="4">
        <f>+P118-T118</f>
        <v>0</v>
      </c>
      <c r="Y118" s="4"/>
      <c r="Z118" s="13">
        <f>IF(T118=0,0,X118/T118)</f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9" t="s">
        <v>3</v>
      </c>
      <c r="C120" s="29"/>
      <c r="D120" s="22">
        <f>+D31-D33+D118</f>
        <v>-45866.510000000009</v>
      </c>
      <c r="E120" s="14"/>
      <c r="F120" s="20">
        <f>IF(D$12=0,0,D120/D$12)</f>
        <v>-383.91654808738605</v>
      </c>
      <c r="G120" s="14"/>
      <c r="H120" s="22">
        <f>+H31-H33+H118</f>
        <v>-4177.1835101586912</v>
      </c>
      <c r="I120" s="14"/>
      <c r="J120" s="20">
        <f>IF(H$12=0,0,H120/H$12)</f>
        <v>-3.4534450343168988E-2</v>
      </c>
      <c r="K120" s="15"/>
      <c r="L120" s="22">
        <f>+D120-H120</f>
        <v>-41689.326489841318</v>
      </c>
      <c r="M120" s="15"/>
      <c r="N120" s="20">
        <f>IF(H120=0,0,L120/H120)</f>
        <v>9.9802477886008756</v>
      </c>
      <c r="O120" s="28"/>
      <c r="P120" s="22">
        <f>+P31-P33+P118</f>
        <v>54733.589999999851</v>
      </c>
      <c r="Q120" s="14"/>
      <c r="R120" s="20">
        <f>IF(P$12=0,0,P120/P$12)</f>
        <v>2.3145821986718145E-2</v>
      </c>
      <c r="S120" s="14"/>
      <c r="T120" s="22">
        <f>+T31-T33+T118</f>
        <v>447033.52428132924</v>
      </c>
      <c r="U120" s="14"/>
      <c r="V120" s="20">
        <f>IF(T$12=0,0,T120/T$12)</f>
        <v>0.13546941702133433</v>
      </c>
      <c r="W120" s="15"/>
      <c r="X120" s="22">
        <f>+P120-T120</f>
        <v>-392299.93428132939</v>
      </c>
      <c r="Y120" s="15"/>
      <c r="Z120" s="20">
        <f>IF(T120=0,0,X120/T120)</f>
        <v>-0.87756267253559572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14</v>
      </c>
      <c r="C122" s="10"/>
      <c r="D122" s="4">
        <v>78093.180000000008</v>
      </c>
      <c r="E122" s="4"/>
      <c r="F122" s="13">
        <f>IF(D$12=0,0,D122/D$12)</f>
        <v>653.6635138528502</v>
      </c>
      <c r="G122" s="4"/>
      <c r="H122" s="4">
        <v>58710</v>
      </c>
      <c r="I122" s="4"/>
      <c r="J122" s="13">
        <f>IF(H$12=0,0,H122/H$12)</f>
        <v>0.48537910166422776</v>
      </c>
      <c r="K122" s="4"/>
      <c r="L122" s="4">
        <f>+D122-H122</f>
        <v>19383.180000000008</v>
      </c>
      <c r="M122" s="4"/>
      <c r="N122" s="13">
        <f>IF(H122=0,0,L122/H122)</f>
        <v>0.33015125191619837</v>
      </c>
      <c r="O122" s="10"/>
      <c r="P122" s="4">
        <v>358111.56</v>
      </c>
      <c r="Q122" s="4"/>
      <c r="R122" s="13">
        <f>IF(P$12=0,0,P122/P$12)</f>
        <v>0.15143874938855567</v>
      </c>
      <c r="S122" s="4"/>
      <c r="T122" s="4">
        <v>426909</v>
      </c>
      <c r="U122" s="4"/>
      <c r="V122" s="13">
        <f>IF(T$12=0,0,T122/T$12)</f>
        <v>0.12937086417430521</v>
      </c>
      <c r="W122" s="4"/>
      <c r="X122" s="4">
        <f>+P122-T122</f>
        <v>-68797.440000000002</v>
      </c>
      <c r="Y122" s="4"/>
      <c r="Z122" s="13">
        <f>IF(T122=0,0,X122/T122)</f>
        <v>-0.16115247043280886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4</v>
      </c>
      <c r="C124" s="29"/>
      <c r="D124" s="31">
        <f>+D120-D122</f>
        <v>-123959.69000000002</v>
      </c>
      <c r="E124" s="14"/>
      <c r="F124" s="33">
        <f>IF(D$12=0,0,D124/D$12)</f>
        <v>-1037.5800619402362</v>
      </c>
      <c r="G124" s="14"/>
      <c r="H124" s="31">
        <f>+H120-H122</f>
        <v>-62887.183510158691</v>
      </c>
      <c r="I124" s="14"/>
      <c r="J124" s="33">
        <f>IF(H$12=0,0,H124/H$12)</f>
        <v>-0.51991355200739675</v>
      </c>
      <c r="K124" s="15"/>
      <c r="L124" s="31">
        <f>D124-H124</f>
        <v>-61072.506489841326</v>
      </c>
      <c r="M124" s="15"/>
      <c r="N124" s="33">
        <f>IF(H124=0,0,L124/H124)</f>
        <v>0.97114392919148262</v>
      </c>
      <c r="O124" s="28"/>
      <c r="P124" s="31">
        <f>+P120-P122</f>
        <v>-303377.97000000015</v>
      </c>
      <c r="Q124" s="14"/>
      <c r="R124" s="33">
        <f>IF(P$12=0,0,P124/P$12)</f>
        <v>-0.12829292740183754</v>
      </c>
      <c r="S124" s="14"/>
      <c r="T124" s="31">
        <f>+T120-T122</f>
        <v>20124.524281329243</v>
      </c>
      <c r="U124" s="14"/>
      <c r="V124" s="33">
        <f>IF(T$12=0,0,T124/T$12)</f>
        <v>6.0985528470291154E-3</v>
      </c>
      <c r="W124" s="15"/>
      <c r="X124" s="31">
        <f>P124-T124</f>
        <v>-323502.49428132939</v>
      </c>
      <c r="Y124" s="15"/>
      <c r="Z124" s="33">
        <f>IF(T124=0,0,X124/T124)</f>
        <v>-16.075038085817638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5</v>
      </c>
      <c r="C127" s="29"/>
      <c r="D127" s="34">
        <f>SUM(D124:D126)</f>
        <v>-123959.69000000002</v>
      </c>
      <c r="E127" s="14"/>
      <c r="F127" s="35">
        <f>IF(D$12=0,0,D127/D$12)</f>
        <v>-1037.5800619402362</v>
      </c>
      <c r="G127" s="14"/>
      <c r="H127" s="34">
        <f>SUM(H124:H126)</f>
        <v>-62887.183510158691</v>
      </c>
      <c r="I127" s="14"/>
      <c r="J127" s="35">
        <f>IF(H$12=0,0,H127/H$12)</f>
        <v>-0.51991355200739675</v>
      </c>
      <c r="K127" s="15"/>
      <c r="L127" s="34">
        <f>+D127-H127</f>
        <v>-61072.506489841326</v>
      </c>
      <c r="M127" s="15"/>
      <c r="N127" s="35">
        <f>IF(H127=0,0,L127/H127)</f>
        <v>0.97114392919148262</v>
      </c>
      <c r="O127" s="28"/>
      <c r="P127" s="34">
        <f>SUM(P124:P126)</f>
        <v>-303377.97000000015</v>
      </c>
      <c r="Q127" s="14"/>
      <c r="R127" s="35">
        <f>IF(P$12=0,0,P127/P$12)</f>
        <v>-0.12829292740183754</v>
      </c>
      <c r="S127" s="14"/>
      <c r="T127" s="34">
        <f>SUM(T124:T126)</f>
        <v>20124.524281329243</v>
      </c>
      <c r="U127" s="14"/>
      <c r="V127" s="35">
        <f>IF(T$12=0,0,T127/T$12)</f>
        <v>6.0985528470291154E-3</v>
      </c>
      <c r="W127" s="15"/>
      <c r="X127" s="34">
        <f>+P127-T127</f>
        <v>-323502.49428132939</v>
      </c>
      <c r="Y127" s="15"/>
      <c r="Z127" s="35">
        <f>IF(T127=0,0,X127/T127)</f>
        <v>-16.075038085817638</v>
      </c>
    </row>
    <row r="128" spans="1:26" ht="15.75" thickTop="1" x14ac:dyDescent="0.25">
      <c r="A128" s="9"/>
      <c r="C128" s="9"/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25">
      <c r="A129" s="9"/>
      <c r="B129" s="55">
        <v>44043.472913923608</v>
      </c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A130" s="9"/>
      <c r="B130" s="62" t="s">
        <v>314</v>
      </c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25">
      <c r="A131" s="9"/>
      <c r="B131" s="63"/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4" x14ac:dyDescent="0.25"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","309", " - ", "Carts")</f>
        <v>Department 309 - Carts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43831</v>
      </c>
      <c r="I12" s="4"/>
      <c r="J12" s="13"/>
      <c r="K12" s="4"/>
      <c r="L12" s="4">
        <f t="shared" ref="L12:L15" si="0">+D12-H12</f>
        <v>-43831</v>
      </c>
      <c r="M12" s="4"/>
      <c r="N12" s="13">
        <f t="shared" ref="N12:N15" si="1">IF(H12=0,0,L12/H12)</f>
        <v>-1</v>
      </c>
      <c r="O12" s="10"/>
      <c r="P12" s="4">
        <f>SUM(OSRRefP13x_0)</f>
        <v>287556.77999999997</v>
      </c>
      <c r="Q12" s="4"/>
      <c r="R12" s="13"/>
      <c r="S12" s="4"/>
      <c r="T12" s="4">
        <f>SUM(OSRRefT13x_0)</f>
        <v>437030</v>
      </c>
      <c r="U12" s="4"/>
      <c r="V12" s="13"/>
      <c r="W12" s="4"/>
      <c r="X12" s="4">
        <f t="shared" ref="X12:X15" si="2">+P12-T12</f>
        <v>-149473.22000000003</v>
      </c>
      <c r="Y12" s="4"/>
      <c r="Z12" s="13">
        <f t="shared" ref="Z12:Z15" si="3">IF(T12=0,0,X12/T12)</f>
        <v>-0.3420205020250327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--64154.32</f>
        <v>64154.32</v>
      </c>
      <c r="Q13" s="2"/>
      <c r="R13" s="19"/>
      <c r="S13" s="2"/>
      <c r="T13" s="2"/>
      <c r="U13" s="2"/>
      <c r="V13" s="19"/>
      <c r="W13" s="2"/>
      <c r="X13" s="2">
        <f t="shared" si="2"/>
        <v>64154.32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43831</v>
      </c>
      <c r="I14" s="2"/>
      <c r="J14" s="19"/>
      <c r="K14" s="2"/>
      <c r="L14" s="2">
        <f t="shared" si="0"/>
        <v>-43831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437030</v>
      </c>
      <c r="U14" s="2"/>
      <c r="V14" s="19"/>
      <c r="W14" s="2"/>
      <c r="X14" s="2">
        <f t="shared" si="2"/>
        <v>-437030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--223402.46</f>
        <v>223402.46</v>
      </c>
      <c r="Q15" s="2"/>
      <c r="R15" s="19"/>
      <c r="S15" s="2"/>
      <c r="T15" s="2"/>
      <c r="U15" s="2"/>
      <c r="V15" s="19"/>
      <c r="W15" s="2"/>
      <c r="X15" s="2">
        <f t="shared" si="2"/>
        <v>223402.46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1030.8600000000001</v>
      </c>
      <c r="E17" s="4"/>
      <c r="F17" s="13">
        <f t="shared" ref="F17:F20" si="5">IF(D$12=0,0,D17/D$12)</f>
        <v>0</v>
      </c>
      <c r="G17" s="4"/>
      <c r="H17" s="4">
        <f>SUM(OSRRefH16x_0)</f>
        <v>21915</v>
      </c>
      <c r="I17" s="4"/>
      <c r="J17" s="13">
        <f t="shared" ref="J17:J20" si="6">IF(H$12=0,0,H17/H$12)</f>
        <v>0.4999885925486528</v>
      </c>
      <c r="K17" s="4"/>
      <c r="L17" s="4">
        <f t="shared" ref="L17:L20" si="7">+D17-H17</f>
        <v>-20884.14</v>
      </c>
      <c r="M17" s="4"/>
      <c r="N17" s="13">
        <f t="shared" ref="N17:N20" si="8">IF(H17=0,0,L17/H17)</f>
        <v>-0.95296098562628329</v>
      </c>
      <c r="O17" s="10"/>
      <c r="P17" s="4">
        <f>SUM(OSRRefP16x_0)</f>
        <v>156243.79999999999</v>
      </c>
      <c r="Q17" s="4"/>
      <c r="R17" s="13">
        <f t="shared" ref="R17:R20" si="9">IF(P$12=0,0,P17/P$12)</f>
        <v>0.54334938651072673</v>
      </c>
      <c r="S17" s="4"/>
      <c r="T17" s="4">
        <f>SUM(OSRRefT16x_0)</f>
        <v>216548</v>
      </c>
      <c r="U17" s="4"/>
      <c r="V17" s="13">
        <f t="shared" ref="V17:V20" si="10">IF(T$12=0,0,T17/T$12)</f>
        <v>0.49549916481706063</v>
      </c>
      <c r="W17" s="4"/>
      <c r="X17" s="4">
        <f t="shared" ref="X17:X20" si="11">+P17-T17</f>
        <v>-60304.200000000012</v>
      </c>
      <c r="Y17" s="4"/>
      <c r="Z17" s="13">
        <f t="shared" ref="Z17:Z20" si="12">IF(T17=0,0,X17/T17)</f>
        <v>-0.27847959805678191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21915</v>
      </c>
      <c r="I18" s="2"/>
      <c r="J18" s="19">
        <f t="shared" si="6"/>
        <v>0.4999885925486528</v>
      </c>
      <c r="K18" s="2"/>
      <c r="L18" s="2">
        <f t="shared" si="7"/>
        <v>-21915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216548</v>
      </c>
      <c r="U18" s="2"/>
      <c r="V18" s="19">
        <f t="shared" si="10"/>
        <v>0.49549916481706063</v>
      </c>
      <c r="W18" s="2"/>
      <c r="X18" s="2">
        <f t="shared" si="11"/>
        <v>-216548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-474.14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-474.14</v>
      </c>
      <c r="M19" s="2"/>
      <c r="N19" s="19">
        <f t="shared" si="8"/>
        <v>0</v>
      </c>
      <c r="O19" s="11"/>
      <c r="P19" s="2">
        <v>138437.47</v>
      </c>
      <c r="Q19" s="2"/>
      <c r="R19" s="19">
        <f t="shared" si="9"/>
        <v>0.48142655513112931</v>
      </c>
      <c r="S19" s="2"/>
      <c r="T19" s="2"/>
      <c r="U19" s="2"/>
      <c r="V19" s="19">
        <f t="shared" si="10"/>
        <v>0</v>
      </c>
      <c r="W19" s="2"/>
      <c r="X19" s="2">
        <f t="shared" si="11"/>
        <v>138437.47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1505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1505</v>
      </c>
      <c r="M20" s="2"/>
      <c r="N20" s="19">
        <f t="shared" si="8"/>
        <v>0</v>
      </c>
      <c r="O20" s="11"/>
      <c r="P20" s="2">
        <v>17806.329999999998</v>
      </c>
      <c r="Q20" s="2"/>
      <c r="R20" s="19">
        <f t="shared" si="9"/>
        <v>6.1922831379597448E-2</v>
      </c>
      <c r="S20" s="2"/>
      <c r="T20" s="2"/>
      <c r="U20" s="2"/>
      <c r="V20" s="19">
        <f t="shared" si="10"/>
        <v>0</v>
      </c>
      <c r="W20" s="2"/>
      <c r="X20" s="2">
        <f t="shared" si="11"/>
        <v>17806.329999999998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-1030.8600000000001</v>
      </c>
      <c r="E22" s="14"/>
      <c r="F22" s="20">
        <f>IF(D$12=0,0,D22/D$12)</f>
        <v>0</v>
      </c>
      <c r="G22" s="14"/>
      <c r="H22" s="22">
        <f>H12-H17</f>
        <v>21916</v>
      </c>
      <c r="I22" s="14"/>
      <c r="J22" s="20">
        <f>IF(H$12=0,0,H22/H$12)</f>
        <v>0.5000114074513472</v>
      </c>
      <c r="K22" s="15"/>
      <c r="L22" s="22">
        <f>+D22-H22</f>
        <v>-22946.86</v>
      </c>
      <c r="M22" s="15"/>
      <c r="N22" s="20">
        <f>IF(H22=0,0,L22/H22)</f>
        <v>-1.0470368680416136</v>
      </c>
      <c r="O22" s="28"/>
      <c r="P22" s="22">
        <f>P12-P17</f>
        <v>131312.97999999998</v>
      </c>
      <c r="Q22" s="14"/>
      <c r="R22" s="20">
        <f>IF(P$12=0,0,P22/P$12)</f>
        <v>0.45665061348927333</v>
      </c>
      <c r="S22" s="14"/>
      <c r="T22" s="22">
        <f>T12-T17</f>
        <v>220482</v>
      </c>
      <c r="U22" s="14"/>
      <c r="V22" s="20">
        <f>IF(T$12=0,0,T22/T$12)</f>
        <v>0.50450083518293942</v>
      </c>
      <c r="W22" s="15"/>
      <c r="X22" s="22">
        <f>+P22-T22</f>
        <v>-89169.020000000019</v>
      </c>
      <c r="Y22" s="15"/>
      <c r="Z22" s="20">
        <f>IF(T22=0,0,X22/T22)</f>
        <v>-0.40442766302918159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1830.8899999999999</v>
      </c>
      <c r="E24" s="21"/>
      <c r="F24" s="32">
        <f t="shared" ref="F24:F34" si="13">IF(D$12=0,0,D24/D$12)</f>
        <v>0</v>
      </c>
      <c r="G24" s="21"/>
      <c r="H24" s="21">
        <f>SUM(OSRRefH22x_0)</f>
        <v>8934.0111890646185</v>
      </c>
      <c r="I24" s="21"/>
      <c r="J24" s="32">
        <f t="shared" ref="J24:J34" si="14">IF(H$12=0,0,H24/H$12)</f>
        <v>0.20382859594954755</v>
      </c>
      <c r="K24" s="4"/>
      <c r="L24" s="21">
        <f t="shared" ref="L24:L34" si="15">+D24-H24</f>
        <v>-7103.1211890646191</v>
      </c>
      <c r="M24" s="4"/>
      <c r="N24" s="32">
        <f t="shared" ref="N24:N34" si="16">IF(H24=0,0,L24/H24)</f>
        <v>-0.79506517719151282</v>
      </c>
      <c r="O24" s="10"/>
      <c r="P24" s="21">
        <f>SUM(OSRRefP22x_0)</f>
        <v>131548.17000000001</v>
      </c>
      <c r="Q24" s="21"/>
      <c r="R24" s="32">
        <f t="shared" ref="R24:R34" si="17">IF(P$12=0,0,P24/P$12)</f>
        <v>0.45746850413334028</v>
      </c>
      <c r="S24" s="21"/>
      <c r="T24" s="21">
        <f>SUM(OSRRefT22x_0)</f>
        <v>159850.99611542004</v>
      </c>
      <c r="U24" s="21"/>
      <c r="V24" s="32">
        <f t="shared" ref="V24:V34" si="18">IF(T$12=0,0,T24/T$12)</f>
        <v>0.36576664328631914</v>
      </c>
      <c r="W24" s="4"/>
      <c r="X24" s="21">
        <f t="shared" ref="X24:X34" si="19">+P24-T24</f>
        <v>-28302.82611542003</v>
      </c>
      <c r="Y24" s="4"/>
      <c r="Z24" s="32">
        <f t="shared" ref="Z24:Z34" si="20">IF(T24=0,0,X24/T24)</f>
        <v>-0.17705755236572965</v>
      </c>
    </row>
    <row r="25" spans="1:26" s="26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-196.77</v>
      </c>
      <c r="E25" s="1"/>
      <c r="F25" s="5">
        <f t="shared" si="13"/>
        <v>0</v>
      </c>
      <c r="G25" s="1"/>
      <c r="H25" s="1">
        <f>SUM(OSRRefH22_0x_0)</f>
        <v>1410.8823736799993</v>
      </c>
      <c r="I25" s="1"/>
      <c r="J25" s="5">
        <f t="shared" si="14"/>
        <v>3.2189144068809732E-2</v>
      </c>
      <c r="K25" s="1"/>
      <c r="L25" s="1">
        <f t="shared" si="15"/>
        <v>-1607.6523736799993</v>
      </c>
      <c r="M25" s="1"/>
      <c r="N25" s="5">
        <f t="shared" si="16"/>
        <v>-1.139465914147588</v>
      </c>
      <c r="O25" s="12"/>
      <c r="P25" s="1">
        <f>SUM(OSRRefP22_0x_0)</f>
        <v>12752.91</v>
      </c>
      <c r="Q25" s="1"/>
      <c r="R25" s="5">
        <f t="shared" si="17"/>
        <v>4.4349189054071342E-2</v>
      </c>
      <c r="S25" s="1"/>
      <c r="T25" s="1">
        <f>SUM(OSRRefT22_0x_0)</f>
        <v>18771.763815419996</v>
      </c>
      <c r="U25" s="1"/>
      <c r="V25" s="5">
        <f t="shared" si="18"/>
        <v>4.2953032550213932E-2</v>
      </c>
      <c r="W25" s="1"/>
      <c r="X25" s="1">
        <f t="shared" si="19"/>
        <v>-6018.853815419996</v>
      </c>
      <c r="Y25" s="1"/>
      <c r="Z25" s="5">
        <f t="shared" si="20"/>
        <v>-0.32063336586814667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3"/>
        <v>0</v>
      </c>
      <c r="G26" s="2"/>
      <c r="H26" s="6">
        <v>298.55511546461503</v>
      </c>
      <c r="I26" s="2"/>
      <c r="J26" s="7">
        <f t="shared" si="14"/>
        <v>6.811505908252493E-3</v>
      </c>
      <c r="K26" s="2"/>
      <c r="L26" s="6">
        <f t="shared" si="15"/>
        <v>-298.55511546461503</v>
      </c>
      <c r="M26" s="2"/>
      <c r="N26" s="7">
        <f t="shared" si="16"/>
        <v>-1</v>
      </c>
      <c r="O26" s="11"/>
      <c r="P26" s="6">
        <v>3698.79</v>
      </c>
      <c r="Q26" s="2"/>
      <c r="R26" s="7">
        <f t="shared" si="17"/>
        <v>1.2862816171470554E-2</v>
      </c>
      <c r="S26" s="2"/>
      <c r="T26" s="6">
        <v>2294.6092450199963</v>
      </c>
      <c r="U26" s="2"/>
      <c r="V26" s="7">
        <f t="shared" si="18"/>
        <v>5.2504616273939915E-3</v>
      </c>
      <c r="W26" s="2"/>
      <c r="X26" s="6">
        <f t="shared" si="19"/>
        <v>1404.1807549800037</v>
      </c>
      <c r="Y26" s="2"/>
      <c r="Z26" s="7">
        <f t="shared" si="20"/>
        <v>0.61194765863839573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3"/>
        <v>0</v>
      </c>
      <c r="G27" s="2"/>
      <c r="H27" s="6">
        <v>74.121876307692304</v>
      </c>
      <c r="I27" s="2"/>
      <c r="J27" s="7">
        <f t="shared" si="14"/>
        <v>1.6910833954893181E-3</v>
      </c>
      <c r="K27" s="2"/>
      <c r="L27" s="6">
        <f t="shared" si="15"/>
        <v>-74.121876307692304</v>
      </c>
      <c r="M27" s="2"/>
      <c r="N27" s="7">
        <f t="shared" si="16"/>
        <v>-1</v>
      </c>
      <c r="O27" s="11"/>
      <c r="P27" s="6">
        <v>1342.55</v>
      </c>
      <c r="Q27" s="2"/>
      <c r="R27" s="7">
        <f t="shared" si="17"/>
        <v>4.6688170593647627E-3</v>
      </c>
      <c r="S27" s="2"/>
      <c r="T27" s="6">
        <v>1986.5849759999971</v>
      </c>
      <c r="U27" s="2"/>
      <c r="V27" s="7">
        <f t="shared" si="18"/>
        <v>4.5456489851955174E-3</v>
      </c>
      <c r="W27" s="2"/>
      <c r="X27" s="6">
        <f t="shared" si="19"/>
        <v>-644.03497599999719</v>
      </c>
      <c r="Y27" s="2"/>
      <c r="Z27" s="7">
        <f t="shared" si="20"/>
        <v>-0.32419200979600993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3"/>
        <v>0</v>
      </c>
      <c r="G28" s="2"/>
      <c r="H28" s="6">
        <v>690.5</v>
      </c>
      <c r="I28" s="2"/>
      <c r="J28" s="7">
        <f t="shared" si="14"/>
        <v>1.5753690310510826E-2</v>
      </c>
      <c r="K28" s="2"/>
      <c r="L28" s="6">
        <f t="shared" si="15"/>
        <v>-690.5</v>
      </c>
      <c r="M28" s="2"/>
      <c r="N28" s="7">
        <f t="shared" si="16"/>
        <v>-1</v>
      </c>
      <c r="O28" s="11"/>
      <c r="P28" s="6">
        <v>4829.7</v>
      </c>
      <c r="Q28" s="2"/>
      <c r="R28" s="7">
        <f t="shared" si="17"/>
        <v>1.6795639455971095E-2</v>
      </c>
      <c r="S28" s="2"/>
      <c r="T28" s="6">
        <v>8286</v>
      </c>
      <c r="U28" s="2"/>
      <c r="V28" s="7">
        <f t="shared" si="18"/>
        <v>1.8959796810287623E-2</v>
      </c>
      <c r="W28" s="2"/>
      <c r="X28" s="6">
        <f t="shared" si="19"/>
        <v>-3456.3</v>
      </c>
      <c r="Y28" s="2"/>
      <c r="Z28" s="7">
        <f t="shared" si="20"/>
        <v>-0.41712527154236062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-196.77</v>
      </c>
      <c r="E29" s="2"/>
      <c r="F29" s="7">
        <f t="shared" si="13"/>
        <v>0</v>
      </c>
      <c r="G29" s="2"/>
      <c r="H29" s="6">
        <v>10.1429936</v>
      </c>
      <c r="I29" s="2"/>
      <c r="J29" s="7">
        <f t="shared" si="14"/>
        <v>2.3141141201432776E-4</v>
      </c>
      <c r="K29" s="2"/>
      <c r="L29" s="6">
        <f t="shared" si="15"/>
        <v>-206.91299360000002</v>
      </c>
      <c r="M29" s="2"/>
      <c r="N29" s="7">
        <f t="shared" si="16"/>
        <v>-20.399598162025857</v>
      </c>
      <c r="O29" s="11"/>
      <c r="P29" s="6">
        <v>0</v>
      </c>
      <c r="Q29" s="2"/>
      <c r="R29" s="7">
        <f t="shared" si="17"/>
        <v>0</v>
      </c>
      <c r="S29" s="2"/>
      <c r="T29" s="6">
        <v>271.8484704</v>
      </c>
      <c r="U29" s="2"/>
      <c r="V29" s="7">
        <f t="shared" si="18"/>
        <v>6.2203617692149283E-4</v>
      </c>
      <c r="W29" s="2"/>
      <c r="X29" s="6">
        <f t="shared" si="19"/>
        <v>-271.8484704</v>
      </c>
      <c r="Y29" s="2"/>
      <c r="Z29" s="7">
        <f t="shared" si="20"/>
        <v>-1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3"/>
        <v>0</v>
      </c>
      <c r="G30" s="2"/>
      <c r="H30" s="6">
        <v>178.918819076923</v>
      </c>
      <c r="I30" s="2"/>
      <c r="J30" s="7">
        <f t="shared" si="14"/>
        <v>4.0820154474441152E-3</v>
      </c>
      <c r="K30" s="2"/>
      <c r="L30" s="6">
        <f t="shared" si="15"/>
        <v>-178.918819076923</v>
      </c>
      <c r="M30" s="2"/>
      <c r="N30" s="7">
        <f t="shared" si="16"/>
        <v>-1</v>
      </c>
      <c r="O30" s="11"/>
      <c r="P30" s="6">
        <v>938.77</v>
      </c>
      <c r="Q30" s="2"/>
      <c r="R30" s="7">
        <f t="shared" si="17"/>
        <v>3.2646422038805694E-3</v>
      </c>
      <c r="S30" s="2"/>
      <c r="T30" s="6">
        <v>2268.4593239999999</v>
      </c>
      <c r="U30" s="2"/>
      <c r="V30" s="7">
        <f t="shared" si="18"/>
        <v>5.1906260988948127E-3</v>
      </c>
      <c r="W30" s="2"/>
      <c r="X30" s="6">
        <f t="shared" si="19"/>
        <v>-1329.6893239999999</v>
      </c>
      <c r="Y30" s="2"/>
      <c r="Z30" s="7">
        <f t="shared" si="20"/>
        <v>-0.58616405854496156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3"/>
        <v>0</v>
      </c>
      <c r="G32" s="2"/>
      <c r="H32" s="6">
        <v>62.413541538461502</v>
      </c>
      <c r="I32" s="2"/>
      <c r="J32" s="7">
        <f t="shared" si="14"/>
        <v>1.4239588770153886E-3</v>
      </c>
      <c r="K32" s="2"/>
      <c r="L32" s="6">
        <f t="shared" si="15"/>
        <v>-62.413541538461502</v>
      </c>
      <c r="M32" s="2"/>
      <c r="N32" s="7">
        <f t="shared" si="16"/>
        <v>-1</v>
      </c>
      <c r="O32" s="11"/>
      <c r="P32" s="6">
        <v>480.48</v>
      </c>
      <c r="Q32" s="2"/>
      <c r="R32" s="7">
        <f t="shared" si="17"/>
        <v>1.670904786178229E-3</v>
      </c>
      <c r="S32" s="2"/>
      <c r="T32" s="6">
        <v>791.32301999999959</v>
      </c>
      <c r="U32" s="2"/>
      <c r="V32" s="7">
        <f t="shared" si="18"/>
        <v>1.8106835228702827E-3</v>
      </c>
      <c r="W32" s="2"/>
      <c r="X32" s="6">
        <f t="shared" si="19"/>
        <v>-310.84301999999957</v>
      </c>
      <c r="Y32" s="2"/>
      <c r="Z32" s="7">
        <f t="shared" si="20"/>
        <v>-0.39281432758015777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3"/>
        <v>0</v>
      </c>
      <c r="G33" s="2"/>
      <c r="H33" s="6">
        <v>96.230027692307701</v>
      </c>
      <c r="I33" s="2"/>
      <c r="J33" s="7">
        <f t="shared" si="14"/>
        <v>2.1954787180832676E-3</v>
      </c>
      <c r="K33" s="2"/>
      <c r="L33" s="6">
        <f t="shared" si="15"/>
        <v>-96.230027692307701</v>
      </c>
      <c r="M33" s="2"/>
      <c r="N33" s="7">
        <f t="shared" si="16"/>
        <v>-1</v>
      </c>
      <c r="O33" s="11"/>
      <c r="P33" s="6">
        <v>575.64</v>
      </c>
      <c r="Q33" s="2"/>
      <c r="R33" s="7">
        <f t="shared" si="17"/>
        <v>2.0018307340901511E-3</v>
      </c>
      <c r="S33" s="2"/>
      <c r="T33" s="6">
        <v>2872.9387800000036</v>
      </c>
      <c r="U33" s="2"/>
      <c r="V33" s="7">
        <f t="shared" si="18"/>
        <v>6.5737793286502156E-3</v>
      </c>
      <c r="W33" s="2"/>
      <c r="X33" s="6">
        <f t="shared" si="19"/>
        <v>-2297.2987800000037</v>
      </c>
      <c r="Y33" s="2"/>
      <c r="Z33" s="7">
        <f t="shared" si="20"/>
        <v>-0.79963373949792305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3"/>
        <v>0</v>
      </c>
      <c r="G34" s="2"/>
      <c r="H34" s="6"/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>
        <v>886.98</v>
      </c>
      <c r="Q34" s="2"/>
      <c r="R34" s="7">
        <f t="shared" si="17"/>
        <v>3.0845386431159793E-3</v>
      </c>
      <c r="S34" s="2"/>
      <c r="T34" s="6"/>
      <c r="U34" s="2"/>
      <c r="V34" s="7">
        <f t="shared" si="18"/>
        <v>0</v>
      </c>
      <c r="W34" s="2"/>
      <c r="X34" s="6">
        <f t="shared" si="19"/>
        <v>886.98</v>
      </c>
      <c r="Y34" s="2"/>
      <c r="Z34" s="7">
        <f t="shared" si="20"/>
        <v>0</v>
      </c>
    </row>
    <row r="35" spans="1:26" s="26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3797.1288153846199</v>
      </c>
      <c r="I35" s="1"/>
      <c r="J35" s="5">
        <f t="shared" ref="J35:J45" si="22">IF(H$12=0,0,H35/H$12)</f>
        <v>8.6631124441254356E-2</v>
      </c>
      <c r="K35" s="1"/>
      <c r="L35" s="1">
        <f t="shared" ref="L35:L45" si="23">+D35-H35</f>
        <v>-3797.1288153846199</v>
      </c>
      <c r="M35" s="1"/>
      <c r="N35" s="5">
        <f t="shared" ref="N35:N45" si="24">IF(H35=0,0,L35/H35)</f>
        <v>-1</v>
      </c>
      <c r="O35" s="12"/>
      <c r="P35" s="1">
        <f>SUM(OSRRefP22_1x_0)</f>
        <v>74718.25</v>
      </c>
      <c r="Q35" s="1"/>
      <c r="R35" s="5">
        <f t="shared" ref="R35:R45" si="25">IF(P$12=0,0,P35/P$12)</f>
        <v>0.25983824829308494</v>
      </c>
      <c r="S35" s="1"/>
      <c r="T35" s="1">
        <f>SUM(OSRRefT22_1x_0)</f>
        <v>103238.23230000005</v>
      </c>
      <c r="U35" s="1"/>
      <c r="V35" s="5">
        <f t="shared" ref="V35:V45" si="26">IF(T$12=0,0,T35/T$12)</f>
        <v>0.23622687755989302</v>
      </c>
      <c r="W35" s="1"/>
      <c r="X35" s="1">
        <f t="shared" ref="X35:X45" si="27">+P35-T35</f>
        <v>-28519.982300000047</v>
      </c>
      <c r="Y35" s="1"/>
      <c r="Z35" s="5">
        <f t="shared" ref="Z35:Z45" si="28">IF(T35=0,0,X35/T35)</f>
        <v>-0.27625407433482407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1976.4288153846198</v>
      </c>
      <c r="I36" s="2"/>
      <c r="J36" s="7">
        <f t="shared" si="22"/>
        <v>4.5092031105487436E-2</v>
      </c>
      <c r="K36" s="2"/>
      <c r="L36" s="6">
        <f t="shared" si="23"/>
        <v>-1976.4288153846198</v>
      </c>
      <c r="M36" s="2"/>
      <c r="N36" s="7">
        <f t="shared" si="24"/>
        <v>-1</v>
      </c>
      <c r="O36" s="11"/>
      <c r="P36" s="6"/>
      <c r="Q36" s="2"/>
      <c r="R36" s="7">
        <f t="shared" si="25"/>
        <v>0</v>
      </c>
      <c r="S36" s="2"/>
      <c r="T36" s="6">
        <v>25058.562300000041</v>
      </c>
      <c r="U36" s="2"/>
      <c r="V36" s="7">
        <f t="shared" si="26"/>
        <v>5.7338311557559071E-2</v>
      </c>
      <c r="W36" s="2"/>
      <c r="X36" s="6">
        <f t="shared" si="27"/>
        <v>-25058.562300000041</v>
      </c>
      <c r="Y36" s="2"/>
      <c r="Z36" s="7">
        <f t="shared" si="28"/>
        <v>-1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>
        <v>9840</v>
      </c>
      <c r="Q37" s="2"/>
      <c r="R37" s="7">
        <f t="shared" si="25"/>
        <v>3.4219328787865828E-2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9840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29326.09</v>
      </c>
      <c r="Q40" s="2"/>
      <c r="R40" s="7">
        <f t="shared" si="25"/>
        <v>0.10198364997688458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29326.09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2587.42</v>
      </c>
      <c r="Q41" s="2"/>
      <c r="R41" s="7">
        <f t="shared" si="25"/>
        <v>8.9979446841768097E-3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2587.42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1820.7</v>
      </c>
      <c r="I42" s="2"/>
      <c r="J42" s="7">
        <f t="shared" si="22"/>
        <v>4.1539093335766927E-2</v>
      </c>
      <c r="K42" s="2"/>
      <c r="L42" s="6">
        <f t="shared" si="23"/>
        <v>-1820.7</v>
      </c>
      <c r="M42" s="2"/>
      <c r="N42" s="7">
        <f t="shared" si="24"/>
        <v>-1</v>
      </c>
      <c r="O42" s="11"/>
      <c r="P42" s="6">
        <v>32907.740000000005</v>
      </c>
      <c r="Q42" s="2"/>
      <c r="R42" s="7">
        <f t="shared" si="25"/>
        <v>0.11443910312252074</v>
      </c>
      <c r="S42" s="2"/>
      <c r="T42" s="6">
        <v>3605.7</v>
      </c>
      <c r="U42" s="2"/>
      <c r="V42" s="7">
        <f t="shared" si="26"/>
        <v>8.2504633549184258E-3</v>
      </c>
      <c r="W42" s="2"/>
      <c r="X42" s="6">
        <f t="shared" si="27"/>
        <v>29302.040000000005</v>
      </c>
      <c r="Y42" s="2"/>
      <c r="Z42" s="7">
        <f t="shared" si="28"/>
        <v>8.1265884571650453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57</v>
      </c>
      <c r="Q43" s="2"/>
      <c r="R43" s="7">
        <f t="shared" si="25"/>
        <v>1.9822172163702767E-4</v>
      </c>
      <c r="S43" s="2"/>
      <c r="T43" s="6">
        <v>74573.97</v>
      </c>
      <c r="U43" s="2"/>
      <c r="V43" s="7">
        <f t="shared" si="26"/>
        <v>0.17063810264741552</v>
      </c>
      <c r="W43" s="2"/>
      <c r="X43" s="6">
        <f t="shared" si="27"/>
        <v>-74516.97</v>
      </c>
      <c r="Y43" s="2"/>
      <c r="Z43" s="7">
        <f t="shared" si="28"/>
        <v>-0.99923565823302685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6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54" si="29">IF(D$12=0,0,D46/D$12)</f>
        <v>0</v>
      </c>
      <c r="G46" s="1"/>
      <c r="H46" s="1">
        <f>SUM(OSRRefH22_2x_0)</f>
        <v>0</v>
      </c>
      <c r="I46" s="1"/>
      <c r="J46" s="5">
        <f t="shared" ref="J46:J54" si="30">IF(H$12=0,0,H46/H$12)</f>
        <v>0</v>
      </c>
      <c r="K46" s="1"/>
      <c r="L46" s="1">
        <f t="shared" ref="L46:L54" si="31">+D46-H46</f>
        <v>0</v>
      </c>
      <c r="M46" s="1"/>
      <c r="N46" s="5">
        <f t="shared" ref="N46:N54" si="32">IF(H46=0,0,L46/H46)</f>
        <v>0</v>
      </c>
      <c r="O46" s="12"/>
      <c r="P46" s="1">
        <f>SUM(OSRRefP22_2x_0)</f>
        <v>910.02</v>
      </c>
      <c r="Q46" s="1"/>
      <c r="R46" s="5">
        <f t="shared" ref="R46:R54" si="33">IF(P$12=0,0,P46/P$12)</f>
        <v>3.1646619495461037E-3</v>
      </c>
      <c r="S46" s="1"/>
      <c r="T46" s="1">
        <f>SUM(OSRRefT22_2x_0)</f>
        <v>0</v>
      </c>
      <c r="U46" s="1"/>
      <c r="V46" s="5">
        <f t="shared" ref="V46:V54" si="34">IF(T$12=0,0,T46/T$12)</f>
        <v>0</v>
      </c>
      <c r="W46" s="1"/>
      <c r="X46" s="1">
        <f t="shared" ref="X46:X54" si="35">+P46-T46</f>
        <v>910.02</v>
      </c>
      <c r="Y46" s="1"/>
      <c r="Z46" s="5">
        <f t="shared" ref="Z46:Z54" si="36">IF(T46=0,0,X46/T46)</f>
        <v>0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0</v>
      </c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>
        <v>910.02</v>
      </c>
      <c r="Q47" s="2"/>
      <c r="R47" s="7">
        <f t="shared" si="33"/>
        <v>3.1646619495461037E-3</v>
      </c>
      <c r="S47" s="2"/>
      <c r="T47" s="6">
        <v>0</v>
      </c>
      <c r="U47" s="2"/>
      <c r="V47" s="7">
        <f t="shared" si="34"/>
        <v>0</v>
      </c>
      <c r="W47" s="2"/>
      <c r="X47" s="6">
        <f t="shared" si="35"/>
        <v>910.02</v>
      </c>
      <c r="Y47" s="2"/>
      <c r="Z47" s="7">
        <f t="shared" si="36"/>
        <v>0</v>
      </c>
    </row>
    <row r="48" spans="1:26" s="26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2"/>
      <c r="P48" s="1">
        <f>SUM(OSRRefP22_3x_0)</f>
        <v>-18.989999999999998</v>
      </c>
      <c r="Q48" s="1"/>
      <c r="R48" s="5">
        <f t="shared" si="33"/>
        <v>-6.6039131471704477E-5</v>
      </c>
      <c r="S48" s="1"/>
      <c r="T48" s="1">
        <f>SUM(OSRRefT22_3x_0)</f>
        <v>0</v>
      </c>
      <c r="U48" s="1"/>
      <c r="V48" s="5">
        <f t="shared" si="34"/>
        <v>0</v>
      </c>
      <c r="W48" s="1"/>
      <c r="X48" s="1">
        <f t="shared" si="35"/>
        <v>-18.989999999999998</v>
      </c>
      <c r="Y48" s="1"/>
      <c r="Z48" s="5">
        <f t="shared" si="36"/>
        <v>0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0</v>
      </c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-18.989999999999998</v>
      </c>
      <c r="Q49" s="2"/>
      <c r="R49" s="7">
        <f t="shared" si="33"/>
        <v>-6.6039131471704477E-5</v>
      </c>
      <c r="S49" s="2"/>
      <c r="T49" s="6">
        <v>0</v>
      </c>
      <c r="U49" s="2"/>
      <c r="V49" s="7">
        <f t="shared" si="34"/>
        <v>0</v>
      </c>
      <c r="W49" s="2"/>
      <c r="X49" s="6">
        <f t="shared" si="35"/>
        <v>-18.989999999999998</v>
      </c>
      <c r="Y49" s="2"/>
      <c r="Z49" s="7">
        <f t="shared" si="36"/>
        <v>0</v>
      </c>
    </row>
    <row r="50" spans="1:26" s="26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1403</v>
      </c>
      <c r="I50" s="1"/>
      <c r="J50" s="5">
        <f t="shared" si="30"/>
        <v>3.2009308480299328E-2</v>
      </c>
      <c r="K50" s="1"/>
      <c r="L50" s="1">
        <f t="shared" si="31"/>
        <v>-1403</v>
      </c>
      <c r="M50" s="1"/>
      <c r="N50" s="5">
        <f t="shared" si="32"/>
        <v>-1</v>
      </c>
      <c r="O50" s="12"/>
      <c r="P50" s="1">
        <f>SUM(OSRRefP22_4x_0)</f>
        <v>10541.38</v>
      </c>
      <c r="Q50" s="1"/>
      <c r="R50" s="5">
        <f t="shared" si="33"/>
        <v>3.6658429684739133E-2</v>
      </c>
      <c r="S50" s="1"/>
      <c r="T50" s="1">
        <f>SUM(OSRRefT22_4x_0)</f>
        <v>13863</v>
      </c>
      <c r="U50" s="1"/>
      <c r="V50" s="5">
        <f t="shared" si="34"/>
        <v>3.172093448962314E-2</v>
      </c>
      <c r="W50" s="1"/>
      <c r="X50" s="1">
        <f t="shared" si="35"/>
        <v>-3321.6200000000008</v>
      </c>
      <c r="Y50" s="1"/>
      <c r="Z50" s="5">
        <f t="shared" si="36"/>
        <v>-0.23960326047753017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/>
      <c r="E51" s="2"/>
      <c r="F51" s="7">
        <f t="shared" si="29"/>
        <v>0</v>
      </c>
      <c r="G51" s="2"/>
      <c r="H51" s="6">
        <v>1403</v>
      </c>
      <c r="I51" s="2"/>
      <c r="J51" s="7">
        <f t="shared" si="30"/>
        <v>3.2009308480299328E-2</v>
      </c>
      <c r="K51" s="2"/>
      <c r="L51" s="6">
        <f t="shared" si="31"/>
        <v>-1403</v>
      </c>
      <c r="M51" s="2"/>
      <c r="N51" s="7">
        <f t="shared" si="32"/>
        <v>-1</v>
      </c>
      <c r="O51" s="11"/>
      <c r="P51" s="6">
        <v>10541.38</v>
      </c>
      <c r="Q51" s="2"/>
      <c r="R51" s="7">
        <f t="shared" si="33"/>
        <v>3.6658429684739133E-2</v>
      </c>
      <c r="S51" s="2"/>
      <c r="T51" s="6">
        <v>13863</v>
      </c>
      <c r="U51" s="2"/>
      <c r="V51" s="7">
        <f t="shared" si="34"/>
        <v>3.172093448962314E-2</v>
      </c>
      <c r="W51" s="2"/>
      <c r="X51" s="6">
        <f t="shared" si="35"/>
        <v>-3321.6200000000008</v>
      </c>
      <c r="Y51" s="2"/>
      <c r="Z51" s="7">
        <f t="shared" si="36"/>
        <v>-0.23960326047753017</v>
      </c>
    </row>
    <row r="52" spans="1:26" s="26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315.39999999999998</v>
      </c>
      <c r="E52" s="1"/>
      <c r="F52" s="5">
        <f t="shared" si="29"/>
        <v>0</v>
      </c>
      <c r="G52" s="1"/>
      <c r="H52" s="1">
        <f>SUM(OSRRefH22_5x_0)</f>
        <v>233</v>
      </c>
      <c r="I52" s="1"/>
      <c r="J52" s="5">
        <f t="shared" si="30"/>
        <v>5.3158723278045215E-3</v>
      </c>
      <c r="K52" s="1"/>
      <c r="L52" s="1">
        <f t="shared" si="31"/>
        <v>82.399999999999977</v>
      </c>
      <c r="M52" s="1"/>
      <c r="N52" s="5">
        <f t="shared" si="32"/>
        <v>0.3536480686695278</v>
      </c>
      <c r="O52" s="12"/>
      <c r="P52" s="1">
        <f>SUM(OSRRefP22_5x_0)</f>
        <v>2507.0500000000002</v>
      </c>
      <c r="Q52" s="1"/>
      <c r="R52" s="5">
        <f t="shared" si="33"/>
        <v>8.7184520566686019E-3</v>
      </c>
      <c r="S52" s="1"/>
      <c r="T52" s="1">
        <f>SUM(OSRRefT22_5x_0)</f>
        <v>2097</v>
      </c>
      <c r="U52" s="1"/>
      <c r="V52" s="5">
        <f t="shared" si="34"/>
        <v>4.7982975997071138E-3</v>
      </c>
      <c r="W52" s="1"/>
      <c r="X52" s="1">
        <f t="shared" si="35"/>
        <v>410.05000000000018</v>
      </c>
      <c r="Y52" s="1"/>
      <c r="Z52" s="5">
        <f t="shared" si="36"/>
        <v>0.19554124940391043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315.39999999999998</v>
      </c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315.39999999999998</v>
      </c>
      <c r="M53" s="2"/>
      <c r="N53" s="7">
        <f t="shared" si="32"/>
        <v>0</v>
      </c>
      <c r="O53" s="11"/>
      <c r="P53" s="6">
        <v>2507.0500000000002</v>
      </c>
      <c r="Q53" s="2"/>
      <c r="R53" s="7">
        <f t="shared" si="33"/>
        <v>8.7184520566686019E-3</v>
      </c>
      <c r="S53" s="2"/>
      <c r="T53" s="6"/>
      <c r="U53" s="2"/>
      <c r="V53" s="7">
        <f t="shared" si="34"/>
        <v>0</v>
      </c>
      <c r="W53" s="2"/>
      <c r="X53" s="6">
        <f t="shared" si="35"/>
        <v>2507.0500000000002</v>
      </c>
      <c r="Y53" s="2"/>
      <c r="Z53" s="7">
        <f t="shared" si="36"/>
        <v>0</v>
      </c>
    </row>
    <row r="54" spans="1:26" s="24" customFormat="1" hidden="1" outlineLevel="2" x14ac:dyDescent="0.25">
      <c r="A54" s="27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9"/>
        <v>0</v>
      </c>
      <c r="G54" s="2"/>
      <c r="H54" s="6">
        <v>233</v>
      </c>
      <c r="I54" s="2"/>
      <c r="J54" s="7">
        <f t="shared" si="30"/>
        <v>5.3158723278045215E-3</v>
      </c>
      <c r="K54" s="2"/>
      <c r="L54" s="6">
        <f t="shared" si="31"/>
        <v>-233</v>
      </c>
      <c r="M54" s="2"/>
      <c r="N54" s="7">
        <f t="shared" si="32"/>
        <v>-1</v>
      </c>
      <c r="O54" s="11"/>
      <c r="P54" s="6"/>
      <c r="Q54" s="2"/>
      <c r="R54" s="7">
        <f t="shared" si="33"/>
        <v>0</v>
      </c>
      <c r="S54" s="2"/>
      <c r="T54" s="6">
        <v>2097</v>
      </c>
      <c r="U54" s="2"/>
      <c r="V54" s="7">
        <f t="shared" si="34"/>
        <v>4.7982975997071138E-3</v>
      </c>
      <c r="W54" s="2"/>
      <c r="X54" s="6">
        <f t="shared" si="35"/>
        <v>-2097</v>
      </c>
      <c r="Y54" s="2"/>
      <c r="Z54" s="7">
        <f t="shared" si="36"/>
        <v>-1</v>
      </c>
    </row>
    <row r="55" spans="1:26" s="26" customFormat="1" outlineLevel="1" collapsed="1" x14ac:dyDescent="0.25">
      <c r="A55" s="25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SUM(OSRRefD22_6x_0)</f>
        <v>0</v>
      </c>
      <c r="E55" s="1"/>
      <c r="F55" s="5">
        <f t="shared" ref="F55:F63" si="37">IF(D$12=0,0,D55/D$12)</f>
        <v>0</v>
      </c>
      <c r="G55" s="1"/>
      <c r="H55" s="1">
        <f>SUM(OSRRefH22_6x_0)</f>
        <v>0</v>
      </c>
      <c r="I55" s="1"/>
      <c r="J55" s="5">
        <f t="shared" ref="J55:J63" si="38">IF(H$12=0,0,H55/H$12)</f>
        <v>0</v>
      </c>
      <c r="K55" s="1"/>
      <c r="L55" s="1">
        <f t="shared" ref="L55:L63" si="39">+D55-H55</f>
        <v>0</v>
      </c>
      <c r="M55" s="1"/>
      <c r="N55" s="5">
        <f t="shared" ref="N55:N63" si="40">IF(H55=0,0,L55/H55)</f>
        <v>0</v>
      </c>
      <c r="O55" s="12"/>
      <c r="P55" s="1">
        <f>SUM(OSRRefP22_6x_0)</f>
        <v>62.26</v>
      </c>
      <c r="Q55" s="1"/>
      <c r="R55" s="5">
        <f t="shared" ref="R55:R63" si="41">IF(P$12=0,0,P55/P$12)</f>
        <v>2.1651376121265513E-4</v>
      </c>
      <c r="S55" s="1"/>
      <c r="T55" s="1">
        <f>SUM(OSRRefT22_6x_0)</f>
        <v>0</v>
      </c>
      <c r="U55" s="1"/>
      <c r="V55" s="5">
        <f t="shared" ref="V55:V63" si="42">IF(T$12=0,0,T55/T$12)</f>
        <v>0</v>
      </c>
      <c r="W55" s="1"/>
      <c r="X55" s="1">
        <f t="shared" ref="X55:X63" si="43">+P55-T55</f>
        <v>62.26</v>
      </c>
      <c r="Y55" s="1"/>
      <c r="Z55" s="5">
        <f t="shared" ref="Z55:Z63" si="44">IF(T55=0,0,X55/T55)</f>
        <v>0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7"/>
        <v>0</v>
      </c>
      <c r="G56" s="2"/>
      <c r="H56" s="6">
        <v>0</v>
      </c>
      <c r="I56" s="2"/>
      <c r="J56" s="7">
        <f t="shared" si="38"/>
        <v>0</v>
      </c>
      <c r="K56" s="2"/>
      <c r="L56" s="6">
        <f t="shared" si="39"/>
        <v>0</v>
      </c>
      <c r="M56" s="2"/>
      <c r="N56" s="7">
        <f t="shared" si="40"/>
        <v>0</v>
      </c>
      <c r="O56" s="11"/>
      <c r="P56" s="6">
        <v>62.26</v>
      </c>
      <c r="Q56" s="2"/>
      <c r="R56" s="7">
        <f t="shared" si="41"/>
        <v>2.1651376121265513E-4</v>
      </c>
      <c r="S56" s="2"/>
      <c r="T56" s="6">
        <v>0</v>
      </c>
      <c r="U56" s="2"/>
      <c r="V56" s="7">
        <f t="shared" si="42"/>
        <v>0</v>
      </c>
      <c r="W56" s="2"/>
      <c r="X56" s="6">
        <f t="shared" si="43"/>
        <v>62.26</v>
      </c>
      <c r="Y56" s="2"/>
      <c r="Z56" s="7">
        <f t="shared" si="44"/>
        <v>0</v>
      </c>
    </row>
    <row r="57" spans="1:26" s="26" customFormat="1" outlineLevel="1" collapsed="1" x14ac:dyDescent="0.25">
      <c r="A57" s="25"/>
      <c r="B57" s="12" t="str">
        <f>CONCATENATE("     ","Equipment Rental                                  ")</f>
        <v xml:space="preserve">     Equipment Rental                                  </v>
      </c>
      <c r="C57" s="12"/>
      <c r="D57" s="1">
        <f>SUM(OSRRefD22_7x_0)</f>
        <v>0</v>
      </c>
      <c r="E57" s="1"/>
      <c r="F57" s="5">
        <f t="shared" si="37"/>
        <v>0</v>
      </c>
      <c r="G57" s="1"/>
      <c r="H57" s="1">
        <f>SUM(OSRRefH22_7x_0)</f>
        <v>0</v>
      </c>
      <c r="I57" s="1"/>
      <c r="J57" s="5">
        <f t="shared" si="38"/>
        <v>0</v>
      </c>
      <c r="K57" s="1"/>
      <c r="L57" s="1">
        <f t="shared" si="39"/>
        <v>0</v>
      </c>
      <c r="M57" s="1"/>
      <c r="N57" s="5">
        <f t="shared" si="40"/>
        <v>0</v>
      </c>
      <c r="O57" s="12"/>
      <c r="P57" s="1">
        <f>SUM(OSRRefP22_7x_0)</f>
        <v>12</v>
      </c>
      <c r="Q57" s="1"/>
      <c r="R57" s="5">
        <f t="shared" si="41"/>
        <v>4.1730888765690033E-5</v>
      </c>
      <c r="S57" s="1"/>
      <c r="T57" s="1">
        <f>SUM(OSRRefT22_7x_0)</f>
        <v>0</v>
      </c>
      <c r="U57" s="1"/>
      <c r="V57" s="5">
        <f t="shared" si="42"/>
        <v>0</v>
      </c>
      <c r="W57" s="1"/>
      <c r="X57" s="1">
        <f t="shared" si="43"/>
        <v>12</v>
      </c>
      <c r="Y57" s="1"/>
      <c r="Z57" s="5">
        <f t="shared" si="44"/>
        <v>0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12</v>
      </c>
      <c r="Q58" s="2"/>
      <c r="R58" s="7">
        <f t="shared" si="41"/>
        <v>4.1730888765690033E-5</v>
      </c>
      <c r="S58" s="2"/>
      <c r="T58" s="6"/>
      <c r="U58" s="2"/>
      <c r="V58" s="7">
        <f t="shared" si="42"/>
        <v>0</v>
      </c>
      <c r="W58" s="2"/>
      <c r="X58" s="6">
        <f t="shared" si="43"/>
        <v>12</v>
      </c>
      <c r="Y58" s="2"/>
      <c r="Z58" s="7">
        <f t="shared" si="44"/>
        <v>0</v>
      </c>
    </row>
    <row r="59" spans="1:26" s="26" customFormat="1" outlineLevel="1" collapsed="1" x14ac:dyDescent="0.25">
      <c r="A59" s="25"/>
      <c r="B59" s="12" t="str">
        <f>CONCATENATE("     ","General                                           ")</f>
        <v xml:space="preserve">     General                                           </v>
      </c>
      <c r="C59" s="12"/>
      <c r="D59" s="1">
        <f>SUM(OSRRefD22_8x_0)</f>
        <v>0</v>
      </c>
      <c r="E59" s="1"/>
      <c r="F59" s="5">
        <f t="shared" si="37"/>
        <v>0</v>
      </c>
      <c r="G59" s="1"/>
      <c r="H59" s="1">
        <f>SUM(OSRRefH22_8x_0)</f>
        <v>482</v>
      </c>
      <c r="I59" s="1"/>
      <c r="J59" s="5">
        <f t="shared" si="38"/>
        <v>1.0996783098720084E-2</v>
      </c>
      <c r="K59" s="1"/>
      <c r="L59" s="1">
        <f t="shared" si="39"/>
        <v>-482</v>
      </c>
      <c r="M59" s="1"/>
      <c r="N59" s="5">
        <f t="shared" si="40"/>
        <v>-1</v>
      </c>
      <c r="O59" s="12"/>
      <c r="P59" s="1">
        <f>SUM(OSRRefP22_8x_0)</f>
        <v>5632.39</v>
      </c>
      <c r="Q59" s="1"/>
      <c r="R59" s="5">
        <f t="shared" si="41"/>
        <v>1.9587053381248744E-2</v>
      </c>
      <c r="S59" s="1"/>
      <c r="T59" s="1">
        <f>SUM(OSRRefT22_8x_0)</f>
        <v>4765</v>
      </c>
      <c r="U59" s="1"/>
      <c r="V59" s="5">
        <f t="shared" si="42"/>
        <v>1.0903141660755554E-2</v>
      </c>
      <c r="W59" s="1"/>
      <c r="X59" s="1">
        <f t="shared" si="43"/>
        <v>867.39000000000033</v>
      </c>
      <c r="Y59" s="1"/>
      <c r="Z59" s="5">
        <f t="shared" si="44"/>
        <v>0.18203357817418686</v>
      </c>
    </row>
    <row r="60" spans="1:26" s="24" customFormat="1" hidden="1" outlineLevel="2" x14ac:dyDescent="0.25">
      <c r="A60" s="27"/>
      <c r="B60" s="11" t="str">
        <f>CONCATENATE("          ", "6279", " - ", "GENERAL EXPENSE")</f>
        <v xml:space="preserve">          6279 - GENERAL EXPENSE</v>
      </c>
      <c r="C60" s="11"/>
      <c r="D60" s="6"/>
      <c r="E60" s="2"/>
      <c r="F60" s="7">
        <f t="shared" si="37"/>
        <v>0</v>
      </c>
      <c r="G60" s="2"/>
      <c r="H60" s="6">
        <v>482</v>
      </c>
      <c r="I60" s="2"/>
      <c r="J60" s="7">
        <f t="shared" si="38"/>
        <v>1.0996783098720084E-2</v>
      </c>
      <c r="K60" s="2"/>
      <c r="L60" s="6">
        <f t="shared" si="39"/>
        <v>-482</v>
      </c>
      <c r="M60" s="2"/>
      <c r="N60" s="7">
        <f t="shared" si="40"/>
        <v>-1</v>
      </c>
      <c r="O60" s="11"/>
      <c r="P60" s="6">
        <v>5632.39</v>
      </c>
      <c r="Q60" s="2"/>
      <c r="R60" s="7">
        <f t="shared" si="41"/>
        <v>1.9587053381248744E-2</v>
      </c>
      <c r="S60" s="2"/>
      <c r="T60" s="6">
        <v>4765</v>
      </c>
      <c r="U60" s="2"/>
      <c r="V60" s="7">
        <f t="shared" si="42"/>
        <v>1.0903141660755554E-2</v>
      </c>
      <c r="W60" s="2"/>
      <c r="X60" s="6">
        <f t="shared" si="43"/>
        <v>867.39000000000033</v>
      </c>
      <c r="Y60" s="2"/>
      <c r="Z60" s="7">
        <f t="shared" si="44"/>
        <v>0.18203357817418686</v>
      </c>
    </row>
    <row r="61" spans="1:26" s="26" customFormat="1" outlineLevel="1" collapsed="1" x14ac:dyDescent="0.25">
      <c r="A61" s="25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SUM(OSRRefD22_9x_0)</f>
        <v>48.23</v>
      </c>
      <c r="E61" s="1"/>
      <c r="F61" s="5">
        <f t="shared" si="37"/>
        <v>0</v>
      </c>
      <c r="G61" s="1"/>
      <c r="H61" s="1">
        <f>SUM(OSRRefH22_9x_0)</f>
        <v>482</v>
      </c>
      <c r="I61" s="1"/>
      <c r="J61" s="5">
        <f t="shared" si="38"/>
        <v>1.0996783098720084E-2</v>
      </c>
      <c r="K61" s="1"/>
      <c r="L61" s="1">
        <f t="shared" si="39"/>
        <v>-433.77</v>
      </c>
      <c r="M61" s="1"/>
      <c r="N61" s="5">
        <f t="shared" si="40"/>
        <v>-0.89993775933609954</v>
      </c>
      <c r="O61" s="12"/>
      <c r="P61" s="1">
        <f>SUM(OSRRefP22_9x_0)</f>
        <v>7367.17</v>
      </c>
      <c r="Q61" s="1"/>
      <c r="R61" s="5">
        <f t="shared" si="41"/>
        <v>2.5619879315660721E-2</v>
      </c>
      <c r="S61" s="1"/>
      <c r="T61" s="1">
        <f>SUM(OSRRefT22_9x_0)</f>
        <v>4765</v>
      </c>
      <c r="U61" s="1"/>
      <c r="V61" s="5">
        <f t="shared" si="42"/>
        <v>1.0903141660755554E-2</v>
      </c>
      <c r="W61" s="1"/>
      <c r="X61" s="1">
        <f t="shared" si="43"/>
        <v>2602.17</v>
      </c>
      <c r="Y61" s="1"/>
      <c r="Z61" s="5">
        <f t="shared" si="44"/>
        <v>0.54610073452256036</v>
      </c>
    </row>
    <row r="62" spans="1:26" s="24" customFormat="1" hidden="1" outlineLevel="2" x14ac:dyDescent="0.25">
      <c r="A62" s="27"/>
      <c r="B62" s="11" t="str">
        <f>CONCATENATE("          ", "6373", " - ", "MAINTENANCE CONTRACTS")</f>
        <v xml:space="preserve">          6373 - MAINTENANCE CONTRACTS</v>
      </c>
      <c r="C62" s="11"/>
      <c r="D62" s="6">
        <v>48.23</v>
      </c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48.23</v>
      </c>
      <c r="M62" s="2"/>
      <c r="N62" s="7">
        <f t="shared" si="40"/>
        <v>0</v>
      </c>
      <c r="O62" s="11"/>
      <c r="P62" s="6">
        <v>189.68</v>
      </c>
      <c r="Q62" s="2"/>
      <c r="R62" s="7">
        <f t="shared" si="41"/>
        <v>6.5962624842300717E-4</v>
      </c>
      <c r="S62" s="2"/>
      <c r="T62" s="6"/>
      <c r="U62" s="2"/>
      <c r="V62" s="7">
        <f t="shared" si="42"/>
        <v>0</v>
      </c>
      <c r="W62" s="2"/>
      <c r="X62" s="6">
        <f t="shared" si="43"/>
        <v>189.68</v>
      </c>
      <c r="Y62" s="2"/>
      <c r="Z62" s="7">
        <f t="shared" si="44"/>
        <v>0</v>
      </c>
    </row>
    <row r="63" spans="1:26" s="24" customFormat="1" hidden="1" outlineLevel="2" x14ac:dyDescent="0.25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37"/>
        <v>0</v>
      </c>
      <c r="G63" s="2"/>
      <c r="H63" s="6">
        <v>482</v>
      </c>
      <c r="I63" s="2"/>
      <c r="J63" s="7">
        <f t="shared" si="38"/>
        <v>1.0996783098720084E-2</v>
      </c>
      <c r="K63" s="2"/>
      <c r="L63" s="6">
        <f t="shared" si="39"/>
        <v>-482</v>
      </c>
      <c r="M63" s="2"/>
      <c r="N63" s="7">
        <f t="shared" si="40"/>
        <v>-1</v>
      </c>
      <c r="O63" s="11"/>
      <c r="P63" s="6">
        <v>7177.49</v>
      </c>
      <c r="Q63" s="2"/>
      <c r="R63" s="7">
        <f t="shared" si="41"/>
        <v>2.4960253067237714E-2</v>
      </c>
      <c r="S63" s="2"/>
      <c r="T63" s="6">
        <v>4765</v>
      </c>
      <c r="U63" s="2"/>
      <c r="V63" s="7">
        <f t="shared" si="42"/>
        <v>1.0903141660755554E-2</v>
      </c>
      <c r="W63" s="2"/>
      <c r="X63" s="6">
        <f t="shared" si="43"/>
        <v>2412.4899999999998</v>
      </c>
      <c r="Y63" s="2"/>
      <c r="Z63" s="7">
        <f t="shared" si="44"/>
        <v>0.50629380902413423</v>
      </c>
    </row>
    <row r="64" spans="1:26" s="26" customFormat="1" outlineLevel="1" collapsed="1" x14ac:dyDescent="0.25">
      <c r="A64" s="25"/>
      <c r="B64" s="12" t="str">
        <f>CONCATENATE("     ","Services                                          ")</f>
        <v xml:space="preserve">     Services                                          </v>
      </c>
      <c r="C64" s="12"/>
      <c r="D64" s="1">
        <f>SUM(OSRRefD22_10x_0)</f>
        <v>1595.02</v>
      </c>
      <c r="E64" s="1"/>
      <c r="F64" s="5">
        <f t="shared" ref="F64:F67" si="45">IF(D$12=0,0,D64/D$12)</f>
        <v>0</v>
      </c>
      <c r="G64" s="1"/>
      <c r="H64" s="1">
        <f>SUM(OSRRefH22_10x_0)</f>
        <v>394</v>
      </c>
      <c r="I64" s="1"/>
      <c r="J64" s="5">
        <f t="shared" ref="J64:J67" si="46">IF(H$12=0,0,H64/H$12)</f>
        <v>8.989071661609364E-3</v>
      </c>
      <c r="K64" s="1"/>
      <c r="L64" s="1">
        <f t="shared" ref="L64:L67" si="47">+D64-H64</f>
        <v>1201.02</v>
      </c>
      <c r="M64" s="1"/>
      <c r="N64" s="5">
        <f t="shared" ref="N64:N67" si="48">IF(H64=0,0,L64/H64)</f>
        <v>3.0482741116751271</v>
      </c>
      <c r="O64" s="12"/>
      <c r="P64" s="1">
        <f>SUM(OSRRefP22_10x_0)</f>
        <v>5552.1</v>
      </c>
      <c r="Q64" s="1"/>
      <c r="R64" s="5">
        <f t="shared" ref="R64:R67" si="49">IF(P$12=0,0,P64/P$12)</f>
        <v>1.9307838959665639E-2</v>
      </c>
      <c r="S64" s="1"/>
      <c r="T64" s="1">
        <f>SUM(OSRRefT22_10x_0)</f>
        <v>3897</v>
      </c>
      <c r="U64" s="1"/>
      <c r="V64" s="5">
        <f t="shared" ref="V64:V67" si="50">IF(T$12=0,0,T64/T$12)</f>
        <v>8.9170079857218039E-3</v>
      </c>
      <c r="W64" s="1"/>
      <c r="X64" s="1">
        <f t="shared" ref="X64:X67" si="51">+P64-T64</f>
        <v>1655.1000000000004</v>
      </c>
      <c r="Y64" s="1"/>
      <c r="Z64" s="5">
        <f t="shared" ref="Z64:Z67" si="52">IF(T64=0,0,X64/T64)</f>
        <v>0.42471131639722876</v>
      </c>
    </row>
    <row r="65" spans="1:26" s="24" customFormat="1" hidden="1" outlineLevel="2" x14ac:dyDescent="0.25">
      <c r="A65" s="27"/>
      <c r="B65" s="11" t="str">
        <f>CONCATENATE("          ", "6282", " - ", "JANITORIAL/EXTERMINATOR EXPENS")</f>
        <v xml:space="preserve">          6282 - JANITORIAL/EXTERMINATOR EXPENS</v>
      </c>
      <c r="C65" s="11"/>
      <c r="D65" s="6">
        <v>186</v>
      </c>
      <c r="E65" s="2"/>
      <c r="F65" s="7">
        <f t="shared" si="45"/>
        <v>0</v>
      </c>
      <c r="G65" s="2"/>
      <c r="H65" s="6">
        <v>394</v>
      </c>
      <c r="I65" s="2"/>
      <c r="J65" s="7">
        <f t="shared" si="46"/>
        <v>8.989071661609364E-3</v>
      </c>
      <c r="K65" s="2"/>
      <c r="L65" s="6">
        <f t="shared" si="47"/>
        <v>-208</v>
      </c>
      <c r="M65" s="2"/>
      <c r="N65" s="7">
        <f t="shared" si="48"/>
        <v>-0.52791878172588835</v>
      </c>
      <c r="O65" s="11"/>
      <c r="P65" s="6">
        <v>3651.3</v>
      </c>
      <c r="Q65" s="2"/>
      <c r="R65" s="7">
        <f t="shared" si="49"/>
        <v>1.2697666179180337E-2</v>
      </c>
      <c r="S65" s="2"/>
      <c r="T65" s="6">
        <v>3897</v>
      </c>
      <c r="U65" s="2"/>
      <c r="V65" s="7">
        <f t="shared" si="50"/>
        <v>8.9170079857218039E-3</v>
      </c>
      <c r="W65" s="2"/>
      <c r="X65" s="6">
        <f t="shared" si="51"/>
        <v>-245.69999999999982</v>
      </c>
      <c r="Y65" s="2"/>
      <c r="Z65" s="7">
        <f t="shared" si="52"/>
        <v>-6.3048498845265546E-2</v>
      </c>
    </row>
    <row r="66" spans="1:26" s="24" customFormat="1" hidden="1" outlineLevel="2" x14ac:dyDescent="0.25">
      <c r="A66" s="27"/>
      <c r="B66" s="11" t="str">
        <f>CONCATENATE("          ", "6285", " - ", "JANITORIAL SERVICES")</f>
        <v xml:space="preserve">          6285 - JANITORIAL SERVICES</v>
      </c>
      <c r="C66" s="11"/>
      <c r="D66" s="6">
        <v>1409.02</v>
      </c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1409.02</v>
      </c>
      <c r="M66" s="2"/>
      <c r="N66" s="7">
        <f t="shared" si="48"/>
        <v>0</v>
      </c>
      <c r="O66" s="11"/>
      <c r="P66" s="6">
        <v>1714.8</v>
      </c>
      <c r="Q66" s="2"/>
      <c r="R66" s="7">
        <f t="shared" si="49"/>
        <v>5.9633440046171059E-3</v>
      </c>
      <c r="S66" s="2"/>
      <c r="T66" s="6"/>
      <c r="U66" s="2"/>
      <c r="V66" s="7">
        <f t="shared" si="50"/>
        <v>0</v>
      </c>
      <c r="W66" s="2"/>
      <c r="X66" s="6">
        <f t="shared" si="51"/>
        <v>1714.8</v>
      </c>
      <c r="Y66" s="2"/>
      <c r="Z66" s="7">
        <f t="shared" si="52"/>
        <v>0</v>
      </c>
    </row>
    <row r="67" spans="1:26" s="24" customFormat="1" hidden="1" outlineLevel="2" x14ac:dyDescent="0.25">
      <c r="A67" s="27"/>
      <c r="B67" s="11" t="str">
        <f>CONCATENATE("          ", "6286", " - ", "LAUNDRY EXPENSE")</f>
        <v xml:space="preserve">          6286 - LAUNDRY EXPENSE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>
        <v>186</v>
      </c>
      <c r="Q67" s="2"/>
      <c r="R67" s="7">
        <f t="shared" si="49"/>
        <v>6.4682877586819554E-4</v>
      </c>
      <c r="S67" s="2"/>
      <c r="T67" s="6"/>
      <c r="U67" s="2"/>
      <c r="V67" s="7">
        <f t="shared" si="50"/>
        <v>0</v>
      </c>
      <c r="W67" s="2"/>
      <c r="X67" s="6">
        <f t="shared" si="51"/>
        <v>186</v>
      </c>
      <c r="Y67" s="2"/>
      <c r="Z67" s="7">
        <f t="shared" si="52"/>
        <v>0</v>
      </c>
    </row>
    <row r="68" spans="1:26" s="26" customFormat="1" outlineLevel="1" collapsed="1" x14ac:dyDescent="0.25">
      <c r="A68" s="25"/>
      <c r="B68" s="12" t="str">
        <f>CONCATENATE("     ","Supplies                                          ")</f>
        <v xml:space="preserve">     Supplies                                          </v>
      </c>
      <c r="C68" s="12"/>
      <c r="D68" s="1">
        <f>SUM(OSRRefD22_11x_0)</f>
        <v>0</v>
      </c>
      <c r="E68" s="1"/>
      <c r="F68" s="5">
        <f t="shared" ref="F68:F71" si="53">IF(D$12=0,0,D68/D$12)</f>
        <v>0</v>
      </c>
      <c r="G68" s="1"/>
      <c r="H68" s="1">
        <f>SUM(OSRRefH22_11x_0)</f>
        <v>657</v>
      </c>
      <c r="I68" s="1"/>
      <c r="J68" s="5">
        <f t="shared" ref="J68:J71" si="54">IF(H$12=0,0,H68/H$12)</f>
        <v>1.4989391070247085E-2</v>
      </c>
      <c r="K68" s="1"/>
      <c r="L68" s="1">
        <f t="shared" ref="L68:L71" si="55">+D68-H68</f>
        <v>-657</v>
      </c>
      <c r="M68" s="1"/>
      <c r="N68" s="5">
        <f t="shared" ref="N68:N71" si="56">IF(H68=0,0,L68/H68)</f>
        <v>-1</v>
      </c>
      <c r="O68" s="12"/>
      <c r="P68" s="1">
        <f>SUM(OSRRefP22_11x_0)</f>
        <v>10479.52</v>
      </c>
      <c r="Q68" s="1"/>
      <c r="R68" s="5">
        <f t="shared" ref="R68:R71" si="57">IF(P$12=0,0,P68/P$12)</f>
        <v>3.6443306953152003E-2</v>
      </c>
      <c r="S68" s="1"/>
      <c r="T68" s="1">
        <f>SUM(OSRRefT22_11x_0)</f>
        <v>6554</v>
      </c>
      <c r="U68" s="1"/>
      <c r="V68" s="5">
        <f t="shared" ref="V68:V71" si="58">IF(T$12=0,0,T68/T$12)</f>
        <v>1.4996682149966821E-2</v>
      </c>
      <c r="W68" s="1"/>
      <c r="X68" s="1">
        <f t="shared" ref="X68:X71" si="59">+P68-T68</f>
        <v>3925.5200000000004</v>
      </c>
      <c r="Y68" s="1"/>
      <c r="Z68" s="5">
        <f t="shared" ref="Z68:Z71" si="60">IF(T68=0,0,X68/T68)</f>
        <v>0.59895025938358259</v>
      </c>
    </row>
    <row r="69" spans="1:26" s="24" customFormat="1" hidden="1" outlineLevel="2" x14ac:dyDescent="0.25">
      <c r="A69" s="27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3"/>
        <v>0</v>
      </c>
      <c r="G69" s="2"/>
      <c r="H69" s="6"/>
      <c r="I69" s="2"/>
      <c r="J69" s="7">
        <f t="shared" si="54"/>
        <v>0</v>
      </c>
      <c r="K69" s="2"/>
      <c r="L69" s="6">
        <f t="shared" si="55"/>
        <v>0</v>
      </c>
      <c r="M69" s="2"/>
      <c r="N69" s="7">
        <f t="shared" si="56"/>
        <v>0</v>
      </c>
      <c r="O69" s="11"/>
      <c r="P69" s="6">
        <v>1096.97</v>
      </c>
      <c r="Q69" s="2"/>
      <c r="R69" s="7">
        <f t="shared" si="57"/>
        <v>3.8147944207749165E-3</v>
      </c>
      <c r="S69" s="2"/>
      <c r="T69" s="6"/>
      <c r="U69" s="2"/>
      <c r="V69" s="7">
        <f t="shared" si="58"/>
        <v>0</v>
      </c>
      <c r="W69" s="2"/>
      <c r="X69" s="6">
        <f t="shared" si="59"/>
        <v>1096.97</v>
      </c>
      <c r="Y69" s="2"/>
      <c r="Z69" s="7">
        <f t="shared" si="60"/>
        <v>0</v>
      </c>
    </row>
    <row r="70" spans="1:26" s="24" customFormat="1" hidden="1" outlineLevel="2" x14ac:dyDescent="0.25">
      <c r="A70" s="27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741.91</v>
      </c>
      <c r="Q70" s="2"/>
      <c r="R70" s="7">
        <f t="shared" si="57"/>
        <v>2.5800469736794243E-3</v>
      </c>
      <c r="S70" s="2"/>
      <c r="T70" s="6"/>
      <c r="U70" s="2"/>
      <c r="V70" s="7">
        <f t="shared" si="58"/>
        <v>0</v>
      </c>
      <c r="W70" s="2"/>
      <c r="X70" s="6">
        <f t="shared" si="59"/>
        <v>741.91</v>
      </c>
      <c r="Y70" s="2"/>
      <c r="Z70" s="7">
        <f t="shared" si="60"/>
        <v>0</v>
      </c>
    </row>
    <row r="71" spans="1:26" s="24" customFormat="1" hidden="1" outlineLevel="2" x14ac:dyDescent="0.25">
      <c r="A71" s="27"/>
      <c r="B71" s="11" t="str">
        <f>CONCATENATE("          ", "6247", " - ", "STORE SUPPLIES")</f>
        <v xml:space="preserve">          6247 - STORE SUPPLIES</v>
      </c>
      <c r="C71" s="11"/>
      <c r="D71" s="6"/>
      <c r="E71" s="2"/>
      <c r="F71" s="7">
        <f t="shared" si="53"/>
        <v>0</v>
      </c>
      <c r="G71" s="2"/>
      <c r="H71" s="6">
        <v>657</v>
      </c>
      <c r="I71" s="2"/>
      <c r="J71" s="7">
        <f t="shared" si="54"/>
        <v>1.4989391070247085E-2</v>
      </c>
      <c r="K71" s="2"/>
      <c r="L71" s="6">
        <f t="shared" si="55"/>
        <v>-657</v>
      </c>
      <c r="M71" s="2"/>
      <c r="N71" s="7">
        <f t="shared" si="56"/>
        <v>-1</v>
      </c>
      <c r="O71" s="11"/>
      <c r="P71" s="6">
        <v>8640.64</v>
      </c>
      <c r="Q71" s="2"/>
      <c r="R71" s="7">
        <f t="shared" si="57"/>
        <v>3.0048465558697661E-2</v>
      </c>
      <c r="S71" s="2"/>
      <c r="T71" s="6">
        <v>6554</v>
      </c>
      <c r="U71" s="2"/>
      <c r="V71" s="7">
        <f t="shared" si="58"/>
        <v>1.4996682149966821E-2</v>
      </c>
      <c r="W71" s="2"/>
      <c r="X71" s="6">
        <f t="shared" si="59"/>
        <v>2086.6399999999994</v>
      </c>
      <c r="Y71" s="2"/>
      <c r="Z71" s="7">
        <f t="shared" si="60"/>
        <v>0.31837656393042407</v>
      </c>
    </row>
    <row r="72" spans="1:26" s="26" customFormat="1" outlineLevel="1" collapsed="1" x14ac:dyDescent="0.25">
      <c r="A72" s="25"/>
      <c r="B72" s="12" t="str">
        <f>CONCATENATE("     ","Telephone/Data Lines                              ")</f>
        <v xml:space="preserve">     Telephone/Data Lines                              </v>
      </c>
      <c r="C72" s="12"/>
      <c r="D72" s="1">
        <f>SUM(OSRRefD22_12x_0)</f>
        <v>69.010000000000005</v>
      </c>
      <c r="E72" s="1"/>
      <c r="F72" s="5">
        <f t="shared" ref="F72:F75" si="61">IF(D$12=0,0,D72/D$12)</f>
        <v>0</v>
      </c>
      <c r="G72" s="1"/>
      <c r="H72" s="1">
        <f>SUM(OSRRefH22_12x_0)</f>
        <v>75</v>
      </c>
      <c r="I72" s="1"/>
      <c r="J72" s="5">
        <f t="shared" ref="J72:J75" si="62">IF(H$12=0,0,H72/H$12)</f>
        <v>1.7111177020830005E-3</v>
      </c>
      <c r="K72" s="1"/>
      <c r="L72" s="1">
        <f t="shared" ref="L72:L75" si="63">+D72-H72</f>
        <v>-5.9899999999999949</v>
      </c>
      <c r="M72" s="1"/>
      <c r="N72" s="5">
        <f t="shared" ref="N72:N75" si="64">IF(H72=0,0,L72/H72)</f>
        <v>-7.98666666666666E-2</v>
      </c>
      <c r="O72" s="12"/>
      <c r="P72" s="1">
        <f>SUM(OSRRefP22_12x_0)</f>
        <v>1032.1099999999999</v>
      </c>
      <c r="Q72" s="1"/>
      <c r="R72" s="5">
        <f t="shared" ref="R72:R75" si="65">IF(P$12=0,0,P72/P$12)</f>
        <v>3.5892389669963617E-3</v>
      </c>
      <c r="S72" s="1"/>
      <c r="T72" s="1">
        <f>SUM(OSRRefT22_12x_0)</f>
        <v>900</v>
      </c>
      <c r="U72" s="1"/>
      <c r="V72" s="5">
        <f t="shared" ref="V72:V75" si="66">IF(T$12=0,0,T72/T$12)</f>
        <v>2.059355193007345E-3</v>
      </c>
      <c r="W72" s="1"/>
      <c r="X72" s="1">
        <f t="shared" ref="X72:X75" si="67">+P72-T72</f>
        <v>132.1099999999999</v>
      </c>
      <c r="Y72" s="1"/>
      <c r="Z72" s="5">
        <f t="shared" ref="Z72:Z75" si="68">IF(T72=0,0,X72/T72)</f>
        <v>0.14678888888888877</v>
      </c>
    </row>
    <row r="73" spans="1:26" s="24" customFormat="1" hidden="1" outlineLevel="2" x14ac:dyDescent="0.25">
      <c r="A73" s="27"/>
      <c r="B73" s="11" t="str">
        <f>CONCATENATE("          ", "6309", " - ", "TELEPHONE")</f>
        <v xml:space="preserve">          6309 - TELEPHONE</v>
      </c>
      <c r="C73" s="11"/>
      <c r="D73" s="6">
        <v>69.010000000000005</v>
      </c>
      <c r="E73" s="2"/>
      <c r="F73" s="7">
        <f t="shared" si="61"/>
        <v>0</v>
      </c>
      <c r="G73" s="2"/>
      <c r="H73" s="6">
        <v>75</v>
      </c>
      <c r="I73" s="2"/>
      <c r="J73" s="7">
        <f t="shared" si="62"/>
        <v>1.7111177020830005E-3</v>
      </c>
      <c r="K73" s="2"/>
      <c r="L73" s="6">
        <f t="shared" si="63"/>
        <v>-5.9899999999999949</v>
      </c>
      <c r="M73" s="2"/>
      <c r="N73" s="7">
        <f t="shared" si="64"/>
        <v>-7.98666666666666E-2</v>
      </c>
      <c r="O73" s="11"/>
      <c r="P73" s="6">
        <v>1032.1099999999999</v>
      </c>
      <c r="Q73" s="2"/>
      <c r="R73" s="7">
        <f t="shared" si="65"/>
        <v>3.5892389669963617E-3</v>
      </c>
      <c r="S73" s="2"/>
      <c r="T73" s="6">
        <v>900</v>
      </c>
      <c r="U73" s="2"/>
      <c r="V73" s="7">
        <f t="shared" si="66"/>
        <v>2.059355193007345E-3</v>
      </c>
      <c r="W73" s="2"/>
      <c r="X73" s="6">
        <f t="shared" si="67"/>
        <v>132.1099999999999</v>
      </c>
      <c r="Y73" s="2"/>
      <c r="Z73" s="7">
        <f t="shared" si="68"/>
        <v>0.14678888888888877</v>
      </c>
    </row>
    <row r="74" spans="1:26" s="26" customFormat="1" outlineLevel="1" collapsed="1" x14ac:dyDescent="0.25">
      <c r="A74" s="25"/>
      <c r="B74" s="12" t="str">
        <f>CONCATENATE("     ","Training                                          ")</f>
        <v xml:space="preserve">     Training                                          </v>
      </c>
      <c r="C74" s="12"/>
      <c r="D74" s="1">
        <f>SUM(OSRRefD22_13x_0)</f>
        <v>0</v>
      </c>
      <c r="E74" s="1"/>
      <c r="F74" s="5">
        <f t="shared" si="61"/>
        <v>0</v>
      </c>
      <c r="G74" s="1"/>
      <c r="H74" s="1">
        <f>SUM(OSRRefH22_13x_0)</f>
        <v>0</v>
      </c>
      <c r="I74" s="1"/>
      <c r="J74" s="5">
        <f t="shared" si="62"/>
        <v>0</v>
      </c>
      <c r="K74" s="1"/>
      <c r="L74" s="1">
        <f t="shared" si="63"/>
        <v>0</v>
      </c>
      <c r="M74" s="1"/>
      <c r="N74" s="5">
        <f t="shared" si="64"/>
        <v>0</v>
      </c>
      <c r="O74" s="12"/>
      <c r="P74" s="1">
        <f>SUM(OSRRefP22_13x_0)</f>
        <v>0</v>
      </c>
      <c r="Q74" s="1"/>
      <c r="R74" s="5">
        <f t="shared" si="65"/>
        <v>0</v>
      </c>
      <c r="S74" s="1"/>
      <c r="T74" s="1">
        <f>SUM(OSRRefT22_13x_0)</f>
        <v>1000</v>
      </c>
      <c r="U74" s="1"/>
      <c r="V74" s="5">
        <f t="shared" si="66"/>
        <v>2.288172436674828E-3</v>
      </c>
      <c r="W74" s="1"/>
      <c r="X74" s="1">
        <f t="shared" si="67"/>
        <v>-1000</v>
      </c>
      <c r="Y74" s="1"/>
      <c r="Z74" s="5">
        <f t="shared" si="68"/>
        <v>-1</v>
      </c>
    </row>
    <row r="75" spans="1:26" s="24" customFormat="1" hidden="1" outlineLevel="2" x14ac:dyDescent="0.25">
      <c r="A75" s="27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61"/>
        <v>0</v>
      </c>
      <c r="G75" s="2"/>
      <c r="H75" s="6"/>
      <c r="I75" s="2"/>
      <c r="J75" s="7">
        <f t="shared" si="62"/>
        <v>0</v>
      </c>
      <c r="K75" s="2"/>
      <c r="L75" s="6">
        <f t="shared" si="63"/>
        <v>0</v>
      </c>
      <c r="M75" s="2"/>
      <c r="N75" s="7">
        <f t="shared" si="64"/>
        <v>0</v>
      </c>
      <c r="O75" s="11"/>
      <c r="P75" s="6"/>
      <c r="Q75" s="2"/>
      <c r="R75" s="7">
        <f t="shared" si="65"/>
        <v>0</v>
      </c>
      <c r="S75" s="2"/>
      <c r="T75" s="6">
        <v>1000</v>
      </c>
      <c r="U75" s="2"/>
      <c r="V75" s="7">
        <f t="shared" si="66"/>
        <v>2.288172436674828E-3</v>
      </c>
      <c r="W75" s="2"/>
      <c r="X75" s="6">
        <f t="shared" si="67"/>
        <v>-1000</v>
      </c>
      <c r="Y75" s="2"/>
      <c r="Z75" s="7">
        <f t="shared" si="68"/>
        <v>-1</v>
      </c>
    </row>
    <row r="76" spans="1:26" s="60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0</v>
      </c>
      <c r="C77" s="10"/>
      <c r="D77" s="4">
        <f>SUM(0)</f>
        <v>0</v>
      </c>
      <c r="E77" s="4"/>
      <c r="F77" s="13">
        <f>IF(D$12=0,0,D77/D$12)</f>
        <v>0</v>
      </c>
      <c r="G77" s="4"/>
      <c r="H77" s="4">
        <f>SUM(0)</f>
        <v>0</v>
      </c>
      <c r="I77" s="4"/>
      <c r="J77" s="13">
        <f>IF(H$12=0,0,H77/H$12)</f>
        <v>0</v>
      </c>
      <c r="K77" s="4"/>
      <c r="L77" s="4">
        <f>+D77-H77</f>
        <v>0</v>
      </c>
      <c r="M77" s="4"/>
      <c r="N77" s="13">
        <f>IF(H77=0,0,L77/H77)</f>
        <v>0</v>
      </c>
      <c r="O77" s="10"/>
      <c r="P77" s="4">
        <f>SUM(0)</f>
        <v>0</v>
      </c>
      <c r="Q77" s="4"/>
      <c r="R77" s="13">
        <f>IF(P$12=0,0,P77/P$12)</f>
        <v>0</v>
      </c>
      <c r="S77" s="4"/>
      <c r="T77" s="4">
        <f>SUM(0)</f>
        <v>0</v>
      </c>
      <c r="U77" s="4"/>
      <c r="V77" s="13">
        <f>IF(T$12=0,0,T77/T$12)</f>
        <v>0</v>
      </c>
      <c r="W77" s="4"/>
      <c r="X77" s="4">
        <f>+P77-T77</f>
        <v>0</v>
      </c>
      <c r="Y77" s="4"/>
      <c r="Z77" s="13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9" t="s">
        <v>3</v>
      </c>
      <c r="C79" s="29"/>
      <c r="D79" s="22">
        <f>+D22-D24+D77</f>
        <v>-2861.75</v>
      </c>
      <c r="E79" s="14"/>
      <c r="F79" s="20">
        <f>IF(D$12=0,0,D79/D$12)</f>
        <v>0</v>
      </c>
      <c r="G79" s="14"/>
      <c r="H79" s="22">
        <f>+H22-H24+H77</f>
        <v>12981.988810935381</v>
      </c>
      <c r="I79" s="14"/>
      <c r="J79" s="20">
        <f>IF(H$12=0,0,H79/H$12)</f>
        <v>0.29618281150179965</v>
      </c>
      <c r="K79" s="15"/>
      <c r="L79" s="22">
        <f>+D79-H79</f>
        <v>-15843.738810935381</v>
      </c>
      <c r="M79" s="15"/>
      <c r="N79" s="20">
        <f>IF(H79=0,0,L79/H79)</f>
        <v>-1.2204400297733584</v>
      </c>
      <c r="O79" s="28"/>
      <c r="P79" s="22">
        <f>+P22-P24+P77</f>
        <v>-235.19000000003143</v>
      </c>
      <c r="Q79" s="14"/>
      <c r="R79" s="20">
        <f>IF(P$12=0,0,P79/P$12)</f>
        <v>-8.1789064406699596E-4</v>
      </c>
      <c r="S79" s="14"/>
      <c r="T79" s="22">
        <f>+T22-T24+T77</f>
        <v>60631.003884579957</v>
      </c>
      <c r="U79" s="14"/>
      <c r="V79" s="20">
        <f>IF(T$12=0,0,T79/T$12)</f>
        <v>0.13873419189662028</v>
      </c>
      <c r="W79" s="15"/>
      <c r="X79" s="22">
        <f>+P79-T79</f>
        <v>-60866.193884579989</v>
      </c>
      <c r="Y79" s="15"/>
      <c r="Z79" s="20">
        <f>IF(T79=0,0,X79/T79)</f>
        <v>-1.0038790385270175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9494.6</v>
      </c>
      <c r="E81" s="4"/>
      <c r="F81" s="13">
        <f>IF(D$12=0,0,D81/D$12)</f>
        <v>0</v>
      </c>
      <c r="G81" s="4"/>
      <c r="H81" s="4">
        <v>10997</v>
      </c>
      <c r="I81" s="4"/>
      <c r="J81" s="13">
        <f>IF(H$12=0,0,H81/H$12)</f>
        <v>0.25089548493075675</v>
      </c>
      <c r="K81" s="4"/>
      <c r="L81" s="4">
        <f>+D81-H81</f>
        <v>-1502.3999999999996</v>
      </c>
      <c r="M81" s="4"/>
      <c r="N81" s="13">
        <f>IF(H81=0,0,L81/H81)</f>
        <v>-0.13661907793034461</v>
      </c>
      <c r="O81" s="10"/>
      <c r="P81" s="4">
        <v>43547.24</v>
      </c>
      <c r="Q81" s="4"/>
      <c r="R81" s="13">
        <f>IF(P$12=0,0,P81/P$12)</f>
        <v>0.15143875237440063</v>
      </c>
      <c r="S81" s="4"/>
      <c r="T81" s="4">
        <v>56539</v>
      </c>
      <c r="U81" s="4"/>
      <c r="V81" s="13">
        <f>IF(T$12=0,0,T81/T$12)</f>
        <v>0.12937098139715808</v>
      </c>
      <c r="W81" s="4"/>
      <c r="X81" s="4">
        <f>+P81-T81</f>
        <v>-12991.760000000002</v>
      </c>
      <c r="Y81" s="4"/>
      <c r="Z81" s="13">
        <f>IF(T81=0,0,X81/T81)</f>
        <v>-0.22978404287306112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4</v>
      </c>
      <c r="C83" s="29"/>
      <c r="D83" s="31">
        <f>+D79-D81</f>
        <v>-12356.35</v>
      </c>
      <c r="E83" s="14"/>
      <c r="F83" s="33">
        <f>IF(D$12=0,0,D83/D$12)</f>
        <v>0</v>
      </c>
      <c r="G83" s="14"/>
      <c r="H83" s="31">
        <f>+H79-H81</f>
        <v>1984.9888109353815</v>
      </c>
      <c r="I83" s="14"/>
      <c r="J83" s="33">
        <f>IF(H$12=0,0,H83/H$12)</f>
        <v>4.5287326571042903E-2</v>
      </c>
      <c r="K83" s="15"/>
      <c r="L83" s="31">
        <f>D83-H83</f>
        <v>-14341.338810935382</v>
      </c>
      <c r="M83" s="15"/>
      <c r="N83" s="33">
        <f>IF(H83=0,0,L83/H83)</f>
        <v>-7.2248965495061643</v>
      </c>
      <c r="O83" s="28"/>
      <c r="P83" s="31">
        <f>+P79-P81</f>
        <v>-43782.430000000029</v>
      </c>
      <c r="Q83" s="14"/>
      <c r="R83" s="33">
        <f>IF(P$12=0,0,P83/P$12)</f>
        <v>-0.15225664301846764</v>
      </c>
      <c r="S83" s="14"/>
      <c r="T83" s="31">
        <f>+T79-T81</f>
        <v>4092.0038845799572</v>
      </c>
      <c r="U83" s="14"/>
      <c r="V83" s="33">
        <f>IF(T$12=0,0,T83/T$12)</f>
        <v>9.363210499462182E-3</v>
      </c>
      <c r="W83" s="15"/>
      <c r="X83" s="31">
        <f>P83-T83</f>
        <v>-47874.433884579987</v>
      </c>
      <c r="Y83" s="15"/>
      <c r="Z83" s="33">
        <f>IF(T83=0,0,X83/T83)</f>
        <v>-11.69950841566571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5</v>
      </c>
      <c r="C86" s="29"/>
      <c r="D86" s="34">
        <f>SUM(D83:D85)</f>
        <v>-12356.35</v>
      </c>
      <c r="E86" s="14"/>
      <c r="F86" s="35">
        <f>IF(D$12=0,0,D86/D$12)</f>
        <v>0</v>
      </c>
      <c r="G86" s="14"/>
      <c r="H86" s="34">
        <f>SUM(H83:H85)</f>
        <v>1984.9888109353815</v>
      </c>
      <c r="I86" s="14"/>
      <c r="J86" s="35">
        <f>IF(H$12=0,0,H86/H$12)</f>
        <v>4.5287326571042903E-2</v>
      </c>
      <c r="K86" s="15"/>
      <c r="L86" s="34">
        <f>+D86-H86</f>
        <v>-14341.338810935382</v>
      </c>
      <c r="M86" s="15"/>
      <c r="N86" s="35">
        <f>IF(H86=0,0,L86/H86)</f>
        <v>-7.2248965495061643</v>
      </c>
      <c r="O86" s="28"/>
      <c r="P86" s="34">
        <f>SUM(P83:P85)</f>
        <v>-43782.430000000029</v>
      </c>
      <c r="Q86" s="14"/>
      <c r="R86" s="35">
        <f>IF(P$12=0,0,P86/P$12)</f>
        <v>-0.15225664301846764</v>
      </c>
      <c r="S86" s="14"/>
      <c r="T86" s="34">
        <f>SUM(T83:T85)</f>
        <v>4092.0038845799572</v>
      </c>
      <c r="U86" s="14"/>
      <c r="V86" s="35">
        <f>IF(T$12=0,0,T86/T$12)</f>
        <v>9.363210499462182E-3</v>
      </c>
      <c r="W86" s="15"/>
      <c r="X86" s="34">
        <f>+P86-T86</f>
        <v>-47874.433884579987</v>
      </c>
      <c r="Y86" s="15"/>
      <c r="Z86" s="35">
        <f>IF(T86=0,0,X86/T86)</f>
        <v>-11.69950841566571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5">
        <v>44043.473368981482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62" t="s">
        <v>314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3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","313", " - ", "Convenience Store")</f>
        <v>Department 313 - Convenience Store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119.47</v>
      </c>
      <c r="E12" s="4"/>
      <c r="F12" s="13"/>
      <c r="G12" s="4"/>
      <c r="H12" s="4">
        <f>SUM(OSRRefH13x_0)</f>
        <v>18281</v>
      </c>
      <c r="I12" s="4"/>
      <c r="J12" s="13"/>
      <c r="K12" s="4"/>
      <c r="L12" s="4">
        <f t="shared" ref="L12:L20" si="0">+D12-H12</f>
        <v>-18161.53</v>
      </c>
      <c r="M12" s="4"/>
      <c r="N12" s="13">
        <f t="shared" ref="N12:N20" si="1">IF(H12=0,0,L12/H12)</f>
        <v>-0.99346479951862587</v>
      </c>
      <c r="O12" s="10"/>
      <c r="P12" s="4">
        <f>SUM(OSRRefP13x_0)</f>
        <v>496002.20000000007</v>
      </c>
      <c r="Q12" s="4"/>
      <c r="R12" s="13"/>
      <c r="S12" s="4"/>
      <c r="T12" s="4">
        <f>SUM(OSRRefT13x_0)</f>
        <v>636844</v>
      </c>
      <c r="U12" s="4"/>
      <c r="V12" s="13"/>
      <c r="W12" s="4"/>
      <c r="X12" s="4">
        <f t="shared" ref="X12:X20" si="2">+P12-T12</f>
        <v>-140841.79999999993</v>
      </c>
      <c r="Y12" s="4"/>
      <c r="Z12" s="13">
        <f t="shared" ref="Z12:Z20" si="3">IF(T12=0,0,X12/T12)</f>
        <v>-0.22115588747008674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--104992.39</f>
        <v>104992.39</v>
      </c>
      <c r="Q13" s="2"/>
      <c r="R13" s="19"/>
      <c r="S13" s="2"/>
      <c r="T13" s="2"/>
      <c r="U13" s="2"/>
      <c r="V13" s="19"/>
      <c r="W13" s="2"/>
      <c r="X13" s="2">
        <f t="shared" si="2"/>
        <v>104992.39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--3121.95</f>
        <v>3121.95</v>
      </c>
      <c r="Q14" s="2"/>
      <c r="R14" s="19"/>
      <c r="S14" s="2"/>
      <c r="T14" s="2"/>
      <c r="U14" s="2"/>
      <c r="V14" s="19"/>
      <c r="W14" s="2"/>
      <c r="X14" s="2">
        <f t="shared" si="2"/>
        <v>3121.95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18281</v>
      </c>
      <c r="I15" s="2"/>
      <c r="J15" s="19"/>
      <c r="K15" s="2"/>
      <c r="L15" s="2">
        <f t="shared" si="0"/>
        <v>-18281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636844</v>
      </c>
      <c r="U15" s="2"/>
      <c r="V15" s="19"/>
      <c r="W15" s="2"/>
      <c r="X15" s="2">
        <f t="shared" si="2"/>
        <v>-636844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"4131", " - ", "NON-TAXABLE SALES-FOOD")</f>
        <v xml:space="preserve">          4131 -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--2.48</f>
        <v>2.48</v>
      </c>
      <c r="Q16" s="2"/>
      <c r="R16" s="19"/>
      <c r="S16" s="2"/>
      <c r="T16" s="2"/>
      <c r="U16" s="2"/>
      <c r="V16" s="19"/>
      <c r="W16" s="2"/>
      <c r="X16" s="2">
        <f t="shared" si="2"/>
        <v>2.48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>--114.48</f>
        <v>114.48</v>
      </c>
      <c r="E17" s="2"/>
      <c r="F17" s="19"/>
      <c r="G17" s="2"/>
      <c r="H17" s="2"/>
      <c r="I17" s="2"/>
      <c r="J17" s="19"/>
      <c r="K17" s="2"/>
      <c r="L17" s="2">
        <f t="shared" si="0"/>
        <v>114.48</v>
      </c>
      <c r="M17" s="2"/>
      <c r="N17" s="19">
        <f t="shared" si="1"/>
        <v>0</v>
      </c>
      <c r="O17" s="11"/>
      <c r="P17" s="2">
        <f>--386208.28</f>
        <v>386208.28</v>
      </c>
      <c r="Q17" s="2"/>
      <c r="R17" s="19"/>
      <c r="S17" s="2"/>
      <c r="T17" s="2"/>
      <c r="U17" s="2"/>
      <c r="V17" s="19"/>
      <c r="W17" s="2"/>
      <c r="X17" s="2">
        <f t="shared" si="2"/>
        <v>386208.28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"4133", " - ", "NON-TAXABLE SALES-CANDY")</f>
        <v xml:space="preserve">          4133 - NON-TAXABLE SALES-CANDY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--1.59</f>
        <v>1.59</v>
      </c>
      <c r="Q18" s="2"/>
      <c r="R18" s="19"/>
      <c r="S18" s="2"/>
      <c r="T18" s="2"/>
      <c r="U18" s="2"/>
      <c r="V18" s="19"/>
      <c r="W18" s="2"/>
      <c r="X18" s="2">
        <f t="shared" si="2"/>
        <v>1.59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>--4.99</f>
        <v>4.99</v>
      </c>
      <c r="E19" s="2"/>
      <c r="F19" s="19"/>
      <c r="G19" s="2"/>
      <c r="H19" s="2"/>
      <c r="I19" s="2"/>
      <c r="J19" s="19"/>
      <c r="K19" s="2"/>
      <c r="L19" s="2">
        <f t="shared" si="0"/>
        <v>4.99</v>
      </c>
      <c r="M19" s="2"/>
      <c r="N19" s="19">
        <f t="shared" si="1"/>
        <v>0</v>
      </c>
      <c r="O19" s="11"/>
      <c r="P19" s="2">
        <f>--99.83</f>
        <v>99.83</v>
      </c>
      <c r="Q19" s="2"/>
      <c r="R19" s="19"/>
      <c r="S19" s="2"/>
      <c r="T19" s="2"/>
      <c r="U19" s="2"/>
      <c r="V19" s="19"/>
      <c r="W19" s="2"/>
      <c r="X19" s="2">
        <f t="shared" si="2"/>
        <v>99.83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--1575.68</f>
        <v>1575.68</v>
      </c>
      <c r="Q20" s="2"/>
      <c r="R20" s="19"/>
      <c r="S20" s="2"/>
      <c r="T20" s="2"/>
      <c r="U20" s="2"/>
      <c r="V20" s="19"/>
      <c r="W20" s="2"/>
      <c r="X20" s="2">
        <f t="shared" si="2"/>
        <v>1575.68</v>
      </c>
      <c r="Y20" s="2"/>
      <c r="Z20" s="19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8" t="s">
        <v>8</v>
      </c>
      <c r="C22" s="10"/>
      <c r="D22" s="4">
        <f>SUM(OSRRefD16x_0)</f>
        <v>1892</v>
      </c>
      <c r="E22" s="4"/>
      <c r="F22" s="13">
        <f t="shared" ref="F22:F25" si="5">IF(D$12=0,0,D22/D$12)</f>
        <v>15.836611701682431</v>
      </c>
      <c r="G22" s="4"/>
      <c r="H22" s="4">
        <f>SUM(OSRRefH16x_0)</f>
        <v>8775</v>
      </c>
      <c r="I22" s="4"/>
      <c r="J22" s="13">
        <f t="shared" ref="J22:J25" si="6">IF(H$12=0,0,H22/H$12)</f>
        <v>0.48000656419233084</v>
      </c>
      <c r="K22" s="4"/>
      <c r="L22" s="4">
        <f t="shared" ref="L22:L25" si="7">+D22-H22</f>
        <v>-6883</v>
      </c>
      <c r="M22" s="4"/>
      <c r="N22" s="13">
        <f t="shared" ref="N22:N25" si="8">IF(H22=0,0,L22/H22)</f>
        <v>-0.78438746438746443</v>
      </c>
      <c r="O22" s="10"/>
      <c r="P22" s="4">
        <f>SUM(OSRRefP16x_0)</f>
        <v>243050.98999999996</v>
      </c>
      <c r="Q22" s="4"/>
      <c r="R22" s="13">
        <f t="shared" ref="R22:R25" si="9">IF(P$12=0,0,P22/P$12)</f>
        <v>0.49001998378232986</v>
      </c>
      <c r="S22" s="4"/>
      <c r="T22" s="4">
        <f>SUM(OSRRefT16x_0)</f>
        <v>305686</v>
      </c>
      <c r="U22" s="4"/>
      <c r="V22" s="13">
        <f t="shared" ref="V22:V25" si="10">IF(T$12=0,0,T22/T$12)</f>
        <v>0.48000138181407065</v>
      </c>
      <c r="W22" s="4"/>
      <c r="X22" s="4">
        <f t="shared" ref="X22:X25" si="11">+P22-T22</f>
        <v>-62635.010000000038</v>
      </c>
      <c r="Y22" s="4"/>
      <c r="Z22" s="13">
        <f t="shared" ref="Z22:Z25" si="12">IF(T22=0,0,X22/T22)</f>
        <v>-0.20489983185360153</v>
      </c>
    </row>
    <row r="23" spans="1:26" s="24" customFormat="1" hidden="1" outlineLevel="1" x14ac:dyDescent="0.25">
      <c r="A23" s="44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19">
        <f t="shared" si="5"/>
        <v>0</v>
      </c>
      <c r="G23" s="2"/>
      <c r="H23" s="2">
        <v>8775</v>
      </c>
      <c r="I23" s="2"/>
      <c r="J23" s="19">
        <f t="shared" si="6"/>
        <v>0.48000656419233084</v>
      </c>
      <c r="K23" s="2"/>
      <c r="L23" s="2">
        <f t="shared" si="7"/>
        <v>-8775</v>
      </c>
      <c r="M23" s="2"/>
      <c r="N23" s="19">
        <f t="shared" si="8"/>
        <v>-1</v>
      </c>
      <c r="O23" s="11"/>
      <c r="P23" s="2"/>
      <c r="Q23" s="2"/>
      <c r="R23" s="19">
        <f t="shared" si="9"/>
        <v>0</v>
      </c>
      <c r="S23" s="2"/>
      <c r="T23" s="2">
        <v>305686</v>
      </c>
      <c r="U23" s="2"/>
      <c r="V23" s="19">
        <f t="shared" si="10"/>
        <v>0.48000138181407065</v>
      </c>
      <c r="W23" s="2"/>
      <c r="X23" s="2">
        <f t="shared" si="11"/>
        <v>-305686</v>
      </c>
      <c r="Y23" s="2"/>
      <c r="Z23" s="19">
        <f t="shared" si="12"/>
        <v>-1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-72</v>
      </c>
      <c r="E24" s="2"/>
      <c r="F24" s="19">
        <f t="shared" si="5"/>
        <v>-0.60266175608939487</v>
      </c>
      <c r="G24" s="2"/>
      <c r="H24" s="2"/>
      <c r="I24" s="2"/>
      <c r="J24" s="19">
        <f t="shared" si="6"/>
        <v>0</v>
      </c>
      <c r="K24" s="2"/>
      <c r="L24" s="2">
        <f t="shared" si="7"/>
        <v>-72</v>
      </c>
      <c r="M24" s="2"/>
      <c r="N24" s="19">
        <f t="shared" si="8"/>
        <v>0</v>
      </c>
      <c r="O24" s="11"/>
      <c r="P24" s="2">
        <v>236674.99999999997</v>
      </c>
      <c r="Q24" s="2"/>
      <c r="R24" s="19">
        <f t="shared" si="9"/>
        <v>0.4771652222510302</v>
      </c>
      <c r="S24" s="2"/>
      <c r="T24" s="2"/>
      <c r="U24" s="2"/>
      <c r="V24" s="19">
        <f t="shared" si="10"/>
        <v>0</v>
      </c>
      <c r="W24" s="2"/>
      <c r="X24" s="2">
        <f t="shared" si="11"/>
        <v>236674.99999999997</v>
      </c>
      <c r="Y24" s="2"/>
      <c r="Z24" s="19">
        <f t="shared" si="12"/>
        <v>0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1964</v>
      </c>
      <c r="E25" s="2"/>
      <c r="F25" s="19">
        <f t="shared" si="5"/>
        <v>16.439273457771826</v>
      </c>
      <c r="G25" s="2"/>
      <c r="H25" s="2"/>
      <c r="I25" s="2"/>
      <c r="J25" s="19">
        <f t="shared" si="6"/>
        <v>0</v>
      </c>
      <c r="K25" s="2"/>
      <c r="L25" s="2">
        <f t="shared" si="7"/>
        <v>1964</v>
      </c>
      <c r="M25" s="2"/>
      <c r="N25" s="19">
        <f t="shared" si="8"/>
        <v>0</v>
      </c>
      <c r="O25" s="11"/>
      <c r="P25" s="2">
        <v>6375.99</v>
      </c>
      <c r="Q25" s="2"/>
      <c r="R25" s="19">
        <f t="shared" si="9"/>
        <v>1.2854761531299658E-2</v>
      </c>
      <c r="S25" s="2"/>
      <c r="T25" s="2"/>
      <c r="U25" s="2"/>
      <c r="V25" s="19">
        <f t="shared" si="10"/>
        <v>0</v>
      </c>
      <c r="W25" s="2"/>
      <c r="X25" s="2">
        <f t="shared" si="11"/>
        <v>6375.99</v>
      </c>
      <c r="Y25" s="2"/>
      <c r="Z25" s="19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6</v>
      </c>
      <c r="C27" s="29"/>
      <c r="D27" s="22">
        <f>D12-D22</f>
        <v>-1772.53</v>
      </c>
      <c r="E27" s="14"/>
      <c r="F27" s="20">
        <f>IF(D$12=0,0,D27/D$12)</f>
        <v>-14.836611701682431</v>
      </c>
      <c r="G27" s="14"/>
      <c r="H27" s="22">
        <f>H12-H22</f>
        <v>9506</v>
      </c>
      <c r="I27" s="14"/>
      <c r="J27" s="20">
        <f>IF(H$12=0,0,H27/H$12)</f>
        <v>0.51999343580766921</v>
      </c>
      <c r="K27" s="15"/>
      <c r="L27" s="22">
        <f>+D27-H27</f>
        <v>-11278.53</v>
      </c>
      <c r="M27" s="15"/>
      <c r="N27" s="20">
        <f>IF(H27=0,0,L27/H27)</f>
        <v>-1.1864643383126448</v>
      </c>
      <c r="O27" s="28"/>
      <c r="P27" s="22">
        <f>P12-P22</f>
        <v>252951.21000000011</v>
      </c>
      <c r="Q27" s="14"/>
      <c r="R27" s="20">
        <f>IF(P$12=0,0,P27/P$12)</f>
        <v>0.5099800162176702</v>
      </c>
      <c r="S27" s="14"/>
      <c r="T27" s="22">
        <f>T12-T22</f>
        <v>331158</v>
      </c>
      <c r="U27" s="14"/>
      <c r="V27" s="20">
        <f>IF(T$12=0,0,T27/T$12)</f>
        <v>0.51999861818592941</v>
      </c>
      <c r="W27" s="15"/>
      <c r="X27" s="22">
        <f>+P27-T27</f>
        <v>-78206.789999999892</v>
      </c>
      <c r="Y27" s="15"/>
      <c r="Z27" s="20">
        <f>IF(T27=0,0,X27/T27)</f>
        <v>-0.23616156034279676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9</v>
      </c>
      <c r="C29" s="10"/>
      <c r="D29" s="21">
        <f>SUM(OSRRefD22x_0)</f>
        <v>6060.329999999999</v>
      </c>
      <c r="E29" s="21"/>
      <c r="F29" s="32">
        <f t="shared" ref="F29:F39" si="13">IF(D$12=0,0,D29/D$12)</f>
        <v>50.726793337239464</v>
      </c>
      <c r="G29" s="21"/>
      <c r="H29" s="21">
        <f>SUM(OSRRefH22x_0)</f>
        <v>13833.8100426</v>
      </c>
      <c r="I29" s="21"/>
      <c r="J29" s="32">
        <f t="shared" ref="J29:J39" si="14">IF(H$12=0,0,H29/H$12)</f>
        <v>0.75673158156555986</v>
      </c>
      <c r="K29" s="4"/>
      <c r="L29" s="21">
        <f t="shared" ref="L29:L39" si="15">+D29-H29</f>
        <v>-7773.4800426000011</v>
      </c>
      <c r="M29" s="4"/>
      <c r="N29" s="32">
        <f t="shared" ref="N29:N39" si="16">IF(H29=0,0,L29/H29)</f>
        <v>-0.56191895209362086</v>
      </c>
      <c r="O29" s="10"/>
      <c r="P29" s="21">
        <f>SUM(OSRRefP22x_0)</f>
        <v>196130.65</v>
      </c>
      <c r="Q29" s="21"/>
      <c r="R29" s="32">
        <f t="shared" ref="R29:R39" si="17">IF(P$12=0,0,P29/P$12)</f>
        <v>0.39542294368855613</v>
      </c>
      <c r="S29" s="21"/>
      <c r="T29" s="21">
        <f>SUM(OSRRefT22x_0)</f>
        <v>234539.4505948</v>
      </c>
      <c r="U29" s="21"/>
      <c r="V29" s="32">
        <f t="shared" ref="V29:V39" si="18">IF(T$12=0,0,T29/T$12)</f>
        <v>0.36828399198987505</v>
      </c>
      <c r="W29" s="4"/>
      <c r="X29" s="21">
        <f t="shared" ref="X29:X39" si="19">+P29-T29</f>
        <v>-38408.800594800006</v>
      </c>
      <c r="Y29" s="4"/>
      <c r="Z29" s="32">
        <f t="shared" ref="Z29:Z39" si="20">IF(T29=0,0,X29/T29)</f>
        <v>-0.16376264418371403</v>
      </c>
    </row>
    <row r="30" spans="1:26" s="26" customFormat="1" outlineLevel="1" collapsed="1" x14ac:dyDescent="0.25">
      <c r="A30" s="25"/>
      <c r="B30" s="12" t="str">
        <f>CONCATENATE("     ","*Benefits                                         ")</f>
        <v xml:space="preserve">     *Benefits                                         </v>
      </c>
      <c r="C30" s="12"/>
      <c r="D30" s="1">
        <f>SUM(OSRRefD22_0x_0)</f>
        <v>3402.9999999999995</v>
      </c>
      <c r="E30" s="1"/>
      <c r="F30" s="5">
        <f t="shared" si="13"/>
        <v>28.484138277391811</v>
      </c>
      <c r="G30" s="1"/>
      <c r="H30" s="1">
        <f>SUM(OSRRefH22_0x_0)</f>
        <v>3778.0960426000001</v>
      </c>
      <c r="I30" s="1"/>
      <c r="J30" s="5">
        <f t="shared" si="14"/>
        <v>0.20666790889995076</v>
      </c>
      <c r="K30" s="1"/>
      <c r="L30" s="1">
        <f t="shared" si="15"/>
        <v>-375.0960426000006</v>
      </c>
      <c r="M30" s="1"/>
      <c r="N30" s="5">
        <f t="shared" si="16"/>
        <v>-9.9281764775325299E-2</v>
      </c>
      <c r="O30" s="12"/>
      <c r="P30" s="1">
        <f>SUM(OSRRefP22_0x_0)</f>
        <v>50448.2</v>
      </c>
      <c r="Q30" s="1"/>
      <c r="R30" s="5">
        <f t="shared" si="17"/>
        <v>0.10170962951374005</v>
      </c>
      <c r="S30" s="1"/>
      <c r="T30" s="1">
        <f>SUM(OSRRefT22_0x_0)</f>
        <v>47380.478594800006</v>
      </c>
      <c r="U30" s="1"/>
      <c r="V30" s="5">
        <f t="shared" si="18"/>
        <v>7.4398877267902355E-2</v>
      </c>
      <c r="W30" s="1"/>
      <c r="X30" s="1">
        <f t="shared" si="19"/>
        <v>3067.7214051999908</v>
      </c>
      <c r="Y30" s="1"/>
      <c r="Z30" s="5">
        <f t="shared" si="20"/>
        <v>6.4746526337044474E-2</v>
      </c>
    </row>
    <row r="31" spans="1:26" s="24" customFormat="1" hidden="1" outlineLevel="2" x14ac:dyDescent="0.25">
      <c r="A31" s="27"/>
      <c r="B31" s="11" t="str">
        <f>CONCATENATE("          ", "6111", " - ", "F.I.C.A.")</f>
        <v xml:space="preserve">          6111 - F.I.C.A.</v>
      </c>
      <c r="C31" s="11"/>
      <c r="D31" s="6">
        <v>357.68</v>
      </c>
      <c r="E31" s="2"/>
      <c r="F31" s="7">
        <f t="shared" si="13"/>
        <v>2.993889679417427</v>
      </c>
      <c r="G31" s="2"/>
      <c r="H31" s="6">
        <v>723.36309059999996</v>
      </c>
      <c r="I31" s="2"/>
      <c r="J31" s="7">
        <f t="shared" si="14"/>
        <v>3.9569120431048627E-2</v>
      </c>
      <c r="K31" s="2"/>
      <c r="L31" s="6">
        <f t="shared" si="15"/>
        <v>-365.68309059999996</v>
      </c>
      <c r="M31" s="2"/>
      <c r="N31" s="7">
        <f t="shared" si="16"/>
        <v>-0.50553186270076467</v>
      </c>
      <c r="O31" s="11"/>
      <c r="P31" s="6">
        <v>5769.82</v>
      </c>
      <c r="Q31" s="2"/>
      <c r="R31" s="7">
        <f t="shared" si="17"/>
        <v>1.1632650016471699E-2</v>
      </c>
      <c r="S31" s="2"/>
      <c r="T31" s="6">
        <v>7604.7218148000002</v>
      </c>
      <c r="U31" s="2"/>
      <c r="V31" s="7">
        <f t="shared" si="18"/>
        <v>1.1941263189729353E-2</v>
      </c>
      <c r="W31" s="2"/>
      <c r="X31" s="6">
        <f t="shared" si="19"/>
        <v>-1834.9018148000005</v>
      </c>
      <c r="Y31" s="2"/>
      <c r="Z31" s="7">
        <f t="shared" si="20"/>
        <v>-0.24128454130024707</v>
      </c>
    </row>
    <row r="32" spans="1:26" s="24" customFormat="1" hidden="1" outlineLevel="2" x14ac:dyDescent="0.25">
      <c r="A32" s="27"/>
      <c r="B32" s="11" t="str">
        <f>CONCATENATE("          ", "6112", " - ", "COMPENSATION INSURANCE")</f>
        <v xml:space="preserve">          6112 - COMPENSATION INSURANCE</v>
      </c>
      <c r="C32" s="11"/>
      <c r="D32" s="6">
        <v>88.84</v>
      </c>
      <c r="E32" s="2"/>
      <c r="F32" s="7">
        <f t="shared" si="13"/>
        <v>0.74361764459697</v>
      </c>
      <c r="G32" s="2"/>
      <c r="H32" s="6">
        <v>179.58838</v>
      </c>
      <c r="I32" s="2"/>
      <c r="J32" s="7">
        <f t="shared" si="14"/>
        <v>9.8237722225261205E-3</v>
      </c>
      <c r="K32" s="2"/>
      <c r="L32" s="6">
        <f t="shared" si="15"/>
        <v>-90.748379999999997</v>
      </c>
      <c r="M32" s="2"/>
      <c r="N32" s="7">
        <f t="shared" si="16"/>
        <v>-0.50531320567622473</v>
      </c>
      <c r="O32" s="11"/>
      <c r="P32" s="6">
        <v>2033.9</v>
      </c>
      <c r="Q32" s="2"/>
      <c r="R32" s="7">
        <f t="shared" si="17"/>
        <v>4.1005866506237266E-3</v>
      </c>
      <c r="S32" s="2"/>
      <c r="T32" s="6">
        <v>3086.2640499999998</v>
      </c>
      <c r="U32" s="2"/>
      <c r="V32" s="7">
        <f t="shared" si="18"/>
        <v>4.8461853295312506E-3</v>
      </c>
      <c r="W32" s="2"/>
      <c r="X32" s="6">
        <f t="shared" si="19"/>
        <v>-1052.3640499999997</v>
      </c>
      <c r="Y32" s="2"/>
      <c r="Z32" s="7">
        <f t="shared" si="20"/>
        <v>-0.34098315404995883</v>
      </c>
    </row>
    <row r="33" spans="1:26" s="24" customFormat="1" hidden="1" outlineLevel="2" x14ac:dyDescent="0.25">
      <c r="A33" s="27"/>
      <c r="B33" s="11" t="str">
        <f>CONCATENATE("          ", "6113", " - ", "GROUP INSURANCE")</f>
        <v xml:space="preserve">          6113 - GROUP INSURANCE</v>
      </c>
      <c r="C33" s="11"/>
      <c r="D33" s="6">
        <v>2021.26</v>
      </c>
      <c r="E33" s="2"/>
      <c r="F33" s="7">
        <f t="shared" si="13"/>
        <v>16.918556959906251</v>
      </c>
      <c r="G33" s="2"/>
      <c r="H33" s="6">
        <v>1977</v>
      </c>
      <c r="I33" s="2"/>
      <c r="J33" s="7">
        <f t="shared" si="14"/>
        <v>0.10814506865051146</v>
      </c>
      <c r="K33" s="2"/>
      <c r="L33" s="6">
        <f t="shared" si="15"/>
        <v>44.259999999999991</v>
      </c>
      <c r="M33" s="2"/>
      <c r="N33" s="7">
        <f t="shared" si="16"/>
        <v>2.2387455741021745E-2</v>
      </c>
      <c r="O33" s="11"/>
      <c r="P33" s="6">
        <v>24247.38</v>
      </c>
      <c r="Q33" s="2"/>
      <c r="R33" s="7">
        <f t="shared" si="17"/>
        <v>4.888562994277041E-2</v>
      </c>
      <c r="S33" s="2"/>
      <c r="T33" s="6">
        <v>23724</v>
      </c>
      <c r="U33" s="2"/>
      <c r="V33" s="7">
        <f t="shared" si="18"/>
        <v>3.7252451149732115E-2</v>
      </c>
      <c r="W33" s="2"/>
      <c r="X33" s="6">
        <f t="shared" si="19"/>
        <v>523.38000000000102</v>
      </c>
      <c r="Y33" s="2"/>
      <c r="Z33" s="7">
        <f t="shared" si="20"/>
        <v>2.2061203844208441E-2</v>
      </c>
    </row>
    <row r="34" spans="1:26" s="24" customFormat="1" hidden="1" outlineLevel="2" x14ac:dyDescent="0.25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6">
        <v>-299.05</v>
      </c>
      <c r="E34" s="2"/>
      <c r="F34" s="7">
        <f t="shared" si="13"/>
        <v>-2.5031388633129659</v>
      </c>
      <c r="G34" s="2"/>
      <c r="H34" s="6">
        <v>24.575251999999999</v>
      </c>
      <c r="I34" s="2"/>
      <c r="J34" s="7">
        <f t="shared" si="14"/>
        <v>1.3443056725562059E-3</v>
      </c>
      <c r="K34" s="2"/>
      <c r="L34" s="6">
        <f t="shared" si="15"/>
        <v>-323.62525199999999</v>
      </c>
      <c r="M34" s="2"/>
      <c r="N34" s="7">
        <f t="shared" si="16"/>
        <v>-13.168746021403972</v>
      </c>
      <c r="O34" s="11"/>
      <c r="P34" s="6">
        <v>0</v>
      </c>
      <c r="Q34" s="2"/>
      <c r="R34" s="7">
        <f t="shared" si="17"/>
        <v>0</v>
      </c>
      <c r="S34" s="2"/>
      <c r="T34" s="6">
        <v>422.33087</v>
      </c>
      <c r="U34" s="2"/>
      <c r="V34" s="7">
        <f t="shared" si="18"/>
        <v>6.6316220298848693E-4</v>
      </c>
      <c r="W34" s="2"/>
      <c r="X34" s="6">
        <f t="shared" si="19"/>
        <v>-422.33087</v>
      </c>
      <c r="Y34" s="2"/>
      <c r="Z34" s="7">
        <f t="shared" si="20"/>
        <v>-1</v>
      </c>
    </row>
    <row r="35" spans="1:26" s="24" customFormat="1" hidden="1" outlineLevel="2" x14ac:dyDescent="0.25">
      <c r="A35" s="27"/>
      <c r="B35" s="11" t="str">
        <f>CONCATENATE("          ", "6115", " - ", "P.E.R.S.")</f>
        <v xml:space="preserve">          6115 - P.E.R.S.</v>
      </c>
      <c r="C35" s="11"/>
      <c r="D35" s="6">
        <v>568.97</v>
      </c>
      <c r="E35" s="2"/>
      <c r="F35" s="7">
        <f t="shared" si="13"/>
        <v>4.7624508244747634</v>
      </c>
      <c r="G35" s="2"/>
      <c r="H35" s="6">
        <v>478.68632000000002</v>
      </c>
      <c r="I35" s="2"/>
      <c r="J35" s="7">
        <f t="shared" si="14"/>
        <v>2.618490892183141E-2</v>
      </c>
      <c r="K35" s="2"/>
      <c r="L35" s="6">
        <f t="shared" si="15"/>
        <v>90.283680000000004</v>
      </c>
      <c r="M35" s="2"/>
      <c r="N35" s="7">
        <f t="shared" si="16"/>
        <v>0.18860718643474081</v>
      </c>
      <c r="O35" s="11"/>
      <c r="P35" s="6">
        <v>7629.88</v>
      </c>
      <c r="Q35" s="2"/>
      <c r="R35" s="7">
        <f t="shared" si="17"/>
        <v>1.5382754350686347E-2</v>
      </c>
      <c r="S35" s="2"/>
      <c r="T35" s="6">
        <v>6222.9221600000001</v>
      </c>
      <c r="U35" s="2"/>
      <c r="V35" s="7">
        <f t="shared" si="18"/>
        <v>9.7715015922266672E-3</v>
      </c>
      <c r="W35" s="2"/>
      <c r="X35" s="6">
        <f t="shared" si="19"/>
        <v>1406.95784</v>
      </c>
      <c r="Y35" s="2"/>
      <c r="Z35" s="7">
        <f t="shared" si="20"/>
        <v>0.22609279110764258</v>
      </c>
    </row>
    <row r="36" spans="1:26" s="24" customFormat="1" hidden="1" outlineLevel="2" x14ac:dyDescent="0.25">
      <c r="A36" s="27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3"/>
        <v>0</v>
      </c>
      <c r="G36" s="2"/>
      <c r="H36" s="6">
        <v>0</v>
      </c>
      <c r="I36" s="2"/>
      <c r="J36" s="7">
        <f t="shared" si="14"/>
        <v>0</v>
      </c>
      <c r="K36" s="2"/>
      <c r="L36" s="6">
        <f t="shared" si="15"/>
        <v>0</v>
      </c>
      <c r="M36" s="2"/>
      <c r="N36" s="7">
        <f t="shared" si="16"/>
        <v>0</v>
      </c>
      <c r="O36" s="11"/>
      <c r="P36" s="6"/>
      <c r="Q36" s="2"/>
      <c r="R36" s="7">
        <f t="shared" si="17"/>
        <v>0</v>
      </c>
      <c r="S36" s="2"/>
      <c r="T36" s="6">
        <v>0</v>
      </c>
      <c r="U36" s="2"/>
      <c r="V36" s="7">
        <f t="shared" si="18"/>
        <v>0</v>
      </c>
      <c r="W36" s="2"/>
      <c r="X36" s="6">
        <f t="shared" si="19"/>
        <v>0</v>
      </c>
      <c r="Y36" s="2"/>
      <c r="Z36" s="7">
        <f t="shared" si="20"/>
        <v>0</v>
      </c>
    </row>
    <row r="37" spans="1:26" s="24" customFormat="1" hidden="1" outlineLevel="2" x14ac:dyDescent="0.25">
      <c r="A37" s="27"/>
      <c r="B37" s="11" t="str">
        <f>CONCATENATE("          ", "6118", " - ", "VACATION")</f>
        <v xml:space="preserve">          6118 - VACATION</v>
      </c>
      <c r="C37" s="11"/>
      <c r="D37" s="6">
        <v>407.06</v>
      </c>
      <c r="E37" s="2"/>
      <c r="F37" s="7">
        <f t="shared" si="13"/>
        <v>3.407215200468737</v>
      </c>
      <c r="G37" s="2"/>
      <c r="H37" s="6">
        <v>213.33359999999999</v>
      </c>
      <c r="I37" s="2"/>
      <c r="J37" s="7">
        <f t="shared" si="14"/>
        <v>1.1669689841912367E-2</v>
      </c>
      <c r="K37" s="2"/>
      <c r="L37" s="6">
        <f t="shared" si="15"/>
        <v>193.72640000000001</v>
      </c>
      <c r="M37" s="2"/>
      <c r="N37" s="7">
        <f t="shared" si="16"/>
        <v>0.90809136488579401</v>
      </c>
      <c r="O37" s="11"/>
      <c r="P37" s="6">
        <v>5600.67</v>
      </c>
      <c r="Q37" s="2"/>
      <c r="R37" s="7">
        <f t="shared" si="17"/>
        <v>1.1291623303283734E-2</v>
      </c>
      <c r="S37" s="2"/>
      <c r="T37" s="6">
        <v>2824.7853</v>
      </c>
      <c r="U37" s="2"/>
      <c r="V37" s="7">
        <f t="shared" si="18"/>
        <v>4.4356000841650391E-3</v>
      </c>
      <c r="W37" s="2"/>
      <c r="X37" s="6">
        <f t="shared" si="19"/>
        <v>2775.8847000000001</v>
      </c>
      <c r="Y37" s="2"/>
      <c r="Z37" s="7">
        <f t="shared" si="20"/>
        <v>0.98268873744139074</v>
      </c>
    </row>
    <row r="38" spans="1:26" s="24" customFormat="1" hidden="1" outlineLevel="2" x14ac:dyDescent="0.25">
      <c r="A38" s="27"/>
      <c r="B38" s="11" t="str">
        <f>CONCATENATE("          ", "6119", " - ", "SICK LEAVE")</f>
        <v xml:space="preserve">          6119 - SICK LEAVE</v>
      </c>
      <c r="C38" s="11"/>
      <c r="D38" s="6">
        <v>256.76</v>
      </c>
      <c r="E38" s="2"/>
      <c r="F38" s="7">
        <f t="shared" si="13"/>
        <v>2.149158784632125</v>
      </c>
      <c r="G38" s="2"/>
      <c r="H38" s="6">
        <v>181.54939999999999</v>
      </c>
      <c r="I38" s="2"/>
      <c r="J38" s="7">
        <f t="shared" si="14"/>
        <v>9.9310431595645756E-3</v>
      </c>
      <c r="K38" s="2"/>
      <c r="L38" s="6">
        <f t="shared" si="15"/>
        <v>75.210599999999999</v>
      </c>
      <c r="M38" s="2"/>
      <c r="N38" s="7">
        <f t="shared" si="16"/>
        <v>0.4142707164000542</v>
      </c>
      <c r="O38" s="11"/>
      <c r="P38" s="6">
        <v>3742.3</v>
      </c>
      <c r="Q38" s="2"/>
      <c r="R38" s="7">
        <f t="shared" si="17"/>
        <v>7.5449262120208327E-3</v>
      </c>
      <c r="S38" s="2"/>
      <c r="T38" s="6">
        <v>3495.4544000000001</v>
      </c>
      <c r="U38" s="2"/>
      <c r="V38" s="7">
        <f t="shared" si="18"/>
        <v>5.4887137195294292E-3</v>
      </c>
      <c r="W38" s="2"/>
      <c r="X38" s="6">
        <f t="shared" si="19"/>
        <v>246.8456000000001</v>
      </c>
      <c r="Y38" s="2"/>
      <c r="Z38" s="7">
        <f t="shared" si="20"/>
        <v>7.061903024682574E-2</v>
      </c>
    </row>
    <row r="39" spans="1:26" s="24" customFormat="1" hidden="1" outlineLevel="2" x14ac:dyDescent="0.25">
      <c r="A39" s="27"/>
      <c r="B39" s="11" t="str">
        <f>CONCATENATE("          ", "6156", " - ", "EMPLOYEE MEALS")</f>
        <v xml:space="preserve">          6156 - EMPLOYEE MEALS</v>
      </c>
      <c r="C39" s="11"/>
      <c r="D39" s="6">
        <v>1.48</v>
      </c>
      <c r="E39" s="2"/>
      <c r="F39" s="7">
        <f t="shared" si="13"/>
        <v>1.2388047208504227E-2</v>
      </c>
      <c r="G39" s="2"/>
      <c r="H39" s="6"/>
      <c r="I39" s="2"/>
      <c r="J39" s="7">
        <f t="shared" si="14"/>
        <v>0</v>
      </c>
      <c r="K39" s="2"/>
      <c r="L39" s="6">
        <f t="shared" si="15"/>
        <v>1.48</v>
      </c>
      <c r="M39" s="2"/>
      <c r="N39" s="7">
        <f t="shared" si="16"/>
        <v>0</v>
      </c>
      <c r="O39" s="11"/>
      <c r="P39" s="6">
        <v>1424.25</v>
      </c>
      <c r="Q39" s="2"/>
      <c r="R39" s="7">
        <f t="shared" si="17"/>
        <v>2.8714590378832992E-3</v>
      </c>
      <c r="S39" s="2"/>
      <c r="T39" s="6"/>
      <c r="U39" s="2"/>
      <c r="V39" s="7">
        <f t="shared" si="18"/>
        <v>0</v>
      </c>
      <c r="W39" s="2"/>
      <c r="X39" s="6">
        <f t="shared" si="19"/>
        <v>1424.25</v>
      </c>
      <c r="Y39" s="2"/>
      <c r="Z39" s="7">
        <f t="shared" si="20"/>
        <v>0</v>
      </c>
    </row>
    <row r="40" spans="1:26" s="26" customFormat="1" outlineLevel="1" collapsed="1" x14ac:dyDescent="0.25">
      <c r="A40" s="25"/>
      <c r="B40" s="12" t="str">
        <f>CONCATENATE("     ","*Payroll                                          ")</f>
        <v xml:space="preserve">     *Payroll                                          </v>
      </c>
      <c r="C40" s="12"/>
      <c r="D40" s="1">
        <f>SUM(OSRRefD22_1x_0)</f>
        <v>2452.81</v>
      </c>
      <c r="E40" s="1"/>
      <c r="F40" s="5">
        <f t="shared" ref="F40:F50" si="21">IF(D$12=0,0,D40/D$12)</f>
        <v>20.530760860467062</v>
      </c>
      <c r="G40" s="1"/>
      <c r="H40" s="1">
        <f>SUM(OSRRefH22_1x_0)</f>
        <v>9173.7139999999999</v>
      </c>
      <c r="I40" s="1"/>
      <c r="J40" s="5">
        <f t="shared" ref="J40:J50" si="22">IF(H$12=0,0,H40/H$12)</f>
        <v>0.50181685903396966</v>
      </c>
      <c r="K40" s="1"/>
      <c r="L40" s="1">
        <f t="shared" ref="L40:L50" si="23">+D40-H40</f>
        <v>-6720.9040000000005</v>
      </c>
      <c r="M40" s="1"/>
      <c r="N40" s="5">
        <f t="shared" ref="N40:N50" si="24">IF(H40=0,0,L40/H40)</f>
        <v>-0.73262628418544551</v>
      </c>
      <c r="O40" s="12"/>
      <c r="P40" s="1">
        <f>SUM(OSRRefP22_1x_0)</f>
        <v>114162.33</v>
      </c>
      <c r="Q40" s="1"/>
      <c r="R40" s="5">
        <f t="shared" ref="R40:R50" si="25">IF(P$12=0,0,P40/P$12)</f>
        <v>0.23016496701022693</v>
      </c>
      <c r="S40" s="1"/>
      <c r="T40" s="1">
        <f>SUM(OSRRefT22_1x_0)</f>
        <v>158816.97199999998</v>
      </c>
      <c r="U40" s="1"/>
      <c r="V40" s="5">
        <f t="shared" ref="V40:V50" si="26">IF(T$12=0,0,T40/T$12)</f>
        <v>0.24938128018792668</v>
      </c>
      <c r="W40" s="1"/>
      <c r="X40" s="1">
        <f t="shared" ref="X40:X50" si="27">+P40-T40</f>
        <v>-44654.641999999978</v>
      </c>
      <c r="Y40" s="1"/>
      <c r="Z40" s="5">
        <f t="shared" ref="Z40:Z50" si="28">IF(T40=0,0,X40/T40)</f>
        <v>-0.28117046583661087</v>
      </c>
    </row>
    <row r="41" spans="1:26" s="24" customFormat="1" hidden="1" outlineLevel="2" x14ac:dyDescent="0.25">
      <c r="A41" s="27"/>
      <c r="B41" s="11" t="str">
        <f>CONCATENATE("          ", "6001", " - ", "ADMINISTRATIVE SALARIES")</f>
        <v xml:space="preserve">          6001 - ADMINISTRATIVE SALARIES</v>
      </c>
      <c r="C41" s="11"/>
      <c r="D41" s="6"/>
      <c r="E41" s="2"/>
      <c r="F41" s="7">
        <f t="shared" si="21"/>
        <v>0</v>
      </c>
      <c r="G41" s="2"/>
      <c r="H41" s="6">
        <v>5287.8140000000003</v>
      </c>
      <c r="I41" s="2"/>
      <c r="J41" s="7">
        <f t="shared" si="22"/>
        <v>0.2892519008806958</v>
      </c>
      <c r="K41" s="2"/>
      <c r="L41" s="6">
        <f t="shared" si="23"/>
        <v>-5287.8140000000003</v>
      </c>
      <c r="M41" s="2"/>
      <c r="N41" s="7">
        <f t="shared" si="24"/>
        <v>-1</v>
      </c>
      <c r="O41" s="11"/>
      <c r="P41" s="6"/>
      <c r="Q41" s="2"/>
      <c r="R41" s="7">
        <f t="shared" si="25"/>
        <v>0</v>
      </c>
      <c r="S41" s="2"/>
      <c r="T41" s="6">
        <v>68741.581999999995</v>
      </c>
      <c r="U41" s="2"/>
      <c r="V41" s="7">
        <f t="shared" si="26"/>
        <v>0.10794100596064342</v>
      </c>
      <c r="W41" s="2"/>
      <c r="X41" s="6">
        <f t="shared" si="27"/>
        <v>-68741.581999999995</v>
      </c>
      <c r="Y41" s="2"/>
      <c r="Z41" s="7">
        <f t="shared" si="28"/>
        <v>-1</v>
      </c>
    </row>
    <row r="42" spans="1:26" s="24" customFormat="1" hidden="1" outlineLevel="2" x14ac:dyDescent="0.25">
      <c r="A42" s="27"/>
      <c r="B42" s="11" t="str">
        <f>CONCATENATE("          ", "6002", " - ", "STAFF SALARIES")</f>
        <v xml:space="preserve">          6002 - STAFF SALARIES</v>
      </c>
      <c r="C42" s="11"/>
      <c r="D42" s="6">
        <v>2452.81</v>
      </c>
      <c r="E42" s="2"/>
      <c r="F42" s="7">
        <f t="shared" si="21"/>
        <v>20.530760860467062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2452.81</v>
      </c>
      <c r="M42" s="2"/>
      <c r="N42" s="7">
        <f t="shared" si="24"/>
        <v>0</v>
      </c>
      <c r="O42" s="11"/>
      <c r="P42" s="6">
        <v>64138.37</v>
      </c>
      <c r="Q42" s="2"/>
      <c r="R42" s="7">
        <f t="shared" si="25"/>
        <v>0.12931065628337937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64138.37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"6003", " - ", "STAFF HOURLY-9 MONTH")</f>
        <v xml:space="preserve">          6003 - STAFF HOURLY-9 MONTH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"6004", " - ", "STAFF HOURLY")</f>
        <v xml:space="preserve">          6004 - STAFF HOURLY</v>
      </c>
      <c r="C44" s="11"/>
      <c r="D44" s="6"/>
      <c r="E44" s="2"/>
      <c r="F44" s="7">
        <f t="shared" si="21"/>
        <v>0</v>
      </c>
      <c r="G44" s="2"/>
      <c r="H44" s="6">
        <v>1545</v>
      </c>
      <c r="I44" s="2"/>
      <c r="J44" s="7">
        <f t="shared" si="22"/>
        <v>8.4513976259504409E-2</v>
      </c>
      <c r="K44" s="2"/>
      <c r="L44" s="6">
        <f t="shared" si="23"/>
        <v>-1545</v>
      </c>
      <c r="M44" s="2"/>
      <c r="N44" s="7">
        <f t="shared" si="24"/>
        <v>-1</v>
      </c>
      <c r="O44" s="11"/>
      <c r="P44" s="6">
        <v>-3618.33</v>
      </c>
      <c r="Q44" s="2"/>
      <c r="R44" s="7">
        <f t="shared" si="25"/>
        <v>-7.2949878044895758E-3</v>
      </c>
      <c r="S44" s="2"/>
      <c r="T44" s="6">
        <v>21799.95</v>
      </c>
      <c r="U44" s="2"/>
      <c r="V44" s="7">
        <f t="shared" si="26"/>
        <v>3.4231224601315238E-2</v>
      </c>
      <c r="W44" s="2"/>
      <c r="X44" s="6">
        <f t="shared" si="27"/>
        <v>-25418.28</v>
      </c>
      <c r="Y44" s="2"/>
      <c r="Z44" s="7">
        <f t="shared" si="28"/>
        <v>-1.1659788210523419</v>
      </c>
    </row>
    <row r="45" spans="1:26" s="24" customFormat="1" hidden="1" outlineLevel="2" x14ac:dyDescent="0.25">
      <c r="A45" s="27"/>
      <c r="B45" s="11" t="str">
        <f>CONCATENATE("          ", "6005", " - ", "TEMPORARY WAGES-HOURLY")</f>
        <v xml:space="preserve">          6005 - TEMPORARY WAGES-HOURLY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1174.26</v>
      </c>
      <c r="Q45" s="2"/>
      <c r="R45" s="7">
        <f t="shared" si="25"/>
        <v>2.3674491766367163E-3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1174.26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>
        <v>4878.2700000000004</v>
      </c>
      <c r="Q46" s="2"/>
      <c r="R46" s="7">
        <f t="shared" si="25"/>
        <v>9.8351781504194928E-3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4878.2700000000004</v>
      </c>
      <c r="Y46" s="2"/>
      <c r="Z46" s="7">
        <f t="shared" si="28"/>
        <v>0</v>
      </c>
    </row>
    <row r="47" spans="1:26" s="24" customFormat="1" hidden="1" outlineLevel="2" x14ac:dyDescent="0.25">
      <c r="A47" s="27"/>
      <c r="B47" s="11" t="str">
        <f>CONCATENATE("          ", "6007", " - ", "STUDENT HOURLY")</f>
        <v xml:space="preserve">          6007 - STUDENT HOURLY</v>
      </c>
      <c r="C47" s="11"/>
      <c r="D47" s="6"/>
      <c r="E47" s="2"/>
      <c r="F47" s="7">
        <f t="shared" si="21"/>
        <v>0</v>
      </c>
      <c r="G47" s="2"/>
      <c r="H47" s="6">
        <v>2340.9</v>
      </c>
      <c r="I47" s="2"/>
      <c r="J47" s="7">
        <f t="shared" si="22"/>
        <v>0.12805098189376948</v>
      </c>
      <c r="K47" s="2"/>
      <c r="L47" s="6">
        <f t="shared" si="23"/>
        <v>-2340.9</v>
      </c>
      <c r="M47" s="2"/>
      <c r="N47" s="7">
        <f t="shared" si="24"/>
        <v>-1</v>
      </c>
      <c r="O47" s="11"/>
      <c r="P47" s="6">
        <v>44034.28</v>
      </c>
      <c r="Q47" s="2"/>
      <c r="R47" s="7">
        <f t="shared" si="25"/>
        <v>8.8778396547434649E-2</v>
      </c>
      <c r="S47" s="2"/>
      <c r="T47" s="6">
        <v>5209.6499999999996</v>
      </c>
      <c r="U47" s="2"/>
      <c r="V47" s="7">
        <f t="shared" si="26"/>
        <v>8.1804178103271757E-3</v>
      </c>
      <c r="W47" s="2"/>
      <c r="X47" s="6">
        <f t="shared" si="27"/>
        <v>38824.629999999997</v>
      </c>
      <c r="Y47" s="2"/>
      <c r="Z47" s="7">
        <f t="shared" si="28"/>
        <v>7.4524449819085739</v>
      </c>
    </row>
    <row r="48" spans="1:26" s="24" customFormat="1" hidden="1" outlineLevel="2" x14ac:dyDescent="0.25">
      <c r="A48" s="27"/>
      <c r="B48" s="11" t="str">
        <f>CONCATENATE("          ", "6008", " - ", "STUDENT HOURLY-FICA EXEMPT")</f>
        <v xml:space="preserve">          6008 - STUDENT HOURLY-FICA EXEMPT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>
        <v>3555.48</v>
      </c>
      <c r="Q48" s="2"/>
      <c r="R48" s="7">
        <f t="shared" si="25"/>
        <v>7.1682746568462793E-3</v>
      </c>
      <c r="S48" s="2"/>
      <c r="T48" s="6">
        <v>63065.789999999994</v>
      </c>
      <c r="U48" s="2"/>
      <c r="V48" s="7">
        <f t="shared" si="26"/>
        <v>9.9028631815640866E-2</v>
      </c>
      <c r="W48" s="2"/>
      <c r="X48" s="6">
        <f t="shared" si="27"/>
        <v>-59510.30999999999</v>
      </c>
      <c r="Y48" s="2"/>
      <c r="Z48" s="7">
        <f t="shared" si="28"/>
        <v>-0.94362268354998802</v>
      </c>
    </row>
    <row r="49" spans="1:26" s="24" customFormat="1" hidden="1" outlineLevel="2" x14ac:dyDescent="0.25">
      <c r="A49" s="27"/>
      <c r="B49" s="11" t="str">
        <f>CONCATENATE("          ", "6009", " - ", "TEMPORARY-SEASONAL")</f>
        <v xml:space="preserve">          6009 - TEMPORARY-SEASONAL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4" customFormat="1" hidden="1" outlineLevel="2" x14ac:dyDescent="0.25">
      <c r="A50" s="27"/>
      <c r="B50" s="11" t="str">
        <f>CONCATENATE("          ", "6010", " - ", "GRATUITY")</f>
        <v xml:space="preserve">          6010 - GRATUITY</v>
      </c>
      <c r="C50" s="11"/>
      <c r="D50" s="6"/>
      <c r="E50" s="2"/>
      <c r="F50" s="7">
        <f t="shared" si="21"/>
        <v>0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0</v>
      </c>
      <c r="M50" s="2"/>
      <c r="N50" s="7">
        <f t="shared" si="24"/>
        <v>0</v>
      </c>
      <c r="O50" s="11"/>
      <c r="P50" s="6"/>
      <c r="Q50" s="2"/>
      <c r="R50" s="7">
        <f t="shared" si="25"/>
        <v>0</v>
      </c>
      <c r="S50" s="2"/>
      <c r="T50" s="6">
        <v>0</v>
      </c>
      <c r="U50" s="2"/>
      <c r="V50" s="7">
        <f t="shared" si="26"/>
        <v>0</v>
      </c>
      <c r="W50" s="2"/>
      <c r="X50" s="6">
        <f t="shared" si="27"/>
        <v>0</v>
      </c>
      <c r="Y50" s="2"/>
      <c r="Z50" s="7">
        <f t="shared" si="28"/>
        <v>0</v>
      </c>
    </row>
    <row r="51" spans="1:26" s="26" customFormat="1" outlineLevel="1" collapsed="1" x14ac:dyDescent="0.25">
      <c r="A51" s="25"/>
      <c r="B51" s="12" t="str">
        <f>CONCATENATE("     ","Advertising/Promo                                 ")</f>
        <v xml:space="preserve">     Advertising/Promo                                 </v>
      </c>
      <c r="C51" s="12"/>
      <c r="D51" s="1">
        <f>SUM(OSRRefD22_2x_0)</f>
        <v>0</v>
      </c>
      <c r="E51" s="1"/>
      <c r="F51" s="5">
        <f t="shared" ref="F51:F70" si="29">IF(D$12=0,0,D51/D$12)</f>
        <v>0</v>
      </c>
      <c r="G51" s="1"/>
      <c r="H51" s="1">
        <f>SUM(OSRRefH22_2x_0)</f>
        <v>0</v>
      </c>
      <c r="I51" s="1"/>
      <c r="J51" s="5">
        <f t="shared" ref="J51:J70" si="30">IF(H$12=0,0,H51/H$12)</f>
        <v>0</v>
      </c>
      <c r="K51" s="1"/>
      <c r="L51" s="1">
        <f t="shared" ref="L51:L70" si="31">+D51-H51</f>
        <v>0</v>
      </c>
      <c r="M51" s="1"/>
      <c r="N51" s="5">
        <f t="shared" ref="N51:N70" si="32">IF(H51=0,0,L51/H51)</f>
        <v>0</v>
      </c>
      <c r="O51" s="12"/>
      <c r="P51" s="1">
        <f>SUM(OSRRefP22_2x_0)</f>
        <v>1464.31</v>
      </c>
      <c r="Q51" s="1"/>
      <c r="R51" s="5">
        <f t="shared" ref="R51:R70" si="33">IF(P$12=0,0,P51/P$12)</f>
        <v>2.9522248086802836E-3</v>
      </c>
      <c r="S51" s="1"/>
      <c r="T51" s="1">
        <f>SUM(OSRRefT22_2x_0)</f>
        <v>0</v>
      </c>
      <c r="U51" s="1"/>
      <c r="V51" s="5">
        <f t="shared" ref="V51:V70" si="34">IF(T$12=0,0,T51/T$12)</f>
        <v>0</v>
      </c>
      <c r="W51" s="1"/>
      <c r="X51" s="1">
        <f t="shared" ref="X51:X70" si="35">+P51-T51</f>
        <v>1464.31</v>
      </c>
      <c r="Y51" s="1"/>
      <c r="Z51" s="5">
        <f t="shared" ref="Z51:Z70" si="36">IF(T51=0,0,X51/T51)</f>
        <v>0</v>
      </c>
    </row>
    <row r="52" spans="1:26" s="24" customFormat="1" hidden="1" outlineLevel="2" x14ac:dyDescent="0.25">
      <c r="A52" s="27"/>
      <c r="B52" s="11" t="str">
        <f>CONCATENATE("          ", "6362", " - ", "ADVERTISING EXPENSE")</f>
        <v xml:space="preserve">          6362 - ADVERTISING EXPENSE</v>
      </c>
      <c r="C52" s="11"/>
      <c r="D52" s="6"/>
      <c r="E52" s="2"/>
      <c r="F52" s="7">
        <f t="shared" si="29"/>
        <v>0</v>
      </c>
      <c r="G52" s="2"/>
      <c r="H52" s="6">
        <v>0</v>
      </c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1464.31</v>
      </c>
      <c r="Q52" s="2"/>
      <c r="R52" s="7">
        <f t="shared" si="33"/>
        <v>2.9522248086802836E-3</v>
      </c>
      <c r="S52" s="2"/>
      <c r="T52" s="6">
        <v>0</v>
      </c>
      <c r="U52" s="2"/>
      <c r="V52" s="7">
        <f t="shared" si="34"/>
        <v>0</v>
      </c>
      <c r="W52" s="2"/>
      <c r="X52" s="6">
        <f t="shared" si="35"/>
        <v>1464.31</v>
      </c>
      <c r="Y52" s="2"/>
      <c r="Z52" s="7">
        <f t="shared" si="36"/>
        <v>0</v>
      </c>
    </row>
    <row r="53" spans="1:26" s="26" customFormat="1" outlineLevel="1" collapsed="1" x14ac:dyDescent="0.25">
      <c r="A53" s="25"/>
      <c r="B53" s="12" t="str">
        <f>CONCATENATE("     ","Bad Debts/Over/Short                              ")</f>
        <v xml:space="preserve">     Bad Debts/Over/Short                              </v>
      </c>
      <c r="C53" s="12"/>
      <c r="D53" s="1">
        <f>SUM(OSRRefD22_3x_0)</f>
        <v>0</v>
      </c>
      <c r="E53" s="1"/>
      <c r="F53" s="5">
        <f t="shared" si="29"/>
        <v>0</v>
      </c>
      <c r="G53" s="1"/>
      <c r="H53" s="1">
        <f>SUM(OSRRefH22_3x_0)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2"/>
      <c r="P53" s="1">
        <f>SUM(OSRRefP22_3x_0)</f>
        <v>-198.56</v>
      </c>
      <c r="Q53" s="1"/>
      <c r="R53" s="5">
        <f t="shared" si="33"/>
        <v>-4.0032080502868734E-4</v>
      </c>
      <c r="S53" s="1"/>
      <c r="T53" s="1">
        <f>SUM(OSRRefT22_3x_0)</f>
        <v>0</v>
      </c>
      <c r="U53" s="1"/>
      <c r="V53" s="5">
        <f t="shared" si="34"/>
        <v>0</v>
      </c>
      <c r="W53" s="1"/>
      <c r="X53" s="1">
        <f t="shared" si="35"/>
        <v>-198.56</v>
      </c>
      <c r="Y53" s="1"/>
      <c r="Z53" s="5">
        <f t="shared" si="36"/>
        <v>0</v>
      </c>
    </row>
    <row r="54" spans="1:26" s="24" customFormat="1" hidden="1" outlineLevel="2" x14ac:dyDescent="0.25">
      <c r="A54" s="27"/>
      <c r="B54" s="11" t="str">
        <f>CONCATENATE("          ", "6272", " - ", "CASH (OVER/SHORT)")</f>
        <v xml:space="preserve">          6272 - CASH (OVER/SHORT)</v>
      </c>
      <c r="C54" s="11"/>
      <c r="D54" s="6"/>
      <c r="E54" s="2"/>
      <c r="F54" s="7">
        <f t="shared" si="29"/>
        <v>0</v>
      </c>
      <c r="G54" s="2"/>
      <c r="H54" s="6">
        <v>0</v>
      </c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-198.56</v>
      </c>
      <c r="Q54" s="2"/>
      <c r="R54" s="7">
        <f t="shared" si="33"/>
        <v>-4.0032080502868734E-4</v>
      </c>
      <c r="S54" s="2"/>
      <c r="T54" s="6">
        <v>0</v>
      </c>
      <c r="U54" s="2"/>
      <c r="V54" s="7">
        <f t="shared" si="34"/>
        <v>0</v>
      </c>
      <c r="W54" s="2"/>
      <c r="X54" s="6">
        <f t="shared" si="35"/>
        <v>-198.56</v>
      </c>
      <c r="Y54" s="2"/>
      <c r="Z54" s="7">
        <f t="shared" si="36"/>
        <v>0</v>
      </c>
    </row>
    <row r="55" spans="1:26" s="26" customFormat="1" outlineLevel="1" collapsed="1" x14ac:dyDescent="0.25">
      <c r="A55" s="25"/>
      <c r="B55" s="12" t="str">
        <f>CONCATENATE("     ","Bank/card Fees                                    ")</f>
        <v xml:space="preserve">     Bank/card Fees                                    </v>
      </c>
      <c r="C55" s="12"/>
      <c r="D55" s="1">
        <f>SUM(OSRRefD22_4x_0)</f>
        <v>60</v>
      </c>
      <c r="E55" s="1"/>
      <c r="F55" s="5">
        <f t="shared" si="29"/>
        <v>0.50221813007449567</v>
      </c>
      <c r="G55" s="1"/>
      <c r="H55" s="1">
        <f>SUM(OSRRefH22_4x_0)</f>
        <v>579</v>
      </c>
      <c r="I55" s="1"/>
      <c r="J55" s="5">
        <f t="shared" si="30"/>
        <v>3.1672227996280292E-2</v>
      </c>
      <c r="K55" s="1"/>
      <c r="L55" s="1">
        <f t="shared" si="31"/>
        <v>-519</v>
      </c>
      <c r="M55" s="1"/>
      <c r="N55" s="5">
        <f t="shared" si="32"/>
        <v>-0.89637305699481862</v>
      </c>
      <c r="O55" s="12"/>
      <c r="P55" s="1">
        <f>SUM(OSRRefP22_4x_0)</f>
        <v>18253.439999999999</v>
      </c>
      <c r="Q55" s="1"/>
      <c r="R55" s="5">
        <f t="shared" si="33"/>
        <v>3.6801127091774986E-2</v>
      </c>
      <c r="S55" s="1"/>
      <c r="T55" s="1">
        <f>SUM(OSRRefT22_4x_0)</f>
        <v>20182</v>
      </c>
      <c r="U55" s="1"/>
      <c r="V55" s="5">
        <f t="shared" si="34"/>
        <v>3.1690649515422928E-2</v>
      </c>
      <c r="W55" s="1"/>
      <c r="X55" s="1">
        <f t="shared" si="35"/>
        <v>-1928.5600000000013</v>
      </c>
      <c r="Y55" s="1"/>
      <c r="Z55" s="5">
        <f t="shared" si="36"/>
        <v>-9.5558418392627159E-2</v>
      </c>
    </row>
    <row r="56" spans="1:26" s="24" customFormat="1" hidden="1" outlineLevel="2" x14ac:dyDescent="0.25">
      <c r="A56" s="27"/>
      <c r="B56" s="11" t="str">
        <f>CONCATENATE("          ", "6381", " - ", "BANK/CREDIT CARD FEES")</f>
        <v xml:space="preserve">          6381 - BANK/CREDIT CARD FEES</v>
      </c>
      <c r="C56" s="11"/>
      <c r="D56" s="6">
        <v>60</v>
      </c>
      <c r="E56" s="2"/>
      <c r="F56" s="7">
        <f t="shared" si="29"/>
        <v>0.50221813007449567</v>
      </c>
      <c r="G56" s="2"/>
      <c r="H56" s="6">
        <v>579</v>
      </c>
      <c r="I56" s="2"/>
      <c r="J56" s="7">
        <f t="shared" si="30"/>
        <v>3.1672227996280292E-2</v>
      </c>
      <c r="K56" s="2"/>
      <c r="L56" s="6">
        <f t="shared" si="31"/>
        <v>-519</v>
      </c>
      <c r="M56" s="2"/>
      <c r="N56" s="7">
        <f t="shared" si="32"/>
        <v>-0.89637305699481862</v>
      </c>
      <c r="O56" s="11"/>
      <c r="P56" s="6">
        <v>18253.439999999999</v>
      </c>
      <c r="Q56" s="2"/>
      <c r="R56" s="7">
        <f t="shared" si="33"/>
        <v>3.6801127091774986E-2</v>
      </c>
      <c r="S56" s="2"/>
      <c r="T56" s="6">
        <v>20182</v>
      </c>
      <c r="U56" s="2"/>
      <c r="V56" s="7">
        <f t="shared" si="34"/>
        <v>3.1690649515422928E-2</v>
      </c>
      <c r="W56" s="2"/>
      <c r="X56" s="6">
        <f t="shared" si="35"/>
        <v>-1928.5600000000013</v>
      </c>
      <c r="Y56" s="2"/>
      <c r="Z56" s="7">
        <f t="shared" si="36"/>
        <v>-9.5558418392627159E-2</v>
      </c>
    </row>
    <row r="57" spans="1:26" s="26" customFormat="1" outlineLevel="1" collapsed="1" x14ac:dyDescent="0.25">
      <c r="A57" s="25"/>
      <c r="B57" s="12" t="str">
        <f>CONCATENATE("     ","Depreciation                                      ")</f>
        <v xml:space="preserve">     Depreciation                                      </v>
      </c>
      <c r="C57" s="12"/>
      <c r="D57" s="1">
        <f>SUM(OSRRefD22_5x_0)</f>
        <v>0</v>
      </c>
      <c r="E57" s="1"/>
      <c r="F57" s="5">
        <f t="shared" si="29"/>
        <v>0</v>
      </c>
      <c r="G57" s="1"/>
      <c r="H57" s="1">
        <f>SUM(OSRRefH22_5x_0)</f>
        <v>65</v>
      </c>
      <c r="I57" s="1"/>
      <c r="J57" s="5">
        <f t="shared" si="30"/>
        <v>3.5556041792024506E-3</v>
      </c>
      <c r="K57" s="1"/>
      <c r="L57" s="1">
        <f t="shared" si="31"/>
        <v>-65</v>
      </c>
      <c r="M57" s="1"/>
      <c r="N57" s="5">
        <f t="shared" si="32"/>
        <v>-1</v>
      </c>
      <c r="O57" s="12"/>
      <c r="P57" s="1">
        <f>SUM(OSRRefP22_5x_0)</f>
        <v>0</v>
      </c>
      <c r="Q57" s="1"/>
      <c r="R57" s="5">
        <f t="shared" si="33"/>
        <v>0</v>
      </c>
      <c r="S57" s="1"/>
      <c r="T57" s="1">
        <f>SUM(OSRRefT22_5x_0)</f>
        <v>585</v>
      </c>
      <c r="U57" s="1"/>
      <c r="V57" s="5">
        <f t="shared" si="34"/>
        <v>9.1859230832040499E-4</v>
      </c>
      <c r="W57" s="1"/>
      <c r="X57" s="1">
        <f t="shared" si="35"/>
        <v>-585</v>
      </c>
      <c r="Y57" s="1"/>
      <c r="Z57" s="5">
        <f t="shared" si="36"/>
        <v>-1</v>
      </c>
    </row>
    <row r="58" spans="1:26" s="24" customFormat="1" hidden="1" outlineLevel="2" x14ac:dyDescent="0.25">
      <c r="A58" s="27"/>
      <c r="B58" s="11" t="str">
        <f>CONCATENATE("          ", "6324", " - ", "FURNITURE + FIXT DEPRECIATION")</f>
        <v xml:space="preserve">          6324 - FURNITURE + FIXT DEPRECIATION</v>
      </c>
      <c r="C58" s="11"/>
      <c r="D58" s="6"/>
      <c r="E58" s="2"/>
      <c r="F58" s="7">
        <f t="shared" si="29"/>
        <v>0</v>
      </c>
      <c r="G58" s="2"/>
      <c r="H58" s="6">
        <v>65</v>
      </c>
      <c r="I58" s="2"/>
      <c r="J58" s="7">
        <f t="shared" si="30"/>
        <v>3.5556041792024506E-3</v>
      </c>
      <c r="K58" s="2"/>
      <c r="L58" s="6">
        <f t="shared" si="31"/>
        <v>-65</v>
      </c>
      <c r="M58" s="2"/>
      <c r="N58" s="7">
        <f t="shared" si="32"/>
        <v>-1</v>
      </c>
      <c r="O58" s="11"/>
      <c r="P58" s="6"/>
      <c r="Q58" s="2"/>
      <c r="R58" s="7">
        <f t="shared" si="33"/>
        <v>0</v>
      </c>
      <c r="S58" s="2"/>
      <c r="T58" s="6">
        <v>585</v>
      </c>
      <c r="U58" s="2"/>
      <c r="V58" s="7">
        <f t="shared" si="34"/>
        <v>9.1859230832040499E-4</v>
      </c>
      <c r="W58" s="2"/>
      <c r="X58" s="6">
        <f t="shared" si="35"/>
        <v>-585</v>
      </c>
      <c r="Y58" s="2"/>
      <c r="Z58" s="7">
        <f t="shared" si="36"/>
        <v>-1</v>
      </c>
    </row>
    <row r="59" spans="1:26" s="26" customFormat="1" outlineLevel="1" collapsed="1" x14ac:dyDescent="0.25">
      <c r="A59" s="25"/>
      <c r="B59" s="12" t="str">
        <f>CONCATENATE("     ","Discounts and Markdowns                           ")</f>
        <v xml:space="preserve">     Discounts and Markdowns                           </v>
      </c>
      <c r="C59" s="12"/>
      <c r="D59" s="1">
        <f>SUM(OSRRefD22_6x_0)</f>
        <v>0</v>
      </c>
      <c r="E59" s="1"/>
      <c r="F59" s="5">
        <f t="shared" si="29"/>
        <v>0</v>
      </c>
      <c r="G59" s="1"/>
      <c r="H59" s="1">
        <f>SUM(OSRRefH22_6x_0)</f>
        <v>0</v>
      </c>
      <c r="I59" s="1"/>
      <c r="J59" s="5">
        <f t="shared" si="30"/>
        <v>0</v>
      </c>
      <c r="K59" s="1"/>
      <c r="L59" s="1">
        <f t="shared" si="31"/>
        <v>0</v>
      </c>
      <c r="M59" s="1"/>
      <c r="N59" s="5">
        <f t="shared" si="32"/>
        <v>0</v>
      </c>
      <c r="O59" s="12"/>
      <c r="P59" s="1">
        <f>SUM(OSRRefP22_6x_0)</f>
        <v>125.87</v>
      </c>
      <c r="Q59" s="1"/>
      <c r="R59" s="5">
        <f t="shared" si="33"/>
        <v>2.5376903570185775E-4</v>
      </c>
      <c r="S59" s="1"/>
      <c r="T59" s="1">
        <f>SUM(OSRRefT22_6x_0)</f>
        <v>0</v>
      </c>
      <c r="U59" s="1"/>
      <c r="V59" s="5">
        <f t="shared" si="34"/>
        <v>0</v>
      </c>
      <c r="W59" s="1"/>
      <c r="X59" s="1">
        <f t="shared" si="35"/>
        <v>125.87</v>
      </c>
      <c r="Y59" s="1"/>
      <c r="Z59" s="5">
        <f t="shared" si="36"/>
        <v>0</v>
      </c>
    </row>
    <row r="60" spans="1:26" s="24" customFormat="1" hidden="1" outlineLevel="2" x14ac:dyDescent="0.25">
      <c r="A60" s="27"/>
      <c r="B60" s="11" t="str">
        <f>CONCATENATE("          ", "6382", " - ", "DISCOUNTS/MARK DOWNS")</f>
        <v xml:space="preserve">          6382 - DISCOUNTS/MARK DOWNS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>
        <v>125.87</v>
      </c>
      <c r="Q60" s="2"/>
      <c r="R60" s="7">
        <f t="shared" si="33"/>
        <v>2.5376903570185775E-4</v>
      </c>
      <c r="S60" s="2"/>
      <c r="T60" s="6"/>
      <c r="U60" s="2"/>
      <c r="V60" s="7">
        <f t="shared" si="34"/>
        <v>0</v>
      </c>
      <c r="W60" s="2"/>
      <c r="X60" s="6">
        <f t="shared" si="35"/>
        <v>125.87</v>
      </c>
      <c r="Y60" s="2"/>
      <c r="Z60" s="7">
        <f t="shared" si="36"/>
        <v>0</v>
      </c>
    </row>
    <row r="61" spans="1:26" s="26" customFormat="1" outlineLevel="1" collapsed="1" x14ac:dyDescent="0.25">
      <c r="A61" s="25"/>
      <c r="B61" s="12" t="str">
        <f>CONCATENATE("     ","Employees' Appreciation                           ")</f>
        <v xml:space="preserve">     Employees' Appreciation                           </v>
      </c>
      <c r="C61" s="12"/>
      <c r="D61" s="1">
        <f>SUM(OSRRefD22_7x_0)</f>
        <v>0</v>
      </c>
      <c r="E61" s="1"/>
      <c r="F61" s="5">
        <f t="shared" si="29"/>
        <v>0</v>
      </c>
      <c r="G61" s="1"/>
      <c r="H61" s="1">
        <f>SUM(OSRRefH22_7x_0)</f>
        <v>0</v>
      </c>
      <c r="I61" s="1"/>
      <c r="J61" s="5">
        <f t="shared" si="30"/>
        <v>0</v>
      </c>
      <c r="K61" s="1"/>
      <c r="L61" s="1">
        <f t="shared" si="31"/>
        <v>0</v>
      </c>
      <c r="M61" s="1"/>
      <c r="N61" s="5">
        <f t="shared" si="32"/>
        <v>0</v>
      </c>
      <c r="O61" s="12"/>
      <c r="P61" s="1">
        <f>SUM(OSRRefP22_7x_0)</f>
        <v>0</v>
      </c>
      <c r="Q61" s="1"/>
      <c r="R61" s="5">
        <f t="shared" si="33"/>
        <v>0</v>
      </c>
      <c r="S61" s="1"/>
      <c r="T61" s="1">
        <f>SUM(OSRRefT22_7x_0)</f>
        <v>0</v>
      </c>
      <c r="U61" s="1"/>
      <c r="V61" s="5">
        <f t="shared" si="34"/>
        <v>0</v>
      </c>
      <c r="W61" s="1"/>
      <c r="X61" s="1">
        <f t="shared" si="35"/>
        <v>0</v>
      </c>
      <c r="Y61" s="1"/>
      <c r="Z61" s="5">
        <f t="shared" si="36"/>
        <v>0</v>
      </c>
    </row>
    <row r="62" spans="1:26" s="24" customFormat="1" hidden="1" outlineLevel="2" x14ac:dyDescent="0.25">
      <c r="A62" s="27"/>
      <c r="B62" s="11" t="str">
        <f>CONCATENATE("          ", "6277", " - ", "EMPLOYEE APPRECIATION")</f>
        <v xml:space="preserve">          6277 - EMPLOYEE APPRECIATION</v>
      </c>
      <c r="C62" s="11"/>
      <c r="D62" s="6"/>
      <c r="E62" s="2"/>
      <c r="F62" s="7">
        <f t="shared" si="29"/>
        <v>0</v>
      </c>
      <c r="G62" s="2"/>
      <c r="H62" s="6">
        <v>0</v>
      </c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/>
      <c r="Q62" s="2"/>
      <c r="R62" s="7">
        <f t="shared" si="33"/>
        <v>0</v>
      </c>
      <c r="S62" s="2"/>
      <c r="T62" s="6">
        <v>0</v>
      </c>
      <c r="U62" s="2"/>
      <c r="V62" s="7">
        <f t="shared" si="34"/>
        <v>0</v>
      </c>
      <c r="W62" s="2"/>
      <c r="X62" s="6">
        <f t="shared" si="35"/>
        <v>0</v>
      </c>
      <c r="Y62" s="2"/>
      <c r="Z62" s="7">
        <f t="shared" si="36"/>
        <v>0</v>
      </c>
    </row>
    <row r="63" spans="1:26" s="26" customFormat="1" outlineLevel="1" collapsed="1" x14ac:dyDescent="0.25">
      <c r="A63" s="25"/>
      <c r="B63" s="12" t="str">
        <f>CONCATENATE("     ","Freight out/Postage                               ")</f>
        <v xml:space="preserve">     Freight out/Postage                               </v>
      </c>
      <c r="C63" s="12"/>
      <c r="D63" s="1">
        <f>SUM(OSRRefD22_8x_0)</f>
        <v>0</v>
      </c>
      <c r="E63" s="1"/>
      <c r="F63" s="5">
        <f t="shared" si="29"/>
        <v>0</v>
      </c>
      <c r="G63" s="1"/>
      <c r="H63" s="1">
        <f>SUM(OSRRefH22_8x_0)</f>
        <v>0</v>
      </c>
      <c r="I63" s="1"/>
      <c r="J63" s="5">
        <f t="shared" si="30"/>
        <v>0</v>
      </c>
      <c r="K63" s="1"/>
      <c r="L63" s="1">
        <f t="shared" si="31"/>
        <v>0</v>
      </c>
      <c r="M63" s="1"/>
      <c r="N63" s="5">
        <f t="shared" si="32"/>
        <v>0</v>
      </c>
      <c r="O63" s="12"/>
      <c r="P63" s="1">
        <f>SUM(OSRRefP22_8x_0)</f>
        <v>331.18</v>
      </c>
      <c r="Q63" s="1"/>
      <c r="R63" s="5">
        <f t="shared" si="33"/>
        <v>6.6769865133662709E-4</v>
      </c>
      <c r="S63" s="1"/>
      <c r="T63" s="1">
        <f>SUM(OSRRefT22_8x_0)</f>
        <v>0</v>
      </c>
      <c r="U63" s="1"/>
      <c r="V63" s="5">
        <f t="shared" si="34"/>
        <v>0</v>
      </c>
      <c r="W63" s="1"/>
      <c r="X63" s="1">
        <f t="shared" si="35"/>
        <v>331.18</v>
      </c>
      <c r="Y63" s="1"/>
      <c r="Z63" s="5">
        <f t="shared" si="36"/>
        <v>0</v>
      </c>
    </row>
    <row r="64" spans="1:26" s="24" customFormat="1" hidden="1" outlineLevel="2" x14ac:dyDescent="0.25">
      <c r="A64" s="27"/>
      <c r="B64" s="11" t="str">
        <f>CONCATENATE("          ", "6305", " - ", "FREIGHT OUT")</f>
        <v xml:space="preserve">          6305 - FREIGHT OUT</v>
      </c>
      <c r="C64" s="11"/>
      <c r="D64" s="6"/>
      <c r="E64" s="2"/>
      <c r="F64" s="7">
        <f t="shared" si="29"/>
        <v>0</v>
      </c>
      <c r="G64" s="2"/>
      <c r="H64" s="6"/>
      <c r="I64" s="2"/>
      <c r="J64" s="7">
        <f t="shared" si="30"/>
        <v>0</v>
      </c>
      <c r="K64" s="2"/>
      <c r="L64" s="6">
        <f t="shared" si="31"/>
        <v>0</v>
      </c>
      <c r="M64" s="2"/>
      <c r="N64" s="7">
        <f t="shared" si="32"/>
        <v>0</v>
      </c>
      <c r="O64" s="11"/>
      <c r="P64" s="6">
        <v>331.18</v>
      </c>
      <c r="Q64" s="2"/>
      <c r="R64" s="7">
        <f t="shared" si="33"/>
        <v>6.6769865133662709E-4</v>
      </c>
      <c r="S64" s="2"/>
      <c r="T64" s="6"/>
      <c r="U64" s="2"/>
      <c r="V64" s="7">
        <f t="shared" si="34"/>
        <v>0</v>
      </c>
      <c r="W64" s="2"/>
      <c r="X64" s="6">
        <f t="shared" si="35"/>
        <v>331.18</v>
      </c>
      <c r="Y64" s="2"/>
      <c r="Z64" s="7">
        <f t="shared" si="36"/>
        <v>0</v>
      </c>
    </row>
    <row r="65" spans="1:26" s="26" customFormat="1" outlineLevel="1" collapsed="1" x14ac:dyDescent="0.25">
      <c r="A65" s="25"/>
      <c r="B65" s="12" t="str">
        <f>CONCATENATE("     ","General                                           ")</f>
        <v xml:space="preserve">     General                                           </v>
      </c>
      <c r="C65" s="12"/>
      <c r="D65" s="1">
        <f>SUM(OSRRefD22_9x_0)</f>
        <v>0</v>
      </c>
      <c r="E65" s="1"/>
      <c r="F65" s="5">
        <f t="shared" si="29"/>
        <v>0</v>
      </c>
      <c r="G65" s="1"/>
      <c r="H65" s="1">
        <f>SUM(OSRRefH22_9x_0)</f>
        <v>54</v>
      </c>
      <c r="I65" s="1"/>
      <c r="J65" s="5">
        <f t="shared" si="30"/>
        <v>2.953886548875882E-3</v>
      </c>
      <c r="K65" s="1"/>
      <c r="L65" s="1">
        <f t="shared" si="31"/>
        <v>-54</v>
      </c>
      <c r="M65" s="1"/>
      <c r="N65" s="5">
        <f t="shared" si="32"/>
        <v>-1</v>
      </c>
      <c r="O65" s="12"/>
      <c r="P65" s="1">
        <f>SUM(OSRRefP22_9x_0)</f>
        <v>1192.3499999999999</v>
      </c>
      <c r="Q65" s="1"/>
      <c r="R65" s="5">
        <f t="shared" si="33"/>
        <v>2.4039207890610157E-3</v>
      </c>
      <c r="S65" s="1"/>
      <c r="T65" s="1">
        <f>SUM(OSRRefT22_9x_0)</f>
        <v>1891</v>
      </c>
      <c r="U65" s="1"/>
      <c r="V65" s="5">
        <f t="shared" si="34"/>
        <v>2.9693300086049332E-3</v>
      </c>
      <c r="W65" s="1"/>
      <c r="X65" s="1">
        <f t="shared" si="35"/>
        <v>-698.65000000000009</v>
      </c>
      <c r="Y65" s="1"/>
      <c r="Z65" s="5">
        <f t="shared" si="36"/>
        <v>-0.36946060285563198</v>
      </c>
    </row>
    <row r="66" spans="1:26" s="24" customFormat="1" hidden="1" outlineLevel="2" x14ac:dyDescent="0.25">
      <c r="A66" s="27"/>
      <c r="B66" s="11" t="str">
        <f>CONCATENATE("          ", "6279", " - ", "GENERAL EXPENSE")</f>
        <v xml:space="preserve">          6279 - GENERAL EXPENSE</v>
      </c>
      <c r="C66" s="11"/>
      <c r="D66" s="6"/>
      <c r="E66" s="2"/>
      <c r="F66" s="7">
        <f t="shared" si="29"/>
        <v>0</v>
      </c>
      <c r="G66" s="2"/>
      <c r="H66" s="6">
        <v>54</v>
      </c>
      <c r="I66" s="2"/>
      <c r="J66" s="7">
        <f t="shared" si="30"/>
        <v>2.953886548875882E-3</v>
      </c>
      <c r="K66" s="2"/>
      <c r="L66" s="6">
        <f t="shared" si="31"/>
        <v>-54</v>
      </c>
      <c r="M66" s="2"/>
      <c r="N66" s="7">
        <f t="shared" si="32"/>
        <v>-1</v>
      </c>
      <c r="O66" s="11"/>
      <c r="P66" s="6">
        <v>1192.3499999999999</v>
      </c>
      <c r="Q66" s="2"/>
      <c r="R66" s="7">
        <f t="shared" si="33"/>
        <v>2.4039207890610157E-3</v>
      </c>
      <c r="S66" s="2"/>
      <c r="T66" s="6">
        <v>1891</v>
      </c>
      <c r="U66" s="2"/>
      <c r="V66" s="7">
        <f t="shared" si="34"/>
        <v>2.9693300086049332E-3</v>
      </c>
      <c r="W66" s="2"/>
      <c r="X66" s="6">
        <f t="shared" si="35"/>
        <v>-698.65000000000009</v>
      </c>
      <c r="Y66" s="2"/>
      <c r="Z66" s="7">
        <f t="shared" si="36"/>
        <v>-0.36946060285563198</v>
      </c>
    </row>
    <row r="67" spans="1:26" s="26" customFormat="1" outlineLevel="1" collapsed="1" x14ac:dyDescent="0.25">
      <c r="A67" s="25"/>
      <c r="B67" s="12" t="str">
        <f>CONCATENATE("     ","Repair and Maintenance                            ")</f>
        <v xml:space="preserve">     Repair and Maintenance                            </v>
      </c>
      <c r="C67" s="12"/>
      <c r="D67" s="1">
        <f>SUM(OSRRefD22_10x_0)</f>
        <v>24.12</v>
      </c>
      <c r="E67" s="1"/>
      <c r="F67" s="5">
        <f t="shared" si="29"/>
        <v>0.20189168828994727</v>
      </c>
      <c r="G67" s="1"/>
      <c r="H67" s="1">
        <f>SUM(OSRRefH22_10x_0)</f>
        <v>18</v>
      </c>
      <c r="I67" s="1"/>
      <c r="J67" s="5">
        <f t="shared" si="30"/>
        <v>9.8462884962529393E-4</v>
      </c>
      <c r="K67" s="1"/>
      <c r="L67" s="1">
        <f t="shared" si="31"/>
        <v>6.120000000000001</v>
      </c>
      <c r="M67" s="1"/>
      <c r="N67" s="5">
        <f t="shared" si="32"/>
        <v>0.34000000000000008</v>
      </c>
      <c r="O67" s="12"/>
      <c r="P67" s="1">
        <f>SUM(OSRRefP22_10x_0)</f>
        <v>1112.74</v>
      </c>
      <c r="Q67" s="1"/>
      <c r="R67" s="5">
        <f t="shared" si="33"/>
        <v>2.24341746871284E-3</v>
      </c>
      <c r="S67" s="1"/>
      <c r="T67" s="1">
        <f>SUM(OSRRefT22_10x_0)</f>
        <v>630</v>
      </c>
      <c r="U67" s="1"/>
      <c r="V67" s="5">
        <f t="shared" si="34"/>
        <v>9.892532551142824E-4</v>
      </c>
      <c r="W67" s="1"/>
      <c r="X67" s="1">
        <f t="shared" si="35"/>
        <v>482.74</v>
      </c>
      <c r="Y67" s="1"/>
      <c r="Z67" s="5">
        <f t="shared" si="36"/>
        <v>0.7662539682539683</v>
      </c>
    </row>
    <row r="68" spans="1:26" s="24" customFormat="1" hidden="1" outlineLevel="2" x14ac:dyDescent="0.25">
      <c r="A68" s="27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29"/>
        <v>0</v>
      </c>
      <c r="G68" s="2"/>
      <c r="H68" s="6"/>
      <c r="I68" s="2"/>
      <c r="J68" s="7">
        <f t="shared" si="30"/>
        <v>0</v>
      </c>
      <c r="K68" s="2"/>
      <c r="L68" s="6">
        <f t="shared" si="31"/>
        <v>0</v>
      </c>
      <c r="M68" s="2"/>
      <c r="N68" s="7">
        <f t="shared" si="32"/>
        <v>0</v>
      </c>
      <c r="O68" s="11"/>
      <c r="P68" s="6">
        <v>437.31</v>
      </c>
      <c r="Q68" s="2"/>
      <c r="R68" s="7">
        <f t="shared" si="33"/>
        <v>8.8166947646603163E-4</v>
      </c>
      <c r="S68" s="2"/>
      <c r="T68" s="6">
        <v>0</v>
      </c>
      <c r="U68" s="2"/>
      <c r="V68" s="7">
        <f t="shared" si="34"/>
        <v>0</v>
      </c>
      <c r="W68" s="2"/>
      <c r="X68" s="6">
        <f t="shared" si="35"/>
        <v>437.31</v>
      </c>
      <c r="Y68" s="2"/>
      <c r="Z68" s="7">
        <f t="shared" si="36"/>
        <v>0</v>
      </c>
    </row>
    <row r="69" spans="1:26" s="24" customFormat="1" hidden="1" outlineLevel="2" x14ac:dyDescent="0.25">
      <c r="A69" s="27"/>
      <c r="B69" s="11" t="str">
        <f>CONCATENATE("          ", "6373", " - ", "MAINTENANCE CONTRACTS")</f>
        <v xml:space="preserve">          6373 - MAINTENANCE CONTRACTS</v>
      </c>
      <c r="C69" s="11"/>
      <c r="D69" s="6">
        <v>24.12</v>
      </c>
      <c r="E69" s="2"/>
      <c r="F69" s="7">
        <f t="shared" si="29"/>
        <v>0.20189168828994727</v>
      </c>
      <c r="G69" s="2"/>
      <c r="H69" s="6"/>
      <c r="I69" s="2"/>
      <c r="J69" s="7">
        <f t="shared" si="30"/>
        <v>0</v>
      </c>
      <c r="K69" s="2"/>
      <c r="L69" s="6">
        <f t="shared" si="31"/>
        <v>24.12</v>
      </c>
      <c r="M69" s="2"/>
      <c r="N69" s="7">
        <f t="shared" si="32"/>
        <v>0</v>
      </c>
      <c r="O69" s="11"/>
      <c r="P69" s="6">
        <v>94.85</v>
      </c>
      <c r="Q69" s="2"/>
      <c r="R69" s="7">
        <f t="shared" si="33"/>
        <v>1.9122899051657427E-4</v>
      </c>
      <c r="S69" s="2"/>
      <c r="T69" s="6"/>
      <c r="U69" s="2"/>
      <c r="V69" s="7">
        <f t="shared" si="34"/>
        <v>0</v>
      </c>
      <c r="W69" s="2"/>
      <c r="X69" s="6">
        <f t="shared" si="35"/>
        <v>94.85</v>
      </c>
      <c r="Y69" s="2"/>
      <c r="Z69" s="7">
        <f t="shared" si="36"/>
        <v>0</v>
      </c>
    </row>
    <row r="70" spans="1:26" s="24" customFormat="1" hidden="1" outlineLevel="2" x14ac:dyDescent="0.25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6"/>
      <c r="E70" s="2"/>
      <c r="F70" s="7">
        <f t="shared" si="29"/>
        <v>0</v>
      </c>
      <c r="G70" s="2"/>
      <c r="H70" s="6">
        <v>18</v>
      </c>
      <c r="I70" s="2"/>
      <c r="J70" s="7">
        <f t="shared" si="30"/>
        <v>9.8462884962529393E-4</v>
      </c>
      <c r="K70" s="2"/>
      <c r="L70" s="6">
        <f t="shared" si="31"/>
        <v>-18</v>
      </c>
      <c r="M70" s="2"/>
      <c r="N70" s="7">
        <f t="shared" si="32"/>
        <v>-1</v>
      </c>
      <c r="O70" s="11"/>
      <c r="P70" s="6">
        <v>580.58000000000004</v>
      </c>
      <c r="Q70" s="2"/>
      <c r="R70" s="7">
        <f t="shared" si="33"/>
        <v>1.1705190017302341E-3</v>
      </c>
      <c r="S70" s="2"/>
      <c r="T70" s="6">
        <v>630</v>
      </c>
      <c r="U70" s="2"/>
      <c r="V70" s="7">
        <f t="shared" si="34"/>
        <v>9.892532551142824E-4</v>
      </c>
      <c r="W70" s="2"/>
      <c r="X70" s="6">
        <f t="shared" si="35"/>
        <v>-49.419999999999959</v>
      </c>
      <c r="Y70" s="2"/>
      <c r="Z70" s="7">
        <f t="shared" si="36"/>
        <v>-7.8444444444444386E-2</v>
      </c>
    </row>
    <row r="71" spans="1:26" s="26" customFormat="1" outlineLevel="1" collapsed="1" x14ac:dyDescent="0.25">
      <c r="A71" s="25"/>
      <c r="B71" s="12" t="str">
        <f>CONCATENATE("     ","Services                                          ")</f>
        <v xml:space="preserve">     Services                                          </v>
      </c>
      <c r="C71" s="12"/>
      <c r="D71" s="1">
        <f>SUM(OSRRefD22_11x_0)</f>
        <v>0</v>
      </c>
      <c r="E71" s="1"/>
      <c r="F71" s="5">
        <f t="shared" ref="F71:F79" si="37">IF(D$12=0,0,D71/D$12)</f>
        <v>0</v>
      </c>
      <c r="G71" s="1"/>
      <c r="H71" s="1">
        <f>SUM(OSRRefH22_11x_0)</f>
        <v>0</v>
      </c>
      <c r="I71" s="1"/>
      <c r="J71" s="5">
        <f t="shared" ref="J71:J79" si="38">IF(H$12=0,0,H71/H$12)</f>
        <v>0</v>
      </c>
      <c r="K71" s="1"/>
      <c r="L71" s="1">
        <f t="shared" ref="L71:L79" si="39">+D71-H71</f>
        <v>0</v>
      </c>
      <c r="M71" s="1"/>
      <c r="N71" s="5">
        <f t="shared" ref="N71:N79" si="40">IF(H71=0,0,L71/H71)</f>
        <v>0</v>
      </c>
      <c r="O71" s="12"/>
      <c r="P71" s="1">
        <f>SUM(OSRRefP22_11x_0)</f>
        <v>1180.31</v>
      </c>
      <c r="Q71" s="1"/>
      <c r="R71" s="5">
        <f t="shared" ref="R71:R79" si="41">IF(P$12=0,0,P71/P$12)</f>
        <v>2.3796467031799453E-3</v>
      </c>
      <c r="S71" s="1"/>
      <c r="T71" s="1">
        <f>SUM(OSRRefT22_11x_0)</f>
        <v>0</v>
      </c>
      <c r="U71" s="1"/>
      <c r="V71" s="5">
        <f t="shared" ref="V71:V79" si="42">IF(T$12=0,0,T71/T$12)</f>
        <v>0</v>
      </c>
      <c r="W71" s="1"/>
      <c r="X71" s="1">
        <f t="shared" ref="X71:X79" si="43">+P71-T71</f>
        <v>1180.31</v>
      </c>
      <c r="Y71" s="1"/>
      <c r="Z71" s="5">
        <f t="shared" ref="Z71:Z79" si="44">IF(T71=0,0,X71/T71)</f>
        <v>0</v>
      </c>
    </row>
    <row r="72" spans="1:26" s="24" customFormat="1" hidden="1" outlineLevel="2" x14ac:dyDescent="0.25">
      <c r="A72" s="27"/>
      <c r="B72" s="11" t="str">
        <f>CONCATENATE("          ", "6286", " - ", "LAUNDRY EXPENSE")</f>
        <v xml:space="preserve">          6286 - LAUNDRY EXPENSE</v>
      </c>
      <c r="C72" s="11"/>
      <c r="D72" s="6"/>
      <c r="E72" s="2"/>
      <c r="F72" s="7">
        <f t="shared" si="37"/>
        <v>0</v>
      </c>
      <c r="G72" s="2"/>
      <c r="H72" s="6"/>
      <c r="I72" s="2"/>
      <c r="J72" s="7">
        <f t="shared" si="38"/>
        <v>0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>
        <v>1180.31</v>
      </c>
      <c r="Q72" s="2"/>
      <c r="R72" s="7">
        <f t="shared" si="41"/>
        <v>2.3796467031799453E-3</v>
      </c>
      <c r="S72" s="2"/>
      <c r="T72" s="6"/>
      <c r="U72" s="2"/>
      <c r="V72" s="7">
        <f t="shared" si="42"/>
        <v>0</v>
      </c>
      <c r="W72" s="2"/>
      <c r="X72" s="6">
        <f t="shared" si="43"/>
        <v>1180.31</v>
      </c>
      <c r="Y72" s="2"/>
      <c r="Z72" s="7">
        <f t="shared" si="44"/>
        <v>0</v>
      </c>
    </row>
    <row r="73" spans="1:26" s="26" customFormat="1" outlineLevel="1" collapsed="1" x14ac:dyDescent="0.25">
      <c r="A73" s="25"/>
      <c r="B73" s="12" t="str">
        <f>CONCATENATE("     ","Supplies                                          ")</f>
        <v xml:space="preserve">     Supplies                                          </v>
      </c>
      <c r="C73" s="12"/>
      <c r="D73" s="1">
        <f>SUM(OSRRefD22_12x_0)</f>
        <v>0</v>
      </c>
      <c r="E73" s="1"/>
      <c r="F73" s="5">
        <f t="shared" si="37"/>
        <v>0</v>
      </c>
      <c r="G73" s="1"/>
      <c r="H73" s="1">
        <f>SUM(OSRRefH22_12x_0)</f>
        <v>91</v>
      </c>
      <c r="I73" s="1"/>
      <c r="J73" s="5">
        <f t="shared" si="38"/>
        <v>4.9778458508834313E-3</v>
      </c>
      <c r="K73" s="1"/>
      <c r="L73" s="1">
        <f t="shared" si="39"/>
        <v>-91</v>
      </c>
      <c r="M73" s="1"/>
      <c r="N73" s="5">
        <f t="shared" si="40"/>
        <v>-1</v>
      </c>
      <c r="O73" s="12"/>
      <c r="P73" s="1">
        <f>SUM(OSRRefP22_12x_0)</f>
        <v>6469.25</v>
      </c>
      <c r="Q73" s="1"/>
      <c r="R73" s="5">
        <f t="shared" si="41"/>
        <v>1.3042784890873465E-2</v>
      </c>
      <c r="S73" s="1"/>
      <c r="T73" s="1">
        <f>SUM(OSRRefT22_12x_0)</f>
        <v>3154</v>
      </c>
      <c r="U73" s="1"/>
      <c r="V73" s="5">
        <f t="shared" si="42"/>
        <v>4.9525472486197566E-3</v>
      </c>
      <c r="W73" s="1"/>
      <c r="X73" s="1">
        <f t="shared" si="43"/>
        <v>3315.25</v>
      </c>
      <c r="Y73" s="1"/>
      <c r="Z73" s="5">
        <f t="shared" si="44"/>
        <v>1.0511255548509828</v>
      </c>
    </row>
    <row r="74" spans="1:26" s="24" customFormat="1" hidden="1" outlineLevel="2" x14ac:dyDescent="0.25">
      <c r="A74" s="27"/>
      <c r="B74" s="11" t="str">
        <f>CONCATENATE("          ", "6234", " - ", "EXPENDABLE SUPPLIES &amp; EQUIPMEN")</f>
        <v xml:space="preserve">          6234 - EXPENDABLE SUPPLIES &amp; EQUIPMEN</v>
      </c>
      <c r="C74" s="11"/>
      <c r="D74" s="6"/>
      <c r="E74" s="2"/>
      <c r="F74" s="7">
        <f t="shared" si="37"/>
        <v>0</v>
      </c>
      <c r="G74" s="2"/>
      <c r="H74" s="6"/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>
        <v>354.82</v>
      </c>
      <c r="Q74" s="2"/>
      <c r="R74" s="7">
        <f t="shared" si="41"/>
        <v>7.1535973025926088E-4</v>
      </c>
      <c r="S74" s="2"/>
      <c r="T74" s="6"/>
      <c r="U74" s="2"/>
      <c r="V74" s="7">
        <f t="shared" si="42"/>
        <v>0</v>
      </c>
      <c r="W74" s="2"/>
      <c r="X74" s="6">
        <f t="shared" si="43"/>
        <v>354.82</v>
      </c>
      <c r="Y74" s="2"/>
      <c r="Z74" s="7">
        <f t="shared" si="44"/>
        <v>0</v>
      </c>
    </row>
    <row r="75" spans="1:26" s="24" customFormat="1" hidden="1" outlineLevel="2" x14ac:dyDescent="0.25">
      <c r="A75" s="27"/>
      <c r="B75" s="11" t="str">
        <f>CONCATENATE("          ", "6237", " - ", "JANITORIAL SUPPLIES")</f>
        <v xml:space="preserve">          6237 - JANITORIAL SUPPLIES</v>
      </c>
      <c r="C75" s="11"/>
      <c r="D75" s="6"/>
      <c r="E75" s="2"/>
      <c r="F75" s="7">
        <f t="shared" si="37"/>
        <v>0</v>
      </c>
      <c r="G75" s="2"/>
      <c r="H75" s="6"/>
      <c r="I75" s="2"/>
      <c r="J75" s="7">
        <f t="shared" si="38"/>
        <v>0</v>
      </c>
      <c r="K75" s="2"/>
      <c r="L75" s="6">
        <f t="shared" si="39"/>
        <v>0</v>
      </c>
      <c r="M75" s="2"/>
      <c r="N75" s="7">
        <f t="shared" si="40"/>
        <v>0</v>
      </c>
      <c r="O75" s="11"/>
      <c r="P75" s="6">
        <v>151.25</v>
      </c>
      <c r="Q75" s="2"/>
      <c r="R75" s="7">
        <f t="shared" si="41"/>
        <v>3.0493816358072599E-4</v>
      </c>
      <c r="S75" s="2"/>
      <c r="T75" s="6"/>
      <c r="U75" s="2"/>
      <c r="V75" s="7">
        <f t="shared" si="42"/>
        <v>0</v>
      </c>
      <c r="W75" s="2"/>
      <c r="X75" s="6">
        <f t="shared" si="43"/>
        <v>151.25</v>
      </c>
      <c r="Y75" s="2"/>
      <c r="Z75" s="7">
        <f t="shared" si="44"/>
        <v>0</v>
      </c>
    </row>
    <row r="76" spans="1:26" s="24" customFormat="1" hidden="1" outlineLevel="2" x14ac:dyDescent="0.25">
      <c r="A76" s="27"/>
      <c r="B76" s="11" t="str">
        <f>CONCATENATE("          ", "6241", " - ", "OFFICE EXPENSE")</f>
        <v xml:space="preserve">          6241 - OFFICE EXPENSE</v>
      </c>
      <c r="C76" s="11"/>
      <c r="D76" s="6"/>
      <c r="E76" s="2"/>
      <c r="F76" s="7">
        <f t="shared" si="37"/>
        <v>0</v>
      </c>
      <c r="G76" s="2"/>
      <c r="H76" s="6"/>
      <c r="I76" s="2"/>
      <c r="J76" s="7">
        <f t="shared" si="38"/>
        <v>0</v>
      </c>
      <c r="K76" s="2"/>
      <c r="L76" s="6">
        <f t="shared" si="39"/>
        <v>0</v>
      </c>
      <c r="M76" s="2"/>
      <c r="N76" s="7">
        <f t="shared" si="40"/>
        <v>0</v>
      </c>
      <c r="O76" s="11"/>
      <c r="P76" s="6">
        <v>328.56</v>
      </c>
      <c r="Q76" s="2"/>
      <c r="R76" s="7">
        <f t="shared" si="41"/>
        <v>6.6241641670137749E-4</v>
      </c>
      <c r="S76" s="2"/>
      <c r="T76" s="6"/>
      <c r="U76" s="2"/>
      <c r="V76" s="7">
        <f t="shared" si="42"/>
        <v>0</v>
      </c>
      <c r="W76" s="2"/>
      <c r="X76" s="6">
        <f t="shared" si="43"/>
        <v>328.56</v>
      </c>
      <c r="Y76" s="2"/>
      <c r="Z76" s="7">
        <f t="shared" si="44"/>
        <v>0</v>
      </c>
    </row>
    <row r="77" spans="1:26" s="24" customFormat="1" hidden="1" outlineLevel="2" x14ac:dyDescent="0.25">
      <c r="A77" s="27"/>
      <c r="B77" s="11" t="str">
        <f>CONCATENATE("          ", "6245", " - ", "PRINTING")</f>
        <v xml:space="preserve">          6245 - PRINTING</v>
      </c>
      <c r="C77" s="11"/>
      <c r="D77" s="6"/>
      <c r="E77" s="2"/>
      <c r="F77" s="7">
        <f t="shared" si="37"/>
        <v>0</v>
      </c>
      <c r="G77" s="2"/>
      <c r="H77" s="6"/>
      <c r="I77" s="2"/>
      <c r="J77" s="7">
        <f t="shared" si="38"/>
        <v>0</v>
      </c>
      <c r="K77" s="2"/>
      <c r="L77" s="6">
        <f t="shared" si="39"/>
        <v>0</v>
      </c>
      <c r="M77" s="2"/>
      <c r="N77" s="7">
        <f t="shared" si="40"/>
        <v>0</v>
      </c>
      <c r="O77" s="11"/>
      <c r="P77" s="6">
        <v>81.739999999999995</v>
      </c>
      <c r="Q77" s="2"/>
      <c r="R77" s="7">
        <f t="shared" si="41"/>
        <v>1.6479765613942838E-4</v>
      </c>
      <c r="S77" s="2"/>
      <c r="T77" s="6"/>
      <c r="U77" s="2"/>
      <c r="V77" s="7">
        <f t="shared" si="42"/>
        <v>0</v>
      </c>
      <c r="W77" s="2"/>
      <c r="X77" s="6">
        <f t="shared" si="43"/>
        <v>81.739999999999995</v>
      </c>
      <c r="Y77" s="2"/>
      <c r="Z77" s="7">
        <f t="shared" si="44"/>
        <v>0</v>
      </c>
    </row>
    <row r="78" spans="1:26" s="24" customFormat="1" hidden="1" outlineLevel="2" x14ac:dyDescent="0.25">
      <c r="A78" s="27"/>
      <c r="B78" s="11" t="str">
        <f>CONCATENATE("          ", "6247", " - ", "STORE SUPPLIES")</f>
        <v xml:space="preserve">          6247 - STORE SUPPLIES</v>
      </c>
      <c r="C78" s="11"/>
      <c r="D78" s="6"/>
      <c r="E78" s="2"/>
      <c r="F78" s="7">
        <f t="shared" si="37"/>
        <v>0</v>
      </c>
      <c r="G78" s="2"/>
      <c r="H78" s="6">
        <v>91</v>
      </c>
      <c r="I78" s="2"/>
      <c r="J78" s="7">
        <f t="shared" si="38"/>
        <v>4.9778458508834313E-3</v>
      </c>
      <c r="K78" s="2"/>
      <c r="L78" s="6">
        <f t="shared" si="39"/>
        <v>-91</v>
      </c>
      <c r="M78" s="2"/>
      <c r="N78" s="7">
        <f t="shared" si="40"/>
        <v>-1</v>
      </c>
      <c r="O78" s="11"/>
      <c r="P78" s="6">
        <v>5518.43</v>
      </c>
      <c r="Q78" s="2"/>
      <c r="R78" s="7">
        <f t="shared" si="41"/>
        <v>1.112581758709941E-2</v>
      </c>
      <c r="S78" s="2"/>
      <c r="T78" s="6">
        <v>3154</v>
      </c>
      <c r="U78" s="2"/>
      <c r="V78" s="7">
        <f t="shared" si="42"/>
        <v>4.9525472486197566E-3</v>
      </c>
      <c r="W78" s="2"/>
      <c r="X78" s="6">
        <f t="shared" si="43"/>
        <v>2364.4300000000003</v>
      </c>
      <c r="Y78" s="2"/>
      <c r="Z78" s="7">
        <f t="shared" si="44"/>
        <v>0.74966074825618267</v>
      </c>
    </row>
    <row r="79" spans="1:26" s="24" customFormat="1" hidden="1" outlineLevel="2" x14ac:dyDescent="0.25">
      <c r="A79" s="27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37"/>
        <v>0</v>
      </c>
      <c r="G79" s="2"/>
      <c r="H79" s="6"/>
      <c r="I79" s="2"/>
      <c r="J79" s="7">
        <f t="shared" si="38"/>
        <v>0</v>
      </c>
      <c r="K79" s="2"/>
      <c r="L79" s="6">
        <f t="shared" si="39"/>
        <v>0</v>
      </c>
      <c r="M79" s="2"/>
      <c r="N79" s="7">
        <f t="shared" si="40"/>
        <v>0</v>
      </c>
      <c r="O79" s="11"/>
      <c r="P79" s="6">
        <v>34.450000000000003</v>
      </c>
      <c r="Q79" s="2"/>
      <c r="R79" s="7">
        <f t="shared" si="41"/>
        <v>6.9455337093262895E-5</v>
      </c>
      <c r="S79" s="2"/>
      <c r="T79" s="6"/>
      <c r="U79" s="2"/>
      <c r="V79" s="7">
        <f t="shared" si="42"/>
        <v>0</v>
      </c>
      <c r="W79" s="2"/>
      <c r="X79" s="6">
        <f t="shared" si="43"/>
        <v>34.450000000000003</v>
      </c>
      <c r="Y79" s="2"/>
      <c r="Z79" s="7">
        <f t="shared" si="44"/>
        <v>0</v>
      </c>
    </row>
    <row r="80" spans="1:26" s="26" customFormat="1" outlineLevel="1" collapsed="1" x14ac:dyDescent="0.25">
      <c r="A80" s="25"/>
      <c r="B80" s="12" t="str">
        <f>CONCATENATE("     ","Telephone/Data Lines                              ")</f>
        <v xml:space="preserve">     Telephone/Data Lines                              </v>
      </c>
      <c r="C80" s="12"/>
      <c r="D80" s="1">
        <f>SUM(OSRRefD22_13x_0)</f>
        <v>120.4</v>
      </c>
      <c r="E80" s="1"/>
      <c r="F80" s="5">
        <f t="shared" ref="F80:F83" si="45">IF(D$12=0,0,D80/D$12)</f>
        <v>1.0077843810161546</v>
      </c>
      <c r="G80" s="1"/>
      <c r="H80" s="1">
        <f>SUM(OSRRefH22_13x_0)</f>
        <v>75</v>
      </c>
      <c r="I80" s="1"/>
      <c r="J80" s="5">
        <f t="shared" ref="J80:J83" si="46">IF(H$12=0,0,H80/H$12)</f>
        <v>4.1026202067720582E-3</v>
      </c>
      <c r="K80" s="1"/>
      <c r="L80" s="1">
        <f t="shared" ref="L80:L83" si="47">+D80-H80</f>
        <v>45.400000000000006</v>
      </c>
      <c r="M80" s="1"/>
      <c r="N80" s="5">
        <f t="shared" ref="N80:N83" si="48">IF(H80=0,0,L80/H80)</f>
        <v>0.60533333333333339</v>
      </c>
      <c r="O80" s="12"/>
      <c r="P80" s="1">
        <f>SUM(OSRRefP22_13x_0)</f>
        <v>1493.23</v>
      </c>
      <c r="Q80" s="1"/>
      <c r="R80" s="5">
        <f t="shared" ref="R80:R83" si="49">IF(P$12=0,0,P80/P$12)</f>
        <v>3.0105310016770082E-3</v>
      </c>
      <c r="S80" s="1"/>
      <c r="T80" s="1">
        <f>SUM(OSRRefT22_13x_0)</f>
        <v>900</v>
      </c>
      <c r="U80" s="1"/>
      <c r="V80" s="5">
        <f t="shared" ref="V80:V83" si="50">IF(T$12=0,0,T80/T$12)</f>
        <v>1.4132189358775462E-3</v>
      </c>
      <c r="W80" s="1"/>
      <c r="X80" s="1">
        <f t="shared" ref="X80:X83" si="51">+P80-T80</f>
        <v>593.23</v>
      </c>
      <c r="Y80" s="1"/>
      <c r="Z80" s="5">
        <f t="shared" ref="Z80:Z83" si="52">IF(T80=0,0,X80/T80)</f>
        <v>0.65914444444444442</v>
      </c>
    </row>
    <row r="81" spans="1:26" s="24" customFormat="1" hidden="1" outlineLevel="2" x14ac:dyDescent="0.25">
      <c r="A81" s="27"/>
      <c r="B81" s="11" t="str">
        <f>CONCATENATE("          ", "6309", " - ", "TELEPHONE")</f>
        <v xml:space="preserve">          6309 - TELEPHONE</v>
      </c>
      <c r="C81" s="11"/>
      <c r="D81" s="6">
        <v>120.4</v>
      </c>
      <c r="E81" s="2"/>
      <c r="F81" s="7">
        <f t="shared" si="45"/>
        <v>1.0077843810161546</v>
      </c>
      <c r="G81" s="2"/>
      <c r="H81" s="6">
        <v>75</v>
      </c>
      <c r="I81" s="2"/>
      <c r="J81" s="7">
        <f t="shared" si="46"/>
        <v>4.1026202067720582E-3</v>
      </c>
      <c r="K81" s="2"/>
      <c r="L81" s="6">
        <f t="shared" si="47"/>
        <v>45.400000000000006</v>
      </c>
      <c r="M81" s="2"/>
      <c r="N81" s="7">
        <f t="shared" si="48"/>
        <v>0.60533333333333339</v>
      </c>
      <c r="O81" s="11"/>
      <c r="P81" s="6">
        <v>1493.23</v>
      </c>
      <c r="Q81" s="2"/>
      <c r="R81" s="7">
        <f t="shared" si="49"/>
        <v>3.0105310016770082E-3</v>
      </c>
      <c r="S81" s="2"/>
      <c r="T81" s="6">
        <v>900</v>
      </c>
      <c r="U81" s="2"/>
      <c r="V81" s="7">
        <f t="shared" si="50"/>
        <v>1.4132189358775462E-3</v>
      </c>
      <c r="W81" s="2"/>
      <c r="X81" s="6">
        <f t="shared" si="51"/>
        <v>593.23</v>
      </c>
      <c r="Y81" s="2"/>
      <c r="Z81" s="7">
        <f t="shared" si="52"/>
        <v>0.65914444444444442</v>
      </c>
    </row>
    <row r="82" spans="1:26" s="26" customFormat="1" outlineLevel="1" collapsed="1" x14ac:dyDescent="0.25">
      <c r="A82" s="25"/>
      <c r="B82" s="12" t="str">
        <f>CONCATENATE("     ","Training                                          ")</f>
        <v xml:space="preserve">     Training                                          </v>
      </c>
      <c r="C82" s="12"/>
      <c r="D82" s="1">
        <f>SUM(OSRRefD22_14x_0)</f>
        <v>0</v>
      </c>
      <c r="E82" s="1"/>
      <c r="F82" s="5">
        <f t="shared" si="45"/>
        <v>0</v>
      </c>
      <c r="G82" s="1"/>
      <c r="H82" s="1">
        <f>SUM(OSRRefH22_14x_0)</f>
        <v>0</v>
      </c>
      <c r="I82" s="1"/>
      <c r="J82" s="5">
        <f t="shared" si="46"/>
        <v>0</v>
      </c>
      <c r="K82" s="1"/>
      <c r="L82" s="1">
        <f t="shared" si="47"/>
        <v>0</v>
      </c>
      <c r="M82" s="1"/>
      <c r="N82" s="5">
        <f t="shared" si="48"/>
        <v>0</v>
      </c>
      <c r="O82" s="12"/>
      <c r="P82" s="1">
        <f>SUM(OSRRefP22_14x_0)</f>
        <v>96</v>
      </c>
      <c r="Q82" s="1"/>
      <c r="R82" s="5">
        <f t="shared" si="49"/>
        <v>1.9354752861983272E-4</v>
      </c>
      <c r="S82" s="1"/>
      <c r="T82" s="1">
        <f>SUM(OSRRefT22_14x_0)</f>
        <v>1000</v>
      </c>
      <c r="U82" s="1"/>
      <c r="V82" s="5">
        <f t="shared" si="50"/>
        <v>1.5702432620861625E-3</v>
      </c>
      <c r="W82" s="1"/>
      <c r="X82" s="1">
        <f t="shared" si="51"/>
        <v>-904</v>
      </c>
      <c r="Y82" s="1"/>
      <c r="Z82" s="5">
        <f t="shared" si="52"/>
        <v>-0.90400000000000003</v>
      </c>
    </row>
    <row r="83" spans="1:26" s="24" customFormat="1" hidden="1" outlineLevel="2" x14ac:dyDescent="0.25">
      <c r="A83" s="27"/>
      <c r="B83" s="11" t="str">
        <f>CONCATENATE("          ", "6376", " - ", "TRAINING")</f>
        <v xml:space="preserve">          6376 - TRAINING</v>
      </c>
      <c r="C83" s="11"/>
      <c r="D83" s="6"/>
      <c r="E83" s="2"/>
      <c r="F83" s="7">
        <f t="shared" si="45"/>
        <v>0</v>
      </c>
      <c r="G83" s="2"/>
      <c r="H83" s="6"/>
      <c r="I83" s="2"/>
      <c r="J83" s="7">
        <f t="shared" si="46"/>
        <v>0</v>
      </c>
      <c r="K83" s="2"/>
      <c r="L83" s="6">
        <f t="shared" si="47"/>
        <v>0</v>
      </c>
      <c r="M83" s="2"/>
      <c r="N83" s="7">
        <f t="shared" si="48"/>
        <v>0</v>
      </c>
      <c r="O83" s="11"/>
      <c r="P83" s="6">
        <v>96</v>
      </c>
      <c r="Q83" s="2"/>
      <c r="R83" s="7">
        <f t="shared" si="49"/>
        <v>1.9354752861983272E-4</v>
      </c>
      <c r="S83" s="2"/>
      <c r="T83" s="6">
        <v>1000</v>
      </c>
      <c r="U83" s="2"/>
      <c r="V83" s="7">
        <f t="shared" si="50"/>
        <v>1.5702432620861625E-3</v>
      </c>
      <c r="W83" s="2"/>
      <c r="X83" s="6">
        <f t="shared" si="51"/>
        <v>-904</v>
      </c>
      <c r="Y83" s="2"/>
      <c r="Z83" s="7">
        <f t="shared" si="52"/>
        <v>-0.90400000000000003</v>
      </c>
    </row>
    <row r="84" spans="1:26" s="60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0</v>
      </c>
      <c r="C85" s="10"/>
      <c r="D85" s="4">
        <f>SUM(0)</f>
        <v>0</v>
      </c>
      <c r="E85" s="4"/>
      <c r="F85" s="13">
        <f>IF(D$12=0,0,D85/D$12)</f>
        <v>0</v>
      </c>
      <c r="G85" s="4"/>
      <c r="H85" s="4">
        <f>SUM(0)</f>
        <v>0</v>
      </c>
      <c r="I85" s="4"/>
      <c r="J85" s="13">
        <f>IF(H$12=0,0,H85/H$12)</f>
        <v>0</v>
      </c>
      <c r="K85" s="4"/>
      <c r="L85" s="4">
        <f>+D85-H85</f>
        <v>0</v>
      </c>
      <c r="M85" s="4"/>
      <c r="N85" s="13">
        <f>IF(H85=0,0,L85/H85)</f>
        <v>0</v>
      </c>
      <c r="O85" s="10"/>
      <c r="P85" s="4">
        <f>SUM(0)</f>
        <v>0</v>
      </c>
      <c r="Q85" s="4"/>
      <c r="R85" s="13">
        <f>IF(P$12=0,0,P85/P$12)</f>
        <v>0</v>
      </c>
      <c r="S85" s="4"/>
      <c r="T85" s="4">
        <f>SUM(0)</f>
        <v>0</v>
      </c>
      <c r="U85" s="4"/>
      <c r="V85" s="13">
        <f>IF(T$12=0,0,T85/T$12)</f>
        <v>0</v>
      </c>
      <c r="W85" s="4"/>
      <c r="X85" s="4">
        <f>+P85-T85</f>
        <v>0</v>
      </c>
      <c r="Y85" s="4"/>
      <c r="Z85" s="13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2">
        <f>+D27-D29+D85</f>
        <v>-7832.8599999999988</v>
      </c>
      <c r="E87" s="14"/>
      <c r="F87" s="20">
        <f>IF(D$12=0,0,D87/D$12)</f>
        <v>-65.5634050389219</v>
      </c>
      <c r="G87" s="14"/>
      <c r="H87" s="22">
        <f>+H27-H29+H85</f>
        <v>-4327.8100426000001</v>
      </c>
      <c r="I87" s="14"/>
      <c r="J87" s="20">
        <f>IF(H$12=0,0,H87/H$12)</f>
        <v>-0.23673814575789071</v>
      </c>
      <c r="K87" s="15"/>
      <c r="L87" s="22">
        <f>+D87-H87</f>
        <v>-3505.0499573999987</v>
      </c>
      <c r="M87" s="15"/>
      <c r="N87" s="20">
        <f>IF(H87=0,0,L87/H87)</f>
        <v>0.80988997273417407</v>
      </c>
      <c r="O87" s="28"/>
      <c r="P87" s="22">
        <f>+P27-P29+P85</f>
        <v>56820.560000000114</v>
      </c>
      <c r="Q87" s="14"/>
      <c r="R87" s="20">
        <f>IF(P$12=0,0,P87/P$12)</f>
        <v>0.114557072529114</v>
      </c>
      <c r="S87" s="14"/>
      <c r="T87" s="22">
        <f>+T27-T29+T85</f>
        <v>96618.549405199999</v>
      </c>
      <c r="U87" s="14"/>
      <c r="V87" s="20">
        <f>IF(T$12=0,0,T87/T$12)</f>
        <v>0.1517146261960543</v>
      </c>
      <c r="W87" s="15"/>
      <c r="X87" s="22">
        <f>+P87-T87</f>
        <v>-39797.989405199885</v>
      </c>
      <c r="Y87" s="15"/>
      <c r="Z87" s="20">
        <f>IF(T87=0,0,X87/T87)</f>
        <v>-0.41190837215216941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16391.230000000003</v>
      </c>
      <c r="E89" s="4"/>
      <c r="F89" s="13">
        <f>IF(D$12=0,0,D89/D$12)</f>
        <v>137.19954800368296</v>
      </c>
      <c r="G89" s="4"/>
      <c r="H89" s="4">
        <v>10744</v>
      </c>
      <c r="I89" s="4"/>
      <c r="J89" s="13">
        <f>IF(H$12=0,0,H89/H$12)</f>
        <v>0.58771402002078665</v>
      </c>
      <c r="K89" s="4"/>
      <c r="L89" s="4">
        <f>+D89-H89</f>
        <v>5647.2300000000032</v>
      </c>
      <c r="M89" s="4"/>
      <c r="N89" s="13">
        <f>IF(H89=0,0,L89/H89)</f>
        <v>0.52561708860759526</v>
      </c>
      <c r="O89" s="10"/>
      <c r="P89" s="4">
        <v>75113.95</v>
      </c>
      <c r="Q89" s="4"/>
      <c r="R89" s="13">
        <f>IF(P$12=0,0,P89/P$12)</f>
        <v>0.15143874361847587</v>
      </c>
      <c r="S89" s="4"/>
      <c r="T89" s="4">
        <v>82389</v>
      </c>
      <c r="U89" s="4"/>
      <c r="V89" s="13">
        <f>IF(T$12=0,0,T89/T$12)</f>
        <v>0.12937077212001682</v>
      </c>
      <c r="W89" s="4"/>
      <c r="X89" s="4">
        <f>+P89-T89</f>
        <v>-7275.0500000000029</v>
      </c>
      <c r="Y89" s="4"/>
      <c r="Z89" s="13">
        <f>IF(T89=0,0,X89/T89)</f>
        <v>-8.8301229533068765E-2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1">
        <f>+D87-D89</f>
        <v>-24224.090000000004</v>
      </c>
      <c r="E91" s="14"/>
      <c r="F91" s="33">
        <f>IF(D$12=0,0,D91/D$12)</f>
        <v>-202.76295304260486</v>
      </c>
      <c r="G91" s="14"/>
      <c r="H91" s="31">
        <f>+H87-H89</f>
        <v>-15071.8100426</v>
      </c>
      <c r="I91" s="14"/>
      <c r="J91" s="33">
        <f>IF(H$12=0,0,H91/H$12)</f>
        <v>-0.8244521657786773</v>
      </c>
      <c r="K91" s="15"/>
      <c r="L91" s="31">
        <f>D91-H91</f>
        <v>-9152.2799574000037</v>
      </c>
      <c r="M91" s="15"/>
      <c r="N91" s="33">
        <f>IF(H91=0,0,L91/H91)</f>
        <v>0.60724491162848859</v>
      </c>
      <c r="O91" s="28"/>
      <c r="P91" s="31">
        <f>+P87-P89</f>
        <v>-18293.389999999883</v>
      </c>
      <c r="Q91" s="14"/>
      <c r="R91" s="33">
        <f>IF(P$12=0,0,P91/P$12)</f>
        <v>-3.6881671089361863E-2</v>
      </c>
      <c r="S91" s="14"/>
      <c r="T91" s="31">
        <f>+T87-T89</f>
        <v>14229.549405199999</v>
      </c>
      <c r="U91" s="14"/>
      <c r="V91" s="33">
        <f>IF(T$12=0,0,T91/T$12)</f>
        <v>2.2343854076037457E-2</v>
      </c>
      <c r="W91" s="15"/>
      <c r="X91" s="31">
        <f>P91-T91</f>
        <v>-32522.939405199882</v>
      </c>
      <c r="Y91" s="15"/>
      <c r="Z91" s="33">
        <f>IF(T91=0,0,X91/T91)</f>
        <v>-2.2855916571268806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4">
        <f>SUM(D91:D93)</f>
        <v>-24224.090000000004</v>
      </c>
      <c r="E94" s="14"/>
      <c r="F94" s="35">
        <f>IF(D$12=0,0,D94/D$12)</f>
        <v>-202.76295304260486</v>
      </c>
      <c r="G94" s="14"/>
      <c r="H94" s="34">
        <f>SUM(H91:H93)</f>
        <v>-15071.8100426</v>
      </c>
      <c r="I94" s="14"/>
      <c r="J94" s="35">
        <f>IF(H$12=0,0,H94/H$12)</f>
        <v>-0.8244521657786773</v>
      </c>
      <c r="K94" s="15"/>
      <c r="L94" s="34">
        <f>+D94-H94</f>
        <v>-9152.2799574000037</v>
      </c>
      <c r="M94" s="15"/>
      <c r="N94" s="35">
        <f>IF(H94=0,0,L94/H94)</f>
        <v>0.60724491162848859</v>
      </c>
      <c r="O94" s="28"/>
      <c r="P94" s="34">
        <f>SUM(P91:P93)</f>
        <v>-18293.389999999883</v>
      </c>
      <c r="Q94" s="14"/>
      <c r="R94" s="35">
        <f>IF(P$12=0,0,P94/P$12)</f>
        <v>-3.6881671089361863E-2</v>
      </c>
      <c r="S94" s="14"/>
      <c r="T94" s="34">
        <f>SUM(T91:T93)</f>
        <v>14229.549405199999</v>
      </c>
      <c r="U94" s="14"/>
      <c r="V94" s="35">
        <f>IF(T$12=0,0,T94/T$12)</f>
        <v>2.2343854076037457E-2</v>
      </c>
      <c r="W94" s="15"/>
      <c r="X94" s="34">
        <f>+P94-T94</f>
        <v>-32522.939405199882</v>
      </c>
      <c r="Y94" s="15"/>
      <c r="Z94" s="35">
        <f>IF(T94=0,0,X94/T94)</f>
        <v>-2.2855916571268806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5">
        <v>44043.47341820602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62" t="s">
        <v>314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63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299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","321", " - ", "Student Union C-Store")</f>
        <v>Department 321 - Student Union C-Store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10302</v>
      </c>
      <c r="I12" s="4"/>
      <c r="J12" s="13"/>
      <c r="K12" s="4"/>
      <c r="L12" s="4">
        <f t="shared" ref="L12:L15" si="0">+D12-H12</f>
        <v>-10302</v>
      </c>
      <c r="M12" s="4"/>
      <c r="N12" s="13">
        <f t="shared" ref="N12:N15" si="1">IF(H12=0,0,L12/H12)</f>
        <v>-1</v>
      </c>
      <c r="O12" s="10"/>
      <c r="P12" s="4">
        <f>SUM(OSRRefP13x_0)</f>
        <v>281486.67000000004</v>
      </c>
      <c r="Q12" s="4"/>
      <c r="R12" s="13"/>
      <c r="S12" s="4"/>
      <c r="T12" s="4">
        <f>SUM(OSRRefT13x_0)</f>
        <v>333838</v>
      </c>
      <c r="U12" s="4"/>
      <c r="V12" s="13"/>
      <c r="W12" s="4"/>
      <c r="X12" s="4">
        <f t="shared" ref="X12:X15" si="2">+P12-T12</f>
        <v>-52351.329999999958</v>
      </c>
      <c r="Y12" s="4"/>
      <c r="Z12" s="13">
        <f t="shared" ref="Z12:Z15" si="3">IF(T12=0,0,X12/T12)</f>
        <v>-0.1568165697134537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--65192.75</f>
        <v>65192.75</v>
      </c>
      <c r="Q13" s="2"/>
      <c r="R13" s="19"/>
      <c r="S13" s="2"/>
      <c r="T13" s="2"/>
      <c r="U13" s="2"/>
      <c r="V13" s="19"/>
      <c r="W13" s="2"/>
      <c r="X13" s="2">
        <f t="shared" si="2"/>
        <v>65192.75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10302</v>
      </c>
      <c r="I14" s="2"/>
      <c r="J14" s="19"/>
      <c r="K14" s="2"/>
      <c r="L14" s="2">
        <f t="shared" si="0"/>
        <v>-10302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333838</v>
      </c>
      <c r="U14" s="2"/>
      <c r="V14" s="19"/>
      <c r="W14" s="2"/>
      <c r="X14" s="2">
        <f t="shared" si="2"/>
        <v>-333838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--216293.92</f>
        <v>216293.92</v>
      </c>
      <c r="Q15" s="2"/>
      <c r="R15" s="19"/>
      <c r="S15" s="2"/>
      <c r="T15" s="2"/>
      <c r="U15" s="2"/>
      <c r="V15" s="19"/>
      <c r="W15" s="2"/>
      <c r="X15" s="2">
        <f t="shared" si="2"/>
        <v>216293.92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201.29999999999995</v>
      </c>
      <c r="E17" s="4"/>
      <c r="F17" s="13">
        <f t="shared" ref="F17:F20" si="5">IF(D$12=0,0,D17/D$12)</f>
        <v>0</v>
      </c>
      <c r="G17" s="4"/>
      <c r="H17" s="4">
        <f>SUM(OSRRefH16x_0)</f>
        <v>4924</v>
      </c>
      <c r="I17" s="4"/>
      <c r="J17" s="13">
        <f t="shared" ref="J17:J20" si="6">IF(H$12=0,0,H17/H$12)</f>
        <v>0.47796544360318383</v>
      </c>
      <c r="K17" s="4"/>
      <c r="L17" s="4">
        <f t="shared" ref="L17:L20" si="7">+D17-H17</f>
        <v>-4722.7</v>
      </c>
      <c r="M17" s="4"/>
      <c r="N17" s="13">
        <f t="shared" ref="N17:N20" si="8">IF(H17=0,0,L17/H17)</f>
        <v>-0.95911860276198213</v>
      </c>
      <c r="O17" s="10"/>
      <c r="P17" s="4">
        <f>SUM(OSRRefP16x_0)</f>
        <v>146811.78</v>
      </c>
      <c r="Q17" s="4"/>
      <c r="R17" s="13">
        <f t="shared" ref="R17:R20" si="9">IF(P$12=0,0,P17/P$12)</f>
        <v>0.52155855195558631</v>
      </c>
      <c r="S17" s="4"/>
      <c r="T17" s="4">
        <f>SUM(OSRRefT16x_0)</f>
        <v>159575</v>
      </c>
      <c r="U17" s="4"/>
      <c r="V17" s="13">
        <f t="shared" ref="V17:V20" si="10">IF(T$12=0,0,T17/T$12)</f>
        <v>0.47800130602268165</v>
      </c>
      <c r="W17" s="4"/>
      <c r="X17" s="4">
        <f t="shared" ref="X17:X20" si="11">+P17-T17</f>
        <v>-12763.220000000001</v>
      </c>
      <c r="Y17" s="4"/>
      <c r="Z17" s="13">
        <f t="shared" ref="Z17:Z20" si="12">IF(T17=0,0,X17/T17)</f>
        <v>-7.9982578724737588E-2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4924</v>
      </c>
      <c r="I18" s="2"/>
      <c r="J18" s="19">
        <f t="shared" si="6"/>
        <v>0.47796544360318383</v>
      </c>
      <c r="K18" s="2"/>
      <c r="L18" s="2">
        <f t="shared" si="7"/>
        <v>-4924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159575</v>
      </c>
      <c r="U18" s="2"/>
      <c r="V18" s="19">
        <f t="shared" si="10"/>
        <v>0.47800130602268165</v>
      </c>
      <c r="W18" s="2"/>
      <c r="X18" s="2">
        <f t="shared" si="11"/>
        <v>-159575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-1303.7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-1303.7</v>
      </c>
      <c r="M19" s="2"/>
      <c r="N19" s="19">
        <f t="shared" si="8"/>
        <v>0</v>
      </c>
      <c r="O19" s="11"/>
      <c r="P19" s="2">
        <v>132578.99</v>
      </c>
      <c r="Q19" s="2"/>
      <c r="R19" s="19">
        <f t="shared" si="9"/>
        <v>0.47099562476617446</v>
      </c>
      <c r="S19" s="2"/>
      <c r="T19" s="2"/>
      <c r="U19" s="2"/>
      <c r="V19" s="19">
        <f t="shared" si="10"/>
        <v>0</v>
      </c>
      <c r="W19" s="2"/>
      <c r="X19" s="2">
        <f t="shared" si="11"/>
        <v>132578.99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1505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1505</v>
      </c>
      <c r="M20" s="2"/>
      <c r="N20" s="19">
        <f t="shared" si="8"/>
        <v>0</v>
      </c>
      <c r="O20" s="11"/>
      <c r="P20" s="2">
        <v>14232.79</v>
      </c>
      <c r="Q20" s="2"/>
      <c r="R20" s="19">
        <f t="shared" si="9"/>
        <v>5.0562927189411841E-2</v>
      </c>
      <c r="S20" s="2"/>
      <c r="T20" s="2"/>
      <c r="U20" s="2"/>
      <c r="V20" s="19">
        <f t="shared" si="10"/>
        <v>0</v>
      </c>
      <c r="W20" s="2"/>
      <c r="X20" s="2">
        <f t="shared" si="11"/>
        <v>14232.79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-201.29999999999995</v>
      </c>
      <c r="E22" s="14"/>
      <c r="F22" s="20">
        <f>IF(D$12=0,0,D22/D$12)</f>
        <v>0</v>
      </c>
      <c r="G22" s="14"/>
      <c r="H22" s="22">
        <f>H12-H17</f>
        <v>5378</v>
      </c>
      <c r="I22" s="14"/>
      <c r="J22" s="20">
        <f>IF(H$12=0,0,H22/H$12)</f>
        <v>0.52203455639681617</v>
      </c>
      <c r="K22" s="15"/>
      <c r="L22" s="22">
        <f>+D22-H22</f>
        <v>-5579.3</v>
      </c>
      <c r="M22" s="15"/>
      <c r="N22" s="20">
        <f>IF(H22=0,0,L22/H22)</f>
        <v>-1.0374302714763852</v>
      </c>
      <c r="O22" s="28"/>
      <c r="P22" s="22">
        <f>P12-P17</f>
        <v>134674.89000000004</v>
      </c>
      <c r="Q22" s="14"/>
      <c r="R22" s="20">
        <f>IF(P$12=0,0,P22/P$12)</f>
        <v>0.47844144804441369</v>
      </c>
      <c r="S22" s="14"/>
      <c r="T22" s="22">
        <f>T12-T17</f>
        <v>174263</v>
      </c>
      <c r="U22" s="14"/>
      <c r="V22" s="20">
        <f>IF(T$12=0,0,T22/T$12)</f>
        <v>0.52199869397731835</v>
      </c>
      <c r="W22" s="15"/>
      <c r="X22" s="22">
        <f>+P22-T22</f>
        <v>-39588.109999999957</v>
      </c>
      <c r="Y22" s="15"/>
      <c r="Z22" s="20">
        <f>IF(T22=0,0,X22/T22)</f>
        <v>-0.22717450061114497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1136.3100000000002</v>
      </c>
      <c r="E24" s="21"/>
      <c r="F24" s="32">
        <f t="shared" ref="F24:F33" si="13">IF(D$12=0,0,D24/D$12)</f>
        <v>0</v>
      </c>
      <c r="G24" s="21"/>
      <c r="H24" s="21">
        <f>SUM(OSRRefH22x_0)</f>
        <v>6366.0330920648512</v>
      </c>
      <c r="I24" s="21"/>
      <c r="J24" s="32">
        <f t="shared" ref="J24:J33" si="14">IF(H$12=0,0,H24/H$12)</f>
        <v>0.61794147661277921</v>
      </c>
      <c r="K24" s="4"/>
      <c r="L24" s="21">
        <f t="shared" ref="L24:L33" si="15">+D24-H24</f>
        <v>-5229.7230920648508</v>
      </c>
      <c r="M24" s="4"/>
      <c r="N24" s="32">
        <f t="shared" ref="N24:N33" si="16">IF(H24=0,0,L24/H24)</f>
        <v>-0.82150422664054468</v>
      </c>
      <c r="O24" s="10"/>
      <c r="P24" s="21">
        <f>SUM(OSRRefP22x_0)</f>
        <v>122078.97</v>
      </c>
      <c r="Q24" s="21"/>
      <c r="R24" s="32">
        <f t="shared" ref="R24:R33" si="17">IF(P$12=0,0,P24/P$12)</f>
        <v>0.43369360971871235</v>
      </c>
      <c r="S24" s="21"/>
      <c r="T24" s="21">
        <f>SUM(OSRRefT22x_0)</f>
        <v>160230.37235566106</v>
      </c>
      <c r="U24" s="21"/>
      <c r="V24" s="32">
        <f t="shared" ref="V24:V33" si="18">IF(T$12=0,0,T24/T$12)</f>
        <v>0.47996445088833822</v>
      </c>
      <c r="W24" s="4"/>
      <c r="X24" s="21">
        <f t="shared" ref="X24:X33" si="19">+P24-T24</f>
        <v>-38151.402355661063</v>
      </c>
      <c r="Y24" s="4"/>
      <c r="Z24" s="32">
        <f t="shared" ref="Z24:Z33" si="20">IF(T24=0,0,X24/T24)</f>
        <v>-0.23810343691255326</v>
      </c>
    </row>
    <row r="25" spans="1:26" s="26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-125.59</v>
      </c>
      <c r="E25" s="1"/>
      <c r="F25" s="5">
        <f t="shared" si="13"/>
        <v>0</v>
      </c>
      <c r="G25" s="1"/>
      <c r="H25" s="1">
        <f>SUM(OSRRefH22_0x_0)</f>
        <v>1363.2990773000001</v>
      </c>
      <c r="I25" s="1"/>
      <c r="J25" s="5">
        <f t="shared" si="14"/>
        <v>0.13233343790526111</v>
      </c>
      <c r="K25" s="1"/>
      <c r="L25" s="1">
        <f t="shared" si="15"/>
        <v>-1488.8890773000001</v>
      </c>
      <c r="M25" s="1"/>
      <c r="N25" s="5">
        <f t="shared" si="16"/>
        <v>-1.0921221191235087</v>
      </c>
      <c r="O25" s="12"/>
      <c r="P25" s="1">
        <f>SUM(OSRRefP22_0x_0)</f>
        <v>10137.439999999999</v>
      </c>
      <c r="Q25" s="1"/>
      <c r="R25" s="5">
        <f t="shared" si="17"/>
        <v>3.6013925632783952E-2</v>
      </c>
      <c r="S25" s="1"/>
      <c r="T25" s="1">
        <f>SUM(OSRRefT22_0x_0)</f>
        <v>17601.37093705</v>
      </c>
      <c r="U25" s="1"/>
      <c r="V25" s="5">
        <f t="shared" si="18"/>
        <v>5.2724288238756523E-2</v>
      </c>
      <c r="W25" s="1"/>
      <c r="X25" s="1">
        <f t="shared" si="19"/>
        <v>-7463.9309370500014</v>
      </c>
      <c r="Y25" s="1"/>
      <c r="Z25" s="5">
        <f t="shared" si="20"/>
        <v>-0.42405395373713772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3"/>
        <v>0</v>
      </c>
      <c r="G26" s="2"/>
      <c r="H26" s="6">
        <v>270.384787453846</v>
      </c>
      <c r="I26" s="2"/>
      <c r="J26" s="7">
        <f t="shared" si="14"/>
        <v>2.624585395591594E-2</v>
      </c>
      <c r="K26" s="2"/>
      <c r="L26" s="6">
        <f t="shared" si="15"/>
        <v>-270.384787453846</v>
      </c>
      <c r="M26" s="2"/>
      <c r="N26" s="7">
        <f t="shared" si="16"/>
        <v>-1</v>
      </c>
      <c r="O26" s="11"/>
      <c r="P26" s="6">
        <v>2418.25</v>
      </c>
      <c r="Q26" s="2"/>
      <c r="R26" s="7">
        <f t="shared" si="17"/>
        <v>8.5909929589205753E-3</v>
      </c>
      <c r="S26" s="2"/>
      <c r="T26" s="6">
        <v>2264.7741010499981</v>
      </c>
      <c r="U26" s="2"/>
      <c r="V26" s="7">
        <f t="shared" si="18"/>
        <v>6.7840512495581633E-3</v>
      </c>
      <c r="W26" s="2"/>
      <c r="X26" s="6">
        <f t="shared" si="19"/>
        <v>153.47589895000192</v>
      </c>
      <c r="Y26" s="2"/>
      <c r="Z26" s="7">
        <f t="shared" si="20"/>
        <v>6.7766537456802944E-2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3"/>
        <v>0</v>
      </c>
      <c r="G27" s="2"/>
      <c r="H27" s="6">
        <v>67.128066923076901</v>
      </c>
      <c r="I27" s="2"/>
      <c r="J27" s="7">
        <f t="shared" si="14"/>
        <v>6.5160228036378279E-3</v>
      </c>
      <c r="K27" s="2"/>
      <c r="L27" s="6">
        <f t="shared" si="15"/>
        <v>-67.128066923076901</v>
      </c>
      <c r="M27" s="2"/>
      <c r="N27" s="7">
        <f t="shared" si="16"/>
        <v>-1</v>
      </c>
      <c r="O27" s="11"/>
      <c r="P27" s="6">
        <v>874.82</v>
      </c>
      <c r="Q27" s="2"/>
      <c r="R27" s="7">
        <f t="shared" si="17"/>
        <v>3.1078558711146072E-3</v>
      </c>
      <c r="S27" s="2"/>
      <c r="T27" s="6">
        <v>1567.6156149999986</v>
      </c>
      <c r="U27" s="2"/>
      <c r="V27" s="7">
        <f t="shared" si="18"/>
        <v>4.6957374984273768E-3</v>
      </c>
      <c r="W27" s="2"/>
      <c r="X27" s="6">
        <f t="shared" si="19"/>
        <v>-692.79561499999852</v>
      </c>
      <c r="Y27" s="2"/>
      <c r="Z27" s="7">
        <f t="shared" si="20"/>
        <v>-0.44194227741218256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3"/>
        <v>0</v>
      </c>
      <c r="G28" s="2"/>
      <c r="H28" s="6">
        <v>690.5</v>
      </c>
      <c r="I28" s="2"/>
      <c r="J28" s="7">
        <f t="shared" si="14"/>
        <v>6.7025820229081726E-2</v>
      </c>
      <c r="K28" s="2"/>
      <c r="L28" s="6">
        <f t="shared" si="15"/>
        <v>-690.5</v>
      </c>
      <c r="M28" s="2"/>
      <c r="N28" s="7">
        <f t="shared" si="16"/>
        <v>-1</v>
      </c>
      <c r="O28" s="11"/>
      <c r="P28" s="6">
        <v>4676.5</v>
      </c>
      <c r="Q28" s="2"/>
      <c r="R28" s="7">
        <f t="shared" si="17"/>
        <v>1.6613575342661873E-2</v>
      </c>
      <c r="S28" s="2"/>
      <c r="T28" s="6">
        <v>8286</v>
      </c>
      <c r="U28" s="2"/>
      <c r="V28" s="7">
        <f t="shared" si="18"/>
        <v>2.4820421881271756E-2</v>
      </c>
      <c r="W28" s="2"/>
      <c r="X28" s="6">
        <f t="shared" si="19"/>
        <v>-3609.5</v>
      </c>
      <c r="Y28" s="2"/>
      <c r="Z28" s="7">
        <f t="shared" si="20"/>
        <v>-0.43561428916244266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-125.59</v>
      </c>
      <c r="E29" s="2"/>
      <c r="F29" s="7">
        <f t="shared" si="13"/>
        <v>0</v>
      </c>
      <c r="G29" s="2"/>
      <c r="H29" s="6">
        <v>9.1859459999999995</v>
      </c>
      <c r="I29" s="2"/>
      <c r="J29" s="7">
        <f t="shared" si="14"/>
        <v>8.9166627839254507E-4</v>
      </c>
      <c r="K29" s="2"/>
      <c r="L29" s="6">
        <f t="shared" si="15"/>
        <v>-134.775946</v>
      </c>
      <c r="M29" s="2"/>
      <c r="N29" s="7">
        <f t="shared" si="16"/>
        <v>-14.671972380416781</v>
      </c>
      <c r="O29" s="11"/>
      <c r="P29" s="6">
        <v>0</v>
      </c>
      <c r="Q29" s="2"/>
      <c r="R29" s="7">
        <f t="shared" si="17"/>
        <v>0</v>
      </c>
      <c r="S29" s="2"/>
      <c r="T29" s="6">
        <v>214.51582099999999</v>
      </c>
      <c r="U29" s="2"/>
      <c r="V29" s="7">
        <f t="shared" si="18"/>
        <v>6.4257460504795741E-4</v>
      </c>
      <c r="W29" s="2"/>
      <c r="X29" s="6">
        <f t="shared" si="19"/>
        <v>-214.51582099999999</v>
      </c>
      <c r="Y29" s="2"/>
      <c r="Z29" s="7">
        <f t="shared" si="20"/>
        <v>-1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3"/>
        <v>0</v>
      </c>
      <c r="G30" s="2"/>
      <c r="H30" s="6">
        <v>178.57866923076901</v>
      </c>
      <c r="I30" s="2"/>
      <c r="J30" s="7">
        <f t="shared" si="14"/>
        <v>1.7334368979884392E-2</v>
      </c>
      <c r="K30" s="2"/>
      <c r="L30" s="6">
        <f t="shared" si="15"/>
        <v>-178.57866923076901</v>
      </c>
      <c r="M30" s="2"/>
      <c r="N30" s="7">
        <f t="shared" si="16"/>
        <v>-1</v>
      </c>
      <c r="O30" s="11"/>
      <c r="P30" s="6">
        <v>670.55</v>
      </c>
      <c r="Q30" s="2"/>
      <c r="R30" s="7">
        <f t="shared" si="17"/>
        <v>2.3821731949154107E-3</v>
      </c>
      <c r="S30" s="2"/>
      <c r="T30" s="6">
        <v>2266.2483500000003</v>
      </c>
      <c r="U30" s="2"/>
      <c r="V30" s="7">
        <f t="shared" si="18"/>
        <v>6.7884673104919163E-3</v>
      </c>
      <c r="W30" s="2"/>
      <c r="X30" s="6">
        <f t="shared" si="19"/>
        <v>-1595.6983500000003</v>
      </c>
      <c r="Y30" s="2"/>
      <c r="Z30" s="7">
        <f t="shared" si="20"/>
        <v>-0.70411451154503879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3"/>
        <v>0</v>
      </c>
      <c r="G32" s="2"/>
      <c r="H32" s="6">
        <v>41.529923076923097</v>
      </c>
      <c r="I32" s="2"/>
      <c r="J32" s="7">
        <f t="shared" si="14"/>
        <v>4.0312485999731218E-3</v>
      </c>
      <c r="K32" s="2"/>
      <c r="L32" s="6">
        <f t="shared" si="15"/>
        <v>-41.529923076923097</v>
      </c>
      <c r="M32" s="2"/>
      <c r="N32" s="7">
        <f t="shared" si="16"/>
        <v>-1</v>
      </c>
      <c r="O32" s="11"/>
      <c r="P32" s="6">
        <v>1098.8</v>
      </c>
      <c r="Q32" s="2"/>
      <c r="R32" s="7">
        <f t="shared" si="17"/>
        <v>3.9035596250437004E-3</v>
      </c>
      <c r="S32" s="2"/>
      <c r="T32" s="6">
        <v>527.03450000000021</v>
      </c>
      <c r="U32" s="2"/>
      <c r="V32" s="7">
        <f t="shared" si="18"/>
        <v>1.5787133280213762E-3</v>
      </c>
      <c r="W32" s="2"/>
      <c r="X32" s="6">
        <f t="shared" si="19"/>
        <v>571.76549999999975</v>
      </c>
      <c r="Y32" s="2"/>
      <c r="Z32" s="7">
        <f t="shared" si="20"/>
        <v>1.0848730016725652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3"/>
        <v>0</v>
      </c>
      <c r="G33" s="2"/>
      <c r="H33" s="6">
        <v>105.991684615385</v>
      </c>
      <c r="I33" s="2"/>
      <c r="J33" s="7">
        <f t="shared" si="14"/>
        <v>1.0288457058375559E-2</v>
      </c>
      <c r="K33" s="2"/>
      <c r="L33" s="6">
        <f t="shared" si="15"/>
        <v>-105.991684615385</v>
      </c>
      <c r="M33" s="2"/>
      <c r="N33" s="7">
        <f t="shared" si="16"/>
        <v>-1</v>
      </c>
      <c r="O33" s="11"/>
      <c r="P33" s="6">
        <v>398.52</v>
      </c>
      <c r="Q33" s="2"/>
      <c r="R33" s="7">
        <f t="shared" si="17"/>
        <v>1.4157686401277897E-3</v>
      </c>
      <c r="S33" s="2"/>
      <c r="T33" s="6">
        <v>2475.1825500000041</v>
      </c>
      <c r="U33" s="2"/>
      <c r="V33" s="7">
        <f t="shared" si="18"/>
        <v>7.4143223659379823E-3</v>
      </c>
      <c r="W33" s="2"/>
      <c r="X33" s="6">
        <f t="shared" si="19"/>
        <v>-2076.6625500000041</v>
      </c>
      <c r="Y33" s="2"/>
      <c r="Z33" s="7">
        <f t="shared" si="20"/>
        <v>-0.83899369361665899</v>
      </c>
    </row>
    <row r="34" spans="1:26" s="26" customFormat="1" outlineLevel="1" collapsed="1" x14ac:dyDescent="0.25">
      <c r="A34" s="25"/>
      <c r="B34" s="12" t="str">
        <f>CONCATENATE("     ","*Payroll                                          ")</f>
        <v xml:space="preserve">     *Payroll                                          </v>
      </c>
      <c r="C34" s="12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3429.2313461538497</v>
      </c>
      <c r="I34" s="1"/>
      <c r="J34" s="5">
        <f t="shared" ref="J34:J44" si="22">IF(H$12=0,0,H34/H$12)</f>
        <v>0.3328704471125849</v>
      </c>
      <c r="K34" s="1"/>
      <c r="L34" s="1">
        <f t="shared" ref="L34:L44" si="23">+D34-H34</f>
        <v>-3429.2313461538497</v>
      </c>
      <c r="M34" s="1"/>
      <c r="N34" s="5">
        <f t="shared" ref="N34:N44" si="24">IF(H34=0,0,L34/H34)</f>
        <v>-1</v>
      </c>
      <c r="O34" s="12"/>
      <c r="P34" s="1">
        <f>SUM(OSRRefP22_1x_0)</f>
        <v>51305.1</v>
      </c>
      <c r="Q34" s="1"/>
      <c r="R34" s="5">
        <f t="shared" ref="R34:R44" si="25">IF(P$12=0,0,P34/P$12)</f>
        <v>0.18226475875394024</v>
      </c>
      <c r="S34" s="1"/>
      <c r="T34" s="1">
        <f>SUM(OSRRefT22_1x_0)</f>
        <v>81188.498750000042</v>
      </c>
      <c r="U34" s="1"/>
      <c r="V34" s="5">
        <f t="shared" ref="V34:V44" si="26">IF(T$12=0,0,T34/T$12)</f>
        <v>0.24319729554454569</v>
      </c>
      <c r="W34" s="1"/>
      <c r="X34" s="1">
        <f t="shared" ref="X34:X44" si="27">+P34-T34</f>
        <v>-29883.398750000044</v>
      </c>
      <c r="Y34" s="1"/>
      <c r="Z34" s="5">
        <f t="shared" ref="Z34:Z44" si="28">IF(T34=0,0,X34/T34)</f>
        <v>-0.36807428650723795</v>
      </c>
    </row>
    <row r="35" spans="1:26" s="24" customFormat="1" hidden="1" outlineLevel="2" x14ac:dyDescent="0.25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1"/>
        <v>0</v>
      </c>
      <c r="G35" s="2"/>
      <c r="H35" s="6">
        <v>1972.67134615385</v>
      </c>
      <c r="I35" s="2"/>
      <c r="J35" s="7">
        <f t="shared" si="22"/>
        <v>0.19148430849872355</v>
      </c>
      <c r="K35" s="2"/>
      <c r="L35" s="6">
        <f t="shared" si="23"/>
        <v>-1972.67134615385</v>
      </c>
      <c r="M35" s="2"/>
      <c r="N35" s="7">
        <f t="shared" si="24"/>
        <v>-1</v>
      </c>
      <c r="O35" s="11"/>
      <c r="P35" s="6"/>
      <c r="Q35" s="2"/>
      <c r="R35" s="7">
        <f t="shared" si="25"/>
        <v>0</v>
      </c>
      <c r="S35" s="2"/>
      <c r="T35" s="6">
        <v>25034.138750000042</v>
      </c>
      <c r="U35" s="2"/>
      <c r="V35" s="7">
        <f t="shared" si="26"/>
        <v>7.4988883081015464E-2</v>
      </c>
      <c r="W35" s="2"/>
      <c r="X35" s="6">
        <f t="shared" si="27"/>
        <v>-25034.138750000042</v>
      </c>
      <c r="Y35" s="2"/>
      <c r="Z35" s="7">
        <f t="shared" si="28"/>
        <v>-1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10272</v>
      </c>
      <c r="Q36" s="2"/>
      <c r="R36" s="7">
        <f t="shared" si="25"/>
        <v>3.6491958926509728E-2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10272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>
        <v>3822.17</v>
      </c>
      <c r="Q39" s="2"/>
      <c r="R39" s="7">
        <f t="shared" si="25"/>
        <v>1.3578511550831162E-2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3822.17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13120.47</v>
      </c>
      <c r="Q40" s="2"/>
      <c r="R40" s="7">
        <f t="shared" si="25"/>
        <v>4.6611336870765491E-2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13120.47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6"/>
      <c r="E41" s="2"/>
      <c r="F41" s="7">
        <f t="shared" si="21"/>
        <v>0</v>
      </c>
      <c r="G41" s="2"/>
      <c r="H41" s="6">
        <v>1456.56</v>
      </c>
      <c r="I41" s="2"/>
      <c r="J41" s="7">
        <f t="shared" si="22"/>
        <v>0.14138613861386137</v>
      </c>
      <c r="K41" s="2"/>
      <c r="L41" s="6">
        <f t="shared" si="23"/>
        <v>-1456.56</v>
      </c>
      <c r="M41" s="2"/>
      <c r="N41" s="7">
        <f t="shared" si="24"/>
        <v>-1</v>
      </c>
      <c r="O41" s="11"/>
      <c r="P41" s="6">
        <v>23036.15</v>
      </c>
      <c r="Q41" s="2"/>
      <c r="R41" s="7">
        <f t="shared" si="25"/>
        <v>8.1837445446350965E-2</v>
      </c>
      <c r="S41" s="2"/>
      <c r="T41" s="6">
        <v>3241.56</v>
      </c>
      <c r="U41" s="2"/>
      <c r="V41" s="7">
        <f t="shared" si="26"/>
        <v>9.7099790916552343E-3</v>
      </c>
      <c r="W41" s="2"/>
      <c r="X41" s="6">
        <f t="shared" si="27"/>
        <v>19794.59</v>
      </c>
      <c r="Y41" s="2"/>
      <c r="Z41" s="7">
        <f t="shared" si="28"/>
        <v>6.1065011907846838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1054.31</v>
      </c>
      <c r="Q42" s="2"/>
      <c r="R42" s="7">
        <f t="shared" si="25"/>
        <v>3.7455059594829121E-3</v>
      </c>
      <c r="S42" s="2"/>
      <c r="T42" s="6">
        <v>52912.800000000003</v>
      </c>
      <c r="U42" s="2"/>
      <c r="V42" s="7">
        <f t="shared" si="26"/>
        <v>0.158498433371875</v>
      </c>
      <c r="W42" s="2"/>
      <c r="X42" s="6">
        <f t="shared" si="27"/>
        <v>-51858.490000000005</v>
      </c>
      <c r="Y42" s="2"/>
      <c r="Z42" s="7">
        <f t="shared" si="28"/>
        <v>-0.98007457552803867</v>
      </c>
    </row>
    <row r="43" spans="1:26" s="24" customFormat="1" hidden="1" outlineLevel="2" x14ac:dyDescent="0.25">
      <c r="A43" s="27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6" customFormat="1" outlineLevel="1" collapsed="1" x14ac:dyDescent="0.25">
      <c r="A45" s="25"/>
      <c r="B45" s="12" t="str">
        <f>CONCATENATE("     ","Advertising/Promo                                 ")</f>
        <v xml:space="preserve">     Advertising/Promo                                 </v>
      </c>
      <c r="C45" s="12"/>
      <c r="D45" s="1">
        <f>SUM(OSRRefD22_2x_0)</f>
        <v>0</v>
      </c>
      <c r="E45" s="1"/>
      <c r="F45" s="5">
        <f t="shared" ref="F45:F62" si="29">IF(D$12=0,0,D45/D$12)</f>
        <v>0</v>
      </c>
      <c r="G45" s="1"/>
      <c r="H45" s="1">
        <f>SUM(OSRRefH22_2x_0)</f>
        <v>0</v>
      </c>
      <c r="I45" s="1"/>
      <c r="J45" s="5">
        <f t="shared" ref="J45:J62" si="30">IF(H$12=0,0,H45/H$12)</f>
        <v>0</v>
      </c>
      <c r="K45" s="1"/>
      <c r="L45" s="1">
        <f t="shared" ref="L45:L62" si="31">+D45-H45</f>
        <v>0</v>
      </c>
      <c r="M45" s="1"/>
      <c r="N45" s="5">
        <f t="shared" ref="N45:N62" si="32">IF(H45=0,0,L45/H45)</f>
        <v>0</v>
      </c>
      <c r="O45" s="12"/>
      <c r="P45" s="1">
        <f>SUM(OSRRefP22_2x_0)</f>
        <v>2.4900000000000002</v>
      </c>
      <c r="Q45" s="1"/>
      <c r="R45" s="5">
        <f t="shared" ref="R45:R62" si="33">IF(P$12=0,0,P45/P$12)</f>
        <v>8.8458895762275348E-6</v>
      </c>
      <c r="S45" s="1"/>
      <c r="T45" s="1">
        <f>SUM(OSRRefT22_2x_0)</f>
        <v>0</v>
      </c>
      <c r="U45" s="1"/>
      <c r="V45" s="5">
        <f t="shared" ref="V45:V62" si="34">IF(T$12=0,0,T45/T$12)</f>
        <v>0</v>
      </c>
      <c r="W45" s="1"/>
      <c r="X45" s="1">
        <f t="shared" ref="X45:X62" si="35">+P45-T45</f>
        <v>2.4900000000000002</v>
      </c>
      <c r="Y45" s="1"/>
      <c r="Z45" s="5">
        <f t="shared" ref="Z45:Z62" si="36">IF(T45=0,0,X45/T45)</f>
        <v>0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9"/>
        <v>0</v>
      </c>
      <c r="G46" s="2"/>
      <c r="H46" s="6">
        <v>0</v>
      </c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2.4900000000000002</v>
      </c>
      <c r="Q46" s="2"/>
      <c r="R46" s="7">
        <f t="shared" si="33"/>
        <v>8.8458895762275348E-6</v>
      </c>
      <c r="S46" s="2"/>
      <c r="T46" s="6">
        <v>0</v>
      </c>
      <c r="U46" s="2"/>
      <c r="V46" s="7">
        <f t="shared" si="34"/>
        <v>0</v>
      </c>
      <c r="W46" s="2"/>
      <c r="X46" s="6">
        <f t="shared" si="35"/>
        <v>2.4900000000000002</v>
      </c>
      <c r="Y46" s="2"/>
      <c r="Z46" s="7">
        <f t="shared" si="36"/>
        <v>0</v>
      </c>
    </row>
    <row r="47" spans="1:26" s="26" customFormat="1" outlineLevel="1" collapsed="1" x14ac:dyDescent="0.25">
      <c r="A47" s="25"/>
      <c r="B47" s="12" t="str">
        <f>CONCATENATE("     ","Bad Debts/Over/Short                              ")</f>
        <v xml:space="preserve">     Bad Debts/Over/Short                              </v>
      </c>
      <c r="C47" s="12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2"/>
      <c r="P47" s="1">
        <f>SUM(OSRRefP22_3x_0)</f>
        <v>-74.03</v>
      </c>
      <c r="Q47" s="1"/>
      <c r="R47" s="5">
        <f t="shared" si="33"/>
        <v>-2.6299646800326276E-4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-74.03</v>
      </c>
      <c r="Y47" s="1"/>
      <c r="Z47" s="5">
        <f t="shared" si="36"/>
        <v>0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29"/>
        <v>0</v>
      </c>
      <c r="G48" s="2"/>
      <c r="H48" s="6">
        <v>0</v>
      </c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-74.03</v>
      </c>
      <c r="Q48" s="2"/>
      <c r="R48" s="7">
        <f t="shared" si="33"/>
        <v>-2.6299646800326276E-4</v>
      </c>
      <c r="S48" s="2"/>
      <c r="T48" s="6">
        <v>0</v>
      </c>
      <c r="U48" s="2"/>
      <c r="V48" s="7">
        <f t="shared" si="34"/>
        <v>0</v>
      </c>
      <c r="W48" s="2"/>
      <c r="X48" s="6">
        <f t="shared" si="35"/>
        <v>-74.03</v>
      </c>
      <c r="Y48" s="2"/>
      <c r="Z48" s="7">
        <f t="shared" si="36"/>
        <v>0</v>
      </c>
    </row>
    <row r="49" spans="1:26" s="26" customFormat="1" outlineLevel="1" collapsed="1" x14ac:dyDescent="0.25">
      <c r="A49" s="25"/>
      <c r="B49" s="12" t="str">
        <f>CONCATENATE("     ","Bank/card Fees                                    ")</f>
        <v xml:space="preserve">     Bank/card Fees                                    </v>
      </c>
      <c r="C49" s="12"/>
      <c r="D49" s="1">
        <f>SUM(OSRRefD22_4x_0)</f>
        <v>0</v>
      </c>
      <c r="E49" s="1"/>
      <c r="F49" s="5">
        <f t="shared" si="29"/>
        <v>0</v>
      </c>
      <c r="G49" s="1"/>
      <c r="H49" s="1">
        <f>SUM(OSRRefH22_4x_0)</f>
        <v>109</v>
      </c>
      <c r="I49" s="1"/>
      <c r="J49" s="5">
        <f t="shared" si="30"/>
        <v>1.0580469811687051E-2</v>
      </c>
      <c r="K49" s="1"/>
      <c r="L49" s="1">
        <f t="shared" si="31"/>
        <v>-109</v>
      </c>
      <c r="M49" s="1"/>
      <c r="N49" s="5">
        <f t="shared" si="32"/>
        <v>-1</v>
      </c>
      <c r="O49" s="12"/>
      <c r="P49" s="1">
        <f>SUM(OSRRefP22_4x_0)</f>
        <v>10703.22</v>
      </c>
      <c r="Q49" s="1"/>
      <c r="R49" s="5">
        <f t="shared" si="33"/>
        <v>3.802389647793978E-2</v>
      </c>
      <c r="S49" s="1"/>
      <c r="T49" s="1">
        <f>SUM(OSRRefT22_4x_0)</f>
        <v>10043</v>
      </c>
      <c r="U49" s="1"/>
      <c r="V49" s="5">
        <f t="shared" si="34"/>
        <v>3.0083453651172126E-2</v>
      </c>
      <c r="W49" s="1"/>
      <c r="X49" s="1">
        <f t="shared" si="35"/>
        <v>660.21999999999935</v>
      </c>
      <c r="Y49" s="1"/>
      <c r="Z49" s="5">
        <f t="shared" si="36"/>
        <v>6.573932092004374E-2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6"/>
      <c r="E50" s="2"/>
      <c r="F50" s="7">
        <f t="shared" si="29"/>
        <v>0</v>
      </c>
      <c r="G50" s="2"/>
      <c r="H50" s="6">
        <v>109</v>
      </c>
      <c r="I50" s="2"/>
      <c r="J50" s="7">
        <f t="shared" si="30"/>
        <v>1.0580469811687051E-2</v>
      </c>
      <c r="K50" s="2"/>
      <c r="L50" s="6">
        <f t="shared" si="31"/>
        <v>-109</v>
      </c>
      <c r="M50" s="2"/>
      <c r="N50" s="7">
        <f t="shared" si="32"/>
        <v>-1</v>
      </c>
      <c r="O50" s="11"/>
      <c r="P50" s="6">
        <v>10703.22</v>
      </c>
      <c r="Q50" s="2"/>
      <c r="R50" s="7">
        <f t="shared" si="33"/>
        <v>3.802389647793978E-2</v>
      </c>
      <c r="S50" s="2"/>
      <c r="T50" s="6">
        <v>10043</v>
      </c>
      <c r="U50" s="2"/>
      <c r="V50" s="7">
        <f t="shared" si="34"/>
        <v>3.0083453651172126E-2</v>
      </c>
      <c r="W50" s="2"/>
      <c r="X50" s="6">
        <f t="shared" si="35"/>
        <v>660.21999999999935</v>
      </c>
      <c r="Y50" s="2"/>
      <c r="Z50" s="7">
        <f t="shared" si="36"/>
        <v>6.573932092004374E-2</v>
      </c>
    </row>
    <row r="51" spans="1:26" s="26" customFormat="1" outlineLevel="1" collapsed="1" x14ac:dyDescent="0.25">
      <c r="A51" s="25"/>
      <c r="B51" s="12" t="str">
        <f>CONCATENATE("     ","Depreciation                                      ")</f>
        <v xml:space="preserve">     Depreciation                                      </v>
      </c>
      <c r="C51" s="12"/>
      <c r="D51" s="1">
        <f>SUM(OSRRefD22_5x_0)</f>
        <v>1075.45</v>
      </c>
      <c r="E51" s="1"/>
      <c r="F51" s="5">
        <f t="shared" si="29"/>
        <v>0</v>
      </c>
      <c r="G51" s="1"/>
      <c r="H51" s="1">
        <f>SUM(OSRRefH22_5x_0)</f>
        <v>969</v>
      </c>
      <c r="I51" s="1"/>
      <c r="J51" s="5">
        <f t="shared" si="30"/>
        <v>9.405940594059406E-2</v>
      </c>
      <c r="K51" s="1"/>
      <c r="L51" s="1">
        <f t="shared" si="31"/>
        <v>106.45000000000005</v>
      </c>
      <c r="M51" s="1"/>
      <c r="N51" s="5">
        <f t="shared" si="32"/>
        <v>0.1098555211558308</v>
      </c>
      <c r="O51" s="12"/>
      <c r="P51" s="1">
        <f>SUM(OSRRefP22_5x_0)</f>
        <v>12052.44</v>
      </c>
      <c r="Q51" s="1"/>
      <c r="R51" s="5">
        <f t="shared" si="33"/>
        <v>4.2817089704460957E-2</v>
      </c>
      <c r="S51" s="1"/>
      <c r="T51" s="1">
        <f>SUM(OSRRefT22_5x_0)</f>
        <v>11628</v>
      </c>
      <c r="U51" s="1"/>
      <c r="V51" s="5">
        <f t="shared" si="34"/>
        <v>3.4831265464087373E-2</v>
      </c>
      <c r="W51" s="1"/>
      <c r="X51" s="1">
        <f t="shared" si="35"/>
        <v>424.44000000000051</v>
      </c>
      <c r="Y51" s="1"/>
      <c r="Z51" s="5">
        <f t="shared" si="36"/>
        <v>3.6501547987616144E-2</v>
      </c>
    </row>
    <row r="52" spans="1:26" s="24" customFormat="1" hidden="1" outlineLevel="2" x14ac:dyDescent="0.25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1075.45</v>
      </c>
      <c r="E52" s="2"/>
      <c r="F52" s="7">
        <f t="shared" si="29"/>
        <v>0</v>
      </c>
      <c r="G52" s="2"/>
      <c r="H52" s="6">
        <v>969</v>
      </c>
      <c r="I52" s="2"/>
      <c r="J52" s="7">
        <f t="shared" si="30"/>
        <v>9.405940594059406E-2</v>
      </c>
      <c r="K52" s="2"/>
      <c r="L52" s="6">
        <f t="shared" si="31"/>
        <v>106.45000000000005</v>
      </c>
      <c r="M52" s="2"/>
      <c r="N52" s="7">
        <f t="shared" si="32"/>
        <v>0.1098555211558308</v>
      </c>
      <c r="O52" s="11"/>
      <c r="P52" s="6">
        <v>12052.44</v>
      </c>
      <c r="Q52" s="2"/>
      <c r="R52" s="7">
        <f t="shared" si="33"/>
        <v>4.2817089704460957E-2</v>
      </c>
      <c r="S52" s="2"/>
      <c r="T52" s="6">
        <v>11628</v>
      </c>
      <c r="U52" s="2"/>
      <c r="V52" s="7">
        <f t="shared" si="34"/>
        <v>3.4831265464087373E-2</v>
      </c>
      <c r="W52" s="2"/>
      <c r="X52" s="6">
        <f t="shared" si="35"/>
        <v>424.44000000000051</v>
      </c>
      <c r="Y52" s="2"/>
      <c r="Z52" s="7">
        <f t="shared" si="36"/>
        <v>3.6501547987616144E-2</v>
      </c>
    </row>
    <row r="53" spans="1:26" s="26" customFormat="1" outlineLevel="1" collapsed="1" x14ac:dyDescent="0.25">
      <c r="A53" s="25"/>
      <c r="B53" s="12" t="str">
        <f>CONCATENATE("     ","Employees' Appreciation                           ")</f>
        <v xml:space="preserve">     Employees' Appreciation                           </v>
      </c>
      <c r="C53" s="12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2"/>
      <c r="P53" s="1">
        <f>SUM(OSRRefP22_6x_0)</f>
        <v>0</v>
      </c>
      <c r="Q53" s="1"/>
      <c r="R53" s="5">
        <f t="shared" si="33"/>
        <v>0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0</v>
      </c>
      <c r="Y53" s="1"/>
      <c r="Z53" s="5">
        <f t="shared" si="36"/>
        <v>0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9"/>
        <v>0</v>
      </c>
      <c r="G54" s="2"/>
      <c r="H54" s="6">
        <v>0</v>
      </c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/>
      <c r="Q54" s="2"/>
      <c r="R54" s="7">
        <f t="shared" si="33"/>
        <v>0</v>
      </c>
      <c r="S54" s="2"/>
      <c r="T54" s="6">
        <v>0</v>
      </c>
      <c r="U54" s="2"/>
      <c r="V54" s="7">
        <f t="shared" si="34"/>
        <v>0</v>
      </c>
      <c r="W54" s="2"/>
      <c r="X54" s="6">
        <f t="shared" si="35"/>
        <v>0</v>
      </c>
      <c r="Y54" s="2"/>
      <c r="Z54" s="7">
        <f t="shared" si="36"/>
        <v>0</v>
      </c>
    </row>
    <row r="55" spans="1:26" s="26" customFormat="1" outlineLevel="1" collapsed="1" x14ac:dyDescent="0.25">
      <c r="A55" s="25"/>
      <c r="B55" s="12" t="str">
        <f>CONCATENATE("     ","General                                           ")</f>
        <v xml:space="preserve">     General                                           </v>
      </c>
      <c r="C55" s="12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25</v>
      </c>
      <c r="I55" s="1"/>
      <c r="J55" s="5">
        <f t="shared" si="30"/>
        <v>2.4267132595612501E-3</v>
      </c>
      <c r="K55" s="1"/>
      <c r="L55" s="1">
        <f t="shared" si="31"/>
        <v>-25</v>
      </c>
      <c r="M55" s="1"/>
      <c r="N55" s="5">
        <f t="shared" si="32"/>
        <v>-1</v>
      </c>
      <c r="O55" s="12"/>
      <c r="P55" s="1">
        <f>SUM(OSRRefP22_7x_0)</f>
        <v>1356.19</v>
      </c>
      <c r="Q55" s="1"/>
      <c r="R55" s="5">
        <f t="shared" si="33"/>
        <v>4.8179546122024174E-3</v>
      </c>
      <c r="S55" s="1"/>
      <c r="T55" s="1">
        <f>SUM(OSRRefT22_7x_0)</f>
        <v>2268</v>
      </c>
      <c r="U55" s="1"/>
      <c r="V55" s="5">
        <f t="shared" si="34"/>
        <v>6.7937143165247814E-3</v>
      </c>
      <c r="W55" s="1"/>
      <c r="X55" s="1">
        <f t="shared" si="35"/>
        <v>-911.81</v>
      </c>
      <c r="Y55" s="1"/>
      <c r="Z55" s="5">
        <f t="shared" si="36"/>
        <v>-0.40203262786596117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9"/>
        <v>0</v>
      </c>
      <c r="G56" s="2"/>
      <c r="H56" s="6">
        <v>25</v>
      </c>
      <c r="I56" s="2"/>
      <c r="J56" s="7">
        <f t="shared" si="30"/>
        <v>2.4267132595612501E-3</v>
      </c>
      <c r="K56" s="2"/>
      <c r="L56" s="6">
        <f t="shared" si="31"/>
        <v>-25</v>
      </c>
      <c r="M56" s="2"/>
      <c r="N56" s="7">
        <f t="shared" si="32"/>
        <v>-1</v>
      </c>
      <c r="O56" s="11"/>
      <c r="P56" s="6">
        <v>1356.19</v>
      </c>
      <c r="Q56" s="2"/>
      <c r="R56" s="7">
        <f t="shared" si="33"/>
        <v>4.8179546122024174E-3</v>
      </c>
      <c r="S56" s="2"/>
      <c r="T56" s="6">
        <v>2268</v>
      </c>
      <c r="U56" s="2"/>
      <c r="V56" s="7">
        <f t="shared" si="34"/>
        <v>6.7937143165247814E-3</v>
      </c>
      <c r="W56" s="2"/>
      <c r="X56" s="6">
        <f t="shared" si="35"/>
        <v>-911.81</v>
      </c>
      <c r="Y56" s="2"/>
      <c r="Z56" s="7">
        <f t="shared" si="36"/>
        <v>-0.40203262786596117</v>
      </c>
    </row>
    <row r="57" spans="1:26" s="26" customFormat="1" outlineLevel="1" collapsed="1" x14ac:dyDescent="0.25">
      <c r="A57" s="25"/>
      <c r="B57" s="12" t="str">
        <f>CONCATENATE("     ","R/H Commissions                                   ")</f>
        <v xml:space="preserve">     R/H Commissions                                   </v>
      </c>
      <c r="C57" s="12"/>
      <c r="D57" s="1">
        <f>SUM(OSRRefD22_8x_0)</f>
        <v>0</v>
      </c>
      <c r="E57" s="1"/>
      <c r="F57" s="5">
        <f t="shared" si="29"/>
        <v>0</v>
      </c>
      <c r="G57" s="1"/>
      <c r="H57" s="1">
        <f>SUM(OSRRefH22_8x_0)</f>
        <v>0</v>
      </c>
      <c r="I57" s="1"/>
      <c r="J57" s="5">
        <f t="shared" si="30"/>
        <v>0</v>
      </c>
      <c r="K57" s="1"/>
      <c r="L57" s="1">
        <f t="shared" si="31"/>
        <v>0</v>
      </c>
      <c r="M57" s="1"/>
      <c r="N57" s="5">
        <f t="shared" si="32"/>
        <v>0</v>
      </c>
      <c r="O57" s="12"/>
      <c r="P57" s="1">
        <f>SUM(OSRRefP22_8x_0)</f>
        <v>0</v>
      </c>
      <c r="Q57" s="1"/>
      <c r="R57" s="5">
        <f t="shared" si="33"/>
        <v>0</v>
      </c>
      <c r="S57" s="1"/>
      <c r="T57" s="1">
        <f>SUM(OSRRefT22_8x_0)</f>
        <v>0</v>
      </c>
      <c r="U57" s="1"/>
      <c r="V57" s="5">
        <f t="shared" si="34"/>
        <v>0</v>
      </c>
      <c r="W57" s="1"/>
      <c r="X57" s="1">
        <f t="shared" si="35"/>
        <v>0</v>
      </c>
      <c r="Y57" s="1"/>
      <c r="Z57" s="5">
        <f t="shared" si="36"/>
        <v>0</v>
      </c>
    </row>
    <row r="58" spans="1:26" s="24" customFormat="1" hidden="1" outlineLevel="2" x14ac:dyDescent="0.25">
      <c r="A58" s="27"/>
      <c r="B58" s="11" t="str">
        <f>CONCATENATE("          ", "6387", " - ", "COMMISSION DUE HOUSING")</f>
        <v xml:space="preserve">          6387 - COMMISSION DUE HOUSING</v>
      </c>
      <c r="C58" s="11"/>
      <c r="D58" s="6"/>
      <c r="E58" s="2"/>
      <c r="F58" s="7">
        <f t="shared" si="29"/>
        <v>0</v>
      </c>
      <c r="G58" s="2"/>
      <c r="H58" s="6"/>
      <c r="I58" s="2"/>
      <c r="J58" s="7">
        <f t="shared" si="30"/>
        <v>0</v>
      </c>
      <c r="K58" s="2"/>
      <c r="L58" s="6">
        <f t="shared" si="31"/>
        <v>0</v>
      </c>
      <c r="M58" s="2"/>
      <c r="N58" s="7">
        <f t="shared" si="32"/>
        <v>0</v>
      </c>
      <c r="O58" s="11"/>
      <c r="P58" s="6"/>
      <c r="Q58" s="2"/>
      <c r="R58" s="7">
        <f t="shared" si="33"/>
        <v>0</v>
      </c>
      <c r="S58" s="2"/>
      <c r="T58" s="6">
        <v>0</v>
      </c>
      <c r="U58" s="2"/>
      <c r="V58" s="7">
        <f t="shared" si="34"/>
        <v>0</v>
      </c>
      <c r="W58" s="2"/>
      <c r="X58" s="6">
        <f t="shared" si="35"/>
        <v>0</v>
      </c>
      <c r="Y58" s="2"/>
      <c r="Z58" s="7">
        <f t="shared" si="36"/>
        <v>0</v>
      </c>
    </row>
    <row r="59" spans="1:26" s="26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SUM(OSRRefD22_9x_0)</f>
        <v>48.23</v>
      </c>
      <c r="E59" s="1"/>
      <c r="F59" s="5">
        <f t="shared" si="29"/>
        <v>0</v>
      </c>
      <c r="G59" s="1"/>
      <c r="H59" s="1">
        <f>SUM(OSRRefH22_9x_0)</f>
        <v>0</v>
      </c>
      <c r="I59" s="1"/>
      <c r="J59" s="5">
        <f t="shared" si="30"/>
        <v>0</v>
      </c>
      <c r="K59" s="1"/>
      <c r="L59" s="1">
        <f t="shared" si="31"/>
        <v>48.23</v>
      </c>
      <c r="M59" s="1"/>
      <c r="N59" s="5">
        <f t="shared" si="32"/>
        <v>0</v>
      </c>
      <c r="O59" s="12"/>
      <c r="P59" s="1">
        <f>SUM(OSRRefP22_9x_0)</f>
        <v>1713.35</v>
      </c>
      <c r="Q59" s="1"/>
      <c r="R59" s="5">
        <f t="shared" si="33"/>
        <v>6.0867891186463631E-3</v>
      </c>
      <c r="S59" s="1"/>
      <c r="T59" s="1">
        <f>SUM(OSRRefT22_9x_0)</f>
        <v>0</v>
      </c>
      <c r="U59" s="1"/>
      <c r="V59" s="5">
        <f t="shared" si="34"/>
        <v>0</v>
      </c>
      <c r="W59" s="1"/>
      <c r="X59" s="1">
        <f t="shared" si="35"/>
        <v>1713.35</v>
      </c>
      <c r="Y59" s="1"/>
      <c r="Z59" s="5">
        <f t="shared" si="36"/>
        <v>0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>
        <v>437.31</v>
      </c>
      <c r="Q60" s="2"/>
      <c r="R60" s="7">
        <f t="shared" si="33"/>
        <v>1.5535726789478164E-3</v>
      </c>
      <c r="S60" s="2"/>
      <c r="T60" s="6">
        <v>0</v>
      </c>
      <c r="U60" s="2"/>
      <c r="V60" s="7">
        <f t="shared" si="34"/>
        <v>0</v>
      </c>
      <c r="W60" s="2"/>
      <c r="X60" s="6">
        <f t="shared" si="35"/>
        <v>437.31</v>
      </c>
      <c r="Y60" s="2"/>
      <c r="Z60" s="7">
        <f t="shared" si="36"/>
        <v>0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>
        <v>48.23</v>
      </c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48.23</v>
      </c>
      <c r="M61" s="2"/>
      <c r="N61" s="7">
        <f t="shared" si="32"/>
        <v>0</v>
      </c>
      <c r="O61" s="11"/>
      <c r="P61" s="6">
        <v>189.68</v>
      </c>
      <c r="Q61" s="2"/>
      <c r="R61" s="7">
        <f t="shared" si="33"/>
        <v>6.7385073687503563E-4</v>
      </c>
      <c r="S61" s="2"/>
      <c r="T61" s="6"/>
      <c r="U61" s="2"/>
      <c r="V61" s="7">
        <f t="shared" si="34"/>
        <v>0</v>
      </c>
      <c r="W61" s="2"/>
      <c r="X61" s="6">
        <f t="shared" si="35"/>
        <v>189.68</v>
      </c>
      <c r="Y61" s="2"/>
      <c r="Z61" s="7">
        <f t="shared" si="36"/>
        <v>0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>
        <v>1086.3599999999999</v>
      </c>
      <c r="Q62" s="2"/>
      <c r="R62" s="7">
        <f t="shared" si="33"/>
        <v>3.8593657028235112E-3</v>
      </c>
      <c r="S62" s="2"/>
      <c r="T62" s="6"/>
      <c r="U62" s="2"/>
      <c r="V62" s="7">
        <f t="shared" si="34"/>
        <v>0</v>
      </c>
      <c r="W62" s="2"/>
      <c r="X62" s="6">
        <f t="shared" si="35"/>
        <v>1086.3599999999999</v>
      </c>
      <c r="Y62" s="2"/>
      <c r="Z62" s="7">
        <f t="shared" si="36"/>
        <v>0</v>
      </c>
    </row>
    <row r="63" spans="1:26" s="26" customFormat="1" outlineLevel="1" collapsed="1" x14ac:dyDescent="0.25">
      <c r="A63" s="25"/>
      <c r="B63" s="12" t="str">
        <f>CONCATENATE("     ","Royalty &amp; Commissions                             ")</f>
        <v xml:space="preserve">     Royalty &amp; Commissions                             </v>
      </c>
      <c r="C63" s="12"/>
      <c r="D63" s="1">
        <f>SUM(OSRRefD22_10x_0)</f>
        <v>0</v>
      </c>
      <c r="E63" s="1"/>
      <c r="F63" s="5">
        <f t="shared" ref="F63:F65" si="37">IF(D$12=0,0,D63/D$12)</f>
        <v>0</v>
      </c>
      <c r="G63" s="1"/>
      <c r="H63" s="1">
        <f>SUM(OSRRefH22_10x_0)</f>
        <v>315</v>
      </c>
      <c r="I63" s="1"/>
      <c r="J63" s="5">
        <f t="shared" ref="J63:J65" si="38">IF(H$12=0,0,H63/H$12)</f>
        <v>3.0576587070471752E-2</v>
      </c>
      <c r="K63" s="1"/>
      <c r="L63" s="1">
        <f t="shared" ref="L63:L65" si="39">+D63-H63</f>
        <v>-315</v>
      </c>
      <c r="M63" s="1"/>
      <c r="N63" s="5">
        <f t="shared" ref="N63:N65" si="40">IF(H63=0,0,L63/H63)</f>
        <v>-1</v>
      </c>
      <c r="O63" s="12"/>
      <c r="P63" s="1">
        <f>SUM(OSRRefP22_10x_0)</f>
        <v>24556.14</v>
      </c>
      <c r="Q63" s="1"/>
      <c r="R63" s="5">
        <f t="shared" ref="R63:R65" si="41">IF(P$12=0,0,P63/P$12)</f>
        <v>8.7237310384893171E-2</v>
      </c>
      <c r="S63" s="1"/>
      <c r="T63" s="1">
        <f>SUM(OSRRefT22_10x_0)</f>
        <v>29151</v>
      </c>
      <c r="U63" s="1"/>
      <c r="V63" s="5">
        <f t="shared" ref="V63:V65" si="42">IF(T$12=0,0,T63/T$12)</f>
        <v>8.7320796314380028E-2</v>
      </c>
      <c r="W63" s="1"/>
      <c r="X63" s="1">
        <f t="shared" ref="X63:X65" si="43">+P63-T63</f>
        <v>-4594.8600000000006</v>
      </c>
      <c r="Y63" s="1"/>
      <c r="Z63" s="5">
        <f t="shared" ref="Z63:Z65" si="44">IF(T63=0,0,X63/T63)</f>
        <v>-0.15762272306267369</v>
      </c>
    </row>
    <row r="64" spans="1:26" s="24" customFormat="1" hidden="1" outlineLevel="2" x14ac:dyDescent="0.25">
      <c r="A64" s="27"/>
      <c r="B64" s="11" t="str">
        <f>CONCATENATE("          ", "6254", " - ", "ROYALTY &amp; COMMISSIONS")</f>
        <v xml:space="preserve">          6254 - ROYALTY &amp; COMMISSIONS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24556.14</v>
      </c>
      <c r="Q64" s="2"/>
      <c r="R64" s="7">
        <f t="shared" si="41"/>
        <v>8.7237310384893171E-2</v>
      </c>
      <c r="S64" s="2"/>
      <c r="T64" s="6"/>
      <c r="U64" s="2"/>
      <c r="V64" s="7">
        <f t="shared" si="42"/>
        <v>0</v>
      </c>
      <c r="W64" s="2"/>
      <c r="X64" s="6">
        <f t="shared" si="43"/>
        <v>24556.14</v>
      </c>
      <c r="Y64" s="2"/>
      <c r="Z64" s="7">
        <f t="shared" si="44"/>
        <v>0</v>
      </c>
    </row>
    <row r="65" spans="1:26" s="24" customFormat="1" hidden="1" outlineLevel="2" x14ac:dyDescent="0.25">
      <c r="A65" s="27"/>
      <c r="B65" s="11" t="str">
        <f>CONCATENATE("          ", "6259", " - ", "ROYALTY &amp; COMMISSIONS")</f>
        <v xml:space="preserve">          6259 - ROYALTY &amp; COMMISSIONS</v>
      </c>
      <c r="C65" s="11"/>
      <c r="D65" s="6"/>
      <c r="E65" s="2"/>
      <c r="F65" s="7">
        <f t="shared" si="37"/>
        <v>0</v>
      </c>
      <c r="G65" s="2"/>
      <c r="H65" s="6">
        <v>315</v>
      </c>
      <c r="I65" s="2"/>
      <c r="J65" s="7">
        <f t="shared" si="38"/>
        <v>3.0576587070471752E-2</v>
      </c>
      <c r="K65" s="2"/>
      <c r="L65" s="6">
        <f t="shared" si="39"/>
        <v>-315</v>
      </c>
      <c r="M65" s="2"/>
      <c r="N65" s="7">
        <f t="shared" si="40"/>
        <v>-1</v>
      </c>
      <c r="O65" s="11"/>
      <c r="P65" s="6"/>
      <c r="Q65" s="2"/>
      <c r="R65" s="7">
        <f t="shared" si="41"/>
        <v>0</v>
      </c>
      <c r="S65" s="2"/>
      <c r="T65" s="6">
        <v>29151</v>
      </c>
      <c r="U65" s="2"/>
      <c r="V65" s="7">
        <f t="shared" si="42"/>
        <v>8.7320796314380028E-2</v>
      </c>
      <c r="W65" s="2"/>
      <c r="X65" s="6">
        <f t="shared" si="43"/>
        <v>-29151</v>
      </c>
      <c r="Y65" s="2"/>
      <c r="Z65" s="7">
        <f t="shared" si="44"/>
        <v>-1</v>
      </c>
    </row>
    <row r="66" spans="1:26" s="26" customFormat="1" outlineLevel="1" collapsed="1" x14ac:dyDescent="0.25">
      <c r="A66" s="25"/>
      <c r="B66" s="12" t="str">
        <f>CONCATENATE("     ","Services                                          ")</f>
        <v xml:space="preserve">     Services                                          </v>
      </c>
      <c r="C66" s="12"/>
      <c r="D66" s="1">
        <f>SUM(OSRRefD22_11x_0)</f>
        <v>106.22</v>
      </c>
      <c r="E66" s="1"/>
      <c r="F66" s="5">
        <f t="shared" ref="F66:F69" si="45">IF(D$12=0,0,D66/D$12)</f>
        <v>0</v>
      </c>
      <c r="G66" s="1"/>
      <c r="H66" s="1">
        <f>SUM(OSRRefH22_11x_0)</f>
        <v>21</v>
      </c>
      <c r="I66" s="1"/>
      <c r="J66" s="5">
        <f t="shared" ref="J66:J69" si="46">IF(H$12=0,0,H66/H$12)</f>
        <v>2.0384391380314504E-3</v>
      </c>
      <c r="K66" s="1"/>
      <c r="L66" s="1">
        <f t="shared" ref="L66:L69" si="47">+D66-H66</f>
        <v>85.22</v>
      </c>
      <c r="M66" s="1"/>
      <c r="N66" s="5">
        <f t="shared" ref="N66:N69" si="48">IF(H66=0,0,L66/H66)</f>
        <v>4.0580952380952384</v>
      </c>
      <c r="O66" s="12"/>
      <c r="P66" s="1">
        <f>SUM(OSRRefP22_11x_0)</f>
        <v>2025.62</v>
      </c>
      <c r="Q66" s="1"/>
      <c r="R66" s="5">
        <f t="shared" ref="R66:R69" si="49">IF(P$12=0,0,P66/P$12)</f>
        <v>7.1961489330915731E-3</v>
      </c>
      <c r="S66" s="1"/>
      <c r="T66" s="1">
        <f>SUM(OSRRefT22_11x_0)</f>
        <v>1944</v>
      </c>
      <c r="U66" s="1"/>
      <c r="V66" s="5">
        <f t="shared" ref="V66:V69" si="50">IF(T$12=0,0,T66/T$12)</f>
        <v>5.8231836998783844E-3</v>
      </c>
      <c r="W66" s="1"/>
      <c r="X66" s="1">
        <f t="shared" ref="X66:X69" si="51">+P66-T66</f>
        <v>81.619999999999891</v>
      </c>
      <c r="Y66" s="1"/>
      <c r="Z66" s="5">
        <f t="shared" ref="Z66:Z69" si="52">IF(T66=0,0,X66/T66)</f>
        <v>4.1985596707818873E-2</v>
      </c>
    </row>
    <row r="67" spans="1:26" s="24" customFormat="1" hidden="1" outlineLevel="2" x14ac:dyDescent="0.25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82</v>
      </c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82</v>
      </c>
      <c r="M67" s="2"/>
      <c r="N67" s="7">
        <f t="shared" si="48"/>
        <v>0</v>
      </c>
      <c r="O67" s="11"/>
      <c r="P67" s="6">
        <v>410</v>
      </c>
      <c r="Q67" s="2"/>
      <c r="R67" s="7">
        <f t="shared" si="49"/>
        <v>1.4565520988969031E-3</v>
      </c>
      <c r="S67" s="2"/>
      <c r="T67" s="6"/>
      <c r="U67" s="2"/>
      <c r="V67" s="7">
        <f t="shared" si="50"/>
        <v>0</v>
      </c>
      <c r="W67" s="2"/>
      <c r="X67" s="6">
        <f t="shared" si="51"/>
        <v>410</v>
      </c>
      <c r="Y67" s="2"/>
      <c r="Z67" s="7">
        <f t="shared" si="52"/>
        <v>0</v>
      </c>
    </row>
    <row r="68" spans="1:26" s="24" customFormat="1" hidden="1" outlineLevel="2" x14ac:dyDescent="0.25">
      <c r="A68" s="27"/>
      <c r="B68" s="11" t="str">
        <f>CONCATENATE("          ", "6285", " - ", "JANITORIAL SERVICES")</f>
        <v xml:space="preserve">          6285 - JANITORIAL SERVICES</v>
      </c>
      <c r="C68" s="11"/>
      <c r="D68" s="6">
        <v>24.22</v>
      </c>
      <c r="E68" s="2"/>
      <c r="F68" s="7">
        <f t="shared" si="45"/>
        <v>0</v>
      </c>
      <c r="G68" s="2"/>
      <c r="H68" s="6">
        <v>21</v>
      </c>
      <c r="I68" s="2"/>
      <c r="J68" s="7">
        <f t="shared" si="46"/>
        <v>2.0384391380314504E-3</v>
      </c>
      <c r="K68" s="2"/>
      <c r="L68" s="6">
        <f t="shared" si="47"/>
        <v>3.2199999999999989</v>
      </c>
      <c r="M68" s="2"/>
      <c r="N68" s="7">
        <f t="shared" si="48"/>
        <v>0.15333333333333327</v>
      </c>
      <c r="O68" s="11"/>
      <c r="P68" s="6">
        <v>281.04000000000002</v>
      </c>
      <c r="Q68" s="2"/>
      <c r="R68" s="7">
        <f t="shared" si="49"/>
        <v>9.9841317530240418E-4</v>
      </c>
      <c r="S68" s="2"/>
      <c r="T68" s="6">
        <v>1944</v>
      </c>
      <c r="U68" s="2"/>
      <c r="V68" s="7">
        <f t="shared" si="50"/>
        <v>5.8231836998783844E-3</v>
      </c>
      <c r="W68" s="2"/>
      <c r="X68" s="6">
        <f t="shared" si="51"/>
        <v>-1662.96</v>
      </c>
      <c r="Y68" s="2"/>
      <c r="Z68" s="7">
        <f t="shared" si="52"/>
        <v>-0.85543209876543214</v>
      </c>
    </row>
    <row r="69" spans="1:26" s="24" customFormat="1" hidden="1" outlineLevel="2" x14ac:dyDescent="0.25">
      <c r="A69" s="27"/>
      <c r="B69" s="11" t="str">
        <f>CONCATENATE("          ", "6286", " - ", "LAUNDRY EXPENSE")</f>
        <v xml:space="preserve">          6286 - LAUNDRY EXPENSE</v>
      </c>
      <c r="C69" s="11"/>
      <c r="D69" s="6"/>
      <c r="E69" s="2"/>
      <c r="F69" s="7">
        <f t="shared" si="45"/>
        <v>0</v>
      </c>
      <c r="G69" s="2"/>
      <c r="H69" s="6"/>
      <c r="I69" s="2"/>
      <c r="J69" s="7">
        <f t="shared" si="46"/>
        <v>0</v>
      </c>
      <c r="K69" s="2"/>
      <c r="L69" s="6">
        <f t="shared" si="47"/>
        <v>0</v>
      </c>
      <c r="M69" s="2"/>
      <c r="N69" s="7">
        <f t="shared" si="48"/>
        <v>0</v>
      </c>
      <c r="O69" s="11"/>
      <c r="P69" s="6">
        <v>1334.58</v>
      </c>
      <c r="Q69" s="2"/>
      <c r="R69" s="7">
        <f t="shared" si="49"/>
        <v>4.7411836588922658E-3</v>
      </c>
      <c r="S69" s="2"/>
      <c r="T69" s="6"/>
      <c r="U69" s="2"/>
      <c r="V69" s="7">
        <f t="shared" si="50"/>
        <v>0</v>
      </c>
      <c r="W69" s="2"/>
      <c r="X69" s="6">
        <f t="shared" si="51"/>
        <v>1334.58</v>
      </c>
      <c r="Y69" s="2"/>
      <c r="Z69" s="7">
        <f t="shared" si="52"/>
        <v>0</v>
      </c>
    </row>
    <row r="70" spans="1:26" s="26" customFormat="1" outlineLevel="1" collapsed="1" x14ac:dyDescent="0.25">
      <c r="A70" s="25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SUM(OSRRefD22_12x_0)</f>
        <v>0</v>
      </c>
      <c r="E70" s="1"/>
      <c r="F70" s="5">
        <f t="shared" ref="F70:F74" si="53">IF(D$12=0,0,D70/D$12)</f>
        <v>0</v>
      </c>
      <c r="G70" s="1"/>
      <c r="H70" s="1">
        <f>SUM(OSRRefH22_12x_0)</f>
        <v>56</v>
      </c>
      <c r="I70" s="1"/>
      <c r="J70" s="5">
        <f t="shared" ref="J70:J74" si="54">IF(H$12=0,0,H70/H$12)</f>
        <v>5.4358377014172002E-3</v>
      </c>
      <c r="K70" s="1"/>
      <c r="L70" s="1">
        <f t="shared" ref="L70:L74" si="55">+D70-H70</f>
        <v>-56</v>
      </c>
      <c r="M70" s="1"/>
      <c r="N70" s="5">
        <f t="shared" ref="N70:N74" si="56">IF(H70=0,0,L70/H70)</f>
        <v>-1</v>
      </c>
      <c r="O70" s="12"/>
      <c r="P70" s="1">
        <f>SUM(OSRRefP22_12x_0)</f>
        <v>7668.1800000000012</v>
      </c>
      <c r="Q70" s="1"/>
      <c r="R70" s="5">
        <f t="shared" ref="R70:R74" si="57">IF(P$12=0,0,P70/P$12)</f>
        <v>2.7241716277364041E-2</v>
      </c>
      <c r="S70" s="1"/>
      <c r="T70" s="1">
        <f>SUM(OSRRefT22_12x_0)</f>
        <v>5182</v>
      </c>
      <c r="U70" s="1"/>
      <c r="V70" s="5">
        <f t="shared" ref="V70:V74" si="58">IF(T$12=0,0,T70/T$12)</f>
        <v>1.5522498936609973E-2</v>
      </c>
      <c r="W70" s="1"/>
      <c r="X70" s="1">
        <f t="shared" ref="X70:X74" si="59">+P70-T70</f>
        <v>2486.1800000000012</v>
      </c>
      <c r="Y70" s="1"/>
      <c r="Z70" s="5">
        <f t="shared" ref="Z70:Z74" si="60">IF(T70=0,0,X70/T70)</f>
        <v>0.47977228869162508</v>
      </c>
    </row>
    <row r="71" spans="1:26" s="24" customFormat="1" hidden="1" outlineLevel="2" x14ac:dyDescent="0.2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53"/>
        <v>0</v>
      </c>
      <c r="G71" s="2"/>
      <c r="H71" s="6"/>
      <c r="I71" s="2"/>
      <c r="J71" s="7">
        <f t="shared" si="54"/>
        <v>0</v>
      </c>
      <c r="K71" s="2"/>
      <c r="L71" s="6">
        <f t="shared" si="55"/>
        <v>0</v>
      </c>
      <c r="M71" s="2"/>
      <c r="N71" s="7">
        <f t="shared" si="56"/>
        <v>0</v>
      </c>
      <c r="O71" s="11"/>
      <c r="P71" s="6">
        <v>354.71</v>
      </c>
      <c r="Q71" s="2"/>
      <c r="R71" s="7">
        <f t="shared" si="57"/>
        <v>1.2601307195115135E-3</v>
      </c>
      <c r="S71" s="2"/>
      <c r="T71" s="6"/>
      <c r="U71" s="2"/>
      <c r="V71" s="7">
        <f t="shared" si="58"/>
        <v>0</v>
      </c>
      <c r="W71" s="2"/>
      <c r="X71" s="6">
        <f t="shared" si="59"/>
        <v>354.71</v>
      </c>
      <c r="Y71" s="2"/>
      <c r="Z71" s="7">
        <f t="shared" si="60"/>
        <v>0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53"/>
        <v>0</v>
      </c>
      <c r="G72" s="2"/>
      <c r="H72" s="6"/>
      <c r="I72" s="2"/>
      <c r="J72" s="7">
        <f t="shared" si="54"/>
        <v>0</v>
      </c>
      <c r="K72" s="2"/>
      <c r="L72" s="6">
        <f t="shared" si="55"/>
        <v>0</v>
      </c>
      <c r="M72" s="2"/>
      <c r="N72" s="7">
        <f t="shared" si="56"/>
        <v>0</v>
      </c>
      <c r="O72" s="11"/>
      <c r="P72" s="6">
        <v>38.56</v>
      </c>
      <c r="Q72" s="2"/>
      <c r="R72" s="7">
        <f t="shared" si="57"/>
        <v>1.369869486182063E-4</v>
      </c>
      <c r="S72" s="2"/>
      <c r="T72" s="6"/>
      <c r="U72" s="2"/>
      <c r="V72" s="7">
        <f t="shared" si="58"/>
        <v>0</v>
      </c>
      <c r="W72" s="2"/>
      <c r="X72" s="6">
        <f t="shared" si="59"/>
        <v>38.56</v>
      </c>
      <c r="Y72" s="2"/>
      <c r="Z72" s="7">
        <f t="shared" si="60"/>
        <v>0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6"/>
      <c r="E73" s="2"/>
      <c r="F73" s="7">
        <f t="shared" si="53"/>
        <v>0</v>
      </c>
      <c r="G73" s="2"/>
      <c r="H73" s="6">
        <v>56</v>
      </c>
      <c r="I73" s="2"/>
      <c r="J73" s="7">
        <f t="shared" si="54"/>
        <v>5.4358377014172002E-3</v>
      </c>
      <c r="K73" s="2"/>
      <c r="L73" s="6">
        <f t="shared" si="55"/>
        <v>-56</v>
      </c>
      <c r="M73" s="2"/>
      <c r="N73" s="7">
        <f t="shared" si="56"/>
        <v>-1</v>
      </c>
      <c r="O73" s="11"/>
      <c r="P73" s="6">
        <v>7192.77</v>
      </c>
      <c r="Q73" s="2"/>
      <c r="R73" s="7">
        <f t="shared" si="57"/>
        <v>2.5552790830201656E-2</v>
      </c>
      <c r="S73" s="2"/>
      <c r="T73" s="6">
        <v>5182</v>
      </c>
      <c r="U73" s="2"/>
      <c r="V73" s="7">
        <f t="shared" si="58"/>
        <v>1.5522498936609973E-2</v>
      </c>
      <c r="W73" s="2"/>
      <c r="X73" s="6">
        <f t="shared" si="59"/>
        <v>2010.7700000000004</v>
      </c>
      <c r="Y73" s="2"/>
      <c r="Z73" s="7">
        <f t="shared" si="60"/>
        <v>0.38802971825549987</v>
      </c>
    </row>
    <row r="74" spans="1:26" s="24" customFormat="1" hidden="1" outlineLevel="2" x14ac:dyDescent="0.25">
      <c r="A74" s="27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3"/>
        <v>0</v>
      </c>
      <c r="G74" s="2"/>
      <c r="H74" s="6"/>
      <c r="I74" s="2"/>
      <c r="J74" s="7">
        <f t="shared" si="54"/>
        <v>0</v>
      </c>
      <c r="K74" s="2"/>
      <c r="L74" s="6">
        <f t="shared" si="55"/>
        <v>0</v>
      </c>
      <c r="M74" s="2"/>
      <c r="N74" s="7">
        <f t="shared" si="56"/>
        <v>0</v>
      </c>
      <c r="O74" s="11"/>
      <c r="P74" s="6">
        <v>82.14</v>
      </c>
      <c r="Q74" s="2"/>
      <c r="R74" s="7">
        <f t="shared" si="57"/>
        <v>2.9180777903266248E-4</v>
      </c>
      <c r="S74" s="2"/>
      <c r="T74" s="6"/>
      <c r="U74" s="2"/>
      <c r="V74" s="7">
        <f t="shared" si="58"/>
        <v>0</v>
      </c>
      <c r="W74" s="2"/>
      <c r="X74" s="6">
        <f t="shared" si="59"/>
        <v>82.14</v>
      </c>
      <c r="Y74" s="2"/>
      <c r="Z74" s="7">
        <f t="shared" si="60"/>
        <v>0</v>
      </c>
    </row>
    <row r="75" spans="1:26" s="26" customFormat="1" outlineLevel="1" collapsed="1" x14ac:dyDescent="0.25">
      <c r="A75" s="25"/>
      <c r="B75" s="12" t="str">
        <f>CONCATENATE("     ","Telephone/Data Lines                              ")</f>
        <v xml:space="preserve">     Telephone/Data Lines                              </v>
      </c>
      <c r="C75" s="12"/>
      <c r="D75" s="1">
        <f>SUM(OSRRefD22_13x_0)</f>
        <v>28</v>
      </c>
      <c r="E75" s="1"/>
      <c r="F75" s="5">
        <f t="shared" ref="F75:F78" si="61">IF(D$12=0,0,D75/D$12)</f>
        <v>0</v>
      </c>
      <c r="G75" s="1"/>
      <c r="H75" s="1">
        <f>SUM(OSRRefH22_13x_0)</f>
        <v>75</v>
      </c>
      <c r="I75" s="1"/>
      <c r="J75" s="5">
        <f t="shared" ref="J75:J78" si="62">IF(H$12=0,0,H75/H$12)</f>
        <v>7.2801397786837509E-3</v>
      </c>
      <c r="K75" s="1"/>
      <c r="L75" s="1">
        <f t="shared" ref="L75:L78" si="63">+D75-H75</f>
        <v>-47</v>
      </c>
      <c r="M75" s="1"/>
      <c r="N75" s="5">
        <f t="shared" ref="N75:N78" si="64">IF(H75=0,0,L75/H75)</f>
        <v>-0.62666666666666671</v>
      </c>
      <c r="O75" s="12"/>
      <c r="P75" s="1">
        <f>SUM(OSRRefP22_13x_0)</f>
        <v>656.09</v>
      </c>
      <c r="Q75" s="1"/>
      <c r="R75" s="5">
        <f t="shared" ref="R75:R78" si="65">IF(P$12=0,0,P75/P$12)</f>
        <v>2.3308030891835835E-3</v>
      </c>
      <c r="S75" s="1"/>
      <c r="T75" s="1">
        <f>SUM(OSRRefT22_13x_0)</f>
        <v>900</v>
      </c>
      <c r="U75" s="1"/>
      <c r="V75" s="5">
        <f t="shared" ref="V75:V78" si="66">IF(T$12=0,0,T75/T$12)</f>
        <v>2.6959183795733262E-3</v>
      </c>
      <c r="W75" s="1"/>
      <c r="X75" s="1">
        <f t="shared" ref="X75:X78" si="67">+P75-T75</f>
        <v>-243.90999999999997</v>
      </c>
      <c r="Y75" s="1"/>
      <c r="Z75" s="5">
        <f t="shared" ref="Z75:Z78" si="68">IF(T75=0,0,X75/T75)</f>
        <v>-0.27101111111111109</v>
      </c>
    </row>
    <row r="76" spans="1:26" s="24" customFormat="1" hidden="1" outlineLevel="2" x14ac:dyDescent="0.25">
      <c r="A76" s="27"/>
      <c r="B76" s="11" t="str">
        <f>CONCATENATE("          ", "6309", " - ", "TELEPHONE")</f>
        <v xml:space="preserve">          6309 - TELEPHONE</v>
      </c>
      <c r="C76" s="11"/>
      <c r="D76" s="6">
        <v>28</v>
      </c>
      <c r="E76" s="2"/>
      <c r="F76" s="7">
        <f t="shared" si="61"/>
        <v>0</v>
      </c>
      <c r="G76" s="2"/>
      <c r="H76" s="6">
        <v>75</v>
      </c>
      <c r="I76" s="2"/>
      <c r="J76" s="7">
        <f t="shared" si="62"/>
        <v>7.2801397786837509E-3</v>
      </c>
      <c r="K76" s="2"/>
      <c r="L76" s="6">
        <f t="shared" si="63"/>
        <v>-47</v>
      </c>
      <c r="M76" s="2"/>
      <c r="N76" s="7">
        <f t="shared" si="64"/>
        <v>-0.62666666666666671</v>
      </c>
      <c r="O76" s="11"/>
      <c r="P76" s="6">
        <v>656.09</v>
      </c>
      <c r="Q76" s="2"/>
      <c r="R76" s="7">
        <f t="shared" si="65"/>
        <v>2.3308030891835835E-3</v>
      </c>
      <c r="S76" s="2"/>
      <c r="T76" s="6">
        <v>900</v>
      </c>
      <c r="U76" s="2"/>
      <c r="V76" s="7">
        <f t="shared" si="66"/>
        <v>2.6959183795733262E-3</v>
      </c>
      <c r="W76" s="2"/>
      <c r="X76" s="6">
        <f t="shared" si="67"/>
        <v>-243.90999999999997</v>
      </c>
      <c r="Y76" s="2"/>
      <c r="Z76" s="7">
        <f t="shared" si="68"/>
        <v>-0.27101111111111109</v>
      </c>
    </row>
    <row r="77" spans="1:26" s="26" customFormat="1" outlineLevel="1" collapsed="1" x14ac:dyDescent="0.25">
      <c r="A77" s="25"/>
      <c r="B77" s="12" t="str">
        <f>CONCATENATE("     ","Utilities                                         ")</f>
        <v xml:space="preserve">     Utilities                                         </v>
      </c>
      <c r="C77" s="12"/>
      <c r="D77" s="1">
        <f>SUM(OSRRefD22_14x_0)</f>
        <v>4</v>
      </c>
      <c r="E77" s="1"/>
      <c r="F77" s="5">
        <f t="shared" si="61"/>
        <v>0</v>
      </c>
      <c r="G77" s="1"/>
      <c r="H77" s="1">
        <f>SUM(OSRRefH22_14x_0)</f>
        <v>3.5026686109999998</v>
      </c>
      <c r="I77" s="1"/>
      <c r="J77" s="5">
        <f t="shared" si="62"/>
        <v>3.3999889448650748E-4</v>
      </c>
      <c r="K77" s="1"/>
      <c r="L77" s="1">
        <f t="shared" si="63"/>
        <v>0.49733138900000018</v>
      </c>
      <c r="M77" s="1"/>
      <c r="N77" s="5">
        <f t="shared" si="64"/>
        <v>0.14198642356235172</v>
      </c>
      <c r="O77" s="12"/>
      <c r="P77" s="1">
        <f>SUM(OSRRefP22_14x_0)</f>
        <v>-23.26</v>
      </c>
      <c r="Q77" s="1"/>
      <c r="R77" s="5">
        <f t="shared" si="65"/>
        <v>-8.2632687366687729E-5</v>
      </c>
      <c r="S77" s="1"/>
      <c r="T77" s="1">
        <f>SUM(OSRRefT22_14x_0)</f>
        <v>324.50266861099999</v>
      </c>
      <c r="U77" s="1"/>
      <c r="V77" s="5">
        <f t="shared" si="66"/>
        <v>9.720363428099856E-4</v>
      </c>
      <c r="W77" s="1"/>
      <c r="X77" s="1">
        <f t="shared" si="67"/>
        <v>-347.76266861099998</v>
      </c>
      <c r="Y77" s="1"/>
      <c r="Z77" s="5">
        <f t="shared" si="68"/>
        <v>-1.0716789174633354</v>
      </c>
    </row>
    <row r="78" spans="1:26" s="24" customFormat="1" hidden="1" outlineLevel="2" x14ac:dyDescent="0.25">
      <c r="A78" s="27"/>
      <c r="B78" s="11" t="str">
        <f>CONCATENATE("          ", "6274", " - ", "UTILITIES")</f>
        <v xml:space="preserve">          6274 - UTILITIES</v>
      </c>
      <c r="C78" s="11"/>
      <c r="D78" s="6">
        <v>4</v>
      </c>
      <c r="E78" s="2"/>
      <c r="F78" s="7">
        <f t="shared" si="61"/>
        <v>0</v>
      </c>
      <c r="G78" s="2"/>
      <c r="H78" s="6">
        <v>3.5026686109999998</v>
      </c>
      <c r="I78" s="2"/>
      <c r="J78" s="7">
        <f t="shared" si="62"/>
        <v>3.3999889448650748E-4</v>
      </c>
      <c r="K78" s="2"/>
      <c r="L78" s="6">
        <f t="shared" si="63"/>
        <v>0.49733138900000018</v>
      </c>
      <c r="M78" s="2"/>
      <c r="N78" s="7">
        <f t="shared" si="64"/>
        <v>0.14198642356235172</v>
      </c>
      <c r="O78" s="11"/>
      <c r="P78" s="6">
        <v>-23.26</v>
      </c>
      <c r="Q78" s="2"/>
      <c r="R78" s="7">
        <f t="shared" si="65"/>
        <v>-8.2632687366687729E-5</v>
      </c>
      <c r="S78" s="2"/>
      <c r="T78" s="6">
        <v>324.50266861099999</v>
      </c>
      <c r="U78" s="2"/>
      <c r="V78" s="7">
        <f t="shared" si="66"/>
        <v>9.720363428099856E-4</v>
      </c>
      <c r="W78" s="2"/>
      <c r="X78" s="6">
        <f t="shared" si="67"/>
        <v>-347.76266861099998</v>
      </c>
      <c r="Y78" s="2"/>
      <c r="Z78" s="7">
        <f t="shared" si="68"/>
        <v>-1.0716789174633354</v>
      </c>
    </row>
    <row r="79" spans="1:26" s="60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3">
        <f>IF(D$12=0,0,D80/D$12)</f>
        <v>0</v>
      </c>
      <c r="G80" s="4"/>
      <c r="H80" s="4">
        <f>SUM(0)</f>
        <v>0</v>
      </c>
      <c r="I80" s="4"/>
      <c r="J80" s="13">
        <f>IF(H$12=0,0,H80/H$12)</f>
        <v>0</v>
      </c>
      <c r="K80" s="4"/>
      <c r="L80" s="4">
        <f>+D80-H80</f>
        <v>0</v>
      </c>
      <c r="M80" s="4"/>
      <c r="N80" s="13">
        <f>IF(H80=0,0,L80/H80)</f>
        <v>0</v>
      </c>
      <c r="O80" s="10"/>
      <c r="P80" s="4">
        <f>SUM(0)</f>
        <v>0</v>
      </c>
      <c r="Q80" s="4"/>
      <c r="R80" s="13">
        <f>IF(P$12=0,0,P80/P$12)</f>
        <v>0</v>
      </c>
      <c r="S80" s="4"/>
      <c r="T80" s="4">
        <f>SUM(0)</f>
        <v>0</v>
      </c>
      <c r="U80" s="4"/>
      <c r="V80" s="13">
        <f>IF(T$12=0,0,T80/T$12)</f>
        <v>0</v>
      </c>
      <c r="W80" s="4"/>
      <c r="X80" s="4">
        <f>+P80-T80</f>
        <v>0</v>
      </c>
      <c r="Y80" s="4"/>
      <c r="Z80" s="13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2">
        <f>+D22-D24+D80</f>
        <v>-1337.6100000000001</v>
      </c>
      <c r="E82" s="14"/>
      <c r="F82" s="20">
        <f>IF(D$12=0,0,D82/D$12)</f>
        <v>0</v>
      </c>
      <c r="G82" s="14"/>
      <c r="H82" s="22">
        <f>+H22-H24+H80</f>
        <v>-988.03309206485119</v>
      </c>
      <c r="I82" s="14"/>
      <c r="J82" s="20">
        <f>IF(H$12=0,0,H82/H$12)</f>
        <v>-9.5906920215963032E-2</v>
      </c>
      <c r="K82" s="15"/>
      <c r="L82" s="22">
        <f>+D82-H82</f>
        <v>-349.57690793514894</v>
      </c>
      <c r="M82" s="15"/>
      <c r="N82" s="20">
        <f>IF(H82=0,0,L82/H82)</f>
        <v>0.35381093077012432</v>
      </c>
      <c r="O82" s="28"/>
      <c r="P82" s="22">
        <f>+P22-P24+P80</f>
        <v>12595.920000000042</v>
      </c>
      <c r="Q82" s="14"/>
      <c r="R82" s="20">
        <f>IF(P$12=0,0,P82/P$12)</f>
        <v>4.4747838325701318E-2</v>
      </c>
      <c r="S82" s="14"/>
      <c r="T82" s="22">
        <f>+T22-T24+T80</f>
        <v>14032.627644338936</v>
      </c>
      <c r="U82" s="14"/>
      <c r="V82" s="20">
        <f>IF(T$12=0,0,T82/T$12)</f>
        <v>4.2034243088980093E-2</v>
      </c>
      <c r="W82" s="15"/>
      <c r="X82" s="22">
        <f>+P82-T82</f>
        <v>-1436.7076443388942</v>
      </c>
      <c r="Y82" s="15"/>
      <c r="Z82" s="20">
        <f>IF(T82=0,0,X82/T82)</f>
        <v>-0.1023833654503398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9294.18</v>
      </c>
      <c r="E84" s="4"/>
      <c r="F84" s="13">
        <f>IF(D$12=0,0,D84/D$12)</f>
        <v>0</v>
      </c>
      <c r="G84" s="4"/>
      <c r="H84" s="4">
        <v>5716</v>
      </c>
      <c r="I84" s="4"/>
      <c r="J84" s="13">
        <f>IF(H$12=0,0,H84/H$12)</f>
        <v>0.55484371966608426</v>
      </c>
      <c r="K84" s="4"/>
      <c r="L84" s="4">
        <f>+D84-H84</f>
        <v>3578.1800000000003</v>
      </c>
      <c r="M84" s="4"/>
      <c r="N84" s="13">
        <f>IF(H84=0,0,L84/H84)</f>
        <v>0.62599370188943326</v>
      </c>
      <c r="O84" s="10"/>
      <c r="P84" s="4">
        <v>42627.990000000005</v>
      </c>
      <c r="Q84" s="4"/>
      <c r="R84" s="13">
        <f>IF(P$12=0,0,P84/P$12)</f>
        <v>0.15143875196647855</v>
      </c>
      <c r="S84" s="4"/>
      <c r="T84" s="4">
        <v>43189</v>
      </c>
      <c r="U84" s="4"/>
      <c r="V84" s="13">
        <f>IF(T$12=0,0,T84/T$12)</f>
        <v>0.12937113210599152</v>
      </c>
      <c r="W84" s="4"/>
      <c r="X84" s="4">
        <f>+P84-T84</f>
        <v>-561.00999999999476</v>
      </c>
      <c r="Y84" s="4"/>
      <c r="Z84" s="13">
        <f>IF(T84=0,0,X84/T84)</f>
        <v>-1.2989650142397249E-2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1">
        <f>+D82-D84</f>
        <v>-10631.79</v>
      </c>
      <c r="E86" s="14"/>
      <c r="F86" s="33">
        <f>IF(D$12=0,0,D86/D$12)</f>
        <v>0</v>
      </c>
      <c r="G86" s="14"/>
      <c r="H86" s="31">
        <f>+H82-H84</f>
        <v>-6704.0330920648512</v>
      </c>
      <c r="I86" s="14"/>
      <c r="J86" s="33">
        <f>IF(H$12=0,0,H86/H$12)</f>
        <v>-0.65075063988204729</v>
      </c>
      <c r="K86" s="15"/>
      <c r="L86" s="31">
        <f>D86-H86</f>
        <v>-3927.7569079351497</v>
      </c>
      <c r="M86" s="15"/>
      <c r="N86" s="33">
        <f>IF(H86=0,0,L86/H86)</f>
        <v>0.58587970166558279</v>
      </c>
      <c r="O86" s="28"/>
      <c r="P86" s="31">
        <f>+P82-P84</f>
        <v>-30032.069999999963</v>
      </c>
      <c r="Q86" s="14"/>
      <c r="R86" s="33">
        <f>IF(P$12=0,0,P86/P$12)</f>
        <v>-0.10669091364077724</v>
      </c>
      <c r="S86" s="14"/>
      <c r="T86" s="31">
        <f>+T82-T84</f>
        <v>-29156.372355661064</v>
      </c>
      <c r="U86" s="14"/>
      <c r="V86" s="33">
        <f>IF(T$12=0,0,T86/T$12)</f>
        <v>-8.7336889017011435E-2</v>
      </c>
      <c r="W86" s="15"/>
      <c r="X86" s="31">
        <f>P86-T86</f>
        <v>-875.69764433889941</v>
      </c>
      <c r="Y86" s="15"/>
      <c r="Z86" s="33">
        <f>IF(T86=0,0,X86/T86)</f>
        <v>3.0034519852359894E-2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4">
        <f>SUM(D86:D88)</f>
        <v>-10631.79</v>
      </c>
      <c r="E89" s="14"/>
      <c r="F89" s="35">
        <f>IF(D$12=0,0,D89/D$12)</f>
        <v>0</v>
      </c>
      <c r="G89" s="14"/>
      <c r="H89" s="34">
        <f>SUM(H86:H88)</f>
        <v>-6704.0330920648512</v>
      </c>
      <c r="I89" s="14"/>
      <c r="J89" s="35">
        <f>IF(H$12=0,0,H89/H$12)</f>
        <v>-0.65075063988204729</v>
      </c>
      <c r="K89" s="15"/>
      <c r="L89" s="34">
        <f>+D89-H89</f>
        <v>-3927.7569079351497</v>
      </c>
      <c r="M89" s="15"/>
      <c r="N89" s="35">
        <f>IF(H89=0,0,L89/H89)</f>
        <v>0.58587970166558279</v>
      </c>
      <c r="O89" s="28"/>
      <c r="P89" s="34">
        <f>SUM(P86:P88)</f>
        <v>-30032.069999999963</v>
      </c>
      <c r="Q89" s="14"/>
      <c r="R89" s="35">
        <f>IF(P$12=0,0,P89/P$12)</f>
        <v>-0.10669091364077724</v>
      </c>
      <c r="S89" s="14"/>
      <c r="T89" s="34">
        <f>SUM(T86:T88)</f>
        <v>-29156.372355661064</v>
      </c>
      <c r="U89" s="14"/>
      <c r="V89" s="35">
        <f>IF(T$12=0,0,T89/T$12)</f>
        <v>-8.7336889017011435E-2</v>
      </c>
      <c r="W89" s="15"/>
      <c r="X89" s="34">
        <f>+P89-T89</f>
        <v>-875.69764433889941</v>
      </c>
      <c r="Y89" s="15"/>
      <c r="Z89" s="35">
        <f>IF(T89=0,0,X89/T89)</f>
        <v>3.0034519852359894E-2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5">
        <v>44043.473533796299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62" t="s">
        <v>314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63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","322", " - ", "Beach Hut")</f>
        <v>Department 322 - Beach Hut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33592</v>
      </c>
      <c r="I12" s="4"/>
      <c r="J12" s="13"/>
      <c r="K12" s="4"/>
      <c r="L12" s="4">
        <f t="shared" ref="L12:L15" si="0">+D12-H12</f>
        <v>-33592</v>
      </c>
      <c r="M12" s="4"/>
      <c r="N12" s="13">
        <f t="shared" ref="N12:N15" si="1">IF(H12=0,0,L12/H12)</f>
        <v>-1</v>
      </c>
      <c r="O12" s="10"/>
      <c r="P12" s="4">
        <f>SUM(OSRRefP13x_0)</f>
        <v>689915.82</v>
      </c>
      <c r="Q12" s="4"/>
      <c r="R12" s="13"/>
      <c r="S12" s="4"/>
      <c r="T12" s="4">
        <f>SUM(OSRRefT13x_0)</f>
        <v>1100488</v>
      </c>
      <c r="U12" s="4"/>
      <c r="V12" s="13"/>
      <c r="W12" s="4"/>
      <c r="X12" s="4">
        <f t="shared" ref="X12:X15" si="2">+P12-T12</f>
        <v>-410572.18000000005</v>
      </c>
      <c r="Y12" s="4"/>
      <c r="Z12" s="13">
        <f t="shared" ref="Z12:Z15" si="3">IF(T12=0,0,X12/T12)</f>
        <v>-0.37308192365568732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--85250.21</f>
        <v>85250.21</v>
      </c>
      <c r="Q13" s="2"/>
      <c r="R13" s="19"/>
      <c r="S13" s="2"/>
      <c r="T13" s="2"/>
      <c r="U13" s="2"/>
      <c r="V13" s="19"/>
      <c r="W13" s="2"/>
      <c r="X13" s="2">
        <f t="shared" si="2"/>
        <v>85250.21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33592</v>
      </c>
      <c r="I14" s="2"/>
      <c r="J14" s="19"/>
      <c r="K14" s="2"/>
      <c r="L14" s="2">
        <f t="shared" si="0"/>
        <v>-33592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1100488</v>
      </c>
      <c r="U14" s="2"/>
      <c r="V14" s="19"/>
      <c r="W14" s="2"/>
      <c r="X14" s="2">
        <f t="shared" si="2"/>
        <v>-1100488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--604665.61</f>
        <v>604665.61</v>
      </c>
      <c r="Q15" s="2"/>
      <c r="R15" s="19"/>
      <c r="S15" s="2"/>
      <c r="T15" s="2"/>
      <c r="U15" s="2"/>
      <c r="V15" s="19"/>
      <c r="W15" s="2"/>
      <c r="X15" s="2">
        <f t="shared" si="2"/>
        <v>604665.61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464.90000000000009</v>
      </c>
      <c r="E17" s="4"/>
      <c r="F17" s="13">
        <f t="shared" ref="F17:F20" si="5">IF(D$12=0,0,D17/D$12)</f>
        <v>0</v>
      </c>
      <c r="G17" s="4"/>
      <c r="H17" s="4">
        <f>SUM(OSRRefH16x_0)</f>
        <v>16124</v>
      </c>
      <c r="I17" s="4"/>
      <c r="J17" s="13">
        <f t="shared" ref="J17:J20" si="6">IF(H$12=0,0,H17/H$12)</f>
        <v>0.47999523696118124</v>
      </c>
      <c r="K17" s="4"/>
      <c r="L17" s="4">
        <f t="shared" ref="L17:L20" si="7">+D17-H17</f>
        <v>-15659.1</v>
      </c>
      <c r="M17" s="4"/>
      <c r="N17" s="13">
        <f t="shared" ref="N17:N20" si="8">IF(H17=0,0,L17/H17)</f>
        <v>-0.9711672041677003</v>
      </c>
      <c r="O17" s="10"/>
      <c r="P17" s="4">
        <f>SUM(OSRRefP16x_0)</f>
        <v>393681.72000000003</v>
      </c>
      <c r="Q17" s="4"/>
      <c r="R17" s="13">
        <f t="shared" ref="R17:R20" si="9">IF(P$12=0,0,P17/P$12)</f>
        <v>0.57062283337697639</v>
      </c>
      <c r="S17" s="4"/>
      <c r="T17" s="4">
        <f>SUM(OSRRefT16x_0)</f>
        <v>528235</v>
      </c>
      <c r="U17" s="4"/>
      <c r="V17" s="13">
        <f t="shared" ref="V17:V20" si="10">IF(T$12=0,0,T17/T$12)</f>
        <v>0.48000069060271444</v>
      </c>
      <c r="W17" s="4"/>
      <c r="X17" s="4">
        <f t="shared" ref="X17:X20" si="11">+P17-T17</f>
        <v>-134553.27999999997</v>
      </c>
      <c r="Y17" s="4"/>
      <c r="Z17" s="13">
        <f t="shared" ref="Z17:Z20" si="12">IF(T17=0,0,X17/T17)</f>
        <v>-0.25472238681647369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16124</v>
      </c>
      <c r="I18" s="2"/>
      <c r="J18" s="19">
        <f t="shared" si="6"/>
        <v>0.47999523696118124</v>
      </c>
      <c r="K18" s="2"/>
      <c r="L18" s="2">
        <f t="shared" si="7"/>
        <v>-16124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528235</v>
      </c>
      <c r="U18" s="2"/>
      <c r="V18" s="19">
        <f t="shared" si="10"/>
        <v>0.48000069060271444</v>
      </c>
      <c r="W18" s="2"/>
      <c r="X18" s="2">
        <f t="shared" si="11"/>
        <v>-528235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-1040.0999999999999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-1040.0999999999999</v>
      </c>
      <c r="M19" s="2"/>
      <c r="N19" s="19">
        <f t="shared" si="8"/>
        <v>0</v>
      </c>
      <c r="O19" s="11"/>
      <c r="P19" s="2">
        <v>366024.14</v>
      </c>
      <c r="Q19" s="2"/>
      <c r="R19" s="19">
        <f t="shared" si="9"/>
        <v>0.53053449332412761</v>
      </c>
      <c r="S19" s="2"/>
      <c r="T19" s="2"/>
      <c r="U19" s="2"/>
      <c r="V19" s="19">
        <f t="shared" si="10"/>
        <v>0</v>
      </c>
      <c r="W19" s="2"/>
      <c r="X19" s="2">
        <f t="shared" si="11"/>
        <v>366024.14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1505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1505</v>
      </c>
      <c r="M20" s="2"/>
      <c r="N20" s="19">
        <f t="shared" si="8"/>
        <v>0</v>
      </c>
      <c r="O20" s="11"/>
      <c r="P20" s="2">
        <v>27657.58</v>
      </c>
      <c r="Q20" s="2"/>
      <c r="R20" s="19">
        <f t="shared" si="9"/>
        <v>4.0088340052848774E-2</v>
      </c>
      <c r="S20" s="2"/>
      <c r="T20" s="2"/>
      <c r="U20" s="2"/>
      <c r="V20" s="19">
        <f t="shared" si="10"/>
        <v>0</v>
      </c>
      <c r="W20" s="2"/>
      <c r="X20" s="2">
        <f t="shared" si="11"/>
        <v>27657.58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-464.90000000000009</v>
      </c>
      <c r="E22" s="14"/>
      <c r="F22" s="20">
        <f>IF(D$12=0,0,D22/D$12)</f>
        <v>0</v>
      </c>
      <c r="G22" s="14"/>
      <c r="H22" s="22">
        <f>H12-H17</f>
        <v>17468</v>
      </c>
      <c r="I22" s="14"/>
      <c r="J22" s="20">
        <f>IF(H$12=0,0,H22/H$12)</f>
        <v>0.52000476303881882</v>
      </c>
      <c r="K22" s="15"/>
      <c r="L22" s="22">
        <f>+D22-H22</f>
        <v>-17932.900000000001</v>
      </c>
      <c r="M22" s="15"/>
      <c r="N22" s="20">
        <f>IF(H22=0,0,L22/H22)</f>
        <v>-1.026614380581635</v>
      </c>
      <c r="O22" s="28"/>
      <c r="P22" s="22">
        <f>P12-P17</f>
        <v>296234.09999999992</v>
      </c>
      <c r="Q22" s="14"/>
      <c r="R22" s="20">
        <f>IF(P$12=0,0,P22/P$12)</f>
        <v>0.42937716662302355</v>
      </c>
      <c r="S22" s="14"/>
      <c r="T22" s="22">
        <f>T12-T17</f>
        <v>572253</v>
      </c>
      <c r="U22" s="14"/>
      <c r="V22" s="20">
        <f>IF(T$12=0,0,T22/T$12)</f>
        <v>0.51999930939728556</v>
      </c>
      <c r="W22" s="15"/>
      <c r="X22" s="22">
        <f>+P22-T22</f>
        <v>-276018.90000000008</v>
      </c>
      <c r="Y22" s="15"/>
      <c r="Z22" s="20">
        <f>IF(T22=0,0,X22/T22)</f>
        <v>-0.48233718302918477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11266.779999999999</v>
      </c>
      <c r="E24" s="21"/>
      <c r="F24" s="32">
        <f t="shared" ref="F24:F34" si="13">IF(D$12=0,0,D24/D$12)</f>
        <v>0</v>
      </c>
      <c r="G24" s="21"/>
      <c r="H24" s="21">
        <f>SUM(OSRRefH22x_0)</f>
        <v>14781.70194792923</v>
      </c>
      <c r="I24" s="21"/>
      <c r="J24" s="32">
        <f t="shared" ref="J24:J34" si="14">IF(H$12=0,0,H24/H$12)</f>
        <v>0.44003637615888397</v>
      </c>
      <c r="K24" s="4"/>
      <c r="L24" s="21">
        <f t="shared" ref="L24:L34" si="15">+D24-H24</f>
        <v>-3514.9219479292315</v>
      </c>
      <c r="M24" s="4"/>
      <c r="N24" s="32">
        <f t="shared" ref="N24:N34" si="16">IF(H24=0,0,L24/H24)</f>
        <v>-0.23778871745020114</v>
      </c>
      <c r="O24" s="10"/>
      <c r="P24" s="21">
        <f>SUM(OSRRefP22x_0)</f>
        <v>290422.59000000003</v>
      </c>
      <c r="Q24" s="21"/>
      <c r="R24" s="32">
        <f t="shared" ref="R24:R34" si="17">IF(P$12=0,0,P24/P$12)</f>
        <v>0.42095366069443085</v>
      </c>
      <c r="S24" s="21"/>
      <c r="T24" s="21">
        <f>SUM(OSRRefT22x_0)</f>
        <v>346832.24137314002</v>
      </c>
      <c r="U24" s="21"/>
      <c r="V24" s="32">
        <f t="shared" ref="V24:V34" si="18">IF(T$12=0,0,T24/T$12)</f>
        <v>0.31516222019062456</v>
      </c>
      <c r="W24" s="4"/>
      <c r="X24" s="21">
        <f t="shared" ref="X24:X34" si="19">+P24-T24</f>
        <v>-56409.65137313999</v>
      </c>
      <c r="Y24" s="4"/>
      <c r="Z24" s="32">
        <f t="shared" ref="Z24:Z34" si="20">IF(T24=0,0,X24/T24)</f>
        <v>-0.16264246700309382</v>
      </c>
    </row>
    <row r="25" spans="1:26" s="26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1385.73</v>
      </c>
      <c r="E25" s="1"/>
      <c r="F25" s="5">
        <f t="shared" si="13"/>
        <v>0</v>
      </c>
      <c r="G25" s="1"/>
      <c r="H25" s="1">
        <f>SUM(OSRRefH22_0x_0)</f>
        <v>2135.9843171599996</v>
      </c>
      <c r="I25" s="1"/>
      <c r="J25" s="5">
        <f t="shared" si="14"/>
        <v>6.3586101368182893E-2</v>
      </c>
      <c r="K25" s="1"/>
      <c r="L25" s="1">
        <f t="shared" si="15"/>
        <v>-750.25431715999957</v>
      </c>
      <c r="M25" s="1"/>
      <c r="N25" s="5">
        <f t="shared" si="16"/>
        <v>-0.35124523674290653</v>
      </c>
      <c r="O25" s="12"/>
      <c r="P25" s="1">
        <f>SUM(OSRRefP22_0x_0)</f>
        <v>27043.710000000003</v>
      </c>
      <c r="Q25" s="1"/>
      <c r="R25" s="5">
        <f t="shared" si="17"/>
        <v>3.9198564833605357E-2</v>
      </c>
      <c r="S25" s="1"/>
      <c r="T25" s="1">
        <f>SUM(OSRRefT22_0x_0)</f>
        <v>29573.591773140004</v>
      </c>
      <c r="U25" s="1"/>
      <c r="V25" s="5">
        <f t="shared" si="18"/>
        <v>2.687316151847181E-2</v>
      </c>
      <c r="W25" s="1"/>
      <c r="X25" s="1">
        <f t="shared" si="19"/>
        <v>-2529.8817731400013</v>
      </c>
      <c r="Y25" s="1"/>
      <c r="Z25" s="5">
        <f t="shared" si="20"/>
        <v>-8.5545299757527171E-2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318.24</v>
      </c>
      <c r="E26" s="2"/>
      <c r="F26" s="7">
        <f t="shared" si="13"/>
        <v>0</v>
      </c>
      <c r="G26" s="2"/>
      <c r="H26" s="6">
        <v>616.35446472923093</v>
      </c>
      <c r="I26" s="2"/>
      <c r="J26" s="7">
        <f t="shared" si="14"/>
        <v>1.8348251510158099E-2</v>
      </c>
      <c r="K26" s="2"/>
      <c r="L26" s="6">
        <f t="shared" si="15"/>
        <v>-298.11446472923092</v>
      </c>
      <c r="M26" s="2"/>
      <c r="N26" s="7">
        <f t="shared" si="16"/>
        <v>-0.48367373287414217</v>
      </c>
      <c r="O26" s="11"/>
      <c r="P26" s="6">
        <v>5804.54</v>
      </c>
      <c r="Q26" s="2"/>
      <c r="R26" s="7">
        <f t="shared" si="17"/>
        <v>8.413403246790312E-3</v>
      </c>
      <c r="S26" s="2"/>
      <c r="T26" s="6">
        <v>4687.3842863400041</v>
      </c>
      <c r="U26" s="2"/>
      <c r="V26" s="7">
        <f t="shared" si="18"/>
        <v>4.2593688312276045E-3</v>
      </c>
      <c r="W26" s="2"/>
      <c r="X26" s="6">
        <f t="shared" si="19"/>
        <v>1117.1557136599959</v>
      </c>
      <c r="Y26" s="2"/>
      <c r="Z26" s="7">
        <f t="shared" si="20"/>
        <v>0.23833243562206238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79.040000000000006</v>
      </c>
      <c r="E27" s="2"/>
      <c r="F27" s="7">
        <f t="shared" si="13"/>
        <v>0</v>
      </c>
      <c r="G27" s="2"/>
      <c r="H27" s="6">
        <v>153.021492615385</v>
      </c>
      <c r="I27" s="2"/>
      <c r="J27" s="7">
        <f t="shared" si="14"/>
        <v>4.5552956839540661E-3</v>
      </c>
      <c r="K27" s="2"/>
      <c r="L27" s="6">
        <f t="shared" si="15"/>
        <v>-73.981492615384994</v>
      </c>
      <c r="M27" s="2"/>
      <c r="N27" s="7">
        <f t="shared" si="16"/>
        <v>-0.48347125198507435</v>
      </c>
      <c r="O27" s="11"/>
      <c r="P27" s="6">
        <v>3114.05</v>
      </c>
      <c r="Q27" s="2"/>
      <c r="R27" s="7">
        <f t="shared" si="17"/>
        <v>4.5136666093553279E-3</v>
      </c>
      <c r="S27" s="2"/>
      <c r="T27" s="6">
        <v>4174.9154670000034</v>
      </c>
      <c r="U27" s="2"/>
      <c r="V27" s="7">
        <f t="shared" si="18"/>
        <v>3.7936946763617628E-3</v>
      </c>
      <c r="W27" s="2"/>
      <c r="X27" s="6">
        <f t="shared" si="19"/>
        <v>-1060.8654670000033</v>
      </c>
      <c r="Y27" s="2"/>
      <c r="Z27" s="7">
        <f t="shared" si="20"/>
        <v>-0.25410465801893622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683.68</v>
      </c>
      <c r="E28" s="2"/>
      <c r="F28" s="7">
        <f t="shared" si="13"/>
        <v>0</v>
      </c>
      <c r="G28" s="2"/>
      <c r="H28" s="6">
        <v>663</v>
      </c>
      <c r="I28" s="2"/>
      <c r="J28" s="7">
        <f t="shared" si="14"/>
        <v>1.9736842105263157E-2</v>
      </c>
      <c r="K28" s="2"/>
      <c r="L28" s="6">
        <f t="shared" si="15"/>
        <v>20.67999999999995</v>
      </c>
      <c r="M28" s="2"/>
      <c r="N28" s="7">
        <f t="shared" si="16"/>
        <v>3.1191553544494644E-2</v>
      </c>
      <c r="O28" s="11"/>
      <c r="P28" s="6">
        <v>7948.92</v>
      </c>
      <c r="Q28" s="2"/>
      <c r="R28" s="7">
        <f t="shared" si="17"/>
        <v>1.152157954574806E-2</v>
      </c>
      <c r="S28" s="2"/>
      <c r="T28" s="6">
        <v>7956</v>
      </c>
      <c r="U28" s="2"/>
      <c r="V28" s="7">
        <f t="shared" si="18"/>
        <v>7.2295199947659582E-3</v>
      </c>
      <c r="W28" s="2"/>
      <c r="X28" s="6">
        <f t="shared" si="19"/>
        <v>-7.0799999999999272</v>
      </c>
      <c r="Y28" s="2"/>
      <c r="Z28" s="7">
        <f t="shared" si="20"/>
        <v>-8.8989441930617487E-4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-460.49</v>
      </c>
      <c r="E29" s="2"/>
      <c r="F29" s="7">
        <f t="shared" si="13"/>
        <v>0</v>
      </c>
      <c r="G29" s="2"/>
      <c r="H29" s="6">
        <v>20.939783200000001</v>
      </c>
      <c r="I29" s="2"/>
      <c r="J29" s="7">
        <f t="shared" si="14"/>
        <v>6.2335625148844968E-4</v>
      </c>
      <c r="K29" s="2"/>
      <c r="L29" s="6">
        <f t="shared" si="15"/>
        <v>-481.42978320000003</v>
      </c>
      <c r="M29" s="2"/>
      <c r="N29" s="7">
        <f t="shared" si="16"/>
        <v>-22.991154139551931</v>
      </c>
      <c r="O29" s="11"/>
      <c r="P29" s="6">
        <v>0</v>
      </c>
      <c r="Q29" s="2"/>
      <c r="R29" s="7">
        <f t="shared" si="17"/>
        <v>0</v>
      </c>
      <c r="S29" s="2"/>
      <c r="T29" s="6">
        <v>571.30422180000005</v>
      </c>
      <c r="U29" s="2"/>
      <c r="V29" s="7">
        <f t="shared" si="18"/>
        <v>5.1913716623897769E-4</v>
      </c>
      <c r="W29" s="2"/>
      <c r="X29" s="6">
        <f t="shared" si="19"/>
        <v>-571.30422180000005</v>
      </c>
      <c r="Y29" s="2"/>
      <c r="Z29" s="7">
        <f t="shared" si="20"/>
        <v>-1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290.58</v>
      </c>
      <c r="E30" s="2"/>
      <c r="F30" s="7">
        <f t="shared" si="13"/>
        <v>0</v>
      </c>
      <c r="G30" s="2"/>
      <c r="H30" s="6">
        <v>357.837638153846</v>
      </c>
      <c r="I30" s="2"/>
      <c r="J30" s="7">
        <f t="shared" si="14"/>
        <v>1.0652466008390272E-2</v>
      </c>
      <c r="K30" s="2"/>
      <c r="L30" s="6">
        <f t="shared" si="15"/>
        <v>-67.257638153846017</v>
      </c>
      <c r="M30" s="2"/>
      <c r="N30" s="7">
        <f t="shared" si="16"/>
        <v>-0.18795574020899886</v>
      </c>
      <c r="O30" s="11"/>
      <c r="P30" s="6">
        <v>3352.8</v>
      </c>
      <c r="Q30" s="2"/>
      <c r="R30" s="7">
        <f t="shared" si="17"/>
        <v>4.8597233210277745E-3</v>
      </c>
      <c r="S30" s="2"/>
      <c r="T30" s="6">
        <v>4536.9186479999998</v>
      </c>
      <c r="U30" s="2"/>
      <c r="V30" s="7">
        <f t="shared" si="18"/>
        <v>4.1226425440350099E-3</v>
      </c>
      <c r="W30" s="2"/>
      <c r="X30" s="6">
        <f t="shared" si="19"/>
        <v>-1184.1186479999997</v>
      </c>
      <c r="Y30" s="2"/>
      <c r="Z30" s="7">
        <f t="shared" si="20"/>
        <v>-0.26099622670598077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239.72</v>
      </c>
      <c r="E32" s="2"/>
      <c r="F32" s="7">
        <f t="shared" si="13"/>
        <v>0</v>
      </c>
      <c r="G32" s="2"/>
      <c r="H32" s="6">
        <v>124.827083076923</v>
      </c>
      <c r="I32" s="2"/>
      <c r="J32" s="7">
        <f t="shared" si="14"/>
        <v>3.7159765145547453E-3</v>
      </c>
      <c r="K32" s="2"/>
      <c r="L32" s="6">
        <f t="shared" si="15"/>
        <v>114.892916923077</v>
      </c>
      <c r="M32" s="2"/>
      <c r="N32" s="7">
        <f t="shared" si="16"/>
        <v>0.92041658020860573</v>
      </c>
      <c r="O32" s="11"/>
      <c r="P32" s="6">
        <v>2996.5</v>
      </c>
      <c r="Q32" s="2"/>
      <c r="R32" s="7">
        <f t="shared" si="17"/>
        <v>4.3432835037758664E-3</v>
      </c>
      <c r="S32" s="2"/>
      <c r="T32" s="6">
        <v>1582.6460400000001</v>
      </c>
      <c r="U32" s="2"/>
      <c r="V32" s="7">
        <f t="shared" si="18"/>
        <v>1.4381311200122129E-3</v>
      </c>
      <c r="W32" s="2"/>
      <c r="X32" s="6">
        <f t="shared" si="19"/>
        <v>1413.8539599999999</v>
      </c>
      <c r="Y32" s="2"/>
      <c r="Z32" s="7">
        <f t="shared" si="20"/>
        <v>0.89334818036760755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191.88</v>
      </c>
      <c r="E33" s="2"/>
      <c r="F33" s="7">
        <f t="shared" si="13"/>
        <v>0</v>
      </c>
      <c r="G33" s="2"/>
      <c r="H33" s="6">
        <v>200.00385538461498</v>
      </c>
      <c r="I33" s="2"/>
      <c r="J33" s="7">
        <f t="shared" si="14"/>
        <v>5.9539132943741066E-3</v>
      </c>
      <c r="K33" s="2"/>
      <c r="L33" s="6">
        <f t="shared" si="15"/>
        <v>-8.1238553846149841</v>
      </c>
      <c r="M33" s="2"/>
      <c r="N33" s="7">
        <f t="shared" si="16"/>
        <v>-4.0618493923492142E-2</v>
      </c>
      <c r="O33" s="11"/>
      <c r="P33" s="6">
        <v>2398.5</v>
      </c>
      <c r="Q33" s="2"/>
      <c r="R33" s="7">
        <f t="shared" si="17"/>
        <v>3.4765110908748262E-3</v>
      </c>
      <c r="S33" s="2"/>
      <c r="T33" s="6">
        <v>6064.4231099999961</v>
      </c>
      <c r="U33" s="2"/>
      <c r="V33" s="7">
        <f t="shared" si="18"/>
        <v>5.5106671858302829E-3</v>
      </c>
      <c r="W33" s="2"/>
      <c r="X33" s="6">
        <f t="shared" si="19"/>
        <v>-3665.9231099999961</v>
      </c>
      <c r="Y33" s="2"/>
      <c r="Z33" s="7">
        <f t="shared" si="20"/>
        <v>-0.60449659324644289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43.08</v>
      </c>
      <c r="E34" s="2"/>
      <c r="F34" s="7">
        <f t="shared" si="13"/>
        <v>0</v>
      </c>
      <c r="G34" s="2"/>
      <c r="H34" s="6"/>
      <c r="I34" s="2"/>
      <c r="J34" s="7">
        <f t="shared" si="14"/>
        <v>0</v>
      </c>
      <c r="K34" s="2"/>
      <c r="L34" s="6">
        <f t="shared" si="15"/>
        <v>43.08</v>
      </c>
      <c r="M34" s="2"/>
      <c r="N34" s="7">
        <f t="shared" si="16"/>
        <v>0</v>
      </c>
      <c r="O34" s="11"/>
      <c r="P34" s="6">
        <v>1428.4</v>
      </c>
      <c r="Q34" s="2"/>
      <c r="R34" s="7">
        <f t="shared" si="17"/>
        <v>2.0703975160331883E-3</v>
      </c>
      <c r="S34" s="2"/>
      <c r="T34" s="6"/>
      <c r="U34" s="2"/>
      <c r="V34" s="7">
        <f t="shared" si="18"/>
        <v>0</v>
      </c>
      <c r="W34" s="2"/>
      <c r="X34" s="6">
        <f t="shared" si="19"/>
        <v>1428.4</v>
      </c>
      <c r="Y34" s="2"/>
      <c r="Z34" s="7">
        <f t="shared" si="20"/>
        <v>0</v>
      </c>
    </row>
    <row r="35" spans="1:26" s="26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4160</v>
      </c>
      <c r="E35" s="1"/>
      <c r="F35" s="5">
        <f t="shared" ref="F35:F45" si="21">IF(D$12=0,0,D35/D$12)</f>
        <v>0</v>
      </c>
      <c r="G35" s="1"/>
      <c r="H35" s="1">
        <f>SUM(OSRRefH22_1x_0)</f>
        <v>7845.7176307692298</v>
      </c>
      <c r="I35" s="1"/>
      <c r="J35" s="5">
        <f t="shared" ref="J35:J45" si="22">IF(H$12=0,0,H35/H$12)</f>
        <v>0.23355911022770987</v>
      </c>
      <c r="K35" s="1"/>
      <c r="L35" s="1">
        <f t="shared" ref="L35:L45" si="23">+D35-H35</f>
        <v>-3685.7176307692298</v>
      </c>
      <c r="M35" s="1"/>
      <c r="N35" s="5">
        <f t="shared" ref="N35:N45" si="24">IF(H35=0,0,L35/H35)</f>
        <v>-0.46977444310698002</v>
      </c>
      <c r="O35" s="12"/>
      <c r="P35" s="1">
        <f>SUM(OSRRefP22_1x_0)</f>
        <v>168753.33999999997</v>
      </c>
      <c r="Q35" s="1"/>
      <c r="R35" s="5">
        <f t="shared" ref="R35:R45" si="25">IF(P$12=0,0,P35/P$12)</f>
        <v>0.24459989915871183</v>
      </c>
      <c r="S35" s="1"/>
      <c r="T35" s="1">
        <f>SUM(OSRRefT22_1x_0)</f>
        <v>217094.6496</v>
      </c>
      <c r="U35" s="1"/>
      <c r="V35" s="5">
        <f t="shared" ref="V35:V45" si="26">IF(T$12=0,0,T35/T$12)</f>
        <v>0.19727125566112488</v>
      </c>
      <c r="W35" s="1"/>
      <c r="X35" s="1">
        <f t="shared" ref="X35:X45" si="27">+P35-T35</f>
        <v>-48341.309600000037</v>
      </c>
      <c r="Y35" s="1"/>
      <c r="Z35" s="5">
        <f t="shared" ref="Z35:Z45" si="28">IF(T35=0,0,X35/T35)</f>
        <v>-0.22267388758345538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3952.8576307692297</v>
      </c>
      <c r="I36" s="2"/>
      <c r="J36" s="7">
        <f t="shared" si="22"/>
        <v>0.11767258962756696</v>
      </c>
      <c r="K36" s="2"/>
      <c r="L36" s="6">
        <f t="shared" si="23"/>
        <v>-3952.8576307692297</v>
      </c>
      <c r="M36" s="2"/>
      <c r="N36" s="7">
        <f t="shared" si="24"/>
        <v>-1</v>
      </c>
      <c r="O36" s="11"/>
      <c r="P36" s="6"/>
      <c r="Q36" s="2"/>
      <c r="R36" s="7">
        <f t="shared" si="25"/>
        <v>0</v>
      </c>
      <c r="S36" s="2"/>
      <c r="T36" s="6">
        <v>50117.124600000003</v>
      </c>
      <c r="U36" s="2"/>
      <c r="V36" s="7">
        <f t="shared" si="26"/>
        <v>4.554081880038674E-2</v>
      </c>
      <c r="W36" s="2"/>
      <c r="X36" s="6">
        <f t="shared" si="27"/>
        <v>-50117.124600000003</v>
      </c>
      <c r="Y36" s="2"/>
      <c r="Z36" s="7">
        <f t="shared" si="28"/>
        <v>-1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4160</v>
      </c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4160</v>
      </c>
      <c r="M37" s="2"/>
      <c r="N37" s="7">
        <f t="shared" si="24"/>
        <v>0</v>
      </c>
      <c r="O37" s="11"/>
      <c r="P37" s="6">
        <v>46312</v>
      </c>
      <c r="Q37" s="2"/>
      <c r="R37" s="7">
        <f t="shared" si="25"/>
        <v>6.7127030077379593E-2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46312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9018.76</v>
      </c>
      <c r="Q40" s="2"/>
      <c r="R40" s="7">
        <f t="shared" si="25"/>
        <v>1.3072261482567541E-2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9018.76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1199.43</v>
      </c>
      <c r="Q41" s="2"/>
      <c r="R41" s="7">
        <f t="shared" si="25"/>
        <v>1.7385164468326007E-3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1199.43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3892.86</v>
      </c>
      <c r="I42" s="2"/>
      <c r="J42" s="7">
        <f t="shared" si="22"/>
        <v>0.1158865206001429</v>
      </c>
      <c r="K42" s="2"/>
      <c r="L42" s="6">
        <f t="shared" si="23"/>
        <v>-3892.86</v>
      </c>
      <c r="M42" s="2"/>
      <c r="N42" s="7">
        <f t="shared" si="24"/>
        <v>-1</v>
      </c>
      <c r="O42" s="11"/>
      <c r="P42" s="6">
        <v>109564.34999999999</v>
      </c>
      <c r="Q42" s="2"/>
      <c r="R42" s="7">
        <f t="shared" si="25"/>
        <v>0.15880828765457211</v>
      </c>
      <c r="S42" s="2"/>
      <c r="T42" s="6">
        <v>8494.11</v>
      </c>
      <c r="U42" s="2"/>
      <c r="V42" s="7">
        <f t="shared" si="26"/>
        <v>7.7184939772173807E-3</v>
      </c>
      <c r="W42" s="2"/>
      <c r="X42" s="6">
        <f t="shared" si="27"/>
        <v>101070.23999999999</v>
      </c>
      <c r="Y42" s="2"/>
      <c r="Z42" s="7">
        <f t="shared" si="28"/>
        <v>11.898861681800682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2658.8</v>
      </c>
      <c r="Q43" s="2"/>
      <c r="R43" s="7">
        <f t="shared" si="25"/>
        <v>3.8538034973600119E-3</v>
      </c>
      <c r="S43" s="2"/>
      <c r="T43" s="6">
        <v>158483.41500000001</v>
      </c>
      <c r="U43" s="2"/>
      <c r="V43" s="7">
        <f t="shared" si="26"/>
        <v>0.14401194288352076</v>
      </c>
      <c r="W43" s="2"/>
      <c r="X43" s="6">
        <f t="shared" si="27"/>
        <v>-155824.61500000002</v>
      </c>
      <c r="Y43" s="2"/>
      <c r="Z43" s="7">
        <f t="shared" si="28"/>
        <v>-0.98322348114469904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6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54" si="29">IF(D$12=0,0,D46/D$12)</f>
        <v>0</v>
      </c>
      <c r="G46" s="1"/>
      <c r="H46" s="1">
        <f>SUM(OSRRefH22_2x_0)</f>
        <v>0</v>
      </c>
      <c r="I46" s="1"/>
      <c r="J46" s="5">
        <f t="shared" ref="J46:J54" si="30">IF(H$12=0,0,H46/H$12)</f>
        <v>0</v>
      </c>
      <c r="K46" s="1"/>
      <c r="L46" s="1">
        <f t="shared" ref="L46:L54" si="31">+D46-H46</f>
        <v>0</v>
      </c>
      <c r="M46" s="1"/>
      <c r="N46" s="5">
        <f t="shared" ref="N46:N54" si="32">IF(H46=0,0,L46/H46)</f>
        <v>0</v>
      </c>
      <c r="O46" s="12"/>
      <c r="P46" s="1">
        <f>SUM(OSRRefP22_2x_0)</f>
        <v>262.2</v>
      </c>
      <c r="Q46" s="1"/>
      <c r="R46" s="5">
        <f t="shared" ref="R46:R54" si="33">IF(P$12=0,0,P46/P$12)</f>
        <v>3.8004636565661012E-4</v>
      </c>
      <c r="S46" s="1"/>
      <c r="T46" s="1">
        <f>SUM(OSRRefT22_2x_0)</f>
        <v>0</v>
      </c>
      <c r="U46" s="1"/>
      <c r="V46" s="5">
        <f t="shared" ref="V46:V54" si="34">IF(T$12=0,0,T46/T$12)</f>
        <v>0</v>
      </c>
      <c r="W46" s="1"/>
      <c r="X46" s="1">
        <f t="shared" ref="X46:X54" si="35">+P46-T46</f>
        <v>262.2</v>
      </c>
      <c r="Y46" s="1"/>
      <c r="Z46" s="5">
        <f t="shared" ref="Z46:Z54" si="36">IF(T46=0,0,X46/T46)</f>
        <v>0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0</v>
      </c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>
        <v>262.2</v>
      </c>
      <c r="Q47" s="2"/>
      <c r="R47" s="7">
        <f t="shared" si="33"/>
        <v>3.8004636565661012E-4</v>
      </c>
      <c r="S47" s="2"/>
      <c r="T47" s="6">
        <v>0</v>
      </c>
      <c r="U47" s="2"/>
      <c r="V47" s="7">
        <f t="shared" si="34"/>
        <v>0</v>
      </c>
      <c r="W47" s="2"/>
      <c r="X47" s="6">
        <f t="shared" si="35"/>
        <v>262.2</v>
      </c>
      <c r="Y47" s="2"/>
      <c r="Z47" s="7">
        <f t="shared" si="36"/>
        <v>0</v>
      </c>
    </row>
    <row r="48" spans="1:26" s="26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2"/>
      <c r="P48" s="1">
        <f>SUM(OSRRefP22_3x_0)</f>
        <v>-53.23</v>
      </c>
      <c r="Q48" s="1"/>
      <c r="R48" s="5">
        <f t="shared" si="33"/>
        <v>-7.7154340365756508E-5</v>
      </c>
      <c r="S48" s="1"/>
      <c r="T48" s="1">
        <f>SUM(OSRRefT22_3x_0)</f>
        <v>0</v>
      </c>
      <c r="U48" s="1"/>
      <c r="V48" s="5">
        <f t="shared" si="34"/>
        <v>0</v>
      </c>
      <c r="W48" s="1"/>
      <c r="X48" s="1">
        <f t="shared" si="35"/>
        <v>-53.23</v>
      </c>
      <c r="Y48" s="1"/>
      <c r="Z48" s="5">
        <f t="shared" si="36"/>
        <v>0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0</v>
      </c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-53.23</v>
      </c>
      <c r="Q49" s="2"/>
      <c r="R49" s="7">
        <f t="shared" si="33"/>
        <v>-7.7154340365756508E-5</v>
      </c>
      <c r="S49" s="2"/>
      <c r="T49" s="6">
        <v>0</v>
      </c>
      <c r="U49" s="2"/>
      <c r="V49" s="7">
        <f t="shared" si="34"/>
        <v>0</v>
      </c>
      <c r="W49" s="2"/>
      <c r="X49" s="6">
        <f t="shared" si="35"/>
        <v>-53.23</v>
      </c>
      <c r="Y49" s="2"/>
      <c r="Z49" s="7">
        <f t="shared" si="36"/>
        <v>0</v>
      </c>
    </row>
    <row r="50" spans="1:26" s="26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870</v>
      </c>
      <c r="I50" s="1"/>
      <c r="J50" s="5">
        <f t="shared" si="30"/>
        <v>2.5899023577042154E-2</v>
      </c>
      <c r="K50" s="1"/>
      <c r="L50" s="1">
        <f t="shared" si="31"/>
        <v>-870</v>
      </c>
      <c r="M50" s="1"/>
      <c r="N50" s="5">
        <f t="shared" si="32"/>
        <v>-1</v>
      </c>
      <c r="O50" s="12"/>
      <c r="P50" s="1">
        <f>SUM(OSRRefP22_4x_0)</f>
        <v>25665.63</v>
      </c>
      <c r="Q50" s="1"/>
      <c r="R50" s="5">
        <f t="shared" si="33"/>
        <v>3.7201103752049061E-2</v>
      </c>
      <c r="S50" s="1"/>
      <c r="T50" s="1">
        <f>SUM(OSRRefT22_4x_0)</f>
        <v>33225</v>
      </c>
      <c r="U50" s="1"/>
      <c r="V50" s="5">
        <f t="shared" si="34"/>
        <v>3.019115156185256E-2</v>
      </c>
      <c r="W50" s="1"/>
      <c r="X50" s="1">
        <f t="shared" si="35"/>
        <v>-7559.369999999999</v>
      </c>
      <c r="Y50" s="1"/>
      <c r="Z50" s="5">
        <f t="shared" si="36"/>
        <v>-0.22752054176072231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/>
      <c r="E51" s="2"/>
      <c r="F51" s="7">
        <f t="shared" si="29"/>
        <v>0</v>
      </c>
      <c r="G51" s="2"/>
      <c r="H51" s="6">
        <v>870</v>
      </c>
      <c r="I51" s="2"/>
      <c r="J51" s="7">
        <f t="shared" si="30"/>
        <v>2.5899023577042154E-2</v>
      </c>
      <c r="K51" s="2"/>
      <c r="L51" s="6">
        <f t="shared" si="31"/>
        <v>-870</v>
      </c>
      <c r="M51" s="2"/>
      <c r="N51" s="7">
        <f t="shared" si="32"/>
        <v>-1</v>
      </c>
      <c r="O51" s="11"/>
      <c r="P51" s="6">
        <v>25665.63</v>
      </c>
      <c r="Q51" s="2"/>
      <c r="R51" s="7">
        <f t="shared" si="33"/>
        <v>3.7201103752049061E-2</v>
      </c>
      <c r="S51" s="2"/>
      <c r="T51" s="6">
        <v>33225</v>
      </c>
      <c r="U51" s="2"/>
      <c r="V51" s="7">
        <f t="shared" si="34"/>
        <v>3.019115156185256E-2</v>
      </c>
      <c r="W51" s="2"/>
      <c r="X51" s="6">
        <f t="shared" si="35"/>
        <v>-7559.369999999999</v>
      </c>
      <c r="Y51" s="2"/>
      <c r="Z51" s="7">
        <f t="shared" si="36"/>
        <v>-0.22752054176072231</v>
      </c>
    </row>
    <row r="52" spans="1:26" s="26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2017.37</v>
      </c>
      <c r="E52" s="1"/>
      <c r="F52" s="5">
        <f t="shared" si="29"/>
        <v>0</v>
      </c>
      <c r="G52" s="1"/>
      <c r="H52" s="1">
        <f>SUM(OSRRefH22_5x_0)</f>
        <v>1941</v>
      </c>
      <c r="I52" s="1"/>
      <c r="J52" s="5">
        <f t="shared" si="30"/>
        <v>5.7781614670159562E-2</v>
      </c>
      <c r="K52" s="1"/>
      <c r="L52" s="1">
        <f t="shared" si="31"/>
        <v>76.369999999999891</v>
      </c>
      <c r="M52" s="1"/>
      <c r="N52" s="5">
        <f t="shared" si="32"/>
        <v>3.9345698093766042E-2</v>
      </c>
      <c r="O52" s="12"/>
      <c r="P52" s="1">
        <f>SUM(OSRRefP22_5x_0)</f>
        <v>22930.030000000002</v>
      </c>
      <c r="Q52" s="1"/>
      <c r="R52" s="5">
        <f t="shared" si="33"/>
        <v>3.3235982326075671E-2</v>
      </c>
      <c r="S52" s="1"/>
      <c r="T52" s="1">
        <f>SUM(OSRRefT22_5x_0)</f>
        <v>23043</v>
      </c>
      <c r="U52" s="1"/>
      <c r="V52" s="5">
        <f t="shared" si="34"/>
        <v>2.0938892564026142E-2</v>
      </c>
      <c r="W52" s="1"/>
      <c r="X52" s="1">
        <f t="shared" si="35"/>
        <v>-112.96999999999753</v>
      </c>
      <c r="Y52" s="1"/>
      <c r="Z52" s="5">
        <f t="shared" si="36"/>
        <v>-4.9025734496375263E-3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2017.37</v>
      </c>
      <c r="E53" s="2"/>
      <c r="F53" s="7">
        <f t="shared" si="29"/>
        <v>0</v>
      </c>
      <c r="G53" s="2"/>
      <c r="H53" s="6">
        <v>1858</v>
      </c>
      <c r="I53" s="2"/>
      <c r="J53" s="7">
        <f t="shared" si="30"/>
        <v>5.5310788282924503E-2</v>
      </c>
      <c r="K53" s="2"/>
      <c r="L53" s="6">
        <f t="shared" si="31"/>
        <v>159.36999999999989</v>
      </c>
      <c r="M53" s="2"/>
      <c r="N53" s="7">
        <f t="shared" si="32"/>
        <v>8.5775026910656554E-2</v>
      </c>
      <c r="O53" s="11"/>
      <c r="P53" s="6">
        <v>22930.030000000002</v>
      </c>
      <c r="Q53" s="2"/>
      <c r="R53" s="7">
        <f t="shared" si="33"/>
        <v>3.3235982326075671E-2</v>
      </c>
      <c r="S53" s="2"/>
      <c r="T53" s="6">
        <v>22296</v>
      </c>
      <c r="U53" s="2"/>
      <c r="V53" s="7">
        <f t="shared" si="34"/>
        <v>2.0260102790761916E-2</v>
      </c>
      <c r="W53" s="2"/>
      <c r="X53" s="6">
        <f t="shared" si="35"/>
        <v>634.03000000000247</v>
      </c>
      <c r="Y53" s="2"/>
      <c r="Z53" s="7">
        <f t="shared" si="36"/>
        <v>2.8436939361320527E-2</v>
      </c>
    </row>
    <row r="54" spans="1:26" s="24" customFormat="1" hidden="1" outlineLevel="2" x14ac:dyDescent="0.25">
      <c r="A54" s="27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9"/>
        <v>0</v>
      </c>
      <c r="G54" s="2"/>
      <c r="H54" s="6">
        <v>83</v>
      </c>
      <c r="I54" s="2"/>
      <c r="J54" s="7">
        <f t="shared" si="30"/>
        <v>2.4708263872350558E-3</v>
      </c>
      <c r="K54" s="2"/>
      <c r="L54" s="6">
        <f t="shared" si="31"/>
        <v>-83</v>
      </c>
      <c r="M54" s="2"/>
      <c r="N54" s="7">
        <f t="shared" si="32"/>
        <v>-1</v>
      </c>
      <c r="O54" s="11"/>
      <c r="P54" s="6"/>
      <c r="Q54" s="2"/>
      <c r="R54" s="7">
        <f t="shared" si="33"/>
        <v>0</v>
      </c>
      <c r="S54" s="2"/>
      <c r="T54" s="6">
        <v>747</v>
      </c>
      <c r="U54" s="2"/>
      <c r="V54" s="7">
        <f t="shared" si="34"/>
        <v>6.7878977326422463E-4</v>
      </c>
      <c r="W54" s="2"/>
      <c r="X54" s="6">
        <f t="shared" si="35"/>
        <v>-747</v>
      </c>
      <c r="Y54" s="2"/>
      <c r="Z54" s="7">
        <f t="shared" si="36"/>
        <v>-1</v>
      </c>
    </row>
    <row r="55" spans="1:26" s="26" customFormat="1" outlineLevel="1" collapsed="1" x14ac:dyDescent="0.25">
      <c r="A55" s="25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SUM(OSRRefD22_6x_0)</f>
        <v>0</v>
      </c>
      <c r="E55" s="1"/>
      <c r="F55" s="5">
        <f t="shared" ref="F55:F64" si="37">IF(D$12=0,0,D55/D$12)</f>
        <v>0</v>
      </c>
      <c r="G55" s="1"/>
      <c r="H55" s="1">
        <f>SUM(OSRRefH22_6x_0)</f>
        <v>0</v>
      </c>
      <c r="I55" s="1"/>
      <c r="J55" s="5">
        <f t="shared" ref="J55:J64" si="38">IF(H$12=0,0,H55/H$12)</f>
        <v>0</v>
      </c>
      <c r="K55" s="1"/>
      <c r="L55" s="1">
        <f t="shared" ref="L55:L64" si="39">+D55-H55</f>
        <v>0</v>
      </c>
      <c r="M55" s="1"/>
      <c r="N55" s="5">
        <f t="shared" ref="N55:N64" si="40">IF(H55=0,0,L55/H55)</f>
        <v>0</v>
      </c>
      <c r="O55" s="12"/>
      <c r="P55" s="1">
        <f>SUM(OSRRefP22_6x_0)</f>
        <v>0</v>
      </c>
      <c r="Q55" s="1"/>
      <c r="R55" s="5">
        <f t="shared" ref="R55:R64" si="41">IF(P$12=0,0,P55/P$12)</f>
        <v>0</v>
      </c>
      <c r="S55" s="1"/>
      <c r="T55" s="1">
        <f>SUM(OSRRefT22_6x_0)</f>
        <v>0</v>
      </c>
      <c r="U55" s="1"/>
      <c r="V55" s="5">
        <f t="shared" ref="V55:V64" si="42">IF(T$12=0,0,T55/T$12)</f>
        <v>0</v>
      </c>
      <c r="W55" s="1"/>
      <c r="X55" s="1">
        <f t="shared" ref="X55:X64" si="43">+P55-T55</f>
        <v>0</v>
      </c>
      <c r="Y55" s="1"/>
      <c r="Z55" s="5">
        <f t="shared" ref="Z55:Z64" si="44">IF(T55=0,0,X55/T55)</f>
        <v>0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7"/>
        <v>0</v>
      </c>
      <c r="G56" s="2"/>
      <c r="H56" s="6">
        <v>0</v>
      </c>
      <c r="I56" s="2"/>
      <c r="J56" s="7">
        <f t="shared" si="38"/>
        <v>0</v>
      </c>
      <c r="K56" s="2"/>
      <c r="L56" s="6">
        <f t="shared" si="39"/>
        <v>0</v>
      </c>
      <c r="M56" s="2"/>
      <c r="N56" s="7">
        <f t="shared" si="40"/>
        <v>0</v>
      </c>
      <c r="O56" s="11"/>
      <c r="P56" s="6"/>
      <c r="Q56" s="2"/>
      <c r="R56" s="7">
        <f t="shared" si="41"/>
        <v>0</v>
      </c>
      <c r="S56" s="2"/>
      <c r="T56" s="6">
        <v>0</v>
      </c>
      <c r="U56" s="2"/>
      <c r="V56" s="7">
        <f t="shared" si="42"/>
        <v>0</v>
      </c>
      <c r="W56" s="2"/>
      <c r="X56" s="6">
        <f t="shared" si="43"/>
        <v>0</v>
      </c>
      <c r="Y56" s="2"/>
      <c r="Z56" s="7">
        <f t="shared" si="44"/>
        <v>0</v>
      </c>
    </row>
    <row r="57" spans="1:26" s="26" customFormat="1" outlineLevel="1" collapsed="1" x14ac:dyDescent="0.25">
      <c r="A57" s="25"/>
      <c r="B57" s="12" t="str">
        <f>CONCATENATE("     ","General                                           ")</f>
        <v xml:space="preserve">     General                                           </v>
      </c>
      <c r="C57" s="12"/>
      <c r="D57" s="1">
        <f>SUM(OSRRefD22_7x_0)</f>
        <v>0</v>
      </c>
      <c r="E57" s="1"/>
      <c r="F57" s="5">
        <f t="shared" si="37"/>
        <v>0</v>
      </c>
      <c r="G57" s="1"/>
      <c r="H57" s="1">
        <f>SUM(OSRRefH22_7x_0)</f>
        <v>79</v>
      </c>
      <c r="I57" s="1"/>
      <c r="J57" s="5">
        <f t="shared" si="38"/>
        <v>2.3517504167658966E-3</v>
      </c>
      <c r="K57" s="1"/>
      <c r="L57" s="1">
        <f t="shared" si="39"/>
        <v>-79</v>
      </c>
      <c r="M57" s="1"/>
      <c r="N57" s="5">
        <f t="shared" si="40"/>
        <v>-1</v>
      </c>
      <c r="O57" s="12"/>
      <c r="P57" s="1">
        <f>SUM(OSRRefP22_7x_0)</f>
        <v>1231.03</v>
      </c>
      <c r="Q57" s="1"/>
      <c r="R57" s="5">
        <f t="shared" si="41"/>
        <v>1.7843191362099801E-3</v>
      </c>
      <c r="S57" s="1"/>
      <c r="T57" s="1">
        <f>SUM(OSRRefT22_7x_0)</f>
        <v>3022</v>
      </c>
      <c r="U57" s="1"/>
      <c r="V57" s="5">
        <f t="shared" si="42"/>
        <v>2.7460544776499152E-3</v>
      </c>
      <c r="W57" s="1"/>
      <c r="X57" s="1">
        <f t="shared" si="43"/>
        <v>-1790.97</v>
      </c>
      <c r="Y57" s="1"/>
      <c r="Z57" s="5">
        <f t="shared" si="44"/>
        <v>-0.59264394440767709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7"/>
        <v>0</v>
      </c>
      <c r="G58" s="2"/>
      <c r="H58" s="6">
        <v>79</v>
      </c>
      <c r="I58" s="2"/>
      <c r="J58" s="7">
        <f t="shared" si="38"/>
        <v>2.3517504167658966E-3</v>
      </c>
      <c r="K58" s="2"/>
      <c r="L58" s="6">
        <f t="shared" si="39"/>
        <v>-79</v>
      </c>
      <c r="M58" s="2"/>
      <c r="N58" s="7">
        <f t="shared" si="40"/>
        <v>-1</v>
      </c>
      <c r="O58" s="11"/>
      <c r="P58" s="6">
        <v>1231.03</v>
      </c>
      <c r="Q58" s="2"/>
      <c r="R58" s="7">
        <f t="shared" si="41"/>
        <v>1.7843191362099801E-3</v>
      </c>
      <c r="S58" s="2"/>
      <c r="T58" s="6">
        <v>3022</v>
      </c>
      <c r="U58" s="2"/>
      <c r="V58" s="7">
        <f t="shared" si="42"/>
        <v>2.7460544776499152E-3</v>
      </c>
      <c r="W58" s="2"/>
      <c r="X58" s="6">
        <f t="shared" si="43"/>
        <v>-1790.97</v>
      </c>
      <c r="Y58" s="2"/>
      <c r="Z58" s="7">
        <f t="shared" si="44"/>
        <v>-0.59264394440767709</v>
      </c>
    </row>
    <row r="59" spans="1:26" s="26" customFormat="1" outlineLevel="1" collapsed="1" x14ac:dyDescent="0.25">
      <c r="A59" s="25"/>
      <c r="B59" s="12" t="str">
        <f>CONCATENATE("     ","Rent                                              ")</f>
        <v xml:space="preserve">     Rent                                              </v>
      </c>
      <c r="C59" s="12"/>
      <c r="D59" s="1">
        <f>SUM(OSRRefD22_8x_0)</f>
        <v>1150</v>
      </c>
      <c r="E59" s="1"/>
      <c r="F59" s="5">
        <f t="shared" si="37"/>
        <v>0</v>
      </c>
      <c r="G59" s="1"/>
      <c r="H59" s="1">
        <f>SUM(OSRRefH22_8x_0)</f>
        <v>1150</v>
      </c>
      <c r="I59" s="1"/>
      <c r="J59" s="5">
        <f t="shared" si="38"/>
        <v>3.4234341509883304E-2</v>
      </c>
      <c r="K59" s="1"/>
      <c r="L59" s="1">
        <f t="shared" si="39"/>
        <v>0</v>
      </c>
      <c r="M59" s="1"/>
      <c r="N59" s="5">
        <f t="shared" si="40"/>
        <v>0</v>
      </c>
      <c r="O59" s="12"/>
      <c r="P59" s="1">
        <f>SUM(OSRRefP22_8x_0)</f>
        <v>13800</v>
      </c>
      <c r="Q59" s="1"/>
      <c r="R59" s="5">
        <f t="shared" si="41"/>
        <v>2.0002440297716324E-2</v>
      </c>
      <c r="S59" s="1"/>
      <c r="T59" s="1">
        <f>SUM(OSRRefT22_8x_0)</f>
        <v>13800</v>
      </c>
      <c r="U59" s="1"/>
      <c r="V59" s="5">
        <f t="shared" si="42"/>
        <v>1.2539891393636277E-2</v>
      </c>
      <c r="W59" s="1"/>
      <c r="X59" s="1">
        <f t="shared" si="43"/>
        <v>0</v>
      </c>
      <c r="Y59" s="1"/>
      <c r="Z59" s="5">
        <f t="shared" si="44"/>
        <v>0</v>
      </c>
    </row>
    <row r="60" spans="1:26" s="24" customFormat="1" hidden="1" outlineLevel="2" x14ac:dyDescent="0.25">
      <c r="A60" s="27"/>
      <c r="B60" s="11" t="str">
        <f>CONCATENATE("          ", "6273", " - ", "RENT")</f>
        <v xml:space="preserve">          6273 - RENT</v>
      </c>
      <c r="C60" s="11"/>
      <c r="D60" s="6">
        <v>1150</v>
      </c>
      <c r="E60" s="2"/>
      <c r="F60" s="7">
        <f t="shared" si="37"/>
        <v>0</v>
      </c>
      <c r="G60" s="2"/>
      <c r="H60" s="6">
        <v>1150</v>
      </c>
      <c r="I60" s="2"/>
      <c r="J60" s="7">
        <f t="shared" si="38"/>
        <v>3.4234341509883304E-2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13800</v>
      </c>
      <c r="Q60" s="2"/>
      <c r="R60" s="7">
        <f t="shared" si="41"/>
        <v>2.0002440297716324E-2</v>
      </c>
      <c r="S60" s="2"/>
      <c r="T60" s="6">
        <v>13800</v>
      </c>
      <c r="U60" s="2"/>
      <c r="V60" s="7">
        <f t="shared" si="42"/>
        <v>1.2539891393636277E-2</v>
      </c>
      <c r="W60" s="2"/>
      <c r="X60" s="6">
        <f t="shared" si="43"/>
        <v>0</v>
      </c>
      <c r="Y60" s="2"/>
      <c r="Z60" s="7">
        <f t="shared" si="44"/>
        <v>0</v>
      </c>
    </row>
    <row r="61" spans="1:26" s="26" customFormat="1" outlineLevel="1" collapsed="1" x14ac:dyDescent="0.25">
      <c r="A61" s="25"/>
      <c r="B61" s="12" t="str">
        <f>CONCATENATE("     ","Repair and Maintenance                            ")</f>
        <v xml:space="preserve">     Repair and Maintenance                            </v>
      </c>
      <c r="C61" s="12"/>
      <c r="D61" s="1">
        <f>SUM(OSRRefD22_9x_0)</f>
        <v>72.349999999999994</v>
      </c>
      <c r="E61" s="1"/>
      <c r="F61" s="5">
        <f t="shared" si="37"/>
        <v>0</v>
      </c>
      <c r="G61" s="1"/>
      <c r="H61" s="1">
        <f>SUM(OSRRefH22_9x_0)</f>
        <v>132</v>
      </c>
      <c r="I61" s="1"/>
      <c r="J61" s="5">
        <f t="shared" si="38"/>
        <v>3.9295070254822574E-3</v>
      </c>
      <c r="K61" s="1"/>
      <c r="L61" s="1">
        <f t="shared" si="39"/>
        <v>-59.650000000000006</v>
      </c>
      <c r="M61" s="1"/>
      <c r="N61" s="5">
        <f t="shared" si="40"/>
        <v>-0.45189393939393946</v>
      </c>
      <c r="O61" s="12"/>
      <c r="P61" s="1">
        <f>SUM(OSRRefP22_9x_0)</f>
        <v>6568.8899999999994</v>
      </c>
      <c r="Q61" s="1"/>
      <c r="R61" s="5">
        <f t="shared" si="41"/>
        <v>9.5212920324105627E-3</v>
      </c>
      <c r="S61" s="1"/>
      <c r="T61" s="1">
        <f>SUM(OSRRefT22_9x_0)</f>
        <v>5034</v>
      </c>
      <c r="U61" s="1"/>
      <c r="V61" s="5">
        <f t="shared" si="42"/>
        <v>4.5743342953307991E-3</v>
      </c>
      <c r="W61" s="1"/>
      <c r="X61" s="1">
        <f t="shared" si="43"/>
        <v>1534.8899999999994</v>
      </c>
      <c r="Y61" s="1"/>
      <c r="Z61" s="5">
        <f t="shared" si="44"/>
        <v>0.3049046483909415</v>
      </c>
    </row>
    <row r="62" spans="1:26" s="24" customFormat="1" hidden="1" outlineLevel="2" x14ac:dyDescent="0.25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/>
      <c r="Q62" s="2"/>
      <c r="R62" s="7">
        <f t="shared" si="41"/>
        <v>0</v>
      </c>
      <c r="S62" s="2"/>
      <c r="T62" s="6">
        <v>0</v>
      </c>
      <c r="U62" s="2"/>
      <c r="V62" s="7">
        <f t="shared" si="42"/>
        <v>0</v>
      </c>
      <c r="W62" s="2"/>
      <c r="X62" s="6">
        <f t="shared" si="43"/>
        <v>0</v>
      </c>
      <c r="Y62" s="2"/>
      <c r="Z62" s="7">
        <f t="shared" si="44"/>
        <v>0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6">
        <v>72.349999999999994</v>
      </c>
      <c r="E63" s="2"/>
      <c r="F63" s="7">
        <f t="shared" si="37"/>
        <v>0</v>
      </c>
      <c r="G63" s="2"/>
      <c r="H63" s="6"/>
      <c r="I63" s="2"/>
      <c r="J63" s="7">
        <f t="shared" si="38"/>
        <v>0</v>
      </c>
      <c r="K63" s="2"/>
      <c r="L63" s="6">
        <f t="shared" si="39"/>
        <v>72.349999999999994</v>
      </c>
      <c r="M63" s="2"/>
      <c r="N63" s="7">
        <f t="shared" si="40"/>
        <v>0</v>
      </c>
      <c r="O63" s="11"/>
      <c r="P63" s="6">
        <v>284.52999999999997</v>
      </c>
      <c r="Q63" s="2"/>
      <c r="R63" s="7">
        <f t="shared" si="41"/>
        <v>4.124126331818279E-4</v>
      </c>
      <c r="S63" s="2"/>
      <c r="T63" s="6"/>
      <c r="U63" s="2"/>
      <c r="V63" s="7">
        <f t="shared" si="42"/>
        <v>0</v>
      </c>
      <c r="W63" s="2"/>
      <c r="X63" s="6">
        <f t="shared" si="43"/>
        <v>284.52999999999997</v>
      </c>
      <c r="Y63" s="2"/>
      <c r="Z63" s="7">
        <f t="shared" si="44"/>
        <v>0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7"/>
        <v>0</v>
      </c>
      <c r="G64" s="2"/>
      <c r="H64" s="6">
        <v>132</v>
      </c>
      <c r="I64" s="2"/>
      <c r="J64" s="7">
        <f t="shared" si="38"/>
        <v>3.9295070254822574E-3</v>
      </c>
      <c r="K64" s="2"/>
      <c r="L64" s="6">
        <f t="shared" si="39"/>
        <v>-132</v>
      </c>
      <c r="M64" s="2"/>
      <c r="N64" s="7">
        <f t="shared" si="40"/>
        <v>-1</v>
      </c>
      <c r="O64" s="11"/>
      <c r="P64" s="6">
        <v>6284.36</v>
      </c>
      <c r="Q64" s="2"/>
      <c r="R64" s="7">
        <f t="shared" si="41"/>
        <v>9.1088793992287354E-3</v>
      </c>
      <c r="S64" s="2"/>
      <c r="T64" s="6">
        <v>5034</v>
      </c>
      <c r="U64" s="2"/>
      <c r="V64" s="7">
        <f t="shared" si="42"/>
        <v>4.5743342953307991E-3</v>
      </c>
      <c r="W64" s="2"/>
      <c r="X64" s="6">
        <f t="shared" si="43"/>
        <v>1250.3599999999997</v>
      </c>
      <c r="Y64" s="2"/>
      <c r="Z64" s="7">
        <f t="shared" si="44"/>
        <v>0.24838299562971786</v>
      </c>
    </row>
    <row r="65" spans="1:26" s="26" customFormat="1" outlineLevel="1" collapsed="1" x14ac:dyDescent="0.25">
      <c r="A65" s="25"/>
      <c r="B65" s="12" t="str">
        <f>CONCATENATE("     ","Services                                          ")</f>
        <v xml:space="preserve">     Services                                          </v>
      </c>
      <c r="C65" s="12"/>
      <c r="D65" s="1">
        <f>SUM(OSRRefD22_10x_0)</f>
        <v>2256.23</v>
      </c>
      <c r="E65" s="1"/>
      <c r="F65" s="5">
        <f t="shared" ref="F65:F68" si="45">IF(D$12=0,0,D65/D$12)</f>
        <v>0</v>
      </c>
      <c r="G65" s="1"/>
      <c r="H65" s="1">
        <f>SUM(OSRRefH22_10x_0)</f>
        <v>0</v>
      </c>
      <c r="I65" s="1"/>
      <c r="J65" s="5">
        <f t="shared" ref="J65:J68" si="46">IF(H$12=0,0,H65/H$12)</f>
        <v>0</v>
      </c>
      <c r="K65" s="1"/>
      <c r="L65" s="1">
        <f t="shared" ref="L65:L68" si="47">+D65-H65</f>
        <v>2256.23</v>
      </c>
      <c r="M65" s="1"/>
      <c r="N65" s="5">
        <f t="shared" ref="N65:N68" si="48">IF(H65=0,0,L65/H65)</f>
        <v>0</v>
      </c>
      <c r="O65" s="12"/>
      <c r="P65" s="1">
        <f>SUM(OSRRefP22_10x_0)</f>
        <v>6676.4</v>
      </c>
      <c r="Q65" s="1"/>
      <c r="R65" s="5">
        <f t="shared" ref="R65:R68" si="49">IF(P$12=0,0,P65/P$12)</f>
        <v>9.6771226379473371E-3</v>
      </c>
      <c r="S65" s="1"/>
      <c r="T65" s="1">
        <f>SUM(OSRRefT22_10x_0)</f>
        <v>0</v>
      </c>
      <c r="U65" s="1"/>
      <c r="V65" s="5">
        <f t="shared" ref="V65:V68" si="50">IF(T$12=0,0,T65/T$12)</f>
        <v>0</v>
      </c>
      <c r="W65" s="1"/>
      <c r="X65" s="1">
        <f t="shared" ref="X65:X68" si="51">+P65-T65</f>
        <v>6676.4</v>
      </c>
      <c r="Y65" s="1"/>
      <c r="Z65" s="5">
        <f t="shared" ref="Z65:Z68" si="52">IF(T65=0,0,X65/T65)</f>
        <v>0</v>
      </c>
    </row>
    <row r="66" spans="1:26" s="24" customFormat="1" hidden="1" outlineLevel="2" x14ac:dyDescent="0.25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>
        <v>1051.29</v>
      </c>
      <c r="Q66" s="2"/>
      <c r="R66" s="7">
        <f t="shared" si="49"/>
        <v>1.5237945985932023E-3</v>
      </c>
      <c r="S66" s="2"/>
      <c r="T66" s="6"/>
      <c r="U66" s="2"/>
      <c r="V66" s="7">
        <f t="shared" si="50"/>
        <v>0</v>
      </c>
      <c r="W66" s="2"/>
      <c r="X66" s="6">
        <f t="shared" si="51"/>
        <v>1051.29</v>
      </c>
      <c r="Y66" s="2"/>
      <c r="Z66" s="7">
        <f t="shared" si="52"/>
        <v>0</v>
      </c>
    </row>
    <row r="67" spans="1:26" s="24" customFormat="1" hidden="1" outlineLevel="2" x14ac:dyDescent="0.25">
      <c r="A67" s="27"/>
      <c r="B67" s="11" t="str">
        <f>CONCATENATE("          ", "6285", " - ", "JANITORIAL SERVICES")</f>
        <v xml:space="preserve">          6285 - JANITORIAL SERVICES</v>
      </c>
      <c r="C67" s="11"/>
      <c r="D67" s="6">
        <v>2256.23</v>
      </c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2256.23</v>
      </c>
      <c r="M67" s="2"/>
      <c r="N67" s="7">
        <f t="shared" si="48"/>
        <v>0</v>
      </c>
      <c r="O67" s="11"/>
      <c r="P67" s="6">
        <v>3015.51</v>
      </c>
      <c r="Q67" s="2"/>
      <c r="R67" s="7">
        <f t="shared" si="49"/>
        <v>4.3708375900120694E-3</v>
      </c>
      <c r="S67" s="2"/>
      <c r="T67" s="6"/>
      <c r="U67" s="2"/>
      <c r="V67" s="7">
        <f t="shared" si="50"/>
        <v>0</v>
      </c>
      <c r="W67" s="2"/>
      <c r="X67" s="6">
        <f t="shared" si="51"/>
        <v>3015.51</v>
      </c>
      <c r="Y67" s="2"/>
      <c r="Z67" s="7">
        <f t="shared" si="52"/>
        <v>0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>
        <v>2609.6</v>
      </c>
      <c r="Q68" s="2"/>
      <c r="R68" s="7">
        <f t="shared" si="49"/>
        <v>3.7824904493420661E-3</v>
      </c>
      <c r="S68" s="2"/>
      <c r="T68" s="6"/>
      <c r="U68" s="2"/>
      <c r="V68" s="7">
        <f t="shared" si="50"/>
        <v>0</v>
      </c>
      <c r="W68" s="2"/>
      <c r="X68" s="6">
        <f t="shared" si="51"/>
        <v>2609.6</v>
      </c>
      <c r="Y68" s="2"/>
      <c r="Z68" s="7">
        <f t="shared" si="52"/>
        <v>0</v>
      </c>
    </row>
    <row r="69" spans="1:26" s="26" customFormat="1" outlineLevel="1" collapsed="1" x14ac:dyDescent="0.25">
      <c r="A69" s="25"/>
      <c r="B69" s="12" t="str">
        <f>CONCATENATE("     ","Supplies                                          ")</f>
        <v xml:space="preserve">     Supplies                                          </v>
      </c>
      <c r="C69" s="12"/>
      <c r="D69" s="1">
        <f>SUM(OSRRefD22_11x_0)</f>
        <v>-29.9</v>
      </c>
      <c r="E69" s="1"/>
      <c r="F69" s="5">
        <f t="shared" ref="F69:F76" si="53">IF(D$12=0,0,D69/D$12)</f>
        <v>0</v>
      </c>
      <c r="G69" s="1"/>
      <c r="H69" s="1">
        <f>SUM(OSRRefH22_11x_0)</f>
        <v>553</v>
      </c>
      <c r="I69" s="1"/>
      <c r="J69" s="5">
        <f t="shared" ref="J69:J76" si="54">IF(H$12=0,0,H69/H$12)</f>
        <v>1.6462252917361277E-2</v>
      </c>
      <c r="K69" s="1"/>
      <c r="L69" s="1">
        <f t="shared" ref="L69:L76" si="55">+D69-H69</f>
        <v>-582.9</v>
      </c>
      <c r="M69" s="1"/>
      <c r="N69" s="5">
        <f t="shared" ref="N69:N76" si="56">IF(H69=0,0,L69/H69)</f>
        <v>-1.0540687160940325</v>
      </c>
      <c r="O69" s="12"/>
      <c r="P69" s="1">
        <f>SUM(OSRRefP22_11x_0)</f>
        <v>14308.310000000001</v>
      </c>
      <c r="Q69" s="1"/>
      <c r="R69" s="5">
        <f t="shared" ref="R69:R76" si="57">IF(P$12=0,0,P69/P$12)</f>
        <v>2.0739211343204163E-2</v>
      </c>
      <c r="S69" s="1"/>
      <c r="T69" s="1">
        <f>SUM(OSRRefT22_11x_0)</f>
        <v>21140</v>
      </c>
      <c r="U69" s="1"/>
      <c r="V69" s="5">
        <f t="shared" ref="V69:V76" si="58">IF(T$12=0,0,T69/T$12)</f>
        <v>1.9209659714599342E-2</v>
      </c>
      <c r="W69" s="1"/>
      <c r="X69" s="1">
        <f t="shared" ref="X69:X76" si="59">+P69-T69</f>
        <v>-6831.6899999999987</v>
      </c>
      <c r="Y69" s="1"/>
      <c r="Z69" s="5">
        <f t="shared" ref="Z69:Z76" si="60">IF(T69=0,0,X69/T69)</f>
        <v>-0.32316414380321656</v>
      </c>
    </row>
    <row r="70" spans="1:26" s="24" customFormat="1" hidden="1" outlineLevel="2" x14ac:dyDescent="0.25">
      <c r="A70" s="27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354.71</v>
      </c>
      <c r="Q70" s="2"/>
      <c r="R70" s="7">
        <f t="shared" si="57"/>
        <v>5.1413518826108379E-4</v>
      </c>
      <c r="S70" s="2"/>
      <c r="T70" s="6"/>
      <c r="U70" s="2"/>
      <c r="V70" s="7">
        <f t="shared" si="58"/>
        <v>0</v>
      </c>
      <c r="W70" s="2"/>
      <c r="X70" s="6">
        <f t="shared" si="59"/>
        <v>354.71</v>
      </c>
      <c r="Y70" s="2"/>
      <c r="Z70" s="7">
        <f t="shared" si="60"/>
        <v>0</v>
      </c>
    </row>
    <row r="71" spans="1:26" s="24" customFormat="1" hidden="1" outlineLevel="2" x14ac:dyDescent="0.25">
      <c r="A71" s="27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53"/>
        <v>0</v>
      </c>
      <c r="G71" s="2"/>
      <c r="H71" s="6"/>
      <c r="I71" s="2"/>
      <c r="J71" s="7">
        <f t="shared" si="54"/>
        <v>0</v>
      </c>
      <c r="K71" s="2"/>
      <c r="L71" s="6">
        <f t="shared" si="55"/>
        <v>0</v>
      </c>
      <c r="M71" s="2"/>
      <c r="N71" s="7">
        <f t="shared" si="56"/>
        <v>0</v>
      </c>
      <c r="O71" s="11"/>
      <c r="P71" s="6">
        <v>1709.62</v>
      </c>
      <c r="Q71" s="2"/>
      <c r="R71" s="7">
        <f t="shared" si="57"/>
        <v>2.4780124624479549E-3</v>
      </c>
      <c r="S71" s="2"/>
      <c r="T71" s="6"/>
      <c r="U71" s="2"/>
      <c r="V71" s="7">
        <f t="shared" si="58"/>
        <v>0</v>
      </c>
      <c r="W71" s="2"/>
      <c r="X71" s="6">
        <f t="shared" si="59"/>
        <v>1709.62</v>
      </c>
      <c r="Y71" s="2"/>
      <c r="Z71" s="7">
        <f t="shared" si="60"/>
        <v>0</v>
      </c>
    </row>
    <row r="72" spans="1:26" s="24" customFormat="1" hidden="1" outlineLevel="2" x14ac:dyDescent="0.25">
      <c r="A72" s="27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53"/>
        <v>0</v>
      </c>
      <c r="G72" s="2"/>
      <c r="H72" s="6"/>
      <c r="I72" s="2"/>
      <c r="J72" s="7">
        <f t="shared" si="54"/>
        <v>0</v>
      </c>
      <c r="K72" s="2"/>
      <c r="L72" s="6">
        <f t="shared" si="55"/>
        <v>0</v>
      </c>
      <c r="M72" s="2"/>
      <c r="N72" s="7">
        <f t="shared" si="56"/>
        <v>0</v>
      </c>
      <c r="O72" s="11"/>
      <c r="P72" s="6">
        <v>441.2</v>
      </c>
      <c r="Q72" s="2"/>
      <c r="R72" s="7">
        <f t="shared" si="57"/>
        <v>6.3949830864872762E-4</v>
      </c>
      <c r="S72" s="2"/>
      <c r="T72" s="6"/>
      <c r="U72" s="2"/>
      <c r="V72" s="7">
        <f t="shared" si="58"/>
        <v>0</v>
      </c>
      <c r="W72" s="2"/>
      <c r="X72" s="6">
        <f t="shared" si="59"/>
        <v>441.2</v>
      </c>
      <c r="Y72" s="2"/>
      <c r="Z72" s="7">
        <f t="shared" si="60"/>
        <v>0</v>
      </c>
    </row>
    <row r="73" spans="1:26" s="24" customFormat="1" hidden="1" outlineLevel="2" x14ac:dyDescent="0.25">
      <c r="A73" s="27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53"/>
        <v>0</v>
      </c>
      <c r="G73" s="2"/>
      <c r="H73" s="6"/>
      <c r="I73" s="2"/>
      <c r="J73" s="7">
        <f t="shared" si="54"/>
        <v>0</v>
      </c>
      <c r="K73" s="2"/>
      <c r="L73" s="6">
        <f t="shared" si="55"/>
        <v>0</v>
      </c>
      <c r="M73" s="2"/>
      <c r="N73" s="7">
        <f t="shared" si="56"/>
        <v>0</v>
      </c>
      <c r="O73" s="11"/>
      <c r="P73" s="6">
        <v>1564.62</v>
      </c>
      <c r="Q73" s="2"/>
      <c r="R73" s="7">
        <f t="shared" si="57"/>
        <v>2.2678418941023851E-3</v>
      </c>
      <c r="S73" s="2"/>
      <c r="T73" s="6"/>
      <c r="U73" s="2"/>
      <c r="V73" s="7">
        <f t="shared" si="58"/>
        <v>0</v>
      </c>
      <c r="W73" s="2"/>
      <c r="X73" s="6">
        <f t="shared" si="59"/>
        <v>1564.62</v>
      </c>
      <c r="Y73" s="2"/>
      <c r="Z73" s="7">
        <f t="shared" si="60"/>
        <v>0</v>
      </c>
    </row>
    <row r="74" spans="1:26" s="24" customFormat="1" hidden="1" outlineLevel="2" x14ac:dyDescent="0.25">
      <c r="A74" s="27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53"/>
        <v>0</v>
      </c>
      <c r="G74" s="2"/>
      <c r="H74" s="6"/>
      <c r="I74" s="2"/>
      <c r="J74" s="7">
        <f t="shared" si="54"/>
        <v>0</v>
      </c>
      <c r="K74" s="2"/>
      <c r="L74" s="6">
        <f t="shared" si="55"/>
        <v>0</v>
      </c>
      <c r="M74" s="2"/>
      <c r="N74" s="7">
        <f t="shared" si="56"/>
        <v>0</v>
      </c>
      <c r="O74" s="11"/>
      <c r="P74" s="6">
        <v>2823.28</v>
      </c>
      <c r="Q74" s="2"/>
      <c r="R74" s="7">
        <f t="shared" si="57"/>
        <v>4.0922093944736624E-3</v>
      </c>
      <c r="S74" s="2"/>
      <c r="T74" s="6"/>
      <c r="U74" s="2"/>
      <c r="V74" s="7">
        <f t="shared" si="58"/>
        <v>0</v>
      </c>
      <c r="W74" s="2"/>
      <c r="X74" s="6">
        <f t="shared" si="59"/>
        <v>2823.28</v>
      </c>
      <c r="Y74" s="2"/>
      <c r="Z74" s="7">
        <f t="shared" si="60"/>
        <v>0</v>
      </c>
    </row>
    <row r="75" spans="1:26" s="24" customFormat="1" hidden="1" outlineLevel="2" x14ac:dyDescent="0.25">
      <c r="A75" s="27"/>
      <c r="B75" s="11" t="str">
        <f>CONCATENATE("          ", "6247", " - ", "STORE SUPPLIES")</f>
        <v xml:space="preserve">          6247 - STORE SUPPLIES</v>
      </c>
      <c r="C75" s="11"/>
      <c r="D75" s="6">
        <v>-29.9</v>
      </c>
      <c r="E75" s="2"/>
      <c r="F75" s="7">
        <f t="shared" si="53"/>
        <v>0</v>
      </c>
      <c r="G75" s="2"/>
      <c r="H75" s="6">
        <v>553</v>
      </c>
      <c r="I75" s="2"/>
      <c r="J75" s="7">
        <f t="shared" si="54"/>
        <v>1.6462252917361277E-2</v>
      </c>
      <c r="K75" s="2"/>
      <c r="L75" s="6">
        <f t="shared" si="55"/>
        <v>-582.9</v>
      </c>
      <c r="M75" s="2"/>
      <c r="N75" s="7">
        <f t="shared" si="56"/>
        <v>-1.0540687160940325</v>
      </c>
      <c r="O75" s="11"/>
      <c r="P75" s="6">
        <v>7337.29</v>
      </c>
      <c r="Q75" s="2"/>
      <c r="R75" s="7">
        <f t="shared" si="57"/>
        <v>1.0635051099422536E-2</v>
      </c>
      <c r="S75" s="2"/>
      <c r="T75" s="6">
        <v>21140</v>
      </c>
      <c r="U75" s="2"/>
      <c r="V75" s="7">
        <f t="shared" si="58"/>
        <v>1.9209659714599342E-2</v>
      </c>
      <c r="W75" s="2"/>
      <c r="X75" s="6">
        <f t="shared" si="59"/>
        <v>-13802.71</v>
      </c>
      <c r="Y75" s="2"/>
      <c r="Z75" s="7">
        <f t="shared" si="60"/>
        <v>-0.6529191106906338</v>
      </c>
    </row>
    <row r="76" spans="1:26" s="24" customFormat="1" hidden="1" outlineLevel="2" x14ac:dyDescent="0.25">
      <c r="A76" s="27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53"/>
        <v>0</v>
      </c>
      <c r="G76" s="2"/>
      <c r="H76" s="6"/>
      <c r="I76" s="2"/>
      <c r="J76" s="7">
        <f t="shared" si="54"/>
        <v>0</v>
      </c>
      <c r="K76" s="2"/>
      <c r="L76" s="6">
        <f t="shared" si="55"/>
        <v>0</v>
      </c>
      <c r="M76" s="2"/>
      <c r="N76" s="7">
        <f t="shared" si="56"/>
        <v>0</v>
      </c>
      <c r="O76" s="11"/>
      <c r="P76" s="6">
        <v>77.59</v>
      </c>
      <c r="Q76" s="2"/>
      <c r="R76" s="7">
        <f t="shared" si="57"/>
        <v>1.1246299584781229E-4</v>
      </c>
      <c r="S76" s="2"/>
      <c r="T76" s="6"/>
      <c r="U76" s="2"/>
      <c r="V76" s="7">
        <f t="shared" si="58"/>
        <v>0</v>
      </c>
      <c r="W76" s="2"/>
      <c r="X76" s="6">
        <f t="shared" si="59"/>
        <v>77.59</v>
      </c>
      <c r="Y76" s="2"/>
      <c r="Z76" s="7">
        <f t="shared" si="60"/>
        <v>0</v>
      </c>
    </row>
    <row r="77" spans="1:26" s="26" customFormat="1" outlineLevel="1" collapsed="1" x14ac:dyDescent="0.25">
      <c r="A77" s="25"/>
      <c r="B77" s="12" t="str">
        <f>CONCATENATE("     ","Telephone/Data Lines                              ")</f>
        <v xml:space="preserve">     Telephone/Data Lines                              </v>
      </c>
      <c r="C77" s="12"/>
      <c r="D77" s="1">
        <f>SUM(OSRRefD22_12x_0)</f>
        <v>47</v>
      </c>
      <c r="E77" s="1"/>
      <c r="F77" s="5">
        <f t="shared" ref="F77:F82" si="61">IF(D$12=0,0,D77/D$12)</f>
        <v>0</v>
      </c>
      <c r="G77" s="1"/>
      <c r="H77" s="1">
        <f>SUM(OSRRefH22_12x_0)</f>
        <v>75</v>
      </c>
      <c r="I77" s="1"/>
      <c r="J77" s="5">
        <f t="shared" ref="J77:J82" si="62">IF(H$12=0,0,H77/H$12)</f>
        <v>2.2326744462967374E-3</v>
      </c>
      <c r="K77" s="1"/>
      <c r="L77" s="1">
        <f t="shared" ref="L77:L82" si="63">+D77-H77</f>
        <v>-28</v>
      </c>
      <c r="M77" s="1"/>
      <c r="N77" s="5">
        <f t="shared" ref="N77:N82" si="64">IF(H77=0,0,L77/H77)</f>
        <v>-0.37333333333333335</v>
      </c>
      <c r="O77" s="12"/>
      <c r="P77" s="1">
        <f>SUM(OSRRefP22_12x_0)</f>
        <v>737.28</v>
      </c>
      <c r="Q77" s="1"/>
      <c r="R77" s="5">
        <f t="shared" ref="R77:R82" si="65">IF(P$12=0,0,P77/P$12)</f>
        <v>1.0686521146884267E-3</v>
      </c>
      <c r="S77" s="1"/>
      <c r="T77" s="1">
        <f>SUM(OSRRefT22_12x_0)</f>
        <v>900</v>
      </c>
      <c r="U77" s="1"/>
      <c r="V77" s="5">
        <f t="shared" ref="V77:V82" si="66">IF(T$12=0,0,T77/T$12)</f>
        <v>8.1781900393280071E-4</v>
      </c>
      <c r="W77" s="1"/>
      <c r="X77" s="1">
        <f t="shared" ref="X77:X82" si="67">+P77-T77</f>
        <v>-162.72000000000003</v>
      </c>
      <c r="Y77" s="1"/>
      <c r="Z77" s="5">
        <f t="shared" ref="Z77:Z82" si="68">IF(T77=0,0,X77/T77)</f>
        <v>-0.18080000000000004</v>
      </c>
    </row>
    <row r="78" spans="1:26" s="24" customFormat="1" hidden="1" outlineLevel="2" x14ac:dyDescent="0.25">
      <c r="A78" s="27"/>
      <c r="B78" s="11" t="str">
        <f>CONCATENATE("          ", "6309", " - ", "TELEPHONE")</f>
        <v xml:space="preserve">          6309 - TELEPHONE</v>
      </c>
      <c r="C78" s="11"/>
      <c r="D78" s="6">
        <v>47</v>
      </c>
      <c r="E78" s="2"/>
      <c r="F78" s="7">
        <f t="shared" si="61"/>
        <v>0</v>
      </c>
      <c r="G78" s="2"/>
      <c r="H78" s="6">
        <v>75</v>
      </c>
      <c r="I78" s="2"/>
      <c r="J78" s="7">
        <f t="shared" si="62"/>
        <v>2.2326744462967374E-3</v>
      </c>
      <c r="K78" s="2"/>
      <c r="L78" s="6">
        <f t="shared" si="63"/>
        <v>-28</v>
      </c>
      <c r="M78" s="2"/>
      <c r="N78" s="7">
        <f t="shared" si="64"/>
        <v>-0.37333333333333335</v>
      </c>
      <c r="O78" s="11"/>
      <c r="P78" s="6">
        <v>737.28</v>
      </c>
      <c r="Q78" s="2"/>
      <c r="R78" s="7">
        <f t="shared" si="65"/>
        <v>1.0686521146884267E-3</v>
      </c>
      <c r="S78" s="2"/>
      <c r="T78" s="6">
        <v>900</v>
      </c>
      <c r="U78" s="2"/>
      <c r="V78" s="7">
        <f t="shared" si="66"/>
        <v>8.1781900393280071E-4</v>
      </c>
      <c r="W78" s="2"/>
      <c r="X78" s="6">
        <f t="shared" si="67"/>
        <v>-162.72000000000003</v>
      </c>
      <c r="Y78" s="2"/>
      <c r="Z78" s="7">
        <f t="shared" si="68"/>
        <v>-0.18080000000000004</v>
      </c>
    </row>
    <row r="79" spans="1:26" s="26" customFormat="1" outlineLevel="1" collapsed="1" x14ac:dyDescent="0.25">
      <c r="A79" s="25"/>
      <c r="B79" s="12" t="str">
        <f>CONCATENATE("     ","Travel                                            ")</f>
        <v xml:space="preserve">     Travel                                            </v>
      </c>
      <c r="C79" s="12"/>
      <c r="D79" s="1">
        <f>SUM(OSRRefD22_13x_0)</f>
        <v>0</v>
      </c>
      <c r="E79" s="1"/>
      <c r="F79" s="5">
        <f t="shared" si="61"/>
        <v>0</v>
      </c>
      <c r="G79" s="1"/>
      <c r="H79" s="1">
        <f>SUM(OSRRefH22_13x_0)</f>
        <v>0</v>
      </c>
      <c r="I79" s="1"/>
      <c r="J79" s="5">
        <f t="shared" si="62"/>
        <v>0</v>
      </c>
      <c r="K79" s="1"/>
      <c r="L79" s="1">
        <f t="shared" si="63"/>
        <v>0</v>
      </c>
      <c r="M79" s="1"/>
      <c r="N79" s="5">
        <f t="shared" si="64"/>
        <v>0</v>
      </c>
      <c r="O79" s="12"/>
      <c r="P79" s="1">
        <f>SUM(OSRRefP22_13x_0)</f>
        <v>66</v>
      </c>
      <c r="Q79" s="1"/>
      <c r="R79" s="5">
        <f t="shared" si="65"/>
        <v>9.5663844902121542E-5</v>
      </c>
      <c r="S79" s="1"/>
      <c r="T79" s="1">
        <f>SUM(OSRRefT22_13x_0)</f>
        <v>0</v>
      </c>
      <c r="U79" s="1"/>
      <c r="V79" s="5">
        <f t="shared" si="66"/>
        <v>0</v>
      </c>
      <c r="W79" s="1"/>
      <c r="X79" s="1">
        <f t="shared" si="67"/>
        <v>66</v>
      </c>
      <c r="Y79" s="1"/>
      <c r="Z79" s="5">
        <f t="shared" si="68"/>
        <v>0</v>
      </c>
    </row>
    <row r="80" spans="1:26" s="24" customFormat="1" hidden="1" outlineLevel="2" x14ac:dyDescent="0.25">
      <c r="A80" s="27"/>
      <c r="B80" s="11" t="str">
        <f>CONCATENATE("          ", "6298", " - ", "VEHICLE MILEAGE")</f>
        <v xml:space="preserve">          6298 - VEHICLE MILEAGE</v>
      </c>
      <c r="C80" s="11"/>
      <c r="D80" s="6"/>
      <c r="E80" s="2"/>
      <c r="F80" s="7">
        <f t="shared" si="61"/>
        <v>0</v>
      </c>
      <c r="G80" s="2"/>
      <c r="H80" s="6"/>
      <c r="I80" s="2"/>
      <c r="J80" s="7">
        <f t="shared" si="62"/>
        <v>0</v>
      </c>
      <c r="K80" s="2"/>
      <c r="L80" s="6">
        <f t="shared" si="63"/>
        <v>0</v>
      </c>
      <c r="M80" s="2"/>
      <c r="N80" s="7">
        <f t="shared" si="64"/>
        <v>0</v>
      </c>
      <c r="O80" s="11"/>
      <c r="P80" s="6">
        <v>66</v>
      </c>
      <c r="Q80" s="2"/>
      <c r="R80" s="7">
        <f t="shared" si="65"/>
        <v>9.5663844902121542E-5</v>
      </c>
      <c r="S80" s="2"/>
      <c r="T80" s="6"/>
      <c r="U80" s="2"/>
      <c r="V80" s="7">
        <f t="shared" si="66"/>
        <v>0</v>
      </c>
      <c r="W80" s="2"/>
      <c r="X80" s="6">
        <f t="shared" si="67"/>
        <v>66</v>
      </c>
      <c r="Y80" s="2"/>
      <c r="Z80" s="7">
        <f t="shared" si="68"/>
        <v>0</v>
      </c>
    </row>
    <row r="81" spans="1:26" s="26" customFormat="1" outlineLevel="1" collapsed="1" x14ac:dyDescent="0.25">
      <c r="A81" s="25"/>
      <c r="B81" s="12" t="str">
        <f>CONCATENATE("     ","Utilities                                         ")</f>
        <v xml:space="preserve">     Utilities                                         </v>
      </c>
      <c r="C81" s="12"/>
      <c r="D81" s="1">
        <f>SUM(OSRRefD22_14x_0)</f>
        <v>208</v>
      </c>
      <c r="E81" s="1"/>
      <c r="F81" s="5">
        <f t="shared" si="61"/>
        <v>0</v>
      </c>
      <c r="G81" s="1"/>
      <c r="H81" s="1">
        <f>SUM(OSRRefH22_14x_0)</f>
        <v>0</v>
      </c>
      <c r="I81" s="1"/>
      <c r="J81" s="5">
        <f t="shared" si="62"/>
        <v>0</v>
      </c>
      <c r="K81" s="1"/>
      <c r="L81" s="1">
        <f t="shared" si="63"/>
        <v>208</v>
      </c>
      <c r="M81" s="1"/>
      <c r="N81" s="5">
        <f t="shared" si="64"/>
        <v>0</v>
      </c>
      <c r="O81" s="12"/>
      <c r="P81" s="1">
        <f>SUM(OSRRefP22_14x_0)</f>
        <v>2433</v>
      </c>
      <c r="Q81" s="1"/>
      <c r="R81" s="5">
        <f t="shared" si="65"/>
        <v>3.5265171916191171E-3</v>
      </c>
      <c r="S81" s="1"/>
      <c r="T81" s="1">
        <f>SUM(OSRRefT22_14x_0)</f>
        <v>0</v>
      </c>
      <c r="U81" s="1"/>
      <c r="V81" s="5">
        <f t="shared" si="66"/>
        <v>0</v>
      </c>
      <c r="W81" s="1"/>
      <c r="X81" s="1">
        <f t="shared" si="67"/>
        <v>2433</v>
      </c>
      <c r="Y81" s="1"/>
      <c r="Z81" s="5">
        <f t="shared" si="68"/>
        <v>0</v>
      </c>
    </row>
    <row r="82" spans="1:26" s="24" customFormat="1" hidden="1" outlineLevel="2" x14ac:dyDescent="0.25">
      <c r="A82" s="27"/>
      <c r="B82" s="11" t="str">
        <f>CONCATENATE("          ", "6274", " - ", "UTILITIES")</f>
        <v xml:space="preserve">          6274 - UTILITIES</v>
      </c>
      <c r="C82" s="11"/>
      <c r="D82" s="6">
        <v>208</v>
      </c>
      <c r="E82" s="2"/>
      <c r="F82" s="7">
        <f t="shared" si="61"/>
        <v>0</v>
      </c>
      <c r="G82" s="2"/>
      <c r="H82" s="6"/>
      <c r="I82" s="2"/>
      <c r="J82" s="7">
        <f t="shared" si="62"/>
        <v>0</v>
      </c>
      <c r="K82" s="2"/>
      <c r="L82" s="6">
        <f t="shared" si="63"/>
        <v>208</v>
      </c>
      <c r="M82" s="2"/>
      <c r="N82" s="7">
        <f t="shared" si="64"/>
        <v>0</v>
      </c>
      <c r="O82" s="11"/>
      <c r="P82" s="6">
        <v>2433</v>
      </c>
      <c r="Q82" s="2"/>
      <c r="R82" s="7">
        <f t="shared" si="65"/>
        <v>3.5265171916191171E-3</v>
      </c>
      <c r="S82" s="2"/>
      <c r="T82" s="6"/>
      <c r="U82" s="2"/>
      <c r="V82" s="7">
        <f t="shared" si="66"/>
        <v>0</v>
      </c>
      <c r="W82" s="2"/>
      <c r="X82" s="6">
        <f t="shared" si="67"/>
        <v>2433</v>
      </c>
      <c r="Y82" s="2"/>
      <c r="Z82" s="7">
        <f t="shared" si="68"/>
        <v>0</v>
      </c>
    </row>
    <row r="83" spans="1:26" s="60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3">
        <f>IF(D$12=0,0,D84/D$12)</f>
        <v>0</v>
      </c>
      <c r="G84" s="4"/>
      <c r="H84" s="4">
        <f>SUM(0)</f>
        <v>0</v>
      </c>
      <c r="I84" s="4"/>
      <c r="J84" s="13">
        <f>IF(H$12=0,0,H84/H$12)</f>
        <v>0</v>
      </c>
      <c r="K84" s="4"/>
      <c r="L84" s="4">
        <f>+D84-H84</f>
        <v>0</v>
      </c>
      <c r="M84" s="4"/>
      <c r="N84" s="13">
        <f>IF(H84=0,0,L84/H84)</f>
        <v>0</v>
      </c>
      <c r="O84" s="10"/>
      <c r="P84" s="4">
        <f>SUM(0)</f>
        <v>0</v>
      </c>
      <c r="Q84" s="4"/>
      <c r="R84" s="13">
        <f>IF(P$12=0,0,P84/P$12)</f>
        <v>0</v>
      </c>
      <c r="S84" s="4"/>
      <c r="T84" s="4">
        <f>SUM(0)</f>
        <v>0</v>
      </c>
      <c r="U84" s="4"/>
      <c r="V84" s="13">
        <f>IF(T$12=0,0,T84/T$12)</f>
        <v>0</v>
      </c>
      <c r="W84" s="4"/>
      <c r="X84" s="4">
        <f>+P84-T84</f>
        <v>0</v>
      </c>
      <c r="Y84" s="4"/>
      <c r="Z84" s="13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2">
        <f>+D22-D24+D84</f>
        <v>-11731.679999999998</v>
      </c>
      <c r="E86" s="14"/>
      <c r="F86" s="20">
        <f>IF(D$12=0,0,D86/D$12)</f>
        <v>0</v>
      </c>
      <c r="G86" s="14"/>
      <c r="H86" s="22">
        <f>+H22-H24+H84</f>
        <v>2686.2980520707697</v>
      </c>
      <c r="I86" s="14"/>
      <c r="J86" s="20">
        <f>IF(H$12=0,0,H86/H$12)</f>
        <v>7.9968386879934794E-2</v>
      </c>
      <c r="K86" s="15"/>
      <c r="L86" s="22">
        <f>+D86-H86</f>
        <v>-14417.978052070768</v>
      </c>
      <c r="M86" s="15"/>
      <c r="N86" s="20">
        <f>IF(H86=0,0,L86/H86)</f>
        <v>-5.3672294632222481</v>
      </c>
      <c r="O86" s="28"/>
      <c r="P86" s="22">
        <f>+P22-P24+P84</f>
        <v>5811.5099999998929</v>
      </c>
      <c r="Q86" s="14"/>
      <c r="R86" s="20">
        <f>IF(P$12=0,0,P86/P$12)</f>
        <v>8.4235059285926988E-3</v>
      </c>
      <c r="S86" s="14"/>
      <c r="T86" s="22">
        <f>+T22-T24+T84</f>
        <v>225420.75862685998</v>
      </c>
      <c r="U86" s="14"/>
      <c r="V86" s="20">
        <f>IF(T$12=0,0,T86/T$12)</f>
        <v>0.20483708920666102</v>
      </c>
      <c r="W86" s="15"/>
      <c r="X86" s="22">
        <f>+P86-T86</f>
        <v>-219609.24862686009</v>
      </c>
      <c r="Y86" s="15"/>
      <c r="Z86" s="20">
        <f>IF(T86=0,0,X86/T86)</f>
        <v>-0.97421927760601801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22779.759999999998</v>
      </c>
      <c r="E88" s="4"/>
      <c r="F88" s="13">
        <f>IF(D$12=0,0,D88/D$12)</f>
        <v>0</v>
      </c>
      <c r="G88" s="4"/>
      <c r="H88" s="4">
        <v>18799</v>
      </c>
      <c r="I88" s="4"/>
      <c r="J88" s="13">
        <f>IF(H$12=0,0,H88/H$12)</f>
        <v>0.55962729221243157</v>
      </c>
      <c r="K88" s="4"/>
      <c r="L88" s="4">
        <f>+D88-H88</f>
        <v>3980.7599999999984</v>
      </c>
      <c r="M88" s="4"/>
      <c r="N88" s="13">
        <f>IF(H88=0,0,L88/H88)</f>
        <v>0.21175381669237717</v>
      </c>
      <c r="O88" s="10"/>
      <c r="P88" s="4">
        <v>104479.99</v>
      </c>
      <c r="Q88" s="4"/>
      <c r="R88" s="13">
        <f>IF(P$12=0,0,P88/P$12)</f>
        <v>0.15143875088992742</v>
      </c>
      <c r="S88" s="4"/>
      <c r="T88" s="4">
        <v>142371</v>
      </c>
      <c r="U88" s="4"/>
      <c r="V88" s="13">
        <f>IF(T$12=0,0,T88/T$12)</f>
        <v>0.12937078823212975</v>
      </c>
      <c r="W88" s="4"/>
      <c r="X88" s="4">
        <f>+P88-T88</f>
        <v>-37891.009999999995</v>
      </c>
      <c r="Y88" s="4"/>
      <c r="Z88" s="13">
        <f>IF(T88=0,0,X88/T88)</f>
        <v>-0.26614275379115127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1">
        <f>+D86-D88</f>
        <v>-34511.439999999995</v>
      </c>
      <c r="E90" s="14"/>
      <c r="F90" s="33">
        <f>IF(D$12=0,0,D90/D$12)</f>
        <v>0</v>
      </c>
      <c r="G90" s="14"/>
      <c r="H90" s="31">
        <f>+H86-H88</f>
        <v>-16112.70194792923</v>
      </c>
      <c r="I90" s="14"/>
      <c r="J90" s="33">
        <f>IF(H$12=0,0,H90/H$12)</f>
        <v>-0.47965890533249672</v>
      </c>
      <c r="K90" s="15"/>
      <c r="L90" s="31">
        <f>D90-H90</f>
        <v>-18398.738052070767</v>
      </c>
      <c r="M90" s="15"/>
      <c r="N90" s="33">
        <f>IF(H90=0,0,L90/H90)</f>
        <v>1.1418778868701989</v>
      </c>
      <c r="O90" s="28"/>
      <c r="P90" s="31">
        <f>+P86-P88</f>
        <v>-98668.480000000112</v>
      </c>
      <c r="Q90" s="14"/>
      <c r="R90" s="33">
        <f>IF(P$12=0,0,P90/P$12)</f>
        <v>-0.14301524496133472</v>
      </c>
      <c r="S90" s="14"/>
      <c r="T90" s="31">
        <f>+T86-T88</f>
        <v>83049.758626859984</v>
      </c>
      <c r="U90" s="14"/>
      <c r="V90" s="33">
        <f>IF(T$12=0,0,T90/T$12)</f>
        <v>7.5466300974531289E-2</v>
      </c>
      <c r="W90" s="15"/>
      <c r="X90" s="31">
        <f>P90-T90</f>
        <v>-181718.23862686008</v>
      </c>
      <c r="Y90" s="15"/>
      <c r="Z90" s="33">
        <f>IF(T90=0,0,X90/T90)</f>
        <v>-2.1880646209137651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4">
        <f>SUM(D90:D92)</f>
        <v>-34511.439999999995</v>
      </c>
      <c r="E93" s="14"/>
      <c r="F93" s="35">
        <f>IF(D$12=0,0,D93/D$12)</f>
        <v>0</v>
      </c>
      <c r="G93" s="14"/>
      <c r="H93" s="34">
        <f>SUM(H90:H92)</f>
        <v>-16112.70194792923</v>
      </c>
      <c r="I93" s="14"/>
      <c r="J93" s="35">
        <f>IF(H$12=0,0,H93/H$12)</f>
        <v>-0.47965890533249672</v>
      </c>
      <c r="K93" s="15"/>
      <c r="L93" s="34">
        <f>+D93-H93</f>
        <v>-18398.738052070767</v>
      </c>
      <c r="M93" s="15"/>
      <c r="N93" s="35">
        <f>IF(H93=0,0,L93/H93)</f>
        <v>1.1418778868701989</v>
      </c>
      <c r="O93" s="28"/>
      <c r="P93" s="34">
        <f>SUM(P90:P92)</f>
        <v>-98668.480000000112</v>
      </c>
      <c r="Q93" s="14"/>
      <c r="R93" s="35">
        <f>IF(P$12=0,0,P93/P$12)</f>
        <v>-0.14301524496133472</v>
      </c>
      <c r="S93" s="14"/>
      <c r="T93" s="34">
        <f>SUM(T90:T92)</f>
        <v>83049.758626859984</v>
      </c>
      <c r="U93" s="14"/>
      <c r="V93" s="35">
        <f>IF(T$12=0,0,T93/T$12)</f>
        <v>7.5466300974531289E-2</v>
      </c>
      <c r="W93" s="15"/>
      <c r="X93" s="34">
        <f>+P93-T93</f>
        <v>-181718.23862686008</v>
      </c>
      <c r="Y93" s="15"/>
      <c r="Z93" s="35">
        <f>IF(T93=0,0,X93/T93)</f>
        <v>-2.1880646209137651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5">
        <v>44043.473550497685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62" t="s">
        <v>314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63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","325", " - ", "Outpost C-Store")</f>
        <v>Department 325 - Outpost C-Store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14500</v>
      </c>
      <c r="I12" s="4"/>
      <c r="J12" s="13"/>
      <c r="K12" s="4"/>
      <c r="L12" s="4">
        <f t="shared" ref="L12:L15" si="0">+D12-H12</f>
        <v>-14500</v>
      </c>
      <c r="M12" s="4"/>
      <c r="N12" s="13">
        <f t="shared" ref="N12:N15" si="1">IF(H12=0,0,L12/H12)</f>
        <v>-1</v>
      </c>
      <c r="O12" s="10"/>
      <c r="P12" s="4">
        <f>SUM(OSRRefP13x_0)</f>
        <v>596954.75</v>
      </c>
      <c r="Q12" s="4"/>
      <c r="R12" s="13"/>
      <c r="S12" s="4"/>
      <c r="T12" s="4">
        <f>SUM(OSRRefT13x_0)</f>
        <v>774976.20000000007</v>
      </c>
      <c r="U12" s="4"/>
      <c r="V12" s="13"/>
      <c r="W12" s="4"/>
      <c r="X12" s="4">
        <f t="shared" ref="X12:X15" si="2">+P12-T12</f>
        <v>-178021.45000000007</v>
      </c>
      <c r="Y12" s="4"/>
      <c r="Z12" s="13">
        <f t="shared" ref="Z12:Z15" si="3">IF(T12=0,0,X12/T12)</f>
        <v>-0.22971215116025506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14500</v>
      </c>
      <c r="I13" s="2"/>
      <c r="J13" s="19"/>
      <c r="K13" s="2"/>
      <c r="L13" s="2">
        <f t="shared" si="0"/>
        <v>-14500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774976.20000000007</v>
      </c>
      <c r="U13" s="2"/>
      <c r="V13" s="19"/>
      <c r="W13" s="2"/>
      <c r="X13" s="2">
        <f t="shared" si="2"/>
        <v>-774976.20000000007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--105564.32</f>
        <v>105564.32</v>
      </c>
      <c r="Q14" s="2"/>
      <c r="R14" s="19"/>
      <c r="S14" s="2"/>
      <c r="T14" s="2"/>
      <c r="U14" s="2"/>
      <c r="V14" s="19"/>
      <c r="W14" s="2"/>
      <c r="X14" s="2">
        <f t="shared" si="2"/>
        <v>105564.32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--491390.43</f>
        <v>491390.43</v>
      </c>
      <c r="Q15" s="2"/>
      <c r="R15" s="19"/>
      <c r="S15" s="2"/>
      <c r="T15" s="2"/>
      <c r="U15" s="2"/>
      <c r="V15" s="19"/>
      <c r="W15" s="2"/>
      <c r="X15" s="2">
        <f t="shared" si="2"/>
        <v>491390.43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</v>
      </c>
      <c r="E17" s="4"/>
      <c r="F17" s="13">
        <f t="shared" ref="F17:F20" si="5">IF(D$12=0,0,D17/D$12)</f>
        <v>0</v>
      </c>
      <c r="G17" s="4"/>
      <c r="H17" s="4">
        <f>SUM(OSRRefH16x_0)</f>
        <v>7825</v>
      </c>
      <c r="I17" s="4"/>
      <c r="J17" s="13">
        <f t="shared" ref="J17:J20" si="6">IF(H$12=0,0,H17/H$12)</f>
        <v>0.53965517241379313</v>
      </c>
      <c r="K17" s="4"/>
      <c r="L17" s="4">
        <f t="shared" ref="L17:L20" si="7">+D17-H17</f>
        <v>-7825</v>
      </c>
      <c r="M17" s="4"/>
      <c r="N17" s="13">
        <f t="shared" ref="N17:N20" si="8">IF(H17=0,0,L17/H17)</f>
        <v>-1</v>
      </c>
      <c r="O17" s="10"/>
      <c r="P17" s="4">
        <f>SUM(OSRRefP16x_0)</f>
        <v>292875.49</v>
      </c>
      <c r="Q17" s="4"/>
      <c r="R17" s="13">
        <f t="shared" ref="R17:R20" si="9">IF(P$12=0,0,P17/P$12)</f>
        <v>0.49061589676604467</v>
      </c>
      <c r="S17" s="4"/>
      <c r="T17" s="4">
        <f>SUM(OSRRefT16x_0)</f>
        <v>372855</v>
      </c>
      <c r="U17" s="4"/>
      <c r="V17" s="13">
        <f t="shared" ref="V17:V20" si="10">IF(T$12=0,0,T17/T$12)</f>
        <v>0.48111800078505634</v>
      </c>
      <c r="W17" s="4"/>
      <c r="X17" s="4">
        <f t="shared" ref="X17:X20" si="11">+P17-T17</f>
        <v>-79979.510000000009</v>
      </c>
      <c r="Y17" s="4"/>
      <c r="Z17" s="13">
        <f t="shared" ref="Z17:Z20" si="12">IF(T17=0,0,X17/T17)</f>
        <v>-0.21450566574137403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7825</v>
      </c>
      <c r="I18" s="2"/>
      <c r="J18" s="19">
        <f t="shared" si="6"/>
        <v>0.53965517241379313</v>
      </c>
      <c r="K18" s="2"/>
      <c r="L18" s="2">
        <f t="shared" si="7"/>
        <v>-7825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372855</v>
      </c>
      <c r="U18" s="2"/>
      <c r="V18" s="19">
        <f t="shared" si="10"/>
        <v>0.48111800078505634</v>
      </c>
      <c r="W18" s="2"/>
      <c r="X18" s="2">
        <f t="shared" si="11"/>
        <v>-372855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281898.5</v>
      </c>
      <c r="Q19" s="2"/>
      <c r="R19" s="19">
        <f t="shared" si="9"/>
        <v>0.47222758508915458</v>
      </c>
      <c r="S19" s="2"/>
      <c r="T19" s="2"/>
      <c r="U19" s="2"/>
      <c r="V19" s="19">
        <f t="shared" si="10"/>
        <v>0</v>
      </c>
      <c r="W19" s="2"/>
      <c r="X19" s="2">
        <f t="shared" si="11"/>
        <v>281898.5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10976.99</v>
      </c>
      <c r="Q20" s="2"/>
      <c r="R20" s="19">
        <f t="shared" si="9"/>
        <v>1.8388311676890083E-2</v>
      </c>
      <c r="S20" s="2"/>
      <c r="T20" s="2"/>
      <c r="U20" s="2"/>
      <c r="V20" s="19">
        <f t="shared" si="10"/>
        <v>0</v>
      </c>
      <c r="W20" s="2"/>
      <c r="X20" s="2">
        <f t="shared" si="11"/>
        <v>10976.99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0</v>
      </c>
      <c r="E22" s="14"/>
      <c r="F22" s="20">
        <f>IF(D$12=0,0,D22/D$12)</f>
        <v>0</v>
      </c>
      <c r="G22" s="14"/>
      <c r="H22" s="22">
        <f>H12-H17</f>
        <v>6675</v>
      </c>
      <c r="I22" s="14"/>
      <c r="J22" s="20">
        <f>IF(H$12=0,0,H22/H$12)</f>
        <v>0.46034482758620687</v>
      </c>
      <c r="K22" s="15"/>
      <c r="L22" s="22">
        <f>+D22-H22</f>
        <v>-6675</v>
      </c>
      <c r="M22" s="15"/>
      <c r="N22" s="20">
        <f>IF(H22=0,0,L22/H22)</f>
        <v>-1</v>
      </c>
      <c r="O22" s="28"/>
      <c r="P22" s="22">
        <f>P12-P17</f>
        <v>304079.26</v>
      </c>
      <c r="Q22" s="14"/>
      <c r="R22" s="20">
        <f>IF(P$12=0,0,P22/P$12)</f>
        <v>0.50938410323395533</v>
      </c>
      <c r="S22" s="14"/>
      <c r="T22" s="22">
        <f>T12-T17</f>
        <v>402121.20000000007</v>
      </c>
      <c r="U22" s="14"/>
      <c r="V22" s="20">
        <f>IF(T$12=0,0,T22/T$12)</f>
        <v>0.51888199921494371</v>
      </c>
      <c r="W22" s="15"/>
      <c r="X22" s="22">
        <f>+P22-T22</f>
        <v>-98041.940000000061</v>
      </c>
      <c r="Y22" s="15"/>
      <c r="Z22" s="20">
        <f>IF(T22=0,0,X22/T22)</f>
        <v>-0.24381191541256728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22102.61</v>
      </c>
      <c r="E24" s="21"/>
      <c r="F24" s="32">
        <f t="shared" ref="F24:F34" si="13">IF(D$12=0,0,D24/D$12)</f>
        <v>0</v>
      </c>
      <c r="G24" s="21"/>
      <c r="H24" s="21">
        <f>SUM(OSRRefH22x_0)</f>
        <v>21390.627238499997</v>
      </c>
      <c r="I24" s="21"/>
      <c r="J24" s="32">
        <f t="shared" ref="J24:J34" si="14">IF(H$12=0,0,H24/H$12)</f>
        <v>1.4752156716206895</v>
      </c>
      <c r="K24" s="4"/>
      <c r="L24" s="21">
        <f t="shared" ref="L24:L34" si="15">+D24-H24</f>
        <v>711.98276150000311</v>
      </c>
      <c r="M24" s="4"/>
      <c r="N24" s="32">
        <f t="shared" ref="N24:N34" si="16">IF(H24=0,0,L24/H24)</f>
        <v>3.3284800560618361E-2</v>
      </c>
      <c r="O24" s="10"/>
      <c r="P24" s="21">
        <f>SUM(OSRRefP22x_0)</f>
        <v>332325.34000000003</v>
      </c>
      <c r="Q24" s="21"/>
      <c r="R24" s="32">
        <f t="shared" ref="R24:R34" si="17">IF(P$12=0,0,P24/P$12)</f>
        <v>0.55670105648711232</v>
      </c>
      <c r="S24" s="21"/>
      <c r="T24" s="21">
        <f>SUM(OSRRefT22x_0)</f>
        <v>358707.61527965002</v>
      </c>
      <c r="U24" s="21"/>
      <c r="V24" s="32">
        <f t="shared" ref="V24:V34" si="18">IF(T$12=0,0,T24/T$12)</f>
        <v>0.46286275021045808</v>
      </c>
      <c r="W24" s="4"/>
      <c r="X24" s="21">
        <f t="shared" ref="X24:X34" si="19">+P24-T24</f>
        <v>-26382.275279649999</v>
      </c>
      <c r="Y24" s="4"/>
      <c r="Z24" s="32">
        <f t="shared" ref="Z24:Z34" si="20">IF(T24=0,0,X24/T24)</f>
        <v>-7.3548132673688191E-2</v>
      </c>
    </row>
    <row r="25" spans="1:26" s="26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2914.4</v>
      </c>
      <c r="E25" s="1"/>
      <c r="F25" s="5">
        <f t="shared" si="13"/>
        <v>0</v>
      </c>
      <c r="G25" s="1"/>
      <c r="H25" s="1">
        <f>SUM(OSRRefH22_0x_0)</f>
        <v>3321.3347384999997</v>
      </c>
      <c r="I25" s="1"/>
      <c r="J25" s="5">
        <f t="shared" si="14"/>
        <v>0.22905756817241377</v>
      </c>
      <c r="K25" s="1"/>
      <c r="L25" s="1">
        <f t="shared" si="15"/>
        <v>-406.93473849999964</v>
      </c>
      <c r="M25" s="1"/>
      <c r="N25" s="5">
        <f t="shared" si="16"/>
        <v>-0.12252144711068233</v>
      </c>
      <c r="O25" s="12"/>
      <c r="P25" s="1">
        <f>SUM(OSRRefP22_0x_0)</f>
        <v>44347.1</v>
      </c>
      <c r="Q25" s="1"/>
      <c r="R25" s="5">
        <f t="shared" si="17"/>
        <v>7.4288880354834261E-2</v>
      </c>
      <c r="S25" s="1"/>
      <c r="T25" s="1">
        <f>SUM(OSRRefT22_0x_0)</f>
        <v>43208.106849650001</v>
      </c>
      <c r="U25" s="1"/>
      <c r="V25" s="5">
        <f t="shared" si="18"/>
        <v>5.5754108125707601E-2</v>
      </c>
      <c r="W25" s="1"/>
      <c r="X25" s="1">
        <f t="shared" si="19"/>
        <v>1138.9931503499974</v>
      </c>
      <c r="Y25" s="1"/>
      <c r="Z25" s="5">
        <f t="shared" si="20"/>
        <v>2.6360635385237287E-2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318.24</v>
      </c>
      <c r="E26" s="2"/>
      <c r="F26" s="7">
        <f t="shared" si="13"/>
        <v>0</v>
      </c>
      <c r="G26" s="2"/>
      <c r="H26" s="6">
        <v>434.41871850000001</v>
      </c>
      <c r="I26" s="2"/>
      <c r="J26" s="7">
        <f t="shared" si="14"/>
        <v>2.9959911620689655E-2</v>
      </c>
      <c r="K26" s="2"/>
      <c r="L26" s="6">
        <f t="shared" si="15"/>
        <v>-116.1787185</v>
      </c>
      <c r="M26" s="2"/>
      <c r="N26" s="7">
        <f t="shared" si="16"/>
        <v>-0.26743488149210587</v>
      </c>
      <c r="O26" s="11"/>
      <c r="P26" s="6">
        <v>6353.64</v>
      </c>
      <c r="Q26" s="2"/>
      <c r="R26" s="7">
        <f t="shared" si="17"/>
        <v>1.0643419790193478E-2</v>
      </c>
      <c r="S26" s="2"/>
      <c r="T26" s="6">
        <v>4332.6101092499994</v>
      </c>
      <c r="U26" s="2"/>
      <c r="V26" s="7">
        <f t="shared" si="18"/>
        <v>5.590636343735458E-3</v>
      </c>
      <c r="W26" s="2"/>
      <c r="X26" s="6">
        <f t="shared" si="19"/>
        <v>2021.029890750001</v>
      </c>
      <c r="Y26" s="2"/>
      <c r="Z26" s="7">
        <f t="shared" si="20"/>
        <v>0.46646936599145156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79.040000000000006</v>
      </c>
      <c r="E27" s="2"/>
      <c r="F27" s="7">
        <f t="shared" si="13"/>
        <v>0</v>
      </c>
      <c r="G27" s="2"/>
      <c r="H27" s="6">
        <v>107.85254999999999</v>
      </c>
      <c r="I27" s="2"/>
      <c r="J27" s="7">
        <f t="shared" si="14"/>
        <v>7.4381068965517234E-3</v>
      </c>
      <c r="K27" s="2"/>
      <c r="L27" s="6">
        <f t="shared" si="15"/>
        <v>-28.812549999999987</v>
      </c>
      <c r="M27" s="2"/>
      <c r="N27" s="7">
        <f t="shared" si="16"/>
        <v>-0.26714760105347524</v>
      </c>
      <c r="O27" s="11"/>
      <c r="P27" s="6">
        <v>2150.89</v>
      </c>
      <c r="Q27" s="2"/>
      <c r="R27" s="7">
        <f t="shared" si="17"/>
        <v>3.6031039203557724E-3</v>
      </c>
      <c r="S27" s="2"/>
      <c r="T27" s="6">
        <v>2579.4897609999998</v>
      </c>
      <c r="U27" s="2"/>
      <c r="V27" s="7">
        <f t="shared" si="18"/>
        <v>3.3284761015886675E-3</v>
      </c>
      <c r="W27" s="2"/>
      <c r="X27" s="6">
        <f t="shared" si="19"/>
        <v>-428.59976099999994</v>
      </c>
      <c r="Y27" s="2"/>
      <c r="Z27" s="7">
        <f t="shared" si="20"/>
        <v>-0.16615679871272029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1915.63</v>
      </c>
      <c r="E28" s="2"/>
      <c r="F28" s="7">
        <f t="shared" si="13"/>
        <v>0</v>
      </c>
      <c r="G28" s="2"/>
      <c r="H28" s="6">
        <v>1977</v>
      </c>
      <c r="I28" s="2"/>
      <c r="J28" s="7">
        <f t="shared" si="14"/>
        <v>0.13634482758620689</v>
      </c>
      <c r="K28" s="2"/>
      <c r="L28" s="6">
        <f t="shared" si="15"/>
        <v>-61.369999999999891</v>
      </c>
      <c r="M28" s="2"/>
      <c r="N28" s="7">
        <f t="shared" si="16"/>
        <v>-3.1041982802225539E-2</v>
      </c>
      <c r="O28" s="11"/>
      <c r="P28" s="6">
        <v>22856.350000000002</v>
      </c>
      <c r="Q28" s="2"/>
      <c r="R28" s="7">
        <f t="shared" si="17"/>
        <v>3.8288245465841426E-2</v>
      </c>
      <c r="S28" s="2"/>
      <c r="T28" s="6">
        <v>23724</v>
      </c>
      <c r="U28" s="2"/>
      <c r="V28" s="7">
        <f t="shared" si="18"/>
        <v>3.0612553004853566E-2</v>
      </c>
      <c r="W28" s="2"/>
      <c r="X28" s="6">
        <f t="shared" si="19"/>
        <v>-867.64999999999782</v>
      </c>
      <c r="Y28" s="2"/>
      <c r="Z28" s="7">
        <f t="shared" si="20"/>
        <v>-3.6572669027145413E-2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-319.77999999999997</v>
      </c>
      <c r="E29" s="2"/>
      <c r="F29" s="7">
        <f t="shared" si="13"/>
        <v>0</v>
      </c>
      <c r="G29" s="2"/>
      <c r="H29" s="6">
        <v>14.75877</v>
      </c>
      <c r="I29" s="2"/>
      <c r="J29" s="7">
        <f t="shared" si="14"/>
        <v>1.0178462068965517E-3</v>
      </c>
      <c r="K29" s="2"/>
      <c r="L29" s="6">
        <f t="shared" si="15"/>
        <v>-334.53877</v>
      </c>
      <c r="M29" s="2"/>
      <c r="N29" s="7">
        <f t="shared" si="16"/>
        <v>-22.667117246220382</v>
      </c>
      <c r="O29" s="11"/>
      <c r="P29" s="6">
        <v>0</v>
      </c>
      <c r="Q29" s="2"/>
      <c r="R29" s="7">
        <f t="shared" si="17"/>
        <v>0</v>
      </c>
      <c r="S29" s="2"/>
      <c r="T29" s="6">
        <v>352.98280940000001</v>
      </c>
      <c r="U29" s="2"/>
      <c r="V29" s="7">
        <f t="shared" si="18"/>
        <v>4.5547567705950194E-4</v>
      </c>
      <c r="W29" s="2"/>
      <c r="X29" s="6">
        <f t="shared" si="19"/>
        <v>-352.98280940000001</v>
      </c>
      <c r="Y29" s="2"/>
      <c r="Z29" s="7">
        <f t="shared" si="20"/>
        <v>-1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425.19</v>
      </c>
      <c r="E30" s="2"/>
      <c r="F30" s="7">
        <f t="shared" si="13"/>
        <v>0</v>
      </c>
      <c r="G30" s="2"/>
      <c r="H30" s="6">
        <v>340.1472</v>
      </c>
      <c r="I30" s="2"/>
      <c r="J30" s="7">
        <f t="shared" si="14"/>
        <v>2.3458427586206896E-2</v>
      </c>
      <c r="K30" s="2"/>
      <c r="L30" s="6">
        <f t="shared" si="15"/>
        <v>85.0428</v>
      </c>
      <c r="M30" s="2"/>
      <c r="N30" s="7">
        <f t="shared" si="16"/>
        <v>0.2500176394219914</v>
      </c>
      <c r="O30" s="11"/>
      <c r="P30" s="6">
        <v>5382.95</v>
      </c>
      <c r="Q30" s="2"/>
      <c r="R30" s="7">
        <f t="shared" si="17"/>
        <v>9.0173501425359296E-3</v>
      </c>
      <c r="S30" s="2"/>
      <c r="T30" s="6">
        <v>4421.9135999999999</v>
      </c>
      <c r="U30" s="2"/>
      <c r="V30" s="7">
        <f t="shared" si="18"/>
        <v>5.7058701931749639E-3</v>
      </c>
      <c r="W30" s="2"/>
      <c r="X30" s="6">
        <f t="shared" si="19"/>
        <v>961.03639999999996</v>
      </c>
      <c r="Y30" s="2"/>
      <c r="Z30" s="7">
        <f t="shared" si="20"/>
        <v>0.21733495652199084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304.2</v>
      </c>
      <c r="E32" s="2"/>
      <c r="F32" s="7">
        <f t="shared" si="13"/>
        <v>0</v>
      </c>
      <c r="G32" s="2"/>
      <c r="H32" s="6">
        <v>197.76</v>
      </c>
      <c r="I32" s="2"/>
      <c r="J32" s="7">
        <f t="shared" si="14"/>
        <v>1.3638620689655172E-2</v>
      </c>
      <c r="K32" s="2"/>
      <c r="L32" s="6">
        <f t="shared" si="15"/>
        <v>106.44</v>
      </c>
      <c r="M32" s="2"/>
      <c r="N32" s="7">
        <f t="shared" si="16"/>
        <v>0.53822815533980584</v>
      </c>
      <c r="O32" s="11"/>
      <c r="P32" s="6">
        <v>3802.5</v>
      </c>
      <c r="Q32" s="2"/>
      <c r="R32" s="7">
        <f t="shared" si="17"/>
        <v>6.3698295390060972E-3</v>
      </c>
      <c r="S32" s="2"/>
      <c r="T32" s="6">
        <v>2570.88</v>
      </c>
      <c r="U32" s="2"/>
      <c r="V32" s="7">
        <f t="shared" si="18"/>
        <v>3.3173663913807932E-3</v>
      </c>
      <c r="W32" s="2"/>
      <c r="X32" s="6">
        <f t="shared" si="19"/>
        <v>1231.6199999999999</v>
      </c>
      <c r="Y32" s="2"/>
      <c r="Z32" s="7">
        <f t="shared" si="20"/>
        <v>0.47906553398058244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191.88</v>
      </c>
      <c r="E33" s="2"/>
      <c r="F33" s="7">
        <f t="shared" si="13"/>
        <v>0</v>
      </c>
      <c r="G33" s="2"/>
      <c r="H33" s="6">
        <v>249.39750000000001</v>
      </c>
      <c r="I33" s="2"/>
      <c r="J33" s="7">
        <f t="shared" si="14"/>
        <v>1.7199827586206896E-2</v>
      </c>
      <c r="K33" s="2"/>
      <c r="L33" s="6">
        <f t="shared" si="15"/>
        <v>-57.517500000000013</v>
      </c>
      <c r="M33" s="2"/>
      <c r="N33" s="7">
        <f t="shared" si="16"/>
        <v>-0.23062580819775663</v>
      </c>
      <c r="O33" s="11"/>
      <c r="P33" s="6">
        <v>2398.5</v>
      </c>
      <c r="Q33" s="2"/>
      <c r="R33" s="7">
        <f t="shared" si="17"/>
        <v>4.0178924784499996E-3</v>
      </c>
      <c r="S33" s="2"/>
      <c r="T33" s="6">
        <v>5101.2305699999997</v>
      </c>
      <c r="U33" s="2"/>
      <c r="V33" s="7">
        <f t="shared" si="18"/>
        <v>6.5824351380081086E-3</v>
      </c>
      <c r="W33" s="2"/>
      <c r="X33" s="6">
        <f t="shared" si="19"/>
        <v>-2702.7305699999997</v>
      </c>
      <c r="Y33" s="2"/>
      <c r="Z33" s="7">
        <f t="shared" si="20"/>
        <v>-0.52981933141673299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3"/>
        <v>0</v>
      </c>
      <c r="G34" s="2"/>
      <c r="H34" s="6"/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>
        <v>1402.27</v>
      </c>
      <c r="Q34" s="2"/>
      <c r="R34" s="7">
        <f t="shared" si="17"/>
        <v>2.349039018451566E-3</v>
      </c>
      <c r="S34" s="2"/>
      <c r="T34" s="6">
        <v>125</v>
      </c>
      <c r="U34" s="2"/>
      <c r="V34" s="7">
        <f t="shared" si="18"/>
        <v>1.6129527590653749E-4</v>
      </c>
      <c r="W34" s="2"/>
      <c r="X34" s="6">
        <f t="shared" si="19"/>
        <v>1277.27</v>
      </c>
      <c r="Y34" s="2"/>
      <c r="Z34" s="7">
        <f t="shared" si="20"/>
        <v>10.218159999999999</v>
      </c>
    </row>
    <row r="35" spans="1:26" s="26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3120</v>
      </c>
      <c r="E35" s="1"/>
      <c r="F35" s="5">
        <f t="shared" ref="F35:F45" si="21">IF(D$12=0,0,D35/D$12)</f>
        <v>0</v>
      </c>
      <c r="G35" s="1"/>
      <c r="H35" s="1">
        <f>SUM(OSRRefH22_1x_0)</f>
        <v>5229.2924999999996</v>
      </c>
      <c r="I35" s="1"/>
      <c r="J35" s="5">
        <f t="shared" ref="J35:J45" si="22">IF(H$12=0,0,H35/H$12)</f>
        <v>0.36064086206896551</v>
      </c>
      <c r="K35" s="1"/>
      <c r="L35" s="1">
        <f t="shared" ref="L35:L45" si="23">+D35-H35</f>
        <v>-2109.2924999999996</v>
      </c>
      <c r="M35" s="1"/>
      <c r="N35" s="5">
        <f t="shared" ref="N35:N45" si="24">IF(H35=0,0,L35/H35)</f>
        <v>-0.4033609709152815</v>
      </c>
      <c r="O35" s="12"/>
      <c r="P35" s="1">
        <f>SUM(OSRRefP22_1x_0)</f>
        <v>108603.43000000001</v>
      </c>
      <c r="Q35" s="1"/>
      <c r="R35" s="5">
        <f t="shared" ref="R35:R45" si="25">IF(P$12=0,0,P35/P$12)</f>
        <v>0.18192908256446574</v>
      </c>
      <c r="S35" s="1"/>
      <c r="T35" s="1">
        <f>SUM(OSRRefT22_1x_0)</f>
        <v>128090.50842999999</v>
      </c>
      <c r="U35" s="1"/>
      <c r="V35" s="5">
        <f t="shared" ref="V35:V45" si="26">IF(T$12=0,0,T35/T$12)</f>
        <v>0.16528315118580414</v>
      </c>
      <c r="W35" s="1"/>
      <c r="X35" s="1">
        <f t="shared" ref="X35:X45" si="27">+P35-T35</f>
        <v>-19487.07842999998</v>
      </c>
      <c r="Y35" s="1"/>
      <c r="Z35" s="5">
        <f t="shared" ref="Z35:Z45" si="28">IF(T35=0,0,X35/T35)</f>
        <v>-0.152135225855938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3120</v>
      </c>
      <c r="E37" s="2"/>
      <c r="F37" s="7">
        <f t="shared" si="21"/>
        <v>0</v>
      </c>
      <c r="G37" s="2"/>
      <c r="H37" s="6">
        <v>3559.68</v>
      </c>
      <c r="I37" s="2"/>
      <c r="J37" s="7">
        <f t="shared" si="22"/>
        <v>0.24549517241379309</v>
      </c>
      <c r="K37" s="2"/>
      <c r="L37" s="6">
        <f t="shared" si="23"/>
        <v>-439.67999999999984</v>
      </c>
      <c r="M37" s="2"/>
      <c r="N37" s="7">
        <f t="shared" si="24"/>
        <v>-0.1235167206040992</v>
      </c>
      <c r="O37" s="11"/>
      <c r="P37" s="6">
        <v>40384</v>
      </c>
      <c r="Q37" s="2"/>
      <c r="R37" s="7">
        <f t="shared" si="25"/>
        <v>6.7650018699072251E-2</v>
      </c>
      <c r="S37" s="2"/>
      <c r="T37" s="6">
        <v>46275.839999999997</v>
      </c>
      <c r="U37" s="2"/>
      <c r="V37" s="7">
        <f t="shared" si="26"/>
        <v>5.9712595044854273E-2</v>
      </c>
      <c r="W37" s="2"/>
      <c r="X37" s="6">
        <f t="shared" si="27"/>
        <v>-5891.8399999999965</v>
      </c>
      <c r="Y37" s="2"/>
      <c r="Z37" s="7">
        <f t="shared" si="28"/>
        <v>-0.12732000110640881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>
        <v>254.64</v>
      </c>
      <c r="Q39" s="2"/>
      <c r="R39" s="7">
        <f t="shared" si="25"/>
        <v>4.2656499508547338E-4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254.64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23945.94</v>
      </c>
      <c r="Q40" s="2"/>
      <c r="R40" s="7">
        <f t="shared" si="25"/>
        <v>4.0113492689353755E-2</v>
      </c>
      <c r="S40" s="2"/>
      <c r="T40" s="6">
        <v>15224.809600000001</v>
      </c>
      <c r="U40" s="2"/>
      <c r="V40" s="7">
        <f t="shared" si="26"/>
        <v>1.9645518920452007E-2</v>
      </c>
      <c r="W40" s="2"/>
      <c r="X40" s="6">
        <f t="shared" si="27"/>
        <v>8721.1303999999982</v>
      </c>
      <c r="Y40" s="2"/>
      <c r="Z40" s="7">
        <f t="shared" si="28"/>
        <v>0.57282361022104333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1669.6125</v>
      </c>
      <c r="I42" s="2"/>
      <c r="J42" s="7">
        <f t="shared" si="22"/>
        <v>0.11514568965517241</v>
      </c>
      <c r="K42" s="2"/>
      <c r="L42" s="6">
        <f t="shared" si="23"/>
        <v>-1669.6125</v>
      </c>
      <c r="M42" s="2"/>
      <c r="N42" s="7">
        <f t="shared" si="24"/>
        <v>-1</v>
      </c>
      <c r="O42" s="11"/>
      <c r="P42" s="6">
        <v>40507.550000000003</v>
      </c>
      <c r="Q42" s="2"/>
      <c r="R42" s="7">
        <f t="shared" si="25"/>
        <v>6.7856985810063497E-2</v>
      </c>
      <c r="S42" s="2"/>
      <c r="T42" s="6">
        <v>5039.7562499999995</v>
      </c>
      <c r="U42" s="2"/>
      <c r="V42" s="7">
        <f t="shared" si="26"/>
        <v>6.5031109987635739E-3</v>
      </c>
      <c r="W42" s="2"/>
      <c r="X42" s="6">
        <f t="shared" si="27"/>
        <v>35467.793750000004</v>
      </c>
      <c r="Y42" s="2"/>
      <c r="Z42" s="7">
        <f t="shared" si="28"/>
        <v>7.0376010248511536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3511.3</v>
      </c>
      <c r="Q43" s="2"/>
      <c r="R43" s="7">
        <f t="shared" si="25"/>
        <v>5.882020370890759E-3</v>
      </c>
      <c r="S43" s="2"/>
      <c r="T43" s="6">
        <v>61550.102579999999</v>
      </c>
      <c r="U43" s="2"/>
      <c r="V43" s="7">
        <f t="shared" si="26"/>
        <v>7.9421926221734288E-2</v>
      </c>
      <c r="W43" s="2"/>
      <c r="X43" s="6">
        <f t="shared" si="27"/>
        <v>-58038.802579999996</v>
      </c>
      <c r="Y43" s="2"/>
      <c r="Z43" s="7">
        <f t="shared" si="28"/>
        <v>-0.94295216656322911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6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55" si="29">IF(D$12=0,0,D46/D$12)</f>
        <v>0</v>
      </c>
      <c r="G46" s="1"/>
      <c r="H46" s="1">
        <f>SUM(OSRRefH22_2x_0)</f>
        <v>75</v>
      </c>
      <c r="I46" s="1"/>
      <c r="J46" s="5">
        <f t="shared" ref="J46:J55" si="30">IF(H$12=0,0,H46/H$12)</f>
        <v>5.1724137931034482E-3</v>
      </c>
      <c r="K46" s="1"/>
      <c r="L46" s="1">
        <f t="shared" ref="L46:L55" si="31">+D46-H46</f>
        <v>-75</v>
      </c>
      <c r="M46" s="1"/>
      <c r="N46" s="5">
        <f t="shared" ref="N46:N55" si="32">IF(H46=0,0,L46/H46)</f>
        <v>-1</v>
      </c>
      <c r="O46" s="12"/>
      <c r="P46" s="1">
        <f>SUM(OSRRefP22_2x_0)</f>
        <v>968.17</v>
      </c>
      <c r="Q46" s="1"/>
      <c r="R46" s="5">
        <f t="shared" ref="R46:R55" si="33">IF(P$12=0,0,P46/P$12)</f>
        <v>1.6218482221642427E-3</v>
      </c>
      <c r="S46" s="1"/>
      <c r="T46" s="1">
        <f>SUM(OSRRefT22_2x_0)</f>
        <v>1350</v>
      </c>
      <c r="U46" s="1"/>
      <c r="V46" s="5">
        <f t="shared" ref="V46:V55" si="34">IF(T$12=0,0,T46/T$12)</f>
        <v>1.7419889797906051E-3</v>
      </c>
      <c r="W46" s="1"/>
      <c r="X46" s="1">
        <f t="shared" ref="X46:X55" si="35">+P46-T46</f>
        <v>-381.83000000000004</v>
      </c>
      <c r="Y46" s="1"/>
      <c r="Z46" s="5">
        <f t="shared" ref="Z46:Z55" si="36">IF(T46=0,0,X46/T46)</f>
        <v>-0.28283703703703705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75</v>
      </c>
      <c r="I47" s="2"/>
      <c r="J47" s="7">
        <f t="shared" si="30"/>
        <v>5.1724137931034482E-3</v>
      </c>
      <c r="K47" s="2"/>
      <c r="L47" s="6">
        <f t="shared" si="31"/>
        <v>-75</v>
      </c>
      <c r="M47" s="2"/>
      <c r="N47" s="7">
        <f t="shared" si="32"/>
        <v>-1</v>
      </c>
      <c r="O47" s="11"/>
      <c r="P47" s="6">
        <v>968.17</v>
      </c>
      <c r="Q47" s="2"/>
      <c r="R47" s="7">
        <f t="shared" si="33"/>
        <v>1.6218482221642427E-3</v>
      </c>
      <c r="S47" s="2"/>
      <c r="T47" s="6">
        <v>1350</v>
      </c>
      <c r="U47" s="2"/>
      <c r="V47" s="7">
        <f t="shared" si="34"/>
        <v>1.7419889797906051E-3</v>
      </c>
      <c r="W47" s="2"/>
      <c r="X47" s="6">
        <f t="shared" si="35"/>
        <v>-381.83000000000004</v>
      </c>
      <c r="Y47" s="2"/>
      <c r="Z47" s="7">
        <f t="shared" si="36"/>
        <v>-0.28283703703703705</v>
      </c>
    </row>
    <row r="48" spans="1:26" s="26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10</v>
      </c>
      <c r="I48" s="1"/>
      <c r="J48" s="5">
        <f t="shared" si="30"/>
        <v>6.8965517241379305E-4</v>
      </c>
      <c r="K48" s="1"/>
      <c r="L48" s="1">
        <f t="shared" si="31"/>
        <v>-10</v>
      </c>
      <c r="M48" s="1"/>
      <c r="N48" s="5">
        <f t="shared" si="32"/>
        <v>-1</v>
      </c>
      <c r="O48" s="12"/>
      <c r="P48" s="1">
        <f>SUM(OSRRefP22_3x_0)</f>
        <v>-84.11</v>
      </c>
      <c r="Q48" s="1"/>
      <c r="R48" s="5">
        <f t="shared" si="33"/>
        <v>-1.4089845168331435E-4</v>
      </c>
      <c r="S48" s="1"/>
      <c r="T48" s="1">
        <f>SUM(OSRRefT22_3x_0)</f>
        <v>120</v>
      </c>
      <c r="U48" s="1"/>
      <c r="V48" s="5">
        <f t="shared" si="34"/>
        <v>1.54843464870276E-4</v>
      </c>
      <c r="W48" s="1"/>
      <c r="X48" s="1">
        <f t="shared" si="35"/>
        <v>-204.11</v>
      </c>
      <c r="Y48" s="1"/>
      <c r="Z48" s="5">
        <f t="shared" si="36"/>
        <v>-1.7009166666666669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10</v>
      </c>
      <c r="I49" s="2"/>
      <c r="J49" s="7">
        <f t="shared" si="30"/>
        <v>6.8965517241379305E-4</v>
      </c>
      <c r="K49" s="2"/>
      <c r="L49" s="6">
        <f t="shared" si="31"/>
        <v>-10</v>
      </c>
      <c r="M49" s="2"/>
      <c r="N49" s="7">
        <f t="shared" si="32"/>
        <v>-1</v>
      </c>
      <c r="O49" s="11"/>
      <c r="P49" s="6">
        <v>-84.11</v>
      </c>
      <c r="Q49" s="2"/>
      <c r="R49" s="7">
        <f t="shared" si="33"/>
        <v>-1.4089845168331435E-4</v>
      </c>
      <c r="S49" s="2"/>
      <c r="T49" s="6">
        <v>120</v>
      </c>
      <c r="U49" s="2"/>
      <c r="V49" s="7">
        <f t="shared" si="34"/>
        <v>1.54843464870276E-4</v>
      </c>
      <c r="W49" s="2"/>
      <c r="X49" s="6">
        <f t="shared" si="35"/>
        <v>-204.11</v>
      </c>
      <c r="Y49" s="2"/>
      <c r="Z49" s="7">
        <f t="shared" si="36"/>
        <v>-1.7009166666666669</v>
      </c>
    </row>
    <row r="50" spans="1:26" s="26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375</v>
      </c>
      <c r="I50" s="1"/>
      <c r="J50" s="5">
        <f t="shared" si="30"/>
        <v>2.5862068965517241E-2</v>
      </c>
      <c r="K50" s="1"/>
      <c r="L50" s="1">
        <f t="shared" si="31"/>
        <v>-375</v>
      </c>
      <c r="M50" s="1"/>
      <c r="N50" s="5">
        <f t="shared" si="32"/>
        <v>-1</v>
      </c>
      <c r="O50" s="12"/>
      <c r="P50" s="1">
        <f>SUM(OSRRefP22_4x_0)</f>
        <v>22867.9</v>
      </c>
      <c r="Q50" s="1"/>
      <c r="R50" s="5">
        <f t="shared" si="33"/>
        <v>3.8307593666019074E-2</v>
      </c>
      <c r="S50" s="1"/>
      <c r="T50" s="1">
        <f>SUM(OSRRefT22_4x_0)</f>
        <v>28008</v>
      </c>
      <c r="U50" s="1"/>
      <c r="V50" s="5">
        <f t="shared" si="34"/>
        <v>3.6140464700722422E-2</v>
      </c>
      <c r="W50" s="1"/>
      <c r="X50" s="1">
        <f t="shared" si="35"/>
        <v>-5140.0999999999985</v>
      </c>
      <c r="Y50" s="1"/>
      <c r="Z50" s="5">
        <f t="shared" si="36"/>
        <v>-0.18352256498143382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/>
      <c r="E51" s="2"/>
      <c r="F51" s="7">
        <f t="shared" si="29"/>
        <v>0</v>
      </c>
      <c r="G51" s="2"/>
      <c r="H51" s="6">
        <v>375</v>
      </c>
      <c r="I51" s="2"/>
      <c r="J51" s="7">
        <f t="shared" si="30"/>
        <v>2.5862068965517241E-2</v>
      </c>
      <c r="K51" s="2"/>
      <c r="L51" s="6">
        <f t="shared" si="31"/>
        <v>-375</v>
      </c>
      <c r="M51" s="2"/>
      <c r="N51" s="7">
        <f t="shared" si="32"/>
        <v>-1</v>
      </c>
      <c r="O51" s="11"/>
      <c r="P51" s="6">
        <v>22867.9</v>
      </c>
      <c r="Q51" s="2"/>
      <c r="R51" s="7">
        <f t="shared" si="33"/>
        <v>3.8307593666019074E-2</v>
      </c>
      <c r="S51" s="2"/>
      <c r="T51" s="6">
        <v>28008</v>
      </c>
      <c r="U51" s="2"/>
      <c r="V51" s="7">
        <f t="shared" si="34"/>
        <v>3.6140464700722422E-2</v>
      </c>
      <c r="W51" s="2"/>
      <c r="X51" s="6">
        <f t="shared" si="35"/>
        <v>-5140.0999999999985</v>
      </c>
      <c r="Y51" s="2"/>
      <c r="Z51" s="7">
        <f t="shared" si="36"/>
        <v>-0.18352256498143382</v>
      </c>
    </row>
    <row r="52" spans="1:26" s="26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5582.48</v>
      </c>
      <c r="E52" s="1"/>
      <c r="F52" s="5">
        <f t="shared" si="29"/>
        <v>0</v>
      </c>
      <c r="G52" s="1"/>
      <c r="H52" s="1">
        <f>SUM(OSRRefH22_5x_0)</f>
        <v>6026</v>
      </c>
      <c r="I52" s="1"/>
      <c r="J52" s="5">
        <f t="shared" si="30"/>
        <v>0.41558620689655174</v>
      </c>
      <c r="K52" s="1"/>
      <c r="L52" s="1">
        <f t="shared" si="31"/>
        <v>-443.52000000000044</v>
      </c>
      <c r="M52" s="1"/>
      <c r="N52" s="5">
        <f t="shared" si="32"/>
        <v>-7.3601062064387726E-2</v>
      </c>
      <c r="O52" s="12"/>
      <c r="P52" s="1">
        <f>SUM(OSRRefP22_5x_0)</f>
        <v>66220.14</v>
      </c>
      <c r="Q52" s="1"/>
      <c r="R52" s="5">
        <f t="shared" si="33"/>
        <v>0.11092991554217468</v>
      </c>
      <c r="S52" s="1"/>
      <c r="T52" s="1">
        <f>SUM(OSRRefT22_5x_0)</f>
        <v>70701</v>
      </c>
      <c r="U52" s="1"/>
      <c r="V52" s="5">
        <f t="shared" si="34"/>
        <v>9.122989841494486E-2</v>
      </c>
      <c r="W52" s="1"/>
      <c r="X52" s="1">
        <f t="shared" si="35"/>
        <v>-4480.8600000000006</v>
      </c>
      <c r="Y52" s="1"/>
      <c r="Z52" s="5">
        <f t="shared" si="36"/>
        <v>-6.3377604277167238E-2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5080.4799999999996</v>
      </c>
      <c r="E53" s="2"/>
      <c r="F53" s="7">
        <f t="shared" si="29"/>
        <v>0</v>
      </c>
      <c r="G53" s="2"/>
      <c r="H53" s="6">
        <v>5081</v>
      </c>
      <c r="I53" s="2"/>
      <c r="J53" s="7">
        <f t="shared" si="30"/>
        <v>0.35041379310344828</v>
      </c>
      <c r="K53" s="2"/>
      <c r="L53" s="6">
        <f t="shared" si="31"/>
        <v>-0.52000000000043656</v>
      </c>
      <c r="M53" s="2"/>
      <c r="N53" s="7">
        <f t="shared" si="32"/>
        <v>-1.02342058649958E-4</v>
      </c>
      <c r="O53" s="11"/>
      <c r="P53" s="6">
        <v>60966.09</v>
      </c>
      <c r="Q53" s="2"/>
      <c r="R53" s="7">
        <f t="shared" si="33"/>
        <v>0.10212849466395903</v>
      </c>
      <c r="S53" s="2"/>
      <c r="T53" s="6">
        <v>60972</v>
      </c>
      <c r="U53" s="2"/>
      <c r="V53" s="7">
        <f t="shared" si="34"/>
        <v>7.8675964500587239E-2</v>
      </c>
      <c r="W53" s="2"/>
      <c r="X53" s="6">
        <f t="shared" si="35"/>
        <v>-5.9100000000034925</v>
      </c>
      <c r="Y53" s="2"/>
      <c r="Z53" s="7">
        <f t="shared" si="36"/>
        <v>-9.6929738240561123E-5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502</v>
      </c>
      <c r="E54" s="2"/>
      <c r="F54" s="7">
        <f t="shared" si="29"/>
        <v>0</v>
      </c>
      <c r="G54" s="2"/>
      <c r="H54" s="6">
        <v>348</v>
      </c>
      <c r="I54" s="2"/>
      <c r="J54" s="7">
        <f t="shared" si="30"/>
        <v>2.4E-2</v>
      </c>
      <c r="K54" s="2"/>
      <c r="L54" s="6">
        <f t="shared" si="31"/>
        <v>154</v>
      </c>
      <c r="M54" s="2"/>
      <c r="N54" s="7">
        <f t="shared" si="32"/>
        <v>0.44252873563218392</v>
      </c>
      <c r="O54" s="11"/>
      <c r="P54" s="6">
        <v>5254.05</v>
      </c>
      <c r="Q54" s="2"/>
      <c r="R54" s="7">
        <f t="shared" si="33"/>
        <v>8.8014208782156433E-3</v>
      </c>
      <c r="S54" s="2"/>
      <c r="T54" s="6">
        <v>4176</v>
      </c>
      <c r="U54" s="2"/>
      <c r="V54" s="7">
        <f t="shared" si="34"/>
        <v>5.3885525774856049E-3</v>
      </c>
      <c r="W54" s="2"/>
      <c r="X54" s="6">
        <f t="shared" si="35"/>
        <v>1078.0500000000002</v>
      </c>
      <c r="Y54" s="2"/>
      <c r="Z54" s="7">
        <f t="shared" si="36"/>
        <v>0.25815373563218397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597</v>
      </c>
      <c r="I55" s="2"/>
      <c r="J55" s="7">
        <f t="shared" si="30"/>
        <v>4.1172413793103449E-2</v>
      </c>
      <c r="K55" s="2"/>
      <c r="L55" s="6">
        <f t="shared" si="31"/>
        <v>-597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5553</v>
      </c>
      <c r="U55" s="2"/>
      <c r="V55" s="7">
        <f t="shared" si="34"/>
        <v>7.1653813368720218E-3</v>
      </c>
      <c r="W55" s="2"/>
      <c r="X55" s="6">
        <f t="shared" si="35"/>
        <v>-5553</v>
      </c>
      <c r="Y55" s="2"/>
      <c r="Z55" s="7">
        <f t="shared" si="36"/>
        <v>-1</v>
      </c>
    </row>
    <row r="56" spans="1:26" s="26" customFormat="1" outlineLevel="1" collapsed="1" x14ac:dyDescent="0.25">
      <c r="A56" s="25"/>
      <c r="B56" s="12" t="str">
        <f>CONCATENATE("     ","Employees' Appreciation                           ")</f>
        <v xml:space="preserve">     Employees' Appreciation                           </v>
      </c>
      <c r="C56" s="12"/>
      <c r="D56" s="1">
        <f>SUM(OSRRefD22_6x_0)</f>
        <v>0</v>
      </c>
      <c r="E56" s="1"/>
      <c r="F56" s="5">
        <f t="shared" ref="F56:F69" si="37">IF(D$12=0,0,D56/D$12)</f>
        <v>0</v>
      </c>
      <c r="G56" s="1"/>
      <c r="H56" s="1">
        <f>SUM(OSRRefH22_6x_0)</f>
        <v>25</v>
      </c>
      <c r="I56" s="1"/>
      <c r="J56" s="5">
        <f t="shared" ref="J56:J69" si="38">IF(H$12=0,0,H56/H$12)</f>
        <v>1.7241379310344827E-3</v>
      </c>
      <c r="K56" s="1"/>
      <c r="L56" s="1">
        <f t="shared" ref="L56:L69" si="39">+D56-H56</f>
        <v>-25</v>
      </c>
      <c r="M56" s="1"/>
      <c r="N56" s="5">
        <f t="shared" ref="N56:N69" si="40">IF(H56=0,0,L56/H56)</f>
        <v>-1</v>
      </c>
      <c r="O56" s="12"/>
      <c r="P56" s="1">
        <f>SUM(OSRRefP22_6x_0)</f>
        <v>101.58</v>
      </c>
      <c r="Q56" s="1"/>
      <c r="R56" s="5">
        <f t="shared" ref="R56:R69" si="41">IF(P$12=0,0,P56/P$12)</f>
        <v>1.7016365143254157E-4</v>
      </c>
      <c r="S56" s="1"/>
      <c r="T56" s="1">
        <f>SUM(OSRRefT22_6x_0)</f>
        <v>300</v>
      </c>
      <c r="U56" s="1"/>
      <c r="V56" s="5">
        <f t="shared" ref="V56:V69" si="42">IF(T$12=0,0,T56/T$12)</f>
        <v>3.8710866217568998E-4</v>
      </c>
      <c r="W56" s="1"/>
      <c r="X56" s="1">
        <f t="shared" ref="X56:X69" si="43">+P56-T56</f>
        <v>-198.42000000000002</v>
      </c>
      <c r="Y56" s="1"/>
      <c r="Z56" s="5">
        <f t="shared" ref="Z56:Z69" si="44">IF(T56=0,0,X56/T56)</f>
        <v>-0.6614000000000001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7"/>
        <v>0</v>
      </c>
      <c r="G57" s="2"/>
      <c r="H57" s="6">
        <v>25</v>
      </c>
      <c r="I57" s="2"/>
      <c r="J57" s="7">
        <f t="shared" si="38"/>
        <v>1.7241379310344827E-3</v>
      </c>
      <c r="K57" s="2"/>
      <c r="L57" s="6">
        <f t="shared" si="39"/>
        <v>-25</v>
      </c>
      <c r="M57" s="2"/>
      <c r="N57" s="7">
        <f t="shared" si="40"/>
        <v>-1</v>
      </c>
      <c r="O57" s="11"/>
      <c r="P57" s="6">
        <v>101.58</v>
      </c>
      <c r="Q57" s="2"/>
      <c r="R57" s="7">
        <f t="shared" si="41"/>
        <v>1.7016365143254157E-4</v>
      </c>
      <c r="S57" s="2"/>
      <c r="T57" s="6">
        <v>300</v>
      </c>
      <c r="U57" s="2"/>
      <c r="V57" s="7">
        <f t="shared" si="42"/>
        <v>3.8710866217568998E-4</v>
      </c>
      <c r="W57" s="2"/>
      <c r="X57" s="6">
        <f t="shared" si="43"/>
        <v>-198.42000000000002</v>
      </c>
      <c r="Y57" s="2"/>
      <c r="Z57" s="7">
        <f t="shared" si="44"/>
        <v>-0.6614000000000001</v>
      </c>
    </row>
    <row r="58" spans="1:26" s="26" customFormat="1" outlineLevel="1" collapsed="1" x14ac:dyDescent="0.25">
      <c r="A58" s="25"/>
      <c r="B58" s="12" t="str">
        <f>CONCATENATE("     ","Equipment Rental                                  ")</f>
        <v xml:space="preserve">     Equipment Rental                                  </v>
      </c>
      <c r="C58" s="12"/>
      <c r="D58" s="1">
        <f>SUM(OSRRefD22_7x_0)</f>
        <v>36.270000000000003</v>
      </c>
      <c r="E58" s="1"/>
      <c r="F58" s="5">
        <f t="shared" si="37"/>
        <v>0</v>
      </c>
      <c r="G58" s="1"/>
      <c r="H58" s="1">
        <f>SUM(OSRRefH22_7x_0)</f>
        <v>80</v>
      </c>
      <c r="I58" s="1"/>
      <c r="J58" s="5">
        <f t="shared" si="38"/>
        <v>5.5172413793103444E-3</v>
      </c>
      <c r="K58" s="1"/>
      <c r="L58" s="1">
        <f t="shared" si="39"/>
        <v>-43.73</v>
      </c>
      <c r="M58" s="1"/>
      <c r="N58" s="5">
        <f t="shared" si="40"/>
        <v>-0.54662499999999992</v>
      </c>
      <c r="O58" s="12"/>
      <c r="P58" s="1">
        <f>SUM(OSRRefP22_7x_0)</f>
        <v>1010.39</v>
      </c>
      <c r="Q58" s="1"/>
      <c r="R58" s="5">
        <f t="shared" si="41"/>
        <v>1.6925738508655806E-3</v>
      </c>
      <c r="S58" s="1"/>
      <c r="T58" s="1">
        <f>SUM(OSRRefT22_7x_0)</f>
        <v>960</v>
      </c>
      <c r="U58" s="1"/>
      <c r="V58" s="5">
        <f t="shared" si="42"/>
        <v>1.238747718962208E-3</v>
      </c>
      <c r="W58" s="1"/>
      <c r="X58" s="1">
        <f t="shared" si="43"/>
        <v>50.389999999999986</v>
      </c>
      <c r="Y58" s="1"/>
      <c r="Z58" s="5">
        <f t="shared" si="44"/>
        <v>5.2489583333333319E-2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36.270000000000003</v>
      </c>
      <c r="E59" s="2"/>
      <c r="F59" s="7">
        <f t="shared" si="37"/>
        <v>0</v>
      </c>
      <c r="G59" s="2"/>
      <c r="H59" s="6">
        <v>80</v>
      </c>
      <c r="I59" s="2"/>
      <c r="J59" s="7">
        <f t="shared" si="38"/>
        <v>5.5172413793103444E-3</v>
      </c>
      <c r="K59" s="2"/>
      <c r="L59" s="6">
        <f t="shared" si="39"/>
        <v>-43.73</v>
      </c>
      <c r="M59" s="2"/>
      <c r="N59" s="7">
        <f t="shared" si="40"/>
        <v>-0.54662499999999992</v>
      </c>
      <c r="O59" s="11"/>
      <c r="P59" s="6">
        <v>1010.39</v>
      </c>
      <c r="Q59" s="2"/>
      <c r="R59" s="7">
        <f t="shared" si="41"/>
        <v>1.6925738508655806E-3</v>
      </c>
      <c r="S59" s="2"/>
      <c r="T59" s="6">
        <v>960</v>
      </c>
      <c r="U59" s="2"/>
      <c r="V59" s="7">
        <f t="shared" si="42"/>
        <v>1.238747718962208E-3</v>
      </c>
      <c r="W59" s="2"/>
      <c r="X59" s="6">
        <f t="shared" si="43"/>
        <v>50.389999999999986</v>
      </c>
      <c r="Y59" s="2"/>
      <c r="Z59" s="7">
        <f t="shared" si="44"/>
        <v>5.2489583333333319E-2</v>
      </c>
    </row>
    <row r="60" spans="1:26" s="26" customFormat="1" outlineLevel="1" collapsed="1" x14ac:dyDescent="0.25">
      <c r="A60" s="25"/>
      <c r="B60" s="12" t="str">
        <f>CONCATENATE("     ","General                                           ")</f>
        <v xml:space="preserve">     General                                           </v>
      </c>
      <c r="C60" s="12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2"/>
      <c r="P60" s="1">
        <f>SUM(OSRRefP22_8x_0)</f>
        <v>1345.73</v>
      </c>
      <c r="Q60" s="1"/>
      <c r="R60" s="5">
        <f t="shared" si="41"/>
        <v>2.2543249718676331E-3</v>
      </c>
      <c r="S60" s="1"/>
      <c r="T60" s="1">
        <f>SUM(OSRRefT22_8x_0)</f>
        <v>800</v>
      </c>
      <c r="U60" s="1"/>
      <c r="V60" s="5">
        <f t="shared" si="42"/>
        <v>1.0322897658018399E-3</v>
      </c>
      <c r="W60" s="1"/>
      <c r="X60" s="1">
        <f t="shared" si="43"/>
        <v>545.73</v>
      </c>
      <c r="Y60" s="1"/>
      <c r="Z60" s="5">
        <f t="shared" si="44"/>
        <v>0.6821625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1345.73</v>
      </c>
      <c r="Q61" s="2"/>
      <c r="R61" s="7">
        <f t="shared" si="41"/>
        <v>2.2543249718676331E-3</v>
      </c>
      <c r="S61" s="2"/>
      <c r="T61" s="6">
        <v>800</v>
      </c>
      <c r="U61" s="2"/>
      <c r="V61" s="7">
        <f t="shared" si="42"/>
        <v>1.0322897658018399E-3</v>
      </c>
      <c r="W61" s="2"/>
      <c r="X61" s="6">
        <f t="shared" si="43"/>
        <v>545.73</v>
      </c>
      <c r="Y61" s="2"/>
      <c r="Z61" s="7">
        <f t="shared" si="44"/>
        <v>0.6821625</v>
      </c>
    </row>
    <row r="62" spans="1:26" s="26" customFormat="1" outlineLevel="1" collapsed="1" x14ac:dyDescent="0.25">
      <c r="A62" s="25"/>
      <c r="B62" s="12" t="str">
        <f>CONCATENATE("     ","Insurance                                         ")</f>
        <v xml:space="preserve">     Insurance                                         </v>
      </c>
      <c r="C62" s="12"/>
      <c r="D62" s="1">
        <f>SUM(OSRRefD22_9x_0)</f>
        <v>243.54</v>
      </c>
      <c r="E62" s="1"/>
      <c r="F62" s="5">
        <f t="shared" si="37"/>
        <v>0</v>
      </c>
      <c r="G62" s="1"/>
      <c r="H62" s="1">
        <f>SUM(OSRRefH22_9x_0)</f>
        <v>230</v>
      </c>
      <c r="I62" s="1"/>
      <c r="J62" s="5">
        <f t="shared" si="38"/>
        <v>1.5862068965517243E-2</v>
      </c>
      <c r="K62" s="1"/>
      <c r="L62" s="1">
        <f t="shared" si="39"/>
        <v>13.539999999999992</v>
      </c>
      <c r="M62" s="1"/>
      <c r="N62" s="5">
        <f t="shared" si="40"/>
        <v>5.886956521739127E-2</v>
      </c>
      <c r="O62" s="12"/>
      <c r="P62" s="1">
        <f>SUM(OSRRefP22_9x_0)</f>
        <v>2922.48</v>
      </c>
      <c r="Q62" s="1"/>
      <c r="R62" s="5">
        <f t="shared" si="41"/>
        <v>4.8956474506652303E-3</v>
      </c>
      <c r="S62" s="1"/>
      <c r="T62" s="1">
        <f>SUM(OSRRefT22_9x_0)</f>
        <v>2760</v>
      </c>
      <c r="U62" s="1"/>
      <c r="V62" s="5">
        <f t="shared" si="42"/>
        <v>3.5613996920163481E-3</v>
      </c>
      <c r="W62" s="1"/>
      <c r="X62" s="1">
        <f t="shared" si="43"/>
        <v>162.48000000000002</v>
      </c>
      <c r="Y62" s="1"/>
      <c r="Z62" s="5">
        <f t="shared" si="44"/>
        <v>5.8869565217391312E-2</v>
      </c>
    </row>
    <row r="63" spans="1:26" s="24" customFormat="1" hidden="1" outlineLevel="2" x14ac:dyDescent="0.25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243.54</v>
      </c>
      <c r="E63" s="2"/>
      <c r="F63" s="7">
        <f t="shared" si="37"/>
        <v>0</v>
      </c>
      <c r="G63" s="2"/>
      <c r="H63" s="6">
        <v>230</v>
      </c>
      <c r="I63" s="2"/>
      <c r="J63" s="7">
        <f t="shared" si="38"/>
        <v>1.5862068965517243E-2</v>
      </c>
      <c r="K63" s="2"/>
      <c r="L63" s="6">
        <f t="shared" si="39"/>
        <v>13.539999999999992</v>
      </c>
      <c r="M63" s="2"/>
      <c r="N63" s="7">
        <f t="shared" si="40"/>
        <v>5.886956521739127E-2</v>
      </c>
      <c r="O63" s="11"/>
      <c r="P63" s="6">
        <v>2922.48</v>
      </c>
      <c r="Q63" s="2"/>
      <c r="R63" s="7">
        <f t="shared" si="41"/>
        <v>4.8956474506652303E-3</v>
      </c>
      <c r="S63" s="2"/>
      <c r="T63" s="6">
        <v>2760</v>
      </c>
      <c r="U63" s="2"/>
      <c r="V63" s="7">
        <f t="shared" si="42"/>
        <v>3.5613996920163481E-3</v>
      </c>
      <c r="W63" s="2"/>
      <c r="X63" s="6">
        <f t="shared" si="43"/>
        <v>162.48000000000002</v>
      </c>
      <c r="Y63" s="2"/>
      <c r="Z63" s="7">
        <f t="shared" si="44"/>
        <v>5.8869565217391312E-2</v>
      </c>
    </row>
    <row r="64" spans="1:26" s="26" customFormat="1" outlineLevel="1" collapsed="1" x14ac:dyDescent="0.25">
      <c r="A64" s="25"/>
      <c r="B64" s="12" t="str">
        <f>CONCATENATE("     ","Interest                                          ")</f>
        <v xml:space="preserve">     Interest                                          </v>
      </c>
      <c r="C64" s="12"/>
      <c r="D64" s="1">
        <f>SUM(OSRRefD22_10x_0)</f>
        <v>4175</v>
      </c>
      <c r="E64" s="1"/>
      <c r="F64" s="5">
        <f t="shared" si="37"/>
        <v>0</v>
      </c>
      <c r="G64" s="1"/>
      <c r="H64" s="1">
        <f>SUM(OSRRefH22_10x_0)</f>
        <v>4044</v>
      </c>
      <c r="I64" s="1"/>
      <c r="J64" s="5">
        <f t="shared" si="38"/>
        <v>0.27889655172413791</v>
      </c>
      <c r="K64" s="1"/>
      <c r="L64" s="1">
        <f t="shared" si="39"/>
        <v>131</v>
      </c>
      <c r="M64" s="1"/>
      <c r="N64" s="5">
        <f t="shared" si="40"/>
        <v>3.2393669634025714E-2</v>
      </c>
      <c r="O64" s="12"/>
      <c r="P64" s="1">
        <f>SUM(OSRRefP22_10x_0)</f>
        <v>48843.77</v>
      </c>
      <c r="Q64" s="1"/>
      <c r="R64" s="5">
        <f t="shared" si="41"/>
        <v>8.1821561852049918E-2</v>
      </c>
      <c r="S64" s="1"/>
      <c r="T64" s="1">
        <f>SUM(OSRRefT22_10x_0)</f>
        <v>49840</v>
      </c>
      <c r="U64" s="1"/>
      <c r="V64" s="5">
        <f t="shared" si="42"/>
        <v>6.4311652409454634E-2</v>
      </c>
      <c r="W64" s="1"/>
      <c r="X64" s="1">
        <f t="shared" si="43"/>
        <v>-996.2300000000032</v>
      </c>
      <c r="Y64" s="1"/>
      <c r="Z64" s="5">
        <f t="shared" si="44"/>
        <v>-1.998856340288931E-2</v>
      </c>
    </row>
    <row r="65" spans="1:26" s="24" customFormat="1" hidden="1" outlineLevel="2" x14ac:dyDescent="0.25">
      <c r="A65" s="27"/>
      <c r="B65" s="11" t="str">
        <f>CONCATENATE("          ", "6401", " - ", "INTEREST EXPENSE")</f>
        <v xml:space="preserve">          6401 - INTEREST EXPENSE</v>
      </c>
      <c r="C65" s="11"/>
      <c r="D65" s="6">
        <v>4175</v>
      </c>
      <c r="E65" s="2"/>
      <c r="F65" s="7">
        <f t="shared" si="37"/>
        <v>0</v>
      </c>
      <c r="G65" s="2"/>
      <c r="H65" s="6">
        <v>4044</v>
      </c>
      <c r="I65" s="2"/>
      <c r="J65" s="7">
        <f t="shared" si="38"/>
        <v>0.27889655172413791</v>
      </c>
      <c r="K65" s="2"/>
      <c r="L65" s="6">
        <f t="shared" si="39"/>
        <v>131</v>
      </c>
      <c r="M65" s="2"/>
      <c r="N65" s="7">
        <f t="shared" si="40"/>
        <v>3.2393669634025714E-2</v>
      </c>
      <c r="O65" s="11"/>
      <c r="P65" s="6">
        <v>48843.77</v>
      </c>
      <c r="Q65" s="2"/>
      <c r="R65" s="7">
        <f t="shared" si="41"/>
        <v>8.1821561852049918E-2</v>
      </c>
      <c r="S65" s="2"/>
      <c r="T65" s="6">
        <v>49840</v>
      </c>
      <c r="U65" s="2"/>
      <c r="V65" s="7">
        <f t="shared" si="42"/>
        <v>6.4311652409454634E-2</v>
      </c>
      <c r="W65" s="2"/>
      <c r="X65" s="6">
        <f t="shared" si="43"/>
        <v>-996.2300000000032</v>
      </c>
      <c r="Y65" s="2"/>
      <c r="Z65" s="7">
        <f t="shared" si="44"/>
        <v>-1.998856340288931E-2</v>
      </c>
    </row>
    <row r="66" spans="1:26" s="26" customFormat="1" outlineLevel="1" collapsed="1" x14ac:dyDescent="0.25">
      <c r="A66" s="25"/>
      <c r="B66" s="12" t="str">
        <f>CONCATENATE("     ","Repair and Maintenance                            ")</f>
        <v xml:space="preserve">     Repair and Maintenance                            </v>
      </c>
      <c r="C66" s="12"/>
      <c r="D66" s="1">
        <f>SUM(OSRRefD22_11x_0)</f>
        <v>108.52</v>
      </c>
      <c r="E66" s="1"/>
      <c r="F66" s="5">
        <f t="shared" si="37"/>
        <v>0</v>
      </c>
      <c r="G66" s="1"/>
      <c r="H66" s="1">
        <f>SUM(OSRRefH22_11x_0)</f>
        <v>200</v>
      </c>
      <c r="I66" s="1"/>
      <c r="J66" s="5">
        <f t="shared" si="38"/>
        <v>1.3793103448275862E-2</v>
      </c>
      <c r="K66" s="1"/>
      <c r="L66" s="1">
        <f t="shared" si="39"/>
        <v>-91.48</v>
      </c>
      <c r="M66" s="1"/>
      <c r="N66" s="5">
        <f t="shared" si="40"/>
        <v>-0.45740000000000003</v>
      </c>
      <c r="O66" s="12"/>
      <c r="P66" s="1">
        <f>SUM(OSRRefP22_11x_0)</f>
        <v>1154.71</v>
      </c>
      <c r="Q66" s="1"/>
      <c r="R66" s="5">
        <f t="shared" si="41"/>
        <v>1.9343342187996661E-3</v>
      </c>
      <c r="S66" s="1"/>
      <c r="T66" s="1">
        <f>SUM(OSRRefT22_11x_0)</f>
        <v>5200</v>
      </c>
      <c r="U66" s="1"/>
      <c r="V66" s="5">
        <f t="shared" si="42"/>
        <v>6.7098834777119601E-3</v>
      </c>
      <c r="W66" s="1"/>
      <c r="X66" s="1">
        <f t="shared" si="43"/>
        <v>-4045.29</v>
      </c>
      <c r="Y66" s="1"/>
      <c r="Z66" s="5">
        <f t="shared" si="44"/>
        <v>-0.77794038461538462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437.31</v>
      </c>
      <c r="Q67" s="2"/>
      <c r="R67" s="7">
        <f t="shared" si="41"/>
        <v>7.3256808828474861E-4</v>
      </c>
      <c r="S67" s="2"/>
      <c r="T67" s="6">
        <v>0</v>
      </c>
      <c r="U67" s="2"/>
      <c r="V67" s="7">
        <f t="shared" si="42"/>
        <v>0</v>
      </c>
      <c r="W67" s="2"/>
      <c r="X67" s="6">
        <f t="shared" si="43"/>
        <v>437.31</v>
      </c>
      <c r="Y67" s="2"/>
      <c r="Z67" s="7">
        <f t="shared" si="44"/>
        <v>0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108.52</v>
      </c>
      <c r="E68" s="2"/>
      <c r="F68" s="7">
        <f t="shared" si="37"/>
        <v>0</v>
      </c>
      <c r="G68" s="2"/>
      <c r="H68" s="6"/>
      <c r="I68" s="2"/>
      <c r="J68" s="7">
        <f t="shared" si="38"/>
        <v>0</v>
      </c>
      <c r="K68" s="2"/>
      <c r="L68" s="6">
        <f t="shared" si="39"/>
        <v>108.52</v>
      </c>
      <c r="M68" s="2"/>
      <c r="N68" s="7">
        <f t="shared" si="40"/>
        <v>0</v>
      </c>
      <c r="O68" s="11"/>
      <c r="P68" s="6">
        <v>426.78</v>
      </c>
      <c r="Q68" s="2"/>
      <c r="R68" s="7">
        <f t="shared" si="41"/>
        <v>7.1492856033057782E-4</v>
      </c>
      <c r="S68" s="2"/>
      <c r="T68" s="6"/>
      <c r="U68" s="2"/>
      <c r="V68" s="7">
        <f t="shared" si="42"/>
        <v>0</v>
      </c>
      <c r="W68" s="2"/>
      <c r="X68" s="6">
        <f t="shared" si="43"/>
        <v>426.78</v>
      </c>
      <c r="Y68" s="2"/>
      <c r="Z68" s="7">
        <f t="shared" si="44"/>
        <v>0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7"/>
        <v>0</v>
      </c>
      <c r="G69" s="2"/>
      <c r="H69" s="6">
        <v>200</v>
      </c>
      <c r="I69" s="2"/>
      <c r="J69" s="7">
        <f t="shared" si="38"/>
        <v>1.3793103448275862E-2</v>
      </c>
      <c r="K69" s="2"/>
      <c r="L69" s="6">
        <f t="shared" si="39"/>
        <v>-200</v>
      </c>
      <c r="M69" s="2"/>
      <c r="N69" s="7">
        <f t="shared" si="40"/>
        <v>-1</v>
      </c>
      <c r="O69" s="11"/>
      <c r="P69" s="6">
        <v>290.62</v>
      </c>
      <c r="Q69" s="2"/>
      <c r="R69" s="7">
        <f t="shared" si="41"/>
        <v>4.8683757018433979E-4</v>
      </c>
      <c r="S69" s="2"/>
      <c r="T69" s="6">
        <v>5200</v>
      </c>
      <c r="U69" s="2"/>
      <c r="V69" s="7">
        <f t="shared" si="42"/>
        <v>6.7098834777119601E-3</v>
      </c>
      <c r="W69" s="2"/>
      <c r="X69" s="6">
        <f t="shared" si="43"/>
        <v>-4909.38</v>
      </c>
      <c r="Y69" s="2"/>
      <c r="Z69" s="7">
        <f t="shared" si="44"/>
        <v>-0.9441115384615385</v>
      </c>
    </row>
    <row r="70" spans="1:26" s="26" customFormat="1" outlineLevel="1" collapsed="1" x14ac:dyDescent="0.25">
      <c r="A70" s="25"/>
      <c r="B70" s="12" t="str">
        <f>CONCATENATE("     ","Services                                          ")</f>
        <v xml:space="preserve">     Services                                          </v>
      </c>
      <c r="C70" s="12"/>
      <c r="D70" s="1">
        <f>SUM(OSRRefD22_12x_0)</f>
        <v>4958.3999999999996</v>
      </c>
      <c r="E70" s="1"/>
      <c r="F70" s="5">
        <f t="shared" ref="F70:F75" si="45">IF(D$12=0,0,D70/D$12)</f>
        <v>0</v>
      </c>
      <c r="G70" s="1"/>
      <c r="H70" s="1">
        <f>SUM(OSRRefH22_12x_0)</f>
        <v>355</v>
      </c>
      <c r="I70" s="1"/>
      <c r="J70" s="5">
        <f t="shared" ref="J70:J75" si="46">IF(H$12=0,0,H70/H$12)</f>
        <v>2.4482758620689656E-2</v>
      </c>
      <c r="K70" s="1"/>
      <c r="L70" s="1">
        <f t="shared" ref="L70:L75" si="47">+D70-H70</f>
        <v>4603.3999999999996</v>
      </c>
      <c r="M70" s="1"/>
      <c r="N70" s="5">
        <f t="shared" ref="N70:N75" si="48">IF(H70=0,0,L70/H70)</f>
        <v>12.96732394366197</v>
      </c>
      <c r="O70" s="12"/>
      <c r="P70" s="1">
        <f>SUM(OSRRefP22_12x_0)</f>
        <v>10586.58</v>
      </c>
      <c r="Q70" s="1"/>
      <c r="R70" s="5">
        <f t="shared" ref="R70:R75" si="49">IF(P$12=0,0,P70/P$12)</f>
        <v>1.7734309007508525E-2</v>
      </c>
      <c r="S70" s="1"/>
      <c r="T70" s="1">
        <f>SUM(OSRRefT22_12x_0)</f>
        <v>4620</v>
      </c>
      <c r="U70" s="1"/>
      <c r="V70" s="5">
        <f t="shared" ref="V70:V75" si="50">IF(T$12=0,0,T70/T$12)</f>
        <v>5.9614733975056258E-3</v>
      </c>
      <c r="W70" s="1"/>
      <c r="X70" s="1">
        <f t="shared" ref="X70:X75" si="51">+P70-T70</f>
        <v>5966.58</v>
      </c>
      <c r="Y70" s="1"/>
      <c r="Z70" s="5">
        <f t="shared" ref="Z70:Z75" si="52">IF(T70=0,0,X70/T70)</f>
        <v>1.2914675324675324</v>
      </c>
    </row>
    <row r="71" spans="1:26" s="24" customFormat="1" hidden="1" outlineLevel="2" x14ac:dyDescent="0.25">
      <c r="A71" s="27"/>
      <c r="B71" s="11" t="str">
        <f>CONCATENATE("          ", "6281", " - ", "STORAGE FEE")</f>
        <v xml:space="preserve">          6281 - STORAGE FEE</v>
      </c>
      <c r="C71" s="11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1"/>
      <c r="P71" s="6"/>
      <c r="Q71" s="2"/>
      <c r="R71" s="7">
        <f t="shared" si="49"/>
        <v>0</v>
      </c>
      <c r="S71" s="2"/>
      <c r="T71" s="6">
        <v>0</v>
      </c>
      <c r="U71" s="2"/>
      <c r="V71" s="7">
        <f t="shared" si="50"/>
        <v>0</v>
      </c>
      <c r="W71" s="2"/>
      <c r="X71" s="6">
        <f t="shared" si="51"/>
        <v>0</v>
      </c>
      <c r="Y71" s="2"/>
      <c r="Z71" s="7">
        <f t="shared" si="52"/>
        <v>0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314.7</v>
      </c>
      <c r="E72" s="2"/>
      <c r="F72" s="7">
        <f t="shared" si="45"/>
        <v>0</v>
      </c>
      <c r="G72" s="2"/>
      <c r="H72" s="6">
        <v>160</v>
      </c>
      <c r="I72" s="2"/>
      <c r="J72" s="7">
        <f t="shared" si="46"/>
        <v>1.1034482758620689E-2</v>
      </c>
      <c r="K72" s="2"/>
      <c r="L72" s="6">
        <f t="shared" si="47"/>
        <v>154.69999999999999</v>
      </c>
      <c r="M72" s="2"/>
      <c r="N72" s="7">
        <f t="shared" si="48"/>
        <v>0.96687499999999993</v>
      </c>
      <c r="O72" s="11"/>
      <c r="P72" s="6">
        <v>1888.2</v>
      </c>
      <c r="Q72" s="2"/>
      <c r="R72" s="7">
        <f t="shared" si="49"/>
        <v>3.1630538160555719E-3</v>
      </c>
      <c r="S72" s="2"/>
      <c r="T72" s="6">
        <v>1920</v>
      </c>
      <c r="U72" s="2"/>
      <c r="V72" s="7">
        <f t="shared" si="50"/>
        <v>2.477495437924416E-3</v>
      </c>
      <c r="W72" s="2"/>
      <c r="X72" s="6">
        <f t="shared" si="51"/>
        <v>-31.799999999999955</v>
      </c>
      <c r="Y72" s="2"/>
      <c r="Z72" s="7">
        <f t="shared" si="52"/>
        <v>-1.6562499999999977E-2</v>
      </c>
    </row>
    <row r="73" spans="1:26" s="24" customFormat="1" hidden="1" outlineLevel="2" x14ac:dyDescent="0.25">
      <c r="A73" s="27"/>
      <c r="B73" s="11" t="str">
        <f>CONCATENATE("          ", "6284", " - ", "TRASH REMOVAL EXPENSE")</f>
        <v xml:space="preserve">          6284 - TRASH REMOVAL EXPENSE</v>
      </c>
      <c r="C73" s="11"/>
      <c r="D73" s="6">
        <v>289</v>
      </c>
      <c r="E73" s="2"/>
      <c r="F73" s="7">
        <f t="shared" si="45"/>
        <v>0</v>
      </c>
      <c r="G73" s="2"/>
      <c r="H73" s="6">
        <v>150</v>
      </c>
      <c r="I73" s="2"/>
      <c r="J73" s="7">
        <f t="shared" si="46"/>
        <v>1.0344827586206896E-2</v>
      </c>
      <c r="K73" s="2"/>
      <c r="L73" s="6">
        <f t="shared" si="47"/>
        <v>139</v>
      </c>
      <c r="M73" s="2"/>
      <c r="N73" s="7">
        <f t="shared" si="48"/>
        <v>0.92666666666666664</v>
      </c>
      <c r="O73" s="11"/>
      <c r="P73" s="6">
        <v>3467</v>
      </c>
      <c r="Q73" s="2"/>
      <c r="R73" s="7">
        <f t="shared" si="49"/>
        <v>5.8078103909885966E-3</v>
      </c>
      <c r="S73" s="2"/>
      <c r="T73" s="6">
        <v>1800</v>
      </c>
      <c r="U73" s="2"/>
      <c r="V73" s="7">
        <f t="shared" si="50"/>
        <v>2.3226519730541401E-3</v>
      </c>
      <c r="W73" s="2"/>
      <c r="X73" s="6">
        <f t="shared" si="51"/>
        <v>1667</v>
      </c>
      <c r="Y73" s="2"/>
      <c r="Z73" s="7">
        <f t="shared" si="52"/>
        <v>0.92611111111111111</v>
      </c>
    </row>
    <row r="74" spans="1:26" s="24" customFormat="1" hidden="1" outlineLevel="2" x14ac:dyDescent="0.25">
      <c r="A74" s="27"/>
      <c r="B74" s="11" t="str">
        <f>CONCATENATE("          ", "6285", " - ", "JANITORIAL SERVICES")</f>
        <v xml:space="preserve">          6285 - JANITORIAL SERVICES</v>
      </c>
      <c r="C74" s="11"/>
      <c r="D74" s="6">
        <v>4354.7</v>
      </c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4354.7</v>
      </c>
      <c r="M74" s="2"/>
      <c r="N74" s="7">
        <f t="shared" si="48"/>
        <v>0</v>
      </c>
      <c r="O74" s="11"/>
      <c r="P74" s="6">
        <v>4354.7</v>
      </c>
      <c r="Q74" s="2"/>
      <c r="R74" s="7">
        <f t="shared" si="49"/>
        <v>7.2948577760709662E-3</v>
      </c>
      <c r="S74" s="2"/>
      <c r="T74" s="6"/>
      <c r="U74" s="2"/>
      <c r="V74" s="7">
        <f t="shared" si="50"/>
        <v>0</v>
      </c>
      <c r="W74" s="2"/>
      <c r="X74" s="6">
        <f t="shared" si="51"/>
        <v>4354.7</v>
      </c>
      <c r="Y74" s="2"/>
      <c r="Z74" s="7">
        <f t="shared" si="52"/>
        <v>0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45"/>
        <v>0</v>
      </c>
      <c r="G75" s="2"/>
      <c r="H75" s="6">
        <v>45</v>
      </c>
      <c r="I75" s="2"/>
      <c r="J75" s="7">
        <f t="shared" si="46"/>
        <v>3.1034482758620688E-3</v>
      </c>
      <c r="K75" s="2"/>
      <c r="L75" s="6">
        <f t="shared" si="47"/>
        <v>-45</v>
      </c>
      <c r="M75" s="2"/>
      <c r="N75" s="7">
        <f t="shared" si="48"/>
        <v>-1</v>
      </c>
      <c r="O75" s="11"/>
      <c r="P75" s="6">
        <v>876.68</v>
      </c>
      <c r="Q75" s="2"/>
      <c r="R75" s="7">
        <f t="shared" si="49"/>
        <v>1.4685870243933898E-3</v>
      </c>
      <c r="S75" s="2"/>
      <c r="T75" s="6">
        <v>900</v>
      </c>
      <c r="U75" s="2"/>
      <c r="V75" s="7">
        <f t="shared" si="50"/>
        <v>1.16132598652707E-3</v>
      </c>
      <c r="W75" s="2"/>
      <c r="X75" s="6">
        <f t="shared" si="51"/>
        <v>-23.32000000000005</v>
      </c>
      <c r="Y75" s="2"/>
      <c r="Z75" s="7">
        <f t="shared" si="52"/>
        <v>-2.5911111111111166E-2</v>
      </c>
    </row>
    <row r="76" spans="1:26" s="26" customFormat="1" outlineLevel="1" collapsed="1" x14ac:dyDescent="0.25">
      <c r="A76" s="25"/>
      <c r="B76" s="12" t="str">
        <f>CONCATENATE("     ","Subscriptions &amp; Dues                              ")</f>
        <v xml:space="preserve">     Subscriptions &amp; Dues                              </v>
      </c>
      <c r="C76" s="12"/>
      <c r="D76" s="1">
        <f>SUM(OSRRefD22_13x_0)</f>
        <v>0</v>
      </c>
      <c r="E76" s="1"/>
      <c r="F76" s="5">
        <f t="shared" ref="F76:F85" si="53">IF(D$12=0,0,D76/D$12)</f>
        <v>0</v>
      </c>
      <c r="G76" s="1"/>
      <c r="H76" s="1">
        <f>SUM(OSRRefH22_13x_0)</f>
        <v>180</v>
      </c>
      <c r="I76" s="1"/>
      <c r="J76" s="5">
        <f t="shared" ref="J76:J85" si="54">IF(H$12=0,0,H76/H$12)</f>
        <v>1.2413793103448275E-2</v>
      </c>
      <c r="K76" s="1"/>
      <c r="L76" s="1">
        <f t="shared" ref="L76:L85" si="55">+D76-H76</f>
        <v>-180</v>
      </c>
      <c r="M76" s="1"/>
      <c r="N76" s="5">
        <f t="shared" ref="N76:N85" si="56">IF(H76=0,0,L76/H76)</f>
        <v>-1</v>
      </c>
      <c r="O76" s="12"/>
      <c r="P76" s="1">
        <f>SUM(OSRRefP22_13x_0)</f>
        <v>1411.2</v>
      </c>
      <c r="Q76" s="1"/>
      <c r="R76" s="5">
        <f t="shared" ref="R76:R85" si="57">IF(P$12=0,0,P76/P$12)</f>
        <v>2.3639982762512571E-3</v>
      </c>
      <c r="S76" s="1"/>
      <c r="T76" s="1">
        <f>SUM(OSRRefT22_13x_0)</f>
        <v>2160</v>
      </c>
      <c r="U76" s="1"/>
      <c r="V76" s="5">
        <f t="shared" ref="V76:V85" si="58">IF(T$12=0,0,T76/T$12)</f>
        <v>2.7871823676649679E-3</v>
      </c>
      <c r="W76" s="1"/>
      <c r="X76" s="1">
        <f t="shared" ref="X76:X85" si="59">+P76-T76</f>
        <v>-748.8</v>
      </c>
      <c r="Y76" s="1"/>
      <c r="Z76" s="5">
        <f t="shared" ref="Z76:Z85" si="60">IF(T76=0,0,X76/T76)</f>
        <v>-0.34666666666666662</v>
      </c>
    </row>
    <row r="77" spans="1:26" s="24" customFormat="1" hidden="1" outlineLevel="2" x14ac:dyDescent="0.25">
      <c r="A77" s="27"/>
      <c r="B77" s="11" t="str">
        <f>CONCATENATE("          ", "6275", " - ", "SUBSCRIPTIONS")</f>
        <v xml:space="preserve">          6275 - SUBSCRIPTIONS</v>
      </c>
      <c r="C77" s="11"/>
      <c r="D77" s="6"/>
      <c r="E77" s="2"/>
      <c r="F77" s="7">
        <f t="shared" si="53"/>
        <v>0</v>
      </c>
      <c r="G77" s="2"/>
      <c r="H77" s="6">
        <v>180</v>
      </c>
      <c r="I77" s="2"/>
      <c r="J77" s="7">
        <f t="shared" si="54"/>
        <v>1.2413793103448275E-2</v>
      </c>
      <c r="K77" s="2"/>
      <c r="L77" s="6">
        <f t="shared" si="55"/>
        <v>-180</v>
      </c>
      <c r="M77" s="2"/>
      <c r="N77" s="7">
        <f t="shared" si="56"/>
        <v>-1</v>
      </c>
      <c r="O77" s="11"/>
      <c r="P77" s="6">
        <v>1411.2</v>
      </c>
      <c r="Q77" s="2"/>
      <c r="R77" s="7">
        <f t="shared" si="57"/>
        <v>2.3639982762512571E-3</v>
      </c>
      <c r="S77" s="2"/>
      <c r="T77" s="6">
        <v>2160</v>
      </c>
      <c r="U77" s="2"/>
      <c r="V77" s="7">
        <f t="shared" si="58"/>
        <v>2.7871823676649679E-3</v>
      </c>
      <c r="W77" s="2"/>
      <c r="X77" s="6">
        <f t="shared" si="59"/>
        <v>-748.8</v>
      </c>
      <c r="Y77" s="2"/>
      <c r="Z77" s="7">
        <f t="shared" si="60"/>
        <v>-0.34666666666666662</v>
      </c>
    </row>
    <row r="78" spans="1:26" s="26" customFormat="1" outlineLevel="1" collapsed="1" x14ac:dyDescent="0.25">
      <c r="A78" s="25"/>
      <c r="B78" s="12" t="str">
        <f>CONCATENATE("     ","Supplies                                          ")</f>
        <v xml:space="preserve">     Supplies                                          </v>
      </c>
      <c r="C78" s="12"/>
      <c r="D78" s="1">
        <f>SUM(OSRRefD22_14x_0)</f>
        <v>0</v>
      </c>
      <c r="E78" s="1"/>
      <c r="F78" s="5">
        <f t="shared" si="53"/>
        <v>0</v>
      </c>
      <c r="G78" s="1"/>
      <c r="H78" s="1">
        <f>SUM(OSRRefH22_14x_0)</f>
        <v>100</v>
      </c>
      <c r="I78" s="1"/>
      <c r="J78" s="5">
        <f t="shared" si="54"/>
        <v>6.8965517241379309E-3</v>
      </c>
      <c r="K78" s="1"/>
      <c r="L78" s="1">
        <f t="shared" si="55"/>
        <v>-100</v>
      </c>
      <c r="M78" s="1"/>
      <c r="N78" s="5">
        <f t="shared" si="56"/>
        <v>-1</v>
      </c>
      <c r="O78" s="12"/>
      <c r="P78" s="1">
        <f>SUM(OSRRefP22_14x_0)</f>
        <v>10919.900000000001</v>
      </c>
      <c r="Q78" s="1"/>
      <c r="R78" s="5">
        <f t="shared" si="57"/>
        <v>1.8292676287440551E-2</v>
      </c>
      <c r="S78" s="1"/>
      <c r="T78" s="1">
        <f>SUM(OSRRefT22_14x_0)</f>
        <v>5710</v>
      </c>
      <c r="U78" s="1"/>
      <c r="V78" s="5">
        <f t="shared" si="58"/>
        <v>7.3679682034106329E-3</v>
      </c>
      <c r="W78" s="1"/>
      <c r="X78" s="1">
        <f t="shared" si="59"/>
        <v>5209.9000000000015</v>
      </c>
      <c r="Y78" s="1"/>
      <c r="Z78" s="5">
        <f t="shared" si="60"/>
        <v>0.91241681260945739</v>
      </c>
    </row>
    <row r="79" spans="1:26" s="24" customFormat="1" hidden="1" outlineLevel="2" x14ac:dyDescent="0.25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6"/>
      <c r="E79" s="2"/>
      <c r="F79" s="7">
        <f t="shared" si="53"/>
        <v>0</v>
      </c>
      <c r="G79" s="2"/>
      <c r="H79" s="6"/>
      <c r="I79" s="2"/>
      <c r="J79" s="7">
        <f t="shared" si="54"/>
        <v>0</v>
      </c>
      <c r="K79" s="2"/>
      <c r="L79" s="6">
        <f t="shared" si="55"/>
        <v>0</v>
      </c>
      <c r="M79" s="2"/>
      <c r="N79" s="7">
        <f t="shared" si="56"/>
        <v>0</v>
      </c>
      <c r="O79" s="11"/>
      <c r="P79" s="6">
        <v>28.22</v>
      </c>
      <c r="Q79" s="2"/>
      <c r="R79" s="7">
        <f t="shared" si="57"/>
        <v>4.7273264849638937E-5</v>
      </c>
      <c r="S79" s="2"/>
      <c r="T79" s="6">
        <v>3000</v>
      </c>
      <c r="U79" s="2"/>
      <c r="V79" s="7">
        <f t="shared" si="58"/>
        <v>3.8710866217569E-3</v>
      </c>
      <c r="W79" s="2"/>
      <c r="X79" s="6">
        <f t="shared" si="59"/>
        <v>-2971.78</v>
      </c>
      <c r="Y79" s="2"/>
      <c r="Z79" s="7">
        <f t="shared" si="60"/>
        <v>-0.99059333333333344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6"/>
      <c r="E80" s="2"/>
      <c r="F80" s="7">
        <f t="shared" si="53"/>
        <v>0</v>
      </c>
      <c r="G80" s="2"/>
      <c r="H80" s="6">
        <v>100</v>
      </c>
      <c r="I80" s="2"/>
      <c r="J80" s="7">
        <f t="shared" si="54"/>
        <v>6.8965517241379309E-3</v>
      </c>
      <c r="K80" s="2"/>
      <c r="L80" s="6">
        <f t="shared" si="55"/>
        <v>-100</v>
      </c>
      <c r="M80" s="2"/>
      <c r="N80" s="7">
        <f t="shared" si="56"/>
        <v>-1</v>
      </c>
      <c r="O80" s="11"/>
      <c r="P80" s="6">
        <v>1422.57</v>
      </c>
      <c r="Q80" s="2"/>
      <c r="R80" s="7">
        <f t="shared" si="57"/>
        <v>2.3830449460365295E-3</v>
      </c>
      <c r="S80" s="2"/>
      <c r="T80" s="6">
        <v>1600</v>
      </c>
      <c r="U80" s="2"/>
      <c r="V80" s="7">
        <f t="shared" si="58"/>
        <v>2.0645795316036799E-3</v>
      </c>
      <c r="W80" s="2"/>
      <c r="X80" s="6">
        <f t="shared" si="59"/>
        <v>-177.43000000000006</v>
      </c>
      <c r="Y80" s="2"/>
      <c r="Z80" s="7">
        <f t="shared" si="60"/>
        <v>-0.11089375000000004</v>
      </c>
    </row>
    <row r="81" spans="1:26" s="24" customFormat="1" hidden="1" outlineLevel="2" x14ac:dyDescent="0.25">
      <c r="A81" s="27"/>
      <c r="B81" s="11" t="str">
        <f>CONCATENATE("          ", "6241", " - ", "OFFICE EXPENSE")</f>
        <v xml:space="preserve">          6241 - OFFICE EXPENSE</v>
      </c>
      <c r="C81" s="11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1"/>
      <c r="P81" s="6">
        <v>484.03</v>
      </c>
      <c r="Q81" s="2"/>
      <c r="R81" s="7">
        <f t="shared" si="57"/>
        <v>8.1083197679556113E-4</v>
      </c>
      <c r="S81" s="2"/>
      <c r="T81" s="6">
        <v>480</v>
      </c>
      <c r="U81" s="2"/>
      <c r="V81" s="7">
        <f t="shared" si="58"/>
        <v>6.1937385948110401E-4</v>
      </c>
      <c r="W81" s="2"/>
      <c r="X81" s="6">
        <f t="shared" si="59"/>
        <v>4.0299999999999727</v>
      </c>
      <c r="Y81" s="2"/>
      <c r="Z81" s="7">
        <f t="shared" si="60"/>
        <v>8.395833333333276E-3</v>
      </c>
    </row>
    <row r="82" spans="1:26" s="24" customFormat="1" hidden="1" outlineLevel="2" x14ac:dyDescent="0.25">
      <c r="A82" s="27"/>
      <c r="B82" s="11" t="str">
        <f>CONCATENATE("          ", "6243", " - ", "PAPER SUPPLIES")</f>
        <v xml:space="preserve">          6243 - PAPER SUPPLIES</v>
      </c>
      <c r="C82" s="11"/>
      <c r="D82" s="6"/>
      <c r="E82" s="2"/>
      <c r="F82" s="7">
        <f t="shared" si="53"/>
        <v>0</v>
      </c>
      <c r="G82" s="2"/>
      <c r="H82" s="6"/>
      <c r="I82" s="2"/>
      <c r="J82" s="7">
        <f t="shared" si="54"/>
        <v>0</v>
      </c>
      <c r="K82" s="2"/>
      <c r="L82" s="6">
        <f t="shared" si="55"/>
        <v>0</v>
      </c>
      <c r="M82" s="2"/>
      <c r="N82" s="7">
        <f t="shared" si="56"/>
        <v>0</v>
      </c>
      <c r="O82" s="11"/>
      <c r="P82" s="6">
        <v>1399.73</v>
      </c>
      <c r="Q82" s="2"/>
      <c r="R82" s="7">
        <f t="shared" si="57"/>
        <v>2.3447840895813293E-3</v>
      </c>
      <c r="S82" s="2"/>
      <c r="T82" s="6"/>
      <c r="U82" s="2"/>
      <c r="V82" s="7">
        <f t="shared" si="58"/>
        <v>0</v>
      </c>
      <c r="W82" s="2"/>
      <c r="X82" s="6">
        <f t="shared" si="59"/>
        <v>1399.73</v>
      </c>
      <c r="Y82" s="2"/>
      <c r="Z82" s="7">
        <f t="shared" si="60"/>
        <v>0</v>
      </c>
    </row>
    <row r="83" spans="1:26" s="24" customFormat="1" hidden="1" outlineLevel="2" x14ac:dyDescent="0.25">
      <c r="A83" s="27"/>
      <c r="B83" s="11" t="str">
        <f>CONCATENATE("          ", "6244", " - ", "SAFETY SUPPLY EXPENSE")</f>
        <v xml:space="preserve">          6244 - SAFETY SUPPLY EXPENSE</v>
      </c>
      <c r="C83" s="11"/>
      <c r="D83" s="6"/>
      <c r="E83" s="2"/>
      <c r="F83" s="7">
        <f t="shared" si="53"/>
        <v>0</v>
      </c>
      <c r="G83" s="2"/>
      <c r="H83" s="6"/>
      <c r="I83" s="2"/>
      <c r="J83" s="7">
        <f t="shared" si="54"/>
        <v>0</v>
      </c>
      <c r="K83" s="2"/>
      <c r="L83" s="6">
        <f t="shared" si="55"/>
        <v>0</v>
      </c>
      <c r="M83" s="2"/>
      <c r="N83" s="7">
        <f t="shared" si="56"/>
        <v>0</v>
      </c>
      <c r="O83" s="11"/>
      <c r="P83" s="6"/>
      <c r="Q83" s="2"/>
      <c r="R83" s="7">
        <f t="shared" si="57"/>
        <v>0</v>
      </c>
      <c r="S83" s="2"/>
      <c r="T83" s="6">
        <v>30</v>
      </c>
      <c r="U83" s="2"/>
      <c r="V83" s="7">
        <f t="shared" si="58"/>
        <v>3.8710866217569001E-5</v>
      </c>
      <c r="W83" s="2"/>
      <c r="X83" s="6">
        <f t="shared" si="59"/>
        <v>-30</v>
      </c>
      <c r="Y83" s="2"/>
      <c r="Z83" s="7">
        <f t="shared" si="60"/>
        <v>-1</v>
      </c>
    </row>
    <row r="84" spans="1:26" s="24" customFormat="1" hidden="1" outlineLevel="2" x14ac:dyDescent="0.25">
      <c r="A84" s="27"/>
      <c r="B84" s="11" t="str">
        <f>CONCATENATE("          ", "6247", " - ", "STORE SUPPLIES")</f>
        <v xml:space="preserve">          6247 - STORE SUPPLIES</v>
      </c>
      <c r="C84" s="11"/>
      <c r="D84" s="6"/>
      <c r="E84" s="2"/>
      <c r="F84" s="7">
        <f t="shared" si="53"/>
        <v>0</v>
      </c>
      <c r="G84" s="2"/>
      <c r="H84" s="6"/>
      <c r="I84" s="2"/>
      <c r="J84" s="7">
        <f t="shared" si="54"/>
        <v>0</v>
      </c>
      <c r="K84" s="2"/>
      <c r="L84" s="6">
        <f t="shared" si="55"/>
        <v>0</v>
      </c>
      <c r="M84" s="2"/>
      <c r="N84" s="7">
        <f t="shared" si="56"/>
        <v>0</v>
      </c>
      <c r="O84" s="11"/>
      <c r="P84" s="6">
        <v>7585.35</v>
      </c>
      <c r="Q84" s="2"/>
      <c r="R84" s="7">
        <f t="shared" si="57"/>
        <v>1.2706742010177489E-2</v>
      </c>
      <c r="S84" s="2"/>
      <c r="T84" s="6"/>
      <c r="U84" s="2"/>
      <c r="V84" s="7">
        <f t="shared" si="58"/>
        <v>0</v>
      </c>
      <c r="W84" s="2"/>
      <c r="X84" s="6">
        <f t="shared" si="59"/>
        <v>7585.35</v>
      </c>
      <c r="Y84" s="2"/>
      <c r="Z84" s="7">
        <f t="shared" si="60"/>
        <v>0</v>
      </c>
    </row>
    <row r="85" spans="1:26" s="24" customFormat="1" hidden="1" outlineLevel="2" x14ac:dyDescent="0.25">
      <c r="A85" s="27"/>
      <c r="B85" s="11" t="str">
        <f>CONCATENATE("          ", "6248", " - ", "UNIFORMS")</f>
        <v xml:space="preserve">          6248 - UNIFORMS</v>
      </c>
      <c r="C85" s="11"/>
      <c r="D85" s="6"/>
      <c r="E85" s="2"/>
      <c r="F85" s="7">
        <f t="shared" si="53"/>
        <v>0</v>
      </c>
      <c r="G85" s="2"/>
      <c r="H85" s="6"/>
      <c r="I85" s="2"/>
      <c r="J85" s="7">
        <f t="shared" si="54"/>
        <v>0</v>
      </c>
      <c r="K85" s="2"/>
      <c r="L85" s="6">
        <f t="shared" si="55"/>
        <v>0</v>
      </c>
      <c r="M85" s="2"/>
      <c r="N85" s="7">
        <f t="shared" si="56"/>
        <v>0</v>
      </c>
      <c r="O85" s="11"/>
      <c r="P85" s="6"/>
      <c r="Q85" s="2"/>
      <c r="R85" s="7">
        <f t="shared" si="57"/>
        <v>0</v>
      </c>
      <c r="S85" s="2"/>
      <c r="T85" s="6">
        <v>600</v>
      </c>
      <c r="U85" s="2"/>
      <c r="V85" s="7">
        <f t="shared" si="58"/>
        <v>7.7421732435137996E-4</v>
      </c>
      <c r="W85" s="2"/>
      <c r="X85" s="6">
        <f t="shared" si="59"/>
        <v>-600</v>
      </c>
      <c r="Y85" s="2"/>
      <c r="Z85" s="7">
        <f t="shared" si="60"/>
        <v>-1</v>
      </c>
    </row>
    <row r="86" spans="1:26" s="26" customFormat="1" outlineLevel="1" collapsed="1" x14ac:dyDescent="0.25">
      <c r="A86" s="25"/>
      <c r="B86" s="12" t="str">
        <f>CONCATENATE("     ","Telephone/Data Lines                              ")</f>
        <v xml:space="preserve">     Telephone/Data Lines                              </v>
      </c>
      <c r="C86" s="12"/>
      <c r="D86" s="1">
        <f>SUM(OSRRefD22_15x_0)</f>
        <v>86</v>
      </c>
      <c r="E86" s="1"/>
      <c r="F86" s="5">
        <f t="shared" ref="F86:F93" si="61">IF(D$12=0,0,D86/D$12)</f>
        <v>0</v>
      </c>
      <c r="G86" s="1"/>
      <c r="H86" s="1">
        <f>SUM(OSRRefH22_15x_0)</f>
        <v>40</v>
      </c>
      <c r="I86" s="1"/>
      <c r="J86" s="5">
        <f t="shared" ref="J86:J93" si="62">IF(H$12=0,0,H86/H$12)</f>
        <v>2.7586206896551722E-3</v>
      </c>
      <c r="K86" s="1"/>
      <c r="L86" s="1">
        <f t="shared" ref="L86:L93" si="63">+D86-H86</f>
        <v>46</v>
      </c>
      <c r="M86" s="1"/>
      <c r="N86" s="5">
        <f t="shared" ref="N86:N93" si="64">IF(H86=0,0,L86/H86)</f>
        <v>1.1499999999999999</v>
      </c>
      <c r="O86" s="12"/>
      <c r="P86" s="1">
        <f>SUM(OSRRefP22_15x_0)</f>
        <v>808.37</v>
      </c>
      <c r="Q86" s="1"/>
      <c r="R86" s="5">
        <f t="shared" ref="R86:R93" si="65">IF(P$12=0,0,P86/P$12)</f>
        <v>1.3541562404855644E-3</v>
      </c>
      <c r="S86" s="1"/>
      <c r="T86" s="1">
        <f>SUM(OSRRefT22_15x_0)</f>
        <v>480</v>
      </c>
      <c r="U86" s="1"/>
      <c r="V86" s="5">
        <f t="shared" ref="V86:V93" si="66">IF(T$12=0,0,T86/T$12)</f>
        <v>6.1937385948110401E-4</v>
      </c>
      <c r="W86" s="1"/>
      <c r="X86" s="1">
        <f t="shared" ref="X86:X93" si="67">+P86-T86</f>
        <v>328.37</v>
      </c>
      <c r="Y86" s="1"/>
      <c r="Z86" s="5">
        <f t="shared" ref="Z86:Z93" si="68">IF(T86=0,0,X86/T86)</f>
        <v>0.68410416666666662</v>
      </c>
    </row>
    <row r="87" spans="1:26" s="24" customFormat="1" hidden="1" outlineLevel="2" x14ac:dyDescent="0.25">
      <c r="A87" s="27"/>
      <c r="B87" s="11" t="str">
        <f>CONCATENATE("          ", "6309", " - ", "TELEPHONE")</f>
        <v xml:space="preserve">          6309 - TELEPHONE</v>
      </c>
      <c r="C87" s="11"/>
      <c r="D87" s="6">
        <v>86</v>
      </c>
      <c r="E87" s="2"/>
      <c r="F87" s="7">
        <f t="shared" si="61"/>
        <v>0</v>
      </c>
      <c r="G87" s="2"/>
      <c r="H87" s="6">
        <v>40</v>
      </c>
      <c r="I87" s="2"/>
      <c r="J87" s="7">
        <f t="shared" si="62"/>
        <v>2.7586206896551722E-3</v>
      </c>
      <c r="K87" s="2"/>
      <c r="L87" s="6">
        <f t="shared" si="63"/>
        <v>46</v>
      </c>
      <c r="M87" s="2"/>
      <c r="N87" s="7">
        <f t="shared" si="64"/>
        <v>1.1499999999999999</v>
      </c>
      <c r="O87" s="11"/>
      <c r="P87" s="6">
        <v>808.37</v>
      </c>
      <c r="Q87" s="2"/>
      <c r="R87" s="7">
        <f t="shared" si="65"/>
        <v>1.3541562404855644E-3</v>
      </c>
      <c r="S87" s="2"/>
      <c r="T87" s="6">
        <v>480</v>
      </c>
      <c r="U87" s="2"/>
      <c r="V87" s="7">
        <f t="shared" si="66"/>
        <v>6.1937385948110401E-4</v>
      </c>
      <c r="W87" s="2"/>
      <c r="X87" s="6">
        <f t="shared" si="67"/>
        <v>328.37</v>
      </c>
      <c r="Y87" s="2"/>
      <c r="Z87" s="7">
        <f t="shared" si="68"/>
        <v>0.68410416666666662</v>
      </c>
    </row>
    <row r="88" spans="1:26" s="26" customFormat="1" outlineLevel="1" collapsed="1" x14ac:dyDescent="0.25">
      <c r="A88" s="25"/>
      <c r="B88" s="12" t="str">
        <f>CONCATENATE("     ","Training                                          ")</f>
        <v xml:space="preserve">     Training                                          </v>
      </c>
      <c r="C88" s="12"/>
      <c r="D88" s="1">
        <f>SUM(OSRRefD22_16x_0)</f>
        <v>0</v>
      </c>
      <c r="E88" s="1"/>
      <c r="F88" s="5">
        <f t="shared" si="61"/>
        <v>0</v>
      </c>
      <c r="G88" s="1"/>
      <c r="H88" s="1">
        <f>SUM(OSRRefH22_16x_0)</f>
        <v>0</v>
      </c>
      <c r="I88" s="1"/>
      <c r="J88" s="5">
        <f t="shared" si="62"/>
        <v>0</v>
      </c>
      <c r="K88" s="1"/>
      <c r="L88" s="1">
        <f t="shared" si="63"/>
        <v>0</v>
      </c>
      <c r="M88" s="1"/>
      <c r="N88" s="5">
        <f t="shared" si="64"/>
        <v>0</v>
      </c>
      <c r="O88" s="12"/>
      <c r="P88" s="1">
        <f>SUM(OSRRefP22_16x_0)</f>
        <v>14</v>
      </c>
      <c r="Q88" s="1"/>
      <c r="R88" s="5">
        <f t="shared" si="65"/>
        <v>2.3452363851698979E-5</v>
      </c>
      <c r="S88" s="1"/>
      <c r="T88" s="1">
        <f>SUM(OSRRefT22_16x_0)</f>
        <v>200</v>
      </c>
      <c r="U88" s="1"/>
      <c r="V88" s="5">
        <f t="shared" si="66"/>
        <v>2.5807244145045999E-4</v>
      </c>
      <c r="W88" s="1"/>
      <c r="X88" s="1">
        <f t="shared" si="67"/>
        <v>-186</v>
      </c>
      <c r="Y88" s="1"/>
      <c r="Z88" s="5">
        <f t="shared" si="68"/>
        <v>-0.93</v>
      </c>
    </row>
    <row r="89" spans="1:26" s="24" customFormat="1" hidden="1" outlineLevel="2" x14ac:dyDescent="0.25">
      <c r="A89" s="27"/>
      <c r="B89" s="11" t="str">
        <f>CONCATENATE("          ", "6376", " - ", "TRAINING")</f>
        <v xml:space="preserve">          6376 - TRAINING</v>
      </c>
      <c r="C89" s="11"/>
      <c r="D89" s="6"/>
      <c r="E89" s="2"/>
      <c r="F89" s="7">
        <f t="shared" si="61"/>
        <v>0</v>
      </c>
      <c r="G89" s="2"/>
      <c r="H89" s="6"/>
      <c r="I89" s="2"/>
      <c r="J89" s="7">
        <f t="shared" si="62"/>
        <v>0</v>
      </c>
      <c r="K89" s="2"/>
      <c r="L89" s="6">
        <f t="shared" si="63"/>
        <v>0</v>
      </c>
      <c r="M89" s="2"/>
      <c r="N89" s="7">
        <f t="shared" si="64"/>
        <v>0</v>
      </c>
      <c r="O89" s="11"/>
      <c r="P89" s="6">
        <v>14</v>
      </c>
      <c r="Q89" s="2"/>
      <c r="R89" s="7">
        <f t="shared" si="65"/>
        <v>2.3452363851698979E-5</v>
      </c>
      <c r="S89" s="2"/>
      <c r="T89" s="6">
        <v>200</v>
      </c>
      <c r="U89" s="2"/>
      <c r="V89" s="7">
        <f t="shared" si="66"/>
        <v>2.5807244145045999E-4</v>
      </c>
      <c r="W89" s="2"/>
      <c r="X89" s="6">
        <f t="shared" si="67"/>
        <v>-186</v>
      </c>
      <c r="Y89" s="2"/>
      <c r="Z89" s="7">
        <f t="shared" si="68"/>
        <v>-0.93</v>
      </c>
    </row>
    <row r="90" spans="1:26" s="26" customFormat="1" outlineLevel="1" collapsed="1" x14ac:dyDescent="0.25">
      <c r="A90" s="25"/>
      <c r="B90" s="12" t="str">
        <f>CONCATENATE("     ","Travel                                            ")</f>
        <v xml:space="preserve">     Travel                                            </v>
      </c>
      <c r="C90" s="12"/>
      <c r="D90" s="1">
        <f>SUM(OSRRefD22_17x_0)</f>
        <v>0</v>
      </c>
      <c r="E90" s="1"/>
      <c r="F90" s="5">
        <f t="shared" si="61"/>
        <v>0</v>
      </c>
      <c r="G90" s="1"/>
      <c r="H90" s="1">
        <f>SUM(OSRRefH22_17x_0)</f>
        <v>0</v>
      </c>
      <c r="I90" s="1"/>
      <c r="J90" s="5">
        <f t="shared" si="62"/>
        <v>0</v>
      </c>
      <c r="K90" s="1"/>
      <c r="L90" s="1">
        <f t="shared" si="63"/>
        <v>0</v>
      </c>
      <c r="M90" s="1"/>
      <c r="N90" s="5">
        <f t="shared" si="64"/>
        <v>0</v>
      </c>
      <c r="O90" s="12"/>
      <c r="P90" s="1">
        <f>SUM(OSRRefP22_17x_0)</f>
        <v>0</v>
      </c>
      <c r="Q90" s="1"/>
      <c r="R90" s="5">
        <f t="shared" si="65"/>
        <v>0</v>
      </c>
      <c r="S90" s="1"/>
      <c r="T90" s="1">
        <f>SUM(OSRRefT22_17x_0)</f>
        <v>1000</v>
      </c>
      <c r="U90" s="1"/>
      <c r="V90" s="5">
        <f t="shared" si="66"/>
        <v>1.2903622072522999E-3</v>
      </c>
      <c r="W90" s="1"/>
      <c r="X90" s="1">
        <f t="shared" si="67"/>
        <v>-1000</v>
      </c>
      <c r="Y90" s="1"/>
      <c r="Z90" s="5">
        <f t="shared" si="68"/>
        <v>-1</v>
      </c>
    </row>
    <row r="91" spans="1:26" s="24" customFormat="1" hidden="1" outlineLevel="2" x14ac:dyDescent="0.25">
      <c r="A91" s="27"/>
      <c r="B91" s="11" t="str">
        <f>CONCATENATE("          ", "6292", " - ", "TRAVEL/CONFERENCE")</f>
        <v xml:space="preserve">          6292 - TRAVEL/CONFERENCE</v>
      </c>
      <c r="C91" s="11"/>
      <c r="D91" s="6"/>
      <c r="E91" s="2"/>
      <c r="F91" s="7">
        <f t="shared" si="61"/>
        <v>0</v>
      </c>
      <c r="G91" s="2"/>
      <c r="H91" s="6"/>
      <c r="I91" s="2"/>
      <c r="J91" s="7">
        <f t="shared" si="62"/>
        <v>0</v>
      </c>
      <c r="K91" s="2"/>
      <c r="L91" s="6">
        <f t="shared" si="63"/>
        <v>0</v>
      </c>
      <c r="M91" s="2"/>
      <c r="N91" s="7">
        <f t="shared" si="64"/>
        <v>0</v>
      </c>
      <c r="O91" s="11"/>
      <c r="P91" s="6"/>
      <c r="Q91" s="2"/>
      <c r="R91" s="7">
        <f t="shared" si="65"/>
        <v>0</v>
      </c>
      <c r="S91" s="2"/>
      <c r="T91" s="6">
        <v>1000</v>
      </c>
      <c r="U91" s="2"/>
      <c r="V91" s="7">
        <f t="shared" si="66"/>
        <v>1.2903622072522999E-3</v>
      </c>
      <c r="W91" s="2"/>
      <c r="X91" s="6">
        <f t="shared" si="67"/>
        <v>-1000</v>
      </c>
      <c r="Y91" s="2"/>
      <c r="Z91" s="7">
        <f t="shared" si="68"/>
        <v>-1</v>
      </c>
    </row>
    <row r="92" spans="1:26" s="26" customFormat="1" outlineLevel="1" collapsed="1" x14ac:dyDescent="0.25">
      <c r="A92" s="25"/>
      <c r="B92" s="12" t="str">
        <f>CONCATENATE("     ","Utilities                                         ")</f>
        <v xml:space="preserve">     Utilities                                         </v>
      </c>
      <c r="C92" s="12"/>
      <c r="D92" s="1">
        <f>SUM(OSRRefD22_18x_0)</f>
        <v>878</v>
      </c>
      <c r="E92" s="1"/>
      <c r="F92" s="5">
        <f t="shared" si="61"/>
        <v>0</v>
      </c>
      <c r="G92" s="1"/>
      <c r="H92" s="1">
        <f>SUM(OSRRefH22_18x_0)</f>
        <v>1100</v>
      </c>
      <c r="I92" s="1"/>
      <c r="J92" s="5">
        <f t="shared" si="62"/>
        <v>7.586206896551724E-2</v>
      </c>
      <c r="K92" s="1"/>
      <c r="L92" s="1">
        <f t="shared" si="63"/>
        <v>-222</v>
      </c>
      <c r="M92" s="1"/>
      <c r="N92" s="5">
        <f t="shared" si="64"/>
        <v>-0.20181818181818181</v>
      </c>
      <c r="O92" s="12"/>
      <c r="P92" s="1">
        <f>SUM(OSRRefP22_18x_0)</f>
        <v>10284</v>
      </c>
      <c r="Q92" s="1"/>
      <c r="R92" s="5">
        <f t="shared" si="65"/>
        <v>1.7227436417919448E-2</v>
      </c>
      <c r="S92" s="1"/>
      <c r="T92" s="1">
        <f>SUM(OSRRefT22_18x_0)</f>
        <v>13200</v>
      </c>
      <c r="U92" s="1"/>
      <c r="V92" s="5">
        <f t="shared" si="66"/>
        <v>1.7032781135730361E-2</v>
      </c>
      <c r="W92" s="1"/>
      <c r="X92" s="1">
        <f t="shared" si="67"/>
        <v>-2916</v>
      </c>
      <c r="Y92" s="1"/>
      <c r="Z92" s="5">
        <f t="shared" si="68"/>
        <v>-0.22090909090909092</v>
      </c>
    </row>
    <row r="93" spans="1:26" s="24" customFormat="1" hidden="1" outlineLevel="2" x14ac:dyDescent="0.25">
      <c r="A93" s="27"/>
      <c r="B93" s="11" t="str">
        <f>CONCATENATE("          ", "6274", " - ", "UTILITIES")</f>
        <v xml:space="preserve">          6274 - UTILITIES</v>
      </c>
      <c r="C93" s="11"/>
      <c r="D93" s="6">
        <v>878</v>
      </c>
      <c r="E93" s="2"/>
      <c r="F93" s="7">
        <f t="shared" si="61"/>
        <v>0</v>
      </c>
      <c r="G93" s="2"/>
      <c r="H93" s="6">
        <v>1100</v>
      </c>
      <c r="I93" s="2"/>
      <c r="J93" s="7">
        <f t="shared" si="62"/>
        <v>7.586206896551724E-2</v>
      </c>
      <c r="K93" s="2"/>
      <c r="L93" s="6">
        <f t="shared" si="63"/>
        <v>-222</v>
      </c>
      <c r="M93" s="2"/>
      <c r="N93" s="7">
        <f t="shared" si="64"/>
        <v>-0.20181818181818181</v>
      </c>
      <c r="O93" s="11"/>
      <c r="P93" s="6">
        <v>10284</v>
      </c>
      <c r="Q93" s="2"/>
      <c r="R93" s="7">
        <f t="shared" si="65"/>
        <v>1.7227436417919448E-2</v>
      </c>
      <c r="S93" s="2"/>
      <c r="T93" s="6">
        <v>13200</v>
      </c>
      <c r="U93" s="2"/>
      <c r="V93" s="7">
        <f t="shared" si="66"/>
        <v>1.7032781135730361E-2</v>
      </c>
      <c r="W93" s="2"/>
      <c r="X93" s="6">
        <f t="shared" si="67"/>
        <v>-2916</v>
      </c>
      <c r="Y93" s="2"/>
      <c r="Z93" s="7">
        <f t="shared" si="68"/>
        <v>-0.22090909090909092</v>
      </c>
    </row>
    <row r="94" spans="1:26" s="60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x14ac:dyDescent="0.25">
      <c r="A95" s="10"/>
      <c r="B95" s="28" t="s">
        <v>0</v>
      </c>
      <c r="C95" s="10"/>
      <c r="D95" s="4">
        <f>SUM(0)</f>
        <v>0</v>
      </c>
      <c r="E95" s="4"/>
      <c r="F95" s="13">
        <f>IF(D$12=0,0,D95/D$12)</f>
        <v>0</v>
      </c>
      <c r="G95" s="4"/>
      <c r="H95" s="4">
        <f>SUM(0)</f>
        <v>0</v>
      </c>
      <c r="I95" s="4"/>
      <c r="J95" s="13">
        <f>IF(H$12=0,0,H95/H$12)</f>
        <v>0</v>
      </c>
      <c r="K95" s="4"/>
      <c r="L95" s="4">
        <f>+D95-H95</f>
        <v>0</v>
      </c>
      <c r="M95" s="4"/>
      <c r="N95" s="13">
        <f>IF(H95=0,0,L95/H95)</f>
        <v>0</v>
      </c>
      <c r="O95" s="10"/>
      <c r="P95" s="4">
        <f>SUM(0)</f>
        <v>0</v>
      </c>
      <c r="Q95" s="4"/>
      <c r="R95" s="13">
        <f>IF(P$12=0,0,P95/P$12)</f>
        <v>0</v>
      </c>
      <c r="S95" s="4"/>
      <c r="T95" s="4">
        <f>SUM(0)</f>
        <v>0</v>
      </c>
      <c r="U95" s="4"/>
      <c r="V95" s="13">
        <f>IF(T$12=0,0,T95/T$12)</f>
        <v>0</v>
      </c>
      <c r="W95" s="4"/>
      <c r="X95" s="4">
        <f>+P95-T95</f>
        <v>0</v>
      </c>
      <c r="Y95" s="4"/>
      <c r="Z95" s="13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9" t="s">
        <v>3</v>
      </c>
      <c r="C97" s="29"/>
      <c r="D97" s="22">
        <f>+D22-D24+D95</f>
        <v>-22102.61</v>
      </c>
      <c r="E97" s="14"/>
      <c r="F97" s="20">
        <f>IF(D$12=0,0,D97/D$12)</f>
        <v>0</v>
      </c>
      <c r="G97" s="14"/>
      <c r="H97" s="22">
        <f>+H22-H24+H95</f>
        <v>-14715.627238499997</v>
      </c>
      <c r="I97" s="14"/>
      <c r="J97" s="20">
        <f>IF(H$12=0,0,H97/H$12)</f>
        <v>-1.0148708440344827</v>
      </c>
      <c r="K97" s="15"/>
      <c r="L97" s="22">
        <f>+D97-H97</f>
        <v>-7386.9827615000031</v>
      </c>
      <c r="M97" s="15"/>
      <c r="N97" s="20">
        <f>IF(H97=0,0,L97/H97)</f>
        <v>0.50198218817161189</v>
      </c>
      <c r="O97" s="28"/>
      <c r="P97" s="22">
        <f>+P22-P24+P95</f>
        <v>-28246.080000000016</v>
      </c>
      <c r="Q97" s="14"/>
      <c r="R97" s="20">
        <f>IF(P$12=0,0,P97/P$12)</f>
        <v>-4.731695325315699E-2</v>
      </c>
      <c r="S97" s="14"/>
      <c r="T97" s="22">
        <f>+T22-T24+T95</f>
        <v>43413.584720350045</v>
      </c>
      <c r="U97" s="14"/>
      <c r="V97" s="20">
        <f>IF(T$12=0,0,T97/T$12)</f>
        <v>5.6019249004485613E-2</v>
      </c>
      <c r="W97" s="15"/>
      <c r="X97" s="22">
        <f>+P97-T97</f>
        <v>-71659.664720350062</v>
      </c>
      <c r="Y97" s="15"/>
      <c r="Z97" s="20">
        <f>IF(T97=0,0,X97/T97)</f>
        <v>-1.6506276821402337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14</v>
      </c>
      <c r="C99" s="10"/>
      <c r="D99" s="4">
        <v>19710.36</v>
      </c>
      <c r="E99" s="4"/>
      <c r="F99" s="13">
        <f>IF(D$12=0,0,D99/D$12)</f>
        <v>0</v>
      </c>
      <c r="G99" s="4"/>
      <c r="H99" s="4">
        <v>12175</v>
      </c>
      <c r="I99" s="4"/>
      <c r="J99" s="13">
        <f>IF(H$12=0,0,H99/H$12)</f>
        <v>0.83965517241379306</v>
      </c>
      <c r="K99" s="4"/>
      <c r="L99" s="4">
        <f>+D99-H99</f>
        <v>7535.3600000000006</v>
      </c>
      <c r="M99" s="4"/>
      <c r="N99" s="13">
        <f>IF(H99=0,0,L99/H99)</f>
        <v>0.61892073921971258</v>
      </c>
      <c r="O99" s="10"/>
      <c r="P99" s="4">
        <v>90402.08</v>
      </c>
      <c r="Q99" s="4"/>
      <c r="R99" s="13">
        <f>IF(P$12=0,0,P99/P$12)</f>
        <v>0.15143874807931423</v>
      </c>
      <c r="S99" s="4"/>
      <c r="T99" s="4">
        <v>100259</v>
      </c>
      <c r="U99" s="4"/>
      <c r="V99" s="13">
        <f>IF(T$12=0,0,T99/T$12)</f>
        <v>0.12937042453690833</v>
      </c>
      <c r="W99" s="4"/>
      <c r="X99" s="4">
        <f>+P99-T99</f>
        <v>-9856.9199999999983</v>
      </c>
      <c r="Y99" s="4"/>
      <c r="Z99" s="13">
        <f>IF(T99=0,0,X99/T99)</f>
        <v>-9.8314565275935309E-2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4</v>
      </c>
      <c r="C101" s="29"/>
      <c r="D101" s="31">
        <f>+D97-D99</f>
        <v>-41812.97</v>
      </c>
      <c r="E101" s="14"/>
      <c r="F101" s="33">
        <f>IF(D$12=0,0,D101/D$12)</f>
        <v>0</v>
      </c>
      <c r="G101" s="14"/>
      <c r="H101" s="31">
        <f>+H97-H99</f>
        <v>-26890.627238499997</v>
      </c>
      <c r="I101" s="14"/>
      <c r="J101" s="33">
        <f>IF(H$12=0,0,H101/H$12)</f>
        <v>-1.8545260164482757</v>
      </c>
      <c r="K101" s="15"/>
      <c r="L101" s="31">
        <f>D101-H101</f>
        <v>-14922.342761500004</v>
      </c>
      <c r="M101" s="15"/>
      <c r="N101" s="33">
        <f>IF(H101=0,0,L101/H101)</f>
        <v>0.55492728485467624</v>
      </c>
      <c r="O101" s="28"/>
      <c r="P101" s="31">
        <f>+P97-P99</f>
        <v>-118648.16000000002</v>
      </c>
      <c r="Q101" s="14"/>
      <c r="R101" s="33">
        <f>IF(P$12=0,0,P101/P$12)</f>
        <v>-0.1987557013324712</v>
      </c>
      <c r="S101" s="14"/>
      <c r="T101" s="31">
        <f>+T97-T99</f>
        <v>-56845.415279649955</v>
      </c>
      <c r="U101" s="14"/>
      <c r="V101" s="33">
        <f>IF(T$12=0,0,T101/T$12)</f>
        <v>-7.3351175532422735E-2</v>
      </c>
      <c r="W101" s="15"/>
      <c r="X101" s="31">
        <f>P101-T101</f>
        <v>-61802.744720350063</v>
      </c>
      <c r="Y101" s="15"/>
      <c r="Z101" s="33">
        <f>IF(T101=0,0,X101/T101)</f>
        <v>1.087207198967808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5</v>
      </c>
      <c r="C104" s="29"/>
      <c r="D104" s="34">
        <f>SUM(D101:D103)</f>
        <v>-41812.97</v>
      </c>
      <c r="E104" s="14"/>
      <c r="F104" s="35">
        <f>IF(D$12=0,0,D104/D$12)</f>
        <v>0</v>
      </c>
      <c r="G104" s="14"/>
      <c r="H104" s="34">
        <f>SUM(H101:H103)</f>
        <v>-26890.627238499997</v>
      </c>
      <c r="I104" s="14"/>
      <c r="J104" s="35">
        <f>IF(H$12=0,0,H104/H$12)</f>
        <v>-1.8545260164482757</v>
      </c>
      <c r="K104" s="15"/>
      <c r="L104" s="34">
        <f>+D104-H104</f>
        <v>-14922.342761500004</v>
      </c>
      <c r="M104" s="15"/>
      <c r="N104" s="35">
        <f>IF(H104=0,0,L104/H104)</f>
        <v>0.55492728485467624</v>
      </c>
      <c r="O104" s="28"/>
      <c r="P104" s="34">
        <f>SUM(P101:P103)</f>
        <v>-118648.16000000002</v>
      </c>
      <c r="Q104" s="14"/>
      <c r="R104" s="35">
        <f>IF(P$12=0,0,P104/P$12)</f>
        <v>-0.1987557013324712</v>
      </c>
      <c r="S104" s="14"/>
      <c r="T104" s="34">
        <f>SUM(T101:T103)</f>
        <v>-56845.415279649955</v>
      </c>
      <c r="U104" s="14"/>
      <c r="V104" s="35">
        <f>IF(T$12=0,0,T104/T$12)</f>
        <v>-7.3351175532422735E-2</v>
      </c>
      <c r="W104" s="15"/>
      <c r="X104" s="34">
        <f>+P104-T104</f>
        <v>-61802.744720350063</v>
      </c>
      <c r="Y104" s="15"/>
      <c r="Z104" s="35">
        <f>IF(T104=0,0,X104/T104)</f>
        <v>1.087207198967808</v>
      </c>
    </row>
    <row r="105" spans="1:26" ht="15.75" thickTop="1" x14ac:dyDescent="0.25">
      <c r="A105" s="9"/>
      <c r="C105" s="9"/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55">
        <v>44043.473601273145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62" t="s">
        <v>314</v>
      </c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63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","327", " - ", "C-Store Vending Machine(s)")</f>
        <v>Department 327 - C-Store Vending Machine(s)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451</v>
      </c>
      <c r="I12" s="4"/>
      <c r="J12" s="13"/>
      <c r="K12" s="4"/>
      <c r="L12" s="4">
        <f t="shared" ref="L12:L14" si="0">+D12-H12</f>
        <v>-451</v>
      </c>
      <c r="M12" s="4"/>
      <c r="N12" s="13">
        <f t="shared" ref="N12:N14" si="1">IF(H12=0,0,L12/H12)</f>
        <v>-1</v>
      </c>
      <c r="O12" s="10"/>
      <c r="P12" s="4">
        <f>SUM(OSRRefP13x_0)</f>
        <v>12812.5</v>
      </c>
      <c r="Q12" s="4"/>
      <c r="R12" s="13"/>
      <c r="S12" s="4"/>
      <c r="T12" s="4">
        <f>SUM(OSRRefT13x_0)</f>
        <v>16709</v>
      </c>
      <c r="U12" s="4"/>
      <c r="V12" s="13"/>
      <c r="W12" s="4"/>
      <c r="X12" s="4">
        <f t="shared" ref="X12:X14" si="2">+P12-T12</f>
        <v>-3896.5</v>
      </c>
      <c r="Y12" s="4"/>
      <c r="Z12" s="13">
        <f t="shared" ref="Z12:Z14" si="3">IF(T12=0,0,X12/T12)</f>
        <v>-0.23319767789813872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19"/>
      <c r="G13" s="2"/>
      <c r="H13" s="2">
        <v>451</v>
      </c>
      <c r="I13" s="2"/>
      <c r="J13" s="19"/>
      <c r="K13" s="2"/>
      <c r="L13" s="2">
        <f t="shared" si="0"/>
        <v>-451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16709</v>
      </c>
      <c r="U13" s="2"/>
      <c r="V13" s="19"/>
      <c r="W13" s="2"/>
      <c r="X13" s="2">
        <f t="shared" si="2"/>
        <v>-16709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--12812.5</f>
        <v>12812.5</v>
      </c>
      <c r="Q14" s="2"/>
      <c r="R14" s="19"/>
      <c r="S14" s="2"/>
      <c r="T14" s="2"/>
      <c r="U14" s="2"/>
      <c r="V14" s="19"/>
      <c r="W14" s="2"/>
      <c r="X14" s="2">
        <f t="shared" si="2"/>
        <v>12812.5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3">
        <f t="shared" ref="F16:F18" si="5">IF(D$12=0,0,D16/D$12)</f>
        <v>0</v>
      </c>
      <c r="G16" s="4"/>
      <c r="H16" s="4">
        <f>SUM(OSRRefH16x_0)</f>
        <v>226</v>
      </c>
      <c r="I16" s="4"/>
      <c r="J16" s="13">
        <f t="shared" ref="J16:J18" si="6">IF(H$12=0,0,H16/H$12)</f>
        <v>0.50110864745011086</v>
      </c>
      <c r="K16" s="4"/>
      <c r="L16" s="4">
        <f t="shared" ref="L16:L18" si="7">+D16-H16</f>
        <v>-226</v>
      </c>
      <c r="M16" s="4"/>
      <c r="N16" s="13">
        <f t="shared" ref="N16:N18" si="8">IF(H16=0,0,L16/H16)</f>
        <v>-1</v>
      </c>
      <c r="O16" s="10"/>
      <c r="P16" s="4">
        <f>SUM(OSRRefP16x_0)</f>
        <v>3256.12</v>
      </c>
      <c r="Q16" s="4"/>
      <c r="R16" s="13">
        <f t="shared" ref="R16:R18" si="9">IF(P$12=0,0,P16/P$12)</f>
        <v>0.25413619512195124</v>
      </c>
      <c r="S16" s="4"/>
      <c r="T16" s="4">
        <f>SUM(OSRRefT16x_0)</f>
        <v>8355</v>
      </c>
      <c r="U16" s="4"/>
      <c r="V16" s="13">
        <f t="shared" ref="V16:V18" si="10">IF(T$12=0,0,T16/T$12)</f>
        <v>0.50002992399305768</v>
      </c>
      <c r="W16" s="4"/>
      <c r="X16" s="4">
        <f t="shared" ref="X16:X18" si="11">+P16-T16</f>
        <v>-5098.88</v>
      </c>
      <c r="Y16" s="4"/>
      <c r="Z16" s="13">
        <f t="shared" ref="Z16:Z18" si="12">IF(T16=0,0,X16/T16)</f>
        <v>-0.6102788749251945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5"/>
        <v>0</v>
      </c>
      <c r="G17" s="2"/>
      <c r="H17" s="2">
        <v>226</v>
      </c>
      <c r="I17" s="2"/>
      <c r="J17" s="19">
        <f t="shared" si="6"/>
        <v>0.50110864745011086</v>
      </c>
      <c r="K17" s="2"/>
      <c r="L17" s="2">
        <f t="shared" si="7"/>
        <v>-226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8355</v>
      </c>
      <c r="U17" s="2"/>
      <c r="V17" s="19">
        <f t="shared" si="10"/>
        <v>0.50002992399305768</v>
      </c>
      <c r="W17" s="2"/>
      <c r="X17" s="2">
        <f t="shared" si="11"/>
        <v>-8355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>
        <v>3256.12</v>
      </c>
      <c r="Q18" s="2"/>
      <c r="R18" s="19">
        <f t="shared" si="9"/>
        <v>0.25413619512195124</v>
      </c>
      <c r="S18" s="2"/>
      <c r="T18" s="2"/>
      <c r="U18" s="2"/>
      <c r="V18" s="19">
        <f t="shared" si="10"/>
        <v>0</v>
      </c>
      <c r="W18" s="2"/>
      <c r="X18" s="2">
        <f t="shared" si="11"/>
        <v>3256.12</v>
      </c>
      <c r="Y18" s="2"/>
      <c r="Z18" s="19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225</v>
      </c>
      <c r="I20" s="14"/>
      <c r="J20" s="20">
        <f>IF(H$12=0,0,H20/H$12)</f>
        <v>0.49889135254988914</v>
      </c>
      <c r="K20" s="15"/>
      <c r="L20" s="22">
        <f>+D20-H20</f>
        <v>-225</v>
      </c>
      <c r="M20" s="15"/>
      <c r="N20" s="20">
        <f>IF(H20=0,0,L20/H20)</f>
        <v>-1</v>
      </c>
      <c r="O20" s="28"/>
      <c r="P20" s="22">
        <f>P12-P16</f>
        <v>9556.380000000001</v>
      </c>
      <c r="Q20" s="14"/>
      <c r="R20" s="20">
        <f>IF(P$12=0,0,P20/P$12)</f>
        <v>0.74586380487804882</v>
      </c>
      <c r="S20" s="14"/>
      <c r="T20" s="22">
        <f>T12-T16</f>
        <v>8354</v>
      </c>
      <c r="U20" s="14"/>
      <c r="V20" s="20">
        <f>IF(T$12=0,0,T20/T$12)</f>
        <v>0.49997007600694238</v>
      </c>
      <c r="W20" s="15"/>
      <c r="X20" s="22">
        <f>+P20-T20</f>
        <v>1202.380000000001</v>
      </c>
      <c r="Y20" s="15"/>
      <c r="Z20" s="20">
        <f>IF(T20=0,0,X20/T20)</f>
        <v>0.14392865693081172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0</v>
      </c>
      <c r="E22" s="21"/>
      <c r="F22" s="32">
        <f t="shared" ref="F22:F28" si="13">IF(D$12=0,0,D22/D$12)</f>
        <v>0</v>
      </c>
      <c r="G22" s="21"/>
      <c r="H22" s="21">
        <f>SUM(OSRRefH22x_0)</f>
        <v>39</v>
      </c>
      <c r="I22" s="21"/>
      <c r="J22" s="32">
        <f t="shared" ref="J22:J28" si="14">IF(H$12=0,0,H22/H$12)</f>
        <v>8.6474501108647447E-2</v>
      </c>
      <c r="K22" s="4"/>
      <c r="L22" s="21">
        <f t="shared" ref="L22:L28" si="15">+D22-H22</f>
        <v>-39</v>
      </c>
      <c r="M22" s="4"/>
      <c r="N22" s="32">
        <f t="shared" ref="N22:N28" si="16">IF(H22=0,0,L22/H22)</f>
        <v>-1</v>
      </c>
      <c r="O22" s="10"/>
      <c r="P22" s="21">
        <f>SUM(OSRRefP22x_0)</f>
        <v>1569.51</v>
      </c>
      <c r="Q22" s="21"/>
      <c r="R22" s="32">
        <f t="shared" ref="R22:R28" si="17">IF(P$12=0,0,P22/P$12)</f>
        <v>0.12249834146341464</v>
      </c>
      <c r="S22" s="21"/>
      <c r="T22" s="21">
        <f>SUM(OSRRefT22x_0)</f>
        <v>1437</v>
      </c>
      <c r="U22" s="21"/>
      <c r="V22" s="32">
        <f t="shared" ref="V22:V28" si="18">IF(T$12=0,0,T22/T$12)</f>
        <v>8.6001556047638997E-2</v>
      </c>
      <c r="W22" s="4"/>
      <c r="X22" s="21">
        <f t="shared" ref="X22:X28" si="19">+P22-T22</f>
        <v>132.51</v>
      </c>
      <c r="Y22" s="4"/>
      <c r="Z22" s="32">
        <f t="shared" ref="Z22:Z28" si="20">IF(T22=0,0,X22/T22)</f>
        <v>9.2212943632567837E-2</v>
      </c>
    </row>
    <row r="23" spans="1:26" s="26" customFormat="1" outlineLevel="1" collapsed="1" x14ac:dyDescent="0.25">
      <c r="A23" s="25"/>
      <c r="B23" s="12" t="str">
        <f>CONCATENATE("     ","Bank/card Fees                                    ")</f>
        <v xml:space="preserve">     Bank/card Fees                                    </v>
      </c>
      <c r="C23" s="12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39</v>
      </c>
      <c r="I23" s="1"/>
      <c r="J23" s="5">
        <f t="shared" si="14"/>
        <v>8.6474501108647447E-2</v>
      </c>
      <c r="K23" s="1"/>
      <c r="L23" s="1">
        <f t="shared" si="15"/>
        <v>-39</v>
      </c>
      <c r="M23" s="1"/>
      <c r="N23" s="5">
        <f t="shared" si="16"/>
        <v>-1</v>
      </c>
      <c r="O23" s="12"/>
      <c r="P23" s="1">
        <f>SUM(OSRRefP22_0x_0)</f>
        <v>1249.06</v>
      </c>
      <c r="Q23" s="1"/>
      <c r="R23" s="5">
        <f t="shared" si="17"/>
        <v>9.7487609756097562E-2</v>
      </c>
      <c r="S23" s="1"/>
      <c r="T23" s="1">
        <f>SUM(OSRRefT22_0x_0)</f>
        <v>1437</v>
      </c>
      <c r="U23" s="1"/>
      <c r="V23" s="5">
        <f t="shared" si="18"/>
        <v>8.6001556047638997E-2</v>
      </c>
      <c r="W23" s="1"/>
      <c r="X23" s="1">
        <f t="shared" si="19"/>
        <v>-187.94000000000005</v>
      </c>
      <c r="Y23" s="1"/>
      <c r="Z23" s="5">
        <f t="shared" si="20"/>
        <v>-0.1307863604732081</v>
      </c>
    </row>
    <row r="24" spans="1:26" s="24" customFormat="1" hidden="1" outlineLevel="2" x14ac:dyDescent="0.25">
      <c r="A24" s="27"/>
      <c r="B24" s="11" t="str">
        <f>CONCATENATE("          ", "6381", " - ", "BANK/CREDIT CARD FEES")</f>
        <v xml:space="preserve">          6381 - BANK/CREDIT CARD FEES</v>
      </c>
      <c r="C24" s="11"/>
      <c r="D24" s="6"/>
      <c r="E24" s="2"/>
      <c r="F24" s="7">
        <f t="shared" si="13"/>
        <v>0</v>
      </c>
      <c r="G24" s="2"/>
      <c r="H24" s="6">
        <v>39</v>
      </c>
      <c r="I24" s="2"/>
      <c r="J24" s="7">
        <f t="shared" si="14"/>
        <v>8.6474501108647447E-2</v>
      </c>
      <c r="K24" s="2"/>
      <c r="L24" s="6">
        <f t="shared" si="15"/>
        <v>-39</v>
      </c>
      <c r="M24" s="2"/>
      <c r="N24" s="7">
        <f t="shared" si="16"/>
        <v>-1</v>
      </c>
      <c r="O24" s="11"/>
      <c r="P24" s="6">
        <v>1249.06</v>
      </c>
      <c r="Q24" s="2"/>
      <c r="R24" s="7">
        <f t="shared" si="17"/>
        <v>9.7487609756097562E-2</v>
      </c>
      <c r="S24" s="2"/>
      <c r="T24" s="6">
        <v>1437</v>
      </c>
      <c r="U24" s="2"/>
      <c r="V24" s="7">
        <f t="shared" si="18"/>
        <v>8.6001556047638997E-2</v>
      </c>
      <c r="W24" s="2"/>
      <c r="X24" s="6">
        <f t="shared" si="19"/>
        <v>-187.94000000000005</v>
      </c>
      <c r="Y24" s="2"/>
      <c r="Z24" s="7">
        <f t="shared" si="20"/>
        <v>-0.1307863604732081</v>
      </c>
    </row>
    <row r="25" spans="1:26" s="26" customFormat="1" outlineLevel="1" collapsed="1" x14ac:dyDescent="0.25">
      <c r="A25" s="25"/>
      <c r="B25" s="12" t="str">
        <f>CONCATENATE("     ","General                                           ")</f>
        <v xml:space="preserve">     General                                           </v>
      </c>
      <c r="C25" s="12"/>
      <c r="D25" s="1">
        <f>SUM(OSRRefD22_1x_0)</f>
        <v>0</v>
      </c>
      <c r="E25" s="1"/>
      <c r="F25" s="5">
        <f t="shared" si="13"/>
        <v>0</v>
      </c>
      <c r="G25" s="1"/>
      <c r="H25" s="1">
        <f>SUM(OSRRefH22_1x_0)</f>
        <v>0</v>
      </c>
      <c r="I25" s="1"/>
      <c r="J25" s="5">
        <f t="shared" si="14"/>
        <v>0</v>
      </c>
      <c r="K25" s="1"/>
      <c r="L25" s="1">
        <f t="shared" si="15"/>
        <v>0</v>
      </c>
      <c r="M25" s="1"/>
      <c r="N25" s="5">
        <f t="shared" si="16"/>
        <v>0</v>
      </c>
      <c r="O25" s="12"/>
      <c r="P25" s="1">
        <f>SUM(OSRRefP22_1x_0)</f>
        <v>23.45</v>
      </c>
      <c r="Q25" s="1"/>
      <c r="R25" s="5">
        <f t="shared" si="17"/>
        <v>1.8302439024390244E-3</v>
      </c>
      <c r="S25" s="1"/>
      <c r="T25" s="1">
        <f>SUM(OSRRefT22_1x_0)</f>
        <v>0</v>
      </c>
      <c r="U25" s="1"/>
      <c r="V25" s="5">
        <f t="shared" si="18"/>
        <v>0</v>
      </c>
      <c r="W25" s="1"/>
      <c r="X25" s="1">
        <f t="shared" si="19"/>
        <v>23.45</v>
      </c>
      <c r="Y25" s="1"/>
      <c r="Z25" s="5">
        <f t="shared" si="20"/>
        <v>0</v>
      </c>
    </row>
    <row r="26" spans="1:26" s="24" customFormat="1" hidden="1" outlineLevel="2" x14ac:dyDescent="0.25">
      <c r="A26" s="27"/>
      <c r="B26" s="11" t="str">
        <f>CONCATENATE("          ", "6279", " - ", "GENERAL EXPENSE")</f>
        <v xml:space="preserve">          6279 - GENERAL EXPENSE</v>
      </c>
      <c r="C26" s="11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23.45</v>
      </c>
      <c r="Q26" s="2"/>
      <c r="R26" s="7">
        <f t="shared" si="17"/>
        <v>1.8302439024390244E-3</v>
      </c>
      <c r="S26" s="2"/>
      <c r="T26" s="6"/>
      <c r="U26" s="2"/>
      <c r="V26" s="7">
        <f t="shared" si="18"/>
        <v>0</v>
      </c>
      <c r="W26" s="2"/>
      <c r="X26" s="6">
        <f t="shared" si="19"/>
        <v>23.45</v>
      </c>
      <c r="Y26" s="2"/>
      <c r="Z26" s="7">
        <f t="shared" si="20"/>
        <v>0</v>
      </c>
    </row>
    <row r="27" spans="1:26" s="26" customFormat="1" outlineLevel="1" collapsed="1" x14ac:dyDescent="0.25">
      <c r="A27" s="25"/>
      <c r="B27" s="12" t="str">
        <f>CONCATENATE("     ","Supplies                                          ")</f>
        <v xml:space="preserve">     Supplies                                          </v>
      </c>
      <c r="C27" s="12"/>
      <c r="D27" s="1">
        <f>SUM(OSRRefD22_2x_0)</f>
        <v>0</v>
      </c>
      <c r="E27" s="1"/>
      <c r="F27" s="5">
        <f t="shared" si="13"/>
        <v>0</v>
      </c>
      <c r="G27" s="1"/>
      <c r="H27" s="1">
        <f>SUM(OSRRefH22_2x_0)</f>
        <v>0</v>
      </c>
      <c r="I27" s="1"/>
      <c r="J27" s="5">
        <f t="shared" si="14"/>
        <v>0</v>
      </c>
      <c r="K27" s="1"/>
      <c r="L27" s="1">
        <f t="shared" si="15"/>
        <v>0</v>
      </c>
      <c r="M27" s="1"/>
      <c r="N27" s="5">
        <f t="shared" si="16"/>
        <v>0</v>
      </c>
      <c r="O27" s="12"/>
      <c r="P27" s="1">
        <f>SUM(OSRRefP22_2x_0)</f>
        <v>297</v>
      </c>
      <c r="Q27" s="1"/>
      <c r="R27" s="5">
        <f t="shared" si="17"/>
        <v>2.3180487804878049E-2</v>
      </c>
      <c r="S27" s="1"/>
      <c r="T27" s="1">
        <f>SUM(OSRRefT22_2x_0)</f>
        <v>0</v>
      </c>
      <c r="U27" s="1"/>
      <c r="V27" s="5">
        <f t="shared" si="18"/>
        <v>0</v>
      </c>
      <c r="W27" s="1"/>
      <c r="X27" s="1">
        <f t="shared" si="19"/>
        <v>297</v>
      </c>
      <c r="Y27" s="1"/>
      <c r="Z27" s="5">
        <f t="shared" si="20"/>
        <v>0</v>
      </c>
    </row>
    <row r="28" spans="1:26" s="24" customFormat="1" hidden="1" outlineLevel="2" x14ac:dyDescent="0.25">
      <c r="A28" s="27"/>
      <c r="B28" s="11" t="str">
        <f>CONCATENATE("          ", "6247", " - ", "STORE SUPPLIES")</f>
        <v xml:space="preserve">          6247 - STORE SUPPLIES</v>
      </c>
      <c r="C28" s="11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297</v>
      </c>
      <c r="Q28" s="2"/>
      <c r="R28" s="7">
        <f t="shared" si="17"/>
        <v>2.3180487804878049E-2</v>
      </c>
      <c r="S28" s="2"/>
      <c r="T28" s="6"/>
      <c r="U28" s="2"/>
      <c r="V28" s="7">
        <f t="shared" si="18"/>
        <v>0</v>
      </c>
      <c r="W28" s="2"/>
      <c r="X28" s="6">
        <f t="shared" si="19"/>
        <v>297</v>
      </c>
      <c r="Y28" s="2"/>
      <c r="Z28" s="7">
        <f t="shared" si="20"/>
        <v>0</v>
      </c>
    </row>
    <row r="29" spans="1:26" s="60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0</v>
      </c>
      <c r="C30" s="10"/>
      <c r="D30" s="4">
        <f>SUM(0)</f>
        <v>0</v>
      </c>
      <c r="E30" s="4"/>
      <c r="F30" s="13">
        <f>IF(D$12=0,0,D30/D$12)</f>
        <v>0</v>
      </c>
      <c r="G30" s="4"/>
      <c r="H30" s="4">
        <f>SUM(0)</f>
        <v>0</v>
      </c>
      <c r="I30" s="4"/>
      <c r="J30" s="13">
        <f>IF(H$12=0,0,H30/H$12)</f>
        <v>0</v>
      </c>
      <c r="K30" s="4"/>
      <c r="L30" s="4">
        <f>+D30-H30</f>
        <v>0</v>
      </c>
      <c r="M30" s="4"/>
      <c r="N30" s="13">
        <f>IF(H30=0,0,L30/H30)</f>
        <v>0</v>
      </c>
      <c r="O30" s="10"/>
      <c r="P30" s="4">
        <f>SUM(0)</f>
        <v>0</v>
      </c>
      <c r="Q30" s="4"/>
      <c r="R30" s="13">
        <f>IF(P$12=0,0,P30/P$12)</f>
        <v>0</v>
      </c>
      <c r="S30" s="4"/>
      <c r="T30" s="4">
        <f>SUM(0)</f>
        <v>0</v>
      </c>
      <c r="U30" s="4"/>
      <c r="V30" s="13">
        <f>IF(T$12=0,0,T30/T$12)</f>
        <v>0</v>
      </c>
      <c r="W30" s="4"/>
      <c r="X30" s="4">
        <f>+P30-T30</f>
        <v>0</v>
      </c>
      <c r="Y30" s="4"/>
      <c r="Z30" s="13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3</v>
      </c>
      <c r="C32" s="29"/>
      <c r="D32" s="22">
        <f>+D20-D22+D30</f>
        <v>0</v>
      </c>
      <c r="E32" s="14"/>
      <c r="F32" s="20">
        <f>IF(D$12=0,0,D32/D$12)</f>
        <v>0</v>
      </c>
      <c r="G32" s="14"/>
      <c r="H32" s="22">
        <f>+H20-H22+H30</f>
        <v>186</v>
      </c>
      <c r="I32" s="14"/>
      <c r="J32" s="20">
        <f>IF(H$12=0,0,H32/H$12)</f>
        <v>0.41241685144124168</v>
      </c>
      <c r="K32" s="15"/>
      <c r="L32" s="22">
        <f>+D32-H32</f>
        <v>-186</v>
      </c>
      <c r="M32" s="15"/>
      <c r="N32" s="20">
        <f>IF(H32=0,0,L32/H32)</f>
        <v>-1</v>
      </c>
      <c r="O32" s="28"/>
      <c r="P32" s="22">
        <f>+P20-P22+P30</f>
        <v>7986.8700000000008</v>
      </c>
      <c r="Q32" s="14"/>
      <c r="R32" s="20">
        <f>IF(P$12=0,0,P32/P$12)</f>
        <v>0.62336546341463417</v>
      </c>
      <c r="S32" s="14"/>
      <c r="T32" s="22">
        <f>+T20-T22+T30</f>
        <v>6917</v>
      </c>
      <c r="U32" s="14"/>
      <c r="V32" s="20">
        <f>IF(T$12=0,0,T32/T$12)</f>
        <v>0.41396851995930339</v>
      </c>
      <c r="W32" s="15"/>
      <c r="X32" s="22">
        <f>+P32-T32</f>
        <v>1069.8700000000008</v>
      </c>
      <c r="Y32" s="15"/>
      <c r="Z32" s="20">
        <f>IF(T32=0,0,X32/T32)</f>
        <v>0.15467254590140245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>
        <v>423.05</v>
      </c>
      <c r="E34" s="4"/>
      <c r="F34" s="13">
        <f>IF(D$12=0,0,D34/D$12)</f>
        <v>0</v>
      </c>
      <c r="G34" s="4"/>
      <c r="H34" s="4">
        <v>279</v>
      </c>
      <c r="I34" s="4"/>
      <c r="J34" s="13">
        <f>IF(H$12=0,0,H34/H$12)</f>
        <v>0.61862527716186255</v>
      </c>
      <c r="K34" s="4"/>
      <c r="L34" s="4">
        <f>+D34-H34</f>
        <v>144.05000000000001</v>
      </c>
      <c r="M34" s="4"/>
      <c r="N34" s="13">
        <f>IF(H34=0,0,L34/H34)</f>
        <v>0.51630824372759865</v>
      </c>
      <c r="O34" s="10"/>
      <c r="P34" s="4">
        <v>1940.31</v>
      </c>
      <c r="Q34" s="4"/>
      <c r="R34" s="13">
        <f>IF(P$12=0,0,P34/P$12)</f>
        <v>0.15143882926829269</v>
      </c>
      <c r="S34" s="4"/>
      <c r="T34" s="4">
        <v>2162</v>
      </c>
      <c r="U34" s="4"/>
      <c r="V34" s="13">
        <f>IF(T$12=0,0,T34/T$12)</f>
        <v>0.12939134598120774</v>
      </c>
      <c r="W34" s="4"/>
      <c r="X34" s="4">
        <f>+P34-T34</f>
        <v>-221.69000000000005</v>
      </c>
      <c r="Y34" s="4"/>
      <c r="Z34" s="13">
        <f>IF(T34=0,0,X34/T34)</f>
        <v>-0.10253931544865867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4</v>
      </c>
      <c r="C36" s="29"/>
      <c r="D36" s="31">
        <f>+D32-D34</f>
        <v>-423.05</v>
      </c>
      <c r="E36" s="14"/>
      <c r="F36" s="33">
        <f>IF(D$12=0,0,D36/D$12)</f>
        <v>0</v>
      </c>
      <c r="G36" s="14"/>
      <c r="H36" s="31">
        <f>+H32-H34</f>
        <v>-93</v>
      </c>
      <c r="I36" s="14"/>
      <c r="J36" s="33">
        <f>IF(H$12=0,0,H36/H$12)</f>
        <v>-0.20620842572062084</v>
      </c>
      <c r="K36" s="15"/>
      <c r="L36" s="31">
        <f>D36-H36</f>
        <v>-330.05</v>
      </c>
      <c r="M36" s="15"/>
      <c r="N36" s="33">
        <f>IF(H36=0,0,L36/H36)</f>
        <v>3.5489247311827956</v>
      </c>
      <c r="O36" s="28"/>
      <c r="P36" s="31">
        <f>+P32-P34</f>
        <v>6046.5600000000013</v>
      </c>
      <c r="Q36" s="14"/>
      <c r="R36" s="33">
        <f>IF(P$12=0,0,P36/P$12)</f>
        <v>0.47192663414634156</v>
      </c>
      <c r="S36" s="14"/>
      <c r="T36" s="31">
        <f>+T32-T34</f>
        <v>4755</v>
      </c>
      <c r="U36" s="14"/>
      <c r="V36" s="33">
        <f>IF(T$12=0,0,T36/T$12)</f>
        <v>0.28457717397809562</v>
      </c>
      <c r="W36" s="15"/>
      <c r="X36" s="31">
        <f>P36-T36</f>
        <v>1291.5600000000013</v>
      </c>
      <c r="Y36" s="15"/>
      <c r="Z36" s="33">
        <f>IF(T36=0,0,X36/T36)</f>
        <v>0.27162145110410124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9" t="s">
        <v>5</v>
      </c>
      <c r="C39" s="29"/>
      <c r="D39" s="34">
        <f>SUM(D36:D38)</f>
        <v>-423.05</v>
      </c>
      <c r="E39" s="14"/>
      <c r="F39" s="35">
        <f>IF(D$12=0,0,D39/D$12)</f>
        <v>0</v>
      </c>
      <c r="G39" s="14"/>
      <c r="H39" s="34">
        <f>SUM(H36:H38)</f>
        <v>-93</v>
      </c>
      <c r="I39" s="14"/>
      <c r="J39" s="35">
        <f>IF(H$12=0,0,H39/H$12)</f>
        <v>-0.20620842572062084</v>
      </c>
      <c r="K39" s="15"/>
      <c r="L39" s="34">
        <f>+D39-H39</f>
        <v>-330.05</v>
      </c>
      <c r="M39" s="15"/>
      <c r="N39" s="35">
        <f>IF(H39=0,0,L39/H39)</f>
        <v>3.5489247311827956</v>
      </c>
      <c r="O39" s="28"/>
      <c r="P39" s="34">
        <f>SUM(P36:P38)</f>
        <v>6046.5600000000013</v>
      </c>
      <c r="Q39" s="14"/>
      <c r="R39" s="35">
        <f>IF(P$12=0,0,P39/P$12)</f>
        <v>0.47192663414634156</v>
      </c>
      <c r="S39" s="14"/>
      <c r="T39" s="34">
        <f>SUM(T36:T38)</f>
        <v>4755</v>
      </c>
      <c r="U39" s="14"/>
      <c r="V39" s="35">
        <f>IF(T$12=0,0,T39/T$12)</f>
        <v>0.28457717397809562</v>
      </c>
      <c r="W39" s="15"/>
      <c r="X39" s="34">
        <f>+P39-T39</f>
        <v>1291.5600000000013</v>
      </c>
      <c r="Y39" s="15"/>
      <c r="Z39" s="35">
        <f>IF(T39=0,0,X39/T39)</f>
        <v>0.27162145110410124</v>
      </c>
    </row>
    <row r="40" spans="1:26" ht="15.75" thickTop="1" x14ac:dyDescent="0.25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55">
        <v>44043.473634490743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62" t="s">
        <v>314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63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5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310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-133638.92000000001</v>
      </c>
      <c r="E12" s="4"/>
      <c r="F12" s="13"/>
      <c r="G12" s="4"/>
      <c r="H12" s="4">
        <f>SUM(OSRRefH13x_0)</f>
        <v>359020</v>
      </c>
      <c r="I12" s="4"/>
      <c r="J12" s="13"/>
      <c r="K12" s="4"/>
      <c r="L12" s="4">
        <f t="shared" ref="L12:L25" si="0">+D12-H12</f>
        <v>-492658.92000000004</v>
      </c>
      <c r="M12" s="4"/>
      <c r="N12" s="13">
        <f t="shared" ref="N12:N25" si="1">IF(H12=0,0,L12/H12)</f>
        <v>-1.3722325218650773</v>
      </c>
      <c r="O12" s="10"/>
      <c r="P12" s="4">
        <f>SUM(OSRRefP13x_0)</f>
        <v>13656888.200000001</v>
      </c>
      <c r="Q12" s="4"/>
      <c r="R12" s="13"/>
      <c r="S12" s="4"/>
      <c r="T12" s="4">
        <f>SUM(OSRRefT13x_0)</f>
        <v>18784541</v>
      </c>
      <c r="U12" s="4"/>
      <c r="V12" s="13"/>
      <c r="W12" s="4"/>
      <c r="X12" s="4">
        <f t="shared" ref="X12:X25" si="2">+P12-T12</f>
        <v>-5127652.7999999989</v>
      </c>
      <c r="Y12" s="4"/>
      <c r="Z12" s="13">
        <f t="shared" ref="Z12:Z25" si="3">IF(T12=0,0,X12/T12)</f>
        <v>-0.27297195071202424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155750</v>
      </c>
      <c r="I13" s="2"/>
      <c r="J13" s="19"/>
      <c r="K13" s="2"/>
      <c r="L13" s="2">
        <f t="shared" si="0"/>
        <v>-155750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3702341</v>
      </c>
      <c r="U13" s="2"/>
      <c r="V13" s="19"/>
      <c r="W13" s="2"/>
      <c r="X13" s="2">
        <f t="shared" si="2"/>
        <v>-3702341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--454738.68</f>
        <v>454738.68</v>
      </c>
      <c r="Q14" s="2"/>
      <c r="R14" s="19"/>
      <c r="S14" s="2"/>
      <c r="T14" s="2"/>
      <c r="U14" s="2"/>
      <c r="V14" s="19"/>
      <c r="W14" s="2"/>
      <c r="X14" s="2">
        <f t="shared" si="2"/>
        <v>454738.68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--836487.29</f>
        <v>836487.29</v>
      </c>
      <c r="Q15" s="2"/>
      <c r="R15" s="19"/>
      <c r="S15" s="2"/>
      <c r="T15" s="2"/>
      <c r="U15" s="2"/>
      <c r="V15" s="19"/>
      <c r="W15" s="2"/>
      <c r="X15" s="2">
        <f t="shared" si="2"/>
        <v>836487.29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--27.9</f>
        <v>27.9</v>
      </c>
      <c r="E16" s="2"/>
      <c r="F16" s="19"/>
      <c r="G16" s="2"/>
      <c r="H16" s="2"/>
      <c r="I16" s="2"/>
      <c r="J16" s="19"/>
      <c r="K16" s="2"/>
      <c r="L16" s="2">
        <f t="shared" si="0"/>
        <v>27.9</v>
      </c>
      <c r="M16" s="2"/>
      <c r="N16" s="19">
        <f t="shared" si="1"/>
        <v>0</v>
      </c>
      <c r="O16" s="11"/>
      <c r="P16" s="2">
        <f>--280013.99</f>
        <v>280013.99</v>
      </c>
      <c r="Q16" s="2"/>
      <c r="R16" s="19"/>
      <c r="S16" s="2"/>
      <c r="T16" s="2"/>
      <c r="U16" s="2"/>
      <c r="V16" s="19"/>
      <c r="W16" s="2"/>
      <c r="X16" s="2">
        <f t="shared" si="2"/>
        <v>280013.99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 t="shared" ref="D17:D19" si="5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--382379.53</f>
        <v>382379.53</v>
      </c>
      <c r="Q17" s="2"/>
      <c r="R17" s="19"/>
      <c r="S17" s="2"/>
      <c r="T17" s="2"/>
      <c r="U17" s="2"/>
      <c r="V17" s="19"/>
      <c r="W17" s="2"/>
      <c r="X17" s="2">
        <f t="shared" si="2"/>
        <v>382379.53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5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--117077.57</f>
        <v>117077.57</v>
      </c>
      <c r="Q18" s="2"/>
      <c r="R18" s="19"/>
      <c r="S18" s="2"/>
      <c r="T18" s="2"/>
      <c r="U18" s="2"/>
      <c r="V18" s="19"/>
      <c r="W18" s="2"/>
      <c r="X18" s="2">
        <f t="shared" si="2"/>
        <v>117077.57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5"/>
        <v>0</v>
      </c>
      <c r="E19" s="2"/>
      <c r="F19" s="19"/>
      <c r="G19" s="2"/>
      <c r="H19" s="2">
        <v>203270</v>
      </c>
      <c r="I19" s="2"/>
      <c r="J19" s="19"/>
      <c r="K19" s="2"/>
      <c r="L19" s="2">
        <f t="shared" si="0"/>
        <v>-203270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15082200</v>
      </c>
      <c r="U19" s="2"/>
      <c r="V19" s="19"/>
      <c r="W19" s="2"/>
      <c r="X19" s="2">
        <f t="shared" si="2"/>
        <v>-15082200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-138366.42</f>
        <v>-138366.42000000001</v>
      </c>
      <c r="E20" s="2"/>
      <c r="F20" s="19"/>
      <c r="G20" s="2"/>
      <c r="H20" s="2"/>
      <c r="I20" s="2"/>
      <c r="J20" s="19"/>
      <c r="K20" s="2"/>
      <c r="L20" s="2">
        <f t="shared" si="0"/>
        <v>-138366.42000000001</v>
      </c>
      <c r="M20" s="2"/>
      <c r="N20" s="19">
        <f t="shared" si="1"/>
        <v>0</v>
      </c>
      <c r="O20" s="11"/>
      <c r="P20" s="2">
        <f>--10064261.55</f>
        <v>10064261.550000001</v>
      </c>
      <c r="Q20" s="2"/>
      <c r="R20" s="19"/>
      <c r="S20" s="2"/>
      <c r="T20" s="2"/>
      <c r="U20" s="2"/>
      <c r="V20" s="19"/>
      <c r="W20" s="2"/>
      <c r="X20" s="2">
        <f t="shared" si="2"/>
        <v>10064261.550000001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--51415.27</f>
        <v>51415.27</v>
      </c>
      <c r="Q21" s="2"/>
      <c r="R21" s="19"/>
      <c r="S21" s="2"/>
      <c r="T21" s="2"/>
      <c r="U21" s="2"/>
      <c r="V21" s="19"/>
      <c r="W21" s="2"/>
      <c r="X21" s="2">
        <f t="shared" si="2"/>
        <v>51415.27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--4699.6</f>
        <v>4699.6000000000004</v>
      </c>
      <c r="E22" s="2"/>
      <c r="F22" s="19"/>
      <c r="G22" s="2"/>
      <c r="H22" s="2"/>
      <c r="I22" s="2"/>
      <c r="J22" s="19"/>
      <c r="K22" s="2"/>
      <c r="L22" s="2">
        <f t="shared" si="0"/>
        <v>4699.6000000000004</v>
      </c>
      <c r="M22" s="2"/>
      <c r="N22" s="19">
        <f t="shared" si="1"/>
        <v>0</v>
      </c>
      <c r="O22" s="11"/>
      <c r="P22" s="2">
        <f>--304153.32</f>
        <v>304153.32</v>
      </c>
      <c r="Q22" s="2"/>
      <c r="R22" s="19"/>
      <c r="S22" s="2"/>
      <c r="T22" s="2"/>
      <c r="U22" s="2"/>
      <c r="V22" s="19"/>
      <c r="W22" s="2"/>
      <c r="X22" s="2">
        <f t="shared" si="2"/>
        <v>304153.32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 t="shared" ref="D23:D25" si="6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--691123.63</f>
        <v>691123.63</v>
      </c>
      <c r="Q23" s="2"/>
      <c r="R23" s="19"/>
      <c r="S23" s="2"/>
      <c r="T23" s="2"/>
      <c r="U23" s="2"/>
      <c r="V23" s="19"/>
      <c r="W23" s="2"/>
      <c r="X23" s="2">
        <f t="shared" si="2"/>
        <v>691123.63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6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--474853.67</f>
        <v>474853.67</v>
      </c>
      <c r="Q24" s="2"/>
      <c r="R24" s="19"/>
      <c r="S24" s="2"/>
      <c r="T24" s="2"/>
      <c r="U24" s="2"/>
      <c r="V24" s="19"/>
      <c r="W24" s="2"/>
      <c r="X24" s="2">
        <f t="shared" si="2"/>
        <v>474853.67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"4159", " - ", "NON-TAXABLE SALES-FOOD")</f>
        <v xml:space="preserve">          4159 - NON-TAXABLE SALES-FOOD</v>
      </c>
      <c r="C25" s="11"/>
      <c r="D25" s="2">
        <f t="shared" si="6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--383.7</f>
        <v>383.7</v>
      </c>
      <c r="Q25" s="2"/>
      <c r="R25" s="19"/>
      <c r="S25" s="2"/>
      <c r="T25" s="2"/>
      <c r="U25" s="2"/>
      <c r="V25" s="19"/>
      <c r="W25" s="2"/>
      <c r="X25" s="2">
        <f t="shared" si="2"/>
        <v>383.7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25">
      <c r="A27" s="10"/>
      <c r="B27" s="28" t="s">
        <v>8</v>
      </c>
      <c r="C27" s="10"/>
      <c r="D27" s="4">
        <f>SUM(OSRRefD16x_0)</f>
        <v>52164.21</v>
      </c>
      <c r="E27" s="4"/>
      <c r="F27" s="13">
        <f t="shared" ref="F27:F30" si="7">IF(D$12=0,0,D27/D$12)</f>
        <v>-0.39033696171743976</v>
      </c>
      <c r="G27" s="4"/>
      <c r="H27" s="4">
        <f>SUM(OSRRefH16x_0)</f>
        <v>106852</v>
      </c>
      <c r="I27" s="4"/>
      <c r="J27" s="13">
        <f t="shared" ref="J27:J30" si="8">IF(H$12=0,0,H27/H$12)</f>
        <v>0.29762130243440477</v>
      </c>
      <c r="K27" s="4"/>
      <c r="L27" s="4">
        <f t="shared" ref="L27:L30" si="9">+D27-H27</f>
        <v>-54687.79</v>
      </c>
      <c r="M27" s="4"/>
      <c r="N27" s="13">
        <f t="shared" ref="N27:N30" si="10">IF(H27=0,0,L27/H27)</f>
        <v>-0.51180876352337812</v>
      </c>
      <c r="O27" s="10"/>
      <c r="P27" s="4">
        <f>SUM(OSRRefP16x_0)</f>
        <v>3892138.61</v>
      </c>
      <c r="Q27" s="4"/>
      <c r="R27" s="13">
        <f t="shared" ref="R27:R30" si="11">IF(P$12=0,0,P27/P$12)</f>
        <v>0.28499454290033649</v>
      </c>
      <c r="S27" s="4"/>
      <c r="T27" s="4">
        <f>SUM(OSRRefT16x_0)</f>
        <v>5277611.6399999997</v>
      </c>
      <c r="U27" s="4"/>
      <c r="V27" s="13">
        <f t="shared" ref="V27:V30" si="12">IF(T$12=0,0,T27/T$12)</f>
        <v>0.28095504915451486</v>
      </c>
      <c r="W27" s="4"/>
      <c r="X27" s="4">
        <f t="shared" ref="X27:X30" si="13">+P27-T27</f>
        <v>-1385473.0299999998</v>
      </c>
      <c r="Y27" s="4"/>
      <c r="Z27" s="13">
        <f t="shared" ref="Z27:Z30" si="14">IF(T27=0,0,X27/T27)</f>
        <v>-0.262518943133148</v>
      </c>
    </row>
    <row r="28" spans="1:26" s="24" customFormat="1" hidden="1" outlineLevel="1" x14ac:dyDescent="0.25">
      <c r="A28" s="44"/>
      <c r="B28" s="11" t="str">
        <f>CONCATENATE("          ", "5000", " - ", "PURCHASES @ COST")</f>
        <v xml:space="preserve">          5000 - PURCHASES @ COST</v>
      </c>
      <c r="C28" s="11"/>
      <c r="D28" s="2"/>
      <c r="E28" s="2"/>
      <c r="F28" s="19">
        <f t="shared" si="7"/>
        <v>0</v>
      </c>
      <c r="G28" s="2"/>
      <c r="H28" s="2">
        <v>106852</v>
      </c>
      <c r="I28" s="2"/>
      <c r="J28" s="19">
        <f t="shared" si="8"/>
        <v>0.29762130243440477</v>
      </c>
      <c r="K28" s="2"/>
      <c r="L28" s="2">
        <f t="shared" si="9"/>
        <v>-106852</v>
      </c>
      <c r="M28" s="2"/>
      <c r="N28" s="19">
        <f t="shared" si="10"/>
        <v>-1</v>
      </c>
      <c r="O28" s="11"/>
      <c r="P28" s="2"/>
      <c r="Q28" s="2"/>
      <c r="R28" s="19">
        <f t="shared" si="11"/>
        <v>0</v>
      </c>
      <c r="S28" s="2"/>
      <c r="T28" s="2">
        <v>5277611.6399999997</v>
      </c>
      <c r="U28" s="2"/>
      <c r="V28" s="19">
        <f t="shared" si="12"/>
        <v>0.28095504915451486</v>
      </c>
      <c r="W28" s="2"/>
      <c r="X28" s="2">
        <f t="shared" si="13"/>
        <v>-5277611.6399999997</v>
      </c>
      <c r="Y28" s="2"/>
      <c r="Z28" s="19">
        <f t="shared" si="14"/>
        <v>-1</v>
      </c>
    </row>
    <row r="29" spans="1:26" s="24" customFormat="1" hidden="1" outlineLevel="1" x14ac:dyDescent="0.25">
      <c r="A29" s="44"/>
      <c r="B29" s="11" t="str">
        <f>CONCATENATE("          ", "5053", " - ", "PURCHASES @ COST-FOOD")</f>
        <v xml:space="preserve">          5053 - PURCHASES @ COST-FOOD</v>
      </c>
      <c r="C29" s="11"/>
      <c r="D29" s="2">
        <v>12722.21</v>
      </c>
      <c r="E29" s="2"/>
      <c r="F29" s="19">
        <f t="shared" si="7"/>
        <v>-9.5198389810393538E-2</v>
      </c>
      <c r="G29" s="2"/>
      <c r="H29" s="2"/>
      <c r="I29" s="2"/>
      <c r="J29" s="19">
        <f t="shared" si="8"/>
        <v>0</v>
      </c>
      <c r="K29" s="2"/>
      <c r="L29" s="2">
        <f t="shared" si="9"/>
        <v>12722.21</v>
      </c>
      <c r="M29" s="2"/>
      <c r="N29" s="19">
        <f t="shared" si="10"/>
        <v>0</v>
      </c>
      <c r="O29" s="11"/>
      <c r="P29" s="2">
        <v>3786321.88</v>
      </c>
      <c r="Q29" s="2"/>
      <c r="R29" s="19">
        <f t="shared" si="11"/>
        <v>0.27724631149869117</v>
      </c>
      <c r="S29" s="2"/>
      <c r="T29" s="2"/>
      <c r="U29" s="2"/>
      <c r="V29" s="19">
        <f t="shared" si="12"/>
        <v>0</v>
      </c>
      <c r="W29" s="2"/>
      <c r="X29" s="2">
        <f t="shared" si="13"/>
        <v>3786321.88</v>
      </c>
      <c r="Y29" s="2"/>
      <c r="Z29" s="19">
        <f t="shared" si="14"/>
        <v>0</v>
      </c>
    </row>
    <row r="30" spans="1:26" s="24" customFormat="1" hidden="1" outlineLevel="1" x14ac:dyDescent="0.25">
      <c r="A30" s="44"/>
      <c r="B30" s="11" t="str">
        <f>CONCATENATE("          ", "5059", " - ", "PURCHASES @ COST-FOOD")</f>
        <v xml:space="preserve">          5059 - PURCHASES @ COST-FOOD</v>
      </c>
      <c r="C30" s="11"/>
      <c r="D30" s="2">
        <v>39442</v>
      </c>
      <c r="E30" s="2"/>
      <c r="F30" s="19">
        <f t="shared" si="7"/>
        <v>-0.29513857190704623</v>
      </c>
      <c r="G30" s="2"/>
      <c r="H30" s="2"/>
      <c r="I30" s="2"/>
      <c r="J30" s="19">
        <f t="shared" si="8"/>
        <v>0</v>
      </c>
      <c r="K30" s="2"/>
      <c r="L30" s="2">
        <f t="shared" si="9"/>
        <v>39442</v>
      </c>
      <c r="M30" s="2"/>
      <c r="N30" s="19">
        <f t="shared" si="10"/>
        <v>0</v>
      </c>
      <c r="O30" s="11"/>
      <c r="P30" s="2">
        <v>105816.73</v>
      </c>
      <c r="Q30" s="2"/>
      <c r="R30" s="19">
        <f t="shared" si="11"/>
        <v>7.7482314016453606E-3</v>
      </c>
      <c r="S30" s="2"/>
      <c r="T30" s="2"/>
      <c r="U30" s="2"/>
      <c r="V30" s="19">
        <f t="shared" si="12"/>
        <v>0</v>
      </c>
      <c r="W30" s="2"/>
      <c r="X30" s="2">
        <f t="shared" si="13"/>
        <v>105816.73</v>
      </c>
      <c r="Y30" s="2"/>
      <c r="Z30" s="19">
        <f t="shared" si="14"/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6</v>
      </c>
      <c r="C32" s="29"/>
      <c r="D32" s="22">
        <f>D12-D27</f>
        <v>-185803.13</v>
      </c>
      <c r="E32" s="14"/>
      <c r="F32" s="20">
        <f>IF(D$12=0,0,D32/D$12)</f>
        <v>1.3903369617174397</v>
      </c>
      <c r="G32" s="14"/>
      <c r="H32" s="22">
        <f>H12-H27</f>
        <v>252168</v>
      </c>
      <c r="I32" s="14"/>
      <c r="J32" s="20">
        <f>IF(H$12=0,0,H32/H$12)</f>
        <v>0.70237869756559523</v>
      </c>
      <c r="K32" s="15"/>
      <c r="L32" s="22">
        <f>+D32-H32</f>
        <v>-437971.13</v>
      </c>
      <c r="M32" s="15"/>
      <c r="N32" s="20">
        <f>IF(H32=0,0,L32/H32)</f>
        <v>-1.7368227927413471</v>
      </c>
      <c r="O32" s="28"/>
      <c r="P32" s="22">
        <f>P12-P27</f>
        <v>9764749.5900000017</v>
      </c>
      <c r="Q32" s="14"/>
      <c r="R32" s="20">
        <f>IF(P$12=0,0,P32/P$12)</f>
        <v>0.71500545709966357</v>
      </c>
      <c r="S32" s="14"/>
      <c r="T32" s="22">
        <f>T12-T27</f>
        <v>13506929.359999999</v>
      </c>
      <c r="U32" s="14"/>
      <c r="V32" s="20">
        <f>IF(T$12=0,0,T32/T$12)</f>
        <v>0.71904495084548514</v>
      </c>
      <c r="W32" s="15"/>
      <c r="X32" s="22">
        <f>+P32-T32</f>
        <v>-3742179.7699999977</v>
      </c>
      <c r="Y32" s="15"/>
      <c r="Z32" s="20">
        <f>IF(T32=0,0,X32/T32)</f>
        <v>-0.2770562923859104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8" t="s">
        <v>9</v>
      </c>
      <c r="C34" s="10"/>
      <c r="D34" s="21">
        <f>SUM(OSRRefD22x_0)</f>
        <v>270353.82999999996</v>
      </c>
      <c r="E34" s="21"/>
      <c r="F34" s="32">
        <f t="shared" ref="F34:F45" si="15">IF(D$12=0,0,D34/D$12)</f>
        <v>-2.0230171719436219</v>
      </c>
      <c r="G34" s="21"/>
      <c r="H34" s="21">
        <f>SUM(OSRRefH22x_0)</f>
        <v>639206.85211684182</v>
      </c>
      <c r="I34" s="21"/>
      <c r="J34" s="32">
        <f t="shared" ref="J34:J45" si="16">IF(H$12=0,0,H34/H$12)</f>
        <v>1.7804212916184108</v>
      </c>
      <c r="K34" s="4"/>
      <c r="L34" s="21">
        <f t="shared" ref="L34:L45" si="17">+D34-H34</f>
        <v>-368853.02211684186</v>
      </c>
      <c r="M34" s="4"/>
      <c r="N34" s="32">
        <f t="shared" ref="N34:N45" si="18">IF(H34=0,0,L34/H34)</f>
        <v>-0.57704797890592474</v>
      </c>
      <c r="O34" s="10"/>
      <c r="P34" s="21">
        <f>SUM(OSRRefP22x_0)</f>
        <v>9781195.0600000061</v>
      </c>
      <c r="Q34" s="21"/>
      <c r="R34" s="32">
        <f t="shared" ref="R34:R45" si="19">IF(P$12=0,0,P34/P$12)</f>
        <v>0.71620964576688895</v>
      </c>
      <c r="S34" s="21"/>
      <c r="T34" s="21">
        <f>SUM(OSRRefT22x_0)</f>
        <v>11320192.025521241</v>
      </c>
      <c r="U34" s="21"/>
      <c r="V34" s="32">
        <f t="shared" ref="V34:V45" si="20">IF(T$12=0,0,T34/T$12)</f>
        <v>0.60263341145898863</v>
      </c>
      <c r="W34" s="4"/>
      <c r="X34" s="21">
        <f t="shared" ref="X34:X45" si="21">+P34-T34</f>
        <v>-1538996.965521235</v>
      </c>
      <c r="Y34" s="4"/>
      <c r="Z34" s="32">
        <f t="shared" ref="Z34:Z45" si="22">IF(T34=0,0,X34/T34)</f>
        <v>-0.13595148934325357</v>
      </c>
    </row>
    <row r="35" spans="1:26" s="26" customFormat="1" outlineLevel="1" collapsed="1" x14ac:dyDescent="0.25">
      <c r="A35" s="25"/>
      <c r="B35" s="12" t="str">
        <f>CONCATENATE("     ","*Benefits                                         ")</f>
        <v xml:space="preserve">     *Benefits                                         </v>
      </c>
      <c r="C35" s="12"/>
      <c r="D35" s="1">
        <f>SUM(OSRRefD22_0x_0)</f>
        <v>80794.540000000008</v>
      </c>
      <c r="E35" s="1"/>
      <c r="F35" s="5">
        <f t="shared" si="15"/>
        <v>-0.60457342816000015</v>
      </c>
      <c r="G35" s="1"/>
      <c r="H35" s="1">
        <f>SUM(OSRRefH22_0x_0)</f>
        <v>130267.74659038031</v>
      </c>
      <c r="I35" s="1"/>
      <c r="J35" s="5">
        <f t="shared" si="16"/>
        <v>0.36284258980107043</v>
      </c>
      <c r="K35" s="1"/>
      <c r="L35" s="1">
        <f t="shared" si="17"/>
        <v>-49473.206590380301</v>
      </c>
      <c r="M35" s="1"/>
      <c r="N35" s="5">
        <f t="shared" si="18"/>
        <v>-0.37978093492279441</v>
      </c>
      <c r="O35" s="12"/>
      <c r="P35" s="1">
        <f>SUM(OSRRefP22_0x_0)</f>
        <v>1642370.6900000004</v>
      </c>
      <c r="Q35" s="1"/>
      <c r="R35" s="5">
        <f t="shared" si="19"/>
        <v>0.12025951050840412</v>
      </c>
      <c r="S35" s="1"/>
      <c r="T35" s="1">
        <f>SUM(OSRRefT22_0x_0)</f>
        <v>1823968.0370006247</v>
      </c>
      <c r="U35" s="1"/>
      <c r="V35" s="5">
        <f t="shared" si="20"/>
        <v>9.7099420049743285E-2</v>
      </c>
      <c r="W35" s="1"/>
      <c r="X35" s="1">
        <f t="shared" si="21"/>
        <v>-181597.34700062429</v>
      </c>
      <c r="Y35" s="1"/>
      <c r="Z35" s="5">
        <f t="shared" si="22"/>
        <v>-9.9561693690228895E-2</v>
      </c>
    </row>
    <row r="36" spans="1:26" s="24" customFormat="1" hidden="1" outlineLevel="2" x14ac:dyDescent="0.25">
      <c r="A36" s="27"/>
      <c r="B36" s="11" t="str">
        <f>CONCATENATE("          ", "6111", " - ", "F.I.C.A.")</f>
        <v xml:space="preserve">          6111 - F.I.C.A.</v>
      </c>
      <c r="C36" s="11"/>
      <c r="D36" s="6">
        <v>9423.8700000000008</v>
      </c>
      <c r="E36" s="2"/>
      <c r="F36" s="7">
        <f t="shared" si="15"/>
        <v>-7.0517406156829165E-2</v>
      </c>
      <c r="G36" s="2"/>
      <c r="H36" s="6">
        <v>21245.221870460311</v>
      </c>
      <c r="I36" s="2"/>
      <c r="J36" s="7">
        <f t="shared" si="16"/>
        <v>5.9175594313576711E-2</v>
      </c>
      <c r="K36" s="2"/>
      <c r="L36" s="6">
        <f t="shared" si="17"/>
        <v>-11821.35187046031</v>
      </c>
      <c r="M36" s="2"/>
      <c r="N36" s="7">
        <f t="shared" si="18"/>
        <v>-0.55642402524856205</v>
      </c>
      <c r="O36" s="11"/>
      <c r="P36" s="6">
        <v>287420.75</v>
      </c>
      <c r="Q36" s="2"/>
      <c r="R36" s="7">
        <f t="shared" si="19"/>
        <v>2.1045844836014693E-2</v>
      </c>
      <c r="S36" s="2"/>
      <c r="T36" s="6">
        <v>284071.43439543055</v>
      </c>
      <c r="U36" s="2"/>
      <c r="V36" s="7">
        <f t="shared" si="20"/>
        <v>1.512261781618356E-2</v>
      </c>
      <c r="W36" s="2"/>
      <c r="X36" s="6">
        <f t="shared" si="21"/>
        <v>3349.3156045694486</v>
      </c>
      <c r="Y36" s="2"/>
      <c r="Z36" s="7">
        <f t="shared" si="22"/>
        <v>1.1790399170890109E-2</v>
      </c>
    </row>
    <row r="37" spans="1:26" s="24" customFormat="1" hidden="1" outlineLevel="2" x14ac:dyDescent="0.25">
      <c r="A37" s="27"/>
      <c r="B37" s="11" t="str">
        <f>CONCATENATE("          ", "6112", " - ", "COMPENSATION INSURANCE")</f>
        <v xml:space="preserve">          6112 - COMPENSATION INSURANCE</v>
      </c>
      <c r="C37" s="11"/>
      <c r="D37" s="6">
        <v>4134.12</v>
      </c>
      <c r="E37" s="2"/>
      <c r="F37" s="7">
        <f t="shared" si="15"/>
        <v>-3.0935000073331928E-2</v>
      </c>
      <c r="G37" s="2"/>
      <c r="H37" s="6">
        <v>11792.609471747684</v>
      </c>
      <c r="I37" s="2"/>
      <c r="J37" s="7">
        <f t="shared" si="16"/>
        <v>3.284666445253101E-2</v>
      </c>
      <c r="K37" s="2"/>
      <c r="L37" s="6">
        <f t="shared" si="17"/>
        <v>-7658.4894717476845</v>
      </c>
      <c r="M37" s="2"/>
      <c r="N37" s="7">
        <f t="shared" si="18"/>
        <v>-0.64943128067588618</v>
      </c>
      <c r="O37" s="11"/>
      <c r="P37" s="6">
        <v>166799.38</v>
      </c>
      <c r="Q37" s="2"/>
      <c r="R37" s="7">
        <f t="shared" si="19"/>
        <v>1.2213571463519778E-2</v>
      </c>
      <c r="S37" s="2"/>
      <c r="T37" s="6">
        <v>217998.78700977232</v>
      </c>
      <c r="U37" s="2"/>
      <c r="V37" s="7">
        <f t="shared" si="20"/>
        <v>1.1605222986804539E-2</v>
      </c>
      <c r="W37" s="2"/>
      <c r="X37" s="6">
        <f t="shared" si="21"/>
        <v>-51199.407009772316</v>
      </c>
      <c r="Y37" s="2"/>
      <c r="Z37" s="7">
        <f t="shared" si="22"/>
        <v>-0.23486097199007433</v>
      </c>
    </row>
    <row r="38" spans="1:26" s="24" customFormat="1" hidden="1" outlineLevel="2" x14ac:dyDescent="0.25">
      <c r="A38" s="27"/>
      <c r="B38" s="11" t="str">
        <f>CONCATENATE("          ", "6113", " - ", "GROUP INSURANCE")</f>
        <v xml:space="preserve">          6113 - GROUP INSURANCE</v>
      </c>
      <c r="C38" s="11"/>
      <c r="D38" s="6">
        <v>55309.619999999995</v>
      </c>
      <c r="E38" s="2"/>
      <c r="F38" s="7">
        <f t="shared" si="15"/>
        <v>-0.41387359311194666</v>
      </c>
      <c r="G38" s="2"/>
      <c r="H38" s="6">
        <v>65031.032692307694</v>
      </c>
      <c r="I38" s="2"/>
      <c r="J38" s="7">
        <f t="shared" si="16"/>
        <v>0.18113484678376607</v>
      </c>
      <c r="K38" s="2"/>
      <c r="L38" s="6">
        <f t="shared" si="17"/>
        <v>-9721.4126923076983</v>
      </c>
      <c r="M38" s="2"/>
      <c r="N38" s="7">
        <f t="shared" si="18"/>
        <v>-0.14948882540900527</v>
      </c>
      <c r="O38" s="11"/>
      <c r="P38" s="6">
        <v>807271.55</v>
      </c>
      <c r="Q38" s="2"/>
      <c r="R38" s="7">
        <f t="shared" si="19"/>
        <v>5.9110943736070121E-2</v>
      </c>
      <c r="S38" s="2"/>
      <c r="T38" s="6">
        <v>822797.90769230761</v>
      </c>
      <c r="U38" s="2"/>
      <c r="V38" s="7">
        <f t="shared" si="20"/>
        <v>4.3801863867331522E-2</v>
      </c>
      <c r="W38" s="2"/>
      <c r="X38" s="6">
        <f t="shared" si="21"/>
        <v>-15526.35769230756</v>
      </c>
      <c r="Y38" s="2"/>
      <c r="Z38" s="7">
        <f t="shared" si="22"/>
        <v>-1.8870195885468604E-2</v>
      </c>
    </row>
    <row r="39" spans="1:26" s="24" customFormat="1" hidden="1" outlineLevel="2" x14ac:dyDescent="0.25">
      <c r="A39" s="27"/>
      <c r="B39" s="11" t="str">
        <f>CONCATENATE("          ", "6114", " - ", "STATE UNEMPLOYMENT INSURANCE")</f>
        <v xml:space="preserve">          6114 - STATE UNEMPLOYMENT INSURANCE</v>
      </c>
      <c r="C39" s="11"/>
      <c r="D39" s="6">
        <v>-13299.63</v>
      </c>
      <c r="E39" s="2"/>
      <c r="F39" s="7">
        <f t="shared" si="15"/>
        <v>9.9519137089704085E-2</v>
      </c>
      <c r="G39" s="2"/>
      <c r="H39" s="6">
        <v>835.91039088000002</v>
      </c>
      <c r="I39" s="2"/>
      <c r="J39" s="7">
        <f t="shared" si="16"/>
        <v>2.3283114892763634E-3</v>
      </c>
      <c r="K39" s="2"/>
      <c r="L39" s="6">
        <f t="shared" si="17"/>
        <v>-14135.54039088</v>
      </c>
      <c r="M39" s="2"/>
      <c r="N39" s="7">
        <f t="shared" si="18"/>
        <v>-16.910353723440245</v>
      </c>
      <c r="O39" s="11"/>
      <c r="P39" s="6">
        <v>0</v>
      </c>
      <c r="Q39" s="2"/>
      <c r="R39" s="7">
        <f t="shared" si="19"/>
        <v>0</v>
      </c>
      <c r="S39" s="2"/>
      <c r="T39" s="6">
        <v>15183.14195616</v>
      </c>
      <c r="U39" s="2"/>
      <c r="V39" s="7">
        <f t="shared" si="20"/>
        <v>8.0827857098877205E-4</v>
      </c>
      <c r="W39" s="2"/>
      <c r="X39" s="6">
        <f t="shared" si="21"/>
        <v>-15183.14195616</v>
      </c>
      <c r="Y39" s="2"/>
      <c r="Z39" s="7">
        <f t="shared" si="22"/>
        <v>-1</v>
      </c>
    </row>
    <row r="40" spans="1:26" s="24" customFormat="1" hidden="1" outlineLevel="2" x14ac:dyDescent="0.25">
      <c r="A40" s="27"/>
      <c r="B40" s="11" t="str">
        <f>CONCATENATE("          ", "6115", " - ", "P.E.R.S.")</f>
        <v xml:space="preserve">          6115 - P.E.R.S.</v>
      </c>
      <c r="C40" s="11"/>
      <c r="D40" s="6">
        <v>6347.38</v>
      </c>
      <c r="E40" s="2"/>
      <c r="F40" s="7">
        <f t="shared" si="15"/>
        <v>-4.7496492788178767E-2</v>
      </c>
      <c r="G40" s="2"/>
      <c r="H40" s="6">
        <v>10091.967499138471</v>
      </c>
      <c r="I40" s="2"/>
      <c r="J40" s="7">
        <f t="shared" si="16"/>
        <v>2.8109764077595873E-2</v>
      </c>
      <c r="K40" s="2"/>
      <c r="L40" s="6">
        <f t="shared" si="17"/>
        <v>-3744.5874991384708</v>
      </c>
      <c r="M40" s="2"/>
      <c r="N40" s="7">
        <f t="shared" si="18"/>
        <v>-0.3710463296139368</v>
      </c>
      <c r="O40" s="11"/>
      <c r="P40" s="6">
        <v>130686.27</v>
      </c>
      <c r="Q40" s="2"/>
      <c r="R40" s="7">
        <f t="shared" si="19"/>
        <v>9.5692567798863568E-3</v>
      </c>
      <c r="S40" s="2"/>
      <c r="T40" s="6">
        <v>135283.88518110779</v>
      </c>
      <c r="U40" s="2"/>
      <c r="V40" s="7">
        <f t="shared" si="20"/>
        <v>7.2018733479358261E-3</v>
      </c>
      <c r="W40" s="2"/>
      <c r="X40" s="6">
        <f t="shared" si="21"/>
        <v>-4597.6151811077871</v>
      </c>
      <c r="Y40" s="2"/>
      <c r="Z40" s="7">
        <f t="shared" si="22"/>
        <v>-3.3984943402186073E-2</v>
      </c>
    </row>
    <row r="41" spans="1:26" s="24" customFormat="1" hidden="1" outlineLevel="2" x14ac:dyDescent="0.25">
      <c r="A41" s="27"/>
      <c r="B41" s="11" t="str">
        <f>CONCATENATE("          ", "6116", " - ", "EDUCATIONAL BENEFITS")</f>
        <v xml:space="preserve">          6116 - EDUCATIONAL BENEFITS</v>
      </c>
      <c r="C41" s="11"/>
      <c r="D41" s="6"/>
      <c r="E41" s="2"/>
      <c r="F41" s="7">
        <f t="shared" si="15"/>
        <v>0</v>
      </c>
      <c r="G41" s="2"/>
      <c r="H41" s="6">
        <v>0</v>
      </c>
      <c r="I41" s="2"/>
      <c r="J41" s="7">
        <f t="shared" si="16"/>
        <v>0</v>
      </c>
      <c r="K41" s="2"/>
      <c r="L41" s="6">
        <f t="shared" si="17"/>
        <v>0</v>
      </c>
      <c r="M41" s="2"/>
      <c r="N41" s="7">
        <f t="shared" si="18"/>
        <v>0</v>
      </c>
      <c r="O41" s="11"/>
      <c r="P41" s="6"/>
      <c r="Q41" s="2"/>
      <c r="R41" s="7">
        <f t="shared" si="19"/>
        <v>0</v>
      </c>
      <c r="S41" s="2"/>
      <c r="T41" s="6">
        <v>24000</v>
      </c>
      <c r="U41" s="2"/>
      <c r="V41" s="7">
        <f t="shared" si="20"/>
        <v>1.277646336953349E-3</v>
      </c>
      <c r="W41" s="2"/>
      <c r="X41" s="6">
        <f t="shared" si="21"/>
        <v>-24000</v>
      </c>
      <c r="Y41" s="2"/>
      <c r="Z41" s="7">
        <f t="shared" si="22"/>
        <v>-1</v>
      </c>
    </row>
    <row r="42" spans="1:26" s="24" customFormat="1" hidden="1" outlineLevel="2" x14ac:dyDescent="0.25">
      <c r="A42" s="27"/>
      <c r="B42" s="11" t="str">
        <f>CONCATENATE("          ", "6117", " - ", "RETIREMENT STAFF HOURLY")</f>
        <v xml:space="preserve">          6117 - RETIREMENT STAFF HOURLY</v>
      </c>
      <c r="C42" s="11"/>
      <c r="D42" s="6">
        <v>1453.91</v>
      </c>
      <c r="E42" s="2"/>
      <c r="F42" s="7">
        <f t="shared" si="15"/>
        <v>-1.0879390524856081E-2</v>
      </c>
      <c r="G42" s="2"/>
      <c r="H42" s="6"/>
      <c r="I42" s="2"/>
      <c r="J42" s="7">
        <f t="shared" si="16"/>
        <v>0</v>
      </c>
      <c r="K42" s="2"/>
      <c r="L42" s="6">
        <f t="shared" si="17"/>
        <v>1453.91</v>
      </c>
      <c r="M42" s="2"/>
      <c r="N42" s="7">
        <f t="shared" si="18"/>
        <v>0</v>
      </c>
      <c r="O42" s="11"/>
      <c r="P42" s="6">
        <v>22230.05</v>
      </c>
      <c r="Q42" s="2"/>
      <c r="R42" s="7">
        <f t="shared" si="19"/>
        <v>1.6277536781768482E-3</v>
      </c>
      <c r="S42" s="2"/>
      <c r="T42" s="6"/>
      <c r="U42" s="2"/>
      <c r="V42" s="7">
        <f t="shared" si="20"/>
        <v>0</v>
      </c>
      <c r="W42" s="2"/>
      <c r="X42" s="6">
        <f t="shared" si="21"/>
        <v>22230.05</v>
      </c>
      <c r="Y42" s="2"/>
      <c r="Z42" s="7">
        <f t="shared" si="22"/>
        <v>0</v>
      </c>
    </row>
    <row r="43" spans="1:26" s="24" customFormat="1" hidden="1" outlineLevel="2" x14ac:dyDescent="0.25">
      <c r="A43" s="27"/>
      <c r="B43" s="11" t="str">
        <f>CONCATENATE("          ", "6118", " - ", "VACATION")</f>
        <v xml:space="preserve">          6118 - VACATION</v>
      </c>
      <c r="C43" s="11"/>
      <c r="D43" s="6">
        <v>8390.6200000000008</v>
      </c>
      <c r="E43" s="2"/>
      <c r="F43" s="7">
        <f t="shared" si="15"/>
        <v>-6.2785751336511847E-2</v>
      </c>
      <c r="G43" s="2"/>
      <c r="H43" s="6">
        <v>8713.2637433846139</v>
      </c>
      <c r="I43" s="2"/>
      <c r="J43" s="7">
        <f t="shared" si="16"/>
        <v>2.4269577581707464E-2</v>
      </c>
      <c r="K43" s="2"/>
      <c r="L43" s="6">
        <f t="shared" si="17"/>
        <v>-322.64374338461312</v>
      </c>
      <c r="M43" s="2"/>
      <c r="N43" s="7">
        <f t="shared" si="18"/>
        <v>-3.7029034456758467E-2</v>
      </c>
      <c r="O43" s="11"/>
      <c r="P43" s="6">
        <v>176580.53</v>
      </c>
      <c r="Q43" s="2"/>
      <c r="R43" s="7">
        <f t="shared" si="19"/>
        <v>1.2929777809852759E-2</v>
      </c>
      <c r="S43" s="2"/>
      <c r="T43" s="6">
        <v>114406.08976092303</v>
      </c>
      <c r="U43" s="2"/>
      <c r="V43" s="7">
        <f t="shared" si="20"/>
        <v>6.0904383961749731E-3</v>
      </c>
      <c r="W43" s="2"/>
      <c r="X43" s="6">
        <f t="shared" si="21"/>
        <v>62174.440239076968</v>
      </c>
      <c r="Y43" s="2"/>
      <c r="Z43" s="7">
        <f t="shared" si="22"/>
        <v>0.54345393998697356</v>
      </c>
    </row>
    <row r="44" spans="1:26" s="24" customFormat="1" hidden="1" outlineLevel="2" x14ac:dyDescent="0.25">
      <c r="A44" s="27"/>
      <c r="B44" s="11" t="str">
        <f>CONCATENATE("          ", "6119", " - ", "SICK LEAVE")</f>
        <v xml:space="preserve">          6119 - SICK LEAVE</v>
      </c>
      <c r="C44" s="11"/>
      <c r="D44" s="6">
        <v>6128.13</v>
      </c>
      <c r="E44" s="2"/>
      <c r="F44" s="7">
        <f t="shared" si="15"/>
        <v>-4.5855877913410253E-2</v>
      </c>
      <c r="G44" s="2"/>
      <c r="H44" s="6">
        <v>9332.7409224615421</v>
      </c>
      <c r="I44" s="2"/>
      <c r="J44" s="7">
        <f t="shared" si="16"/>
        <v>2.5995044628325838E-2</v>
      </c>
      <c r="K44" s="2"/>
      <c r="L44" s="6">
        <f t="shared" si="17"/>
        <v>-3204.610922461542</v>
      </c>
      <c r="M44" s="2"/>
      <c r="N44" s="7">
        <f t="shared" si="18"/>
        <v>-0.34337296503633308</v>
      </c>
      <c r="O44" s="11"/>
      <c r="P44" s="6">
        <v>-16128.72</v>
      </c>
      <c r="Q44" s="2"/>
      <c r="R44" s="7">
        <f t="shared" si="19"/>
        <v>-1.1809952431184139E-3</v>
      </c>
      <c r="S44" s="2"/>
      <c r="T44" s="6">
        <v>171526.79100492308</v>
      </c>
      <c r="U44" s="2"/>
      <c r="V44" s="7">
        <f t="shared" si="20"/>
        <v>9.1312740090334424E-3</v>
      </c>
      <c r="W44" s="2"/>
      <c r="X44" s="6">
        <f t="shared" si="21"/>
        <v>-187655.51100492309</v>
      </c>
      <c r="Y44" s="2"/>
      <c r="Z44" s="7">
        <f t="shared" si="22"/>
        <v>-1.0940303255573474</v>
      </c>
    </row>
    <row r="45" spans="1:26" s="24" customFormat="1" hidden="1" outlineLevel="2" x14ac:dyDescent="0.25">
      <c r="A45" s="27"/>
      <c r="B45" s="11" t="str">
        <f>CONCATENATE("          ", "6156", " - ", "EMPLOYEE MEALS")</f>
        <v xml:space="preserve">          6156 - EMPLOYEE MEALS</v>
      </c>
      <c r="C45" s="11"/>
      <c r="D45" s="6">
        <v>2906.52</v>
      </c>
      <c r="E45" s="2"/>
      <c r="F45" s="7">
        <f t="shared" si="15"/>
        <v>-2.1749053344639419E-2</v>
      </c>
      <c r="G45" s="2"/>
      <c r="H45" s="6">
        <v>3225</v>
      </c>
      <c r="I45" s="2"/>
      <c r="J45" s="7">
        <f t="shared" si="16"/>
        <v>8.982786474291125E-3</v>
      </c>
      <c r="K45" s="2"/>
      <c r="L45" s="6">
        <f t="shared" si="17"/>
        <v>-318.48</v>
      </c>
      <c r="M45" s="2"/>
      <c r="N45" s="7">
        <f t="shared" si="18"/>
        <v>-9.8753488372093023E-2</v>
      </c>
      <c r="O45" s="11"/>
      <c r="P45" s="6">
        <v>67510.880000000005</v>
      </c>
      <c r="Q45" s="2"/>
      <c r="R45" s="7">
        <f t="shared" si="19"/>
        <v>4.9433574480019539E-3</v>
      </c>
      <c r="S45" s="2"/>
      <c r="T45" s="6">
        <v>38700</v>
      </c>
      <c r="U45" s="2"/>
      <c r="V45" s="7">
        <f t="shared" si="20"/>
        <v>2.0602047183372755E-3</v>
      </c>
      <c r="W45" s="2"/>
      <c r="X45" s="6">
        <f t="shared" si="21"/>
        <v>28810.880000000005</v>
      </c>
      <c r="Y45" s="2"/>
      <c r="Z45" s="7">
        <f t="shared" si="22"/>
        <v>0.74446718346253238</v>
      </c>
    </row>
    <row r="46" spans="1:26" s="26" customFormat="1" outlineLevel="1" collapsed="1" x14ac:dyDescent="0.25">
      <c r="A46" s="25"/>
      <c r="B46" s="12" t="str">
        <f>CONCATENATE("     ","*Payroll                                          ")</f>
        <v xml:space="preserve">     *Payroll                                          </v>
      </c>
      <c r="C46" s="12"/>
      <c r="D46" s="1">
        <f>SUM(OSRRefD22_1x_0)</f>
        <v>92216.22</v>
      </c>
      <c r="E46" s="1"/>
      <c r="F46" s="5">
        <f t="shared" ref="F46:F56" si="23">IF(D$12=0,0,D46/D$12)</f>
        <v>-0.69004014698712013</v>
      </c>
      <c r="G46" s="1"/>
      <c r="H46" s="1">
        <f>SUM(OSRRefH22_1x_0)</f>
        <v>300033.10552646156</v>
      </c>
      <c r="I46" s="1"/>
      <c r="J46" s="5">
        <f t="shared" ref="J46:J56" si="24">IF(H$12=0,0,H46/H$12)</f>
        <v>0.83570025493415845</v>
      </c>
      <c r="K46" s="1"/>
      <c r="L46" s="1">
        <f t="shared" ref="L46:L56" si="25">+D46-H46</f>
        <v>-207816.88552646156</v>
      </c>
      <c r="M46" s="1"/>
      <c r="N46" s="5">
        <f t="shared" ref="N46:N56" si="26">IF(H46=0,0,L46/H46)</f>
        <v>-0.69264651699621549</v>
      </c>
      <c r="O46" s="12"/>
      <c r="P46" s="1">
        <f>SUM(OSRRefP22_1x_0)</f>
        <v>4759974.3900000006</v>
      </c>
      <c r="Q46" s="1"/>
      <c r="R46" s="5">
        <f t="shared" ref="R46:R56" si="27">IF(P$12=0,0,P46/P$12)</f>
        <v>0.34854018867929226</v>
      </c>
      <c r="S46" s="1"/>
      <c r="T46" s="1">
        <f>SUM(OSRRefT22_1x_0)</f>
        <v>5534944.1285206154</v>
      </c>
      <c r="U46" s="1"/>
      <c r="V46" s="5">
        <f t="shared" ref="V46:V56" si="28">IF(T$12=0,0,T46/T$12)</f>
        <v>0.29465421212690879</v>
      </c>
      <c r="W46" s="1"/>
      <c r="X46" s="1">
        <f t="shared" ref="X46:X56" si="29">+P46-T46</f>
        <v>-774969.7385206148</v>
      </c>
      <c r="Y46" s="1"/>
      <c r="Z46" s="5">
        <f t="shared" ref="Z46:Z56" si="30">IF(T46=0,0,X46/T46)</f>
        <v>-0.14001401288358611</v>
      </c>
    </row>
    <row r="47" spans="1:26" s="24" customFormat="1" hidden="1" outlineLevel="2" x14ac:dyDescent="0.25">
      <c r="A47" s="27"/>
      <c r="B47" s="11" t="str">
        <f>CONCATENATE("          ", "6001", " - ", "ADMINISTRATIVE SALARIES")</f>
        <v xml:space="preserve">          6001 - ADMINISTRATIVE SALARIES</v>
      </c>
      <c r="C47" s="11"/>
      <c r="D47" s="6">
        <v>16260.06</v>
      </c>
      <c r="E47" s="2"/>
      <c r="F47" s="7">
        <f t="shared" si="23"/>
        <v>-0.12167159088086014</v>
      </c>
      <c r="G47" s="2"/>
      <c r="H47" s="6">
        <v>20213.021076923069</v>
      </c>
      <c r="I47" s="2"/>
      <c r="J47" s="7">
        <f t="shared" si="24"/>
        <v>5.6300543359487129E-2</v>
      </c>
      <c r="K47" s="2"/>
      <c r="L47" s="6">
        <f t="shared" si="25"/>
        <v>-3952.9610769230694</v>
      </c>
      <c r="M47" s="2"/>
      <c r="N47" s="7">
        <f t="shared" si="26"/>
        <v>-0.19556507965234901</v>
      </c>
      <c r="O47" s="11"/>
      <c r="P47" s="6">
        <v>287329.50999999995</v>
      </c>
      <c r="Q47" s="2"/>
      <c r="R47" s="7">
        <f t="shared" si="27"/>
        <v>2.1039163958302003E-2</v>
      </c>
      <c r="S47" s="2"/>
      <c r="T47" s="6">
        <v>262769.27399999992</v>
      </c>
      <c r="U47" s="2"/>
      <c r="V47" s="7">
        <f t="shared" si="28"/>
        <v>1.3988591682916282E-2</v>
      </c>
      <c r="W47" s="2"/>
      <c r="X47" s="6">
        <f t="shared" si="29"/>
        <v>24560.236000000034</v>
      </c>
      <c r="Y47" s="2"/>
      <c r="Z47" s="7">
        <f t="shared" si="30"/>
        <v>9.3466924903860868E-2</v>
      </c>
    </row>
    <row r="48" spans="1:26" s="24" customFormat="1" hidden="1" outlineLevel="2" x14ac:dyDescent="0.25">
      <c r="A48" s="27"/>
      <c r="B48" s="11" t="str">
        <f>CONCATENATE("          ", "6002", " - ", "STAFF SALARIES")</f>
        <v xml:space="preserve">          6002 - STAFF SALARIES</v>
      </c>
      <c r="C48" s="11"/>
      <c r="D48" s="6">
        <v>45105.950000000004</v>
      </c>
      <c r="E48" s="2"/>
      <c r="F48" s="7">
        <f t="shared" si="23"/>
        <v>-0.3375210604814825</v>
      </c>
      <c r="G48" s="2"/>
      <c r="H48" s="6">
        <v>87481.356005538473</v>
      </c>
      <c r="I48" s="2"/>
      <c r="J48" s="7">
        <f t="shared" si="24"/>
        <v>0.24366708262920861</v>
      </c>
      <c r="K48" s="2"/>
      <c r="L48" s="6">
        <f t="shared" si="25"/>
        <v>-42375.406005538469</v>
      </c>
      <c r="M48" s="2"/>
      <c r="N48" s="7">
        <f t="shared" si="26"/>
        <v>-0.48439356613145856</v>
      </c>
      <c r="O48" s="11"/>
      <c r="P48" s="6">
        <v>1058878.48</v>
      </c>
      <c r="Q48" s="2"/>
      <c r="R48" s="7">
        <f t="shared" si="27"/>
        <v>7.7534388836836193E-2</v>
      </c>
      <c r="S48" s="2"/>
      <c r="T48" s="6">
        <v>1180042.2434566151</v>
      </c>
      <c r="U48" s="2"/>
      <c r="V48" s="7">
        <f t="shared" si="28"/>
        <v>6.2819860408439857E-2</v>
      </c>
      <c r="W48" s="2"/>
      <c r="X48" s="6">
        <f t="shared" si="29"/>
        <v>-121163.76345661515</v>
      </c>
      <c r="Y48" s="2"/>
      <c r="Z48" s="7">
        <f t="shared" si="30"/>
        <v>-0.10267747966521827</v>
      </c>
    </row>
    <row r="49" spans="1:26" s="24" customFormat="1" hidden="1" outlineLevel="2" x14ac:dyDescent="0.25">
      <c r="A49" s="27"/>
      <c r="B49" s="11" t="str">
        <f>CONCATENATE("          ", "6003", " - ", "STAFF HOURLY-9 MONTH")</f>
        <v xml:space="preserve">          6003 - STAFF HOURLY-9 MONTH</v>
      </c>
      <c r="C49" s="11"/>
      <c r="D49" s="6"/>
      <c r="E49" s="2"/>
      <c r="F49" s="7">
        <f t="shared" si="23"/>
        <v>0</v>
      </c>
      <c r="G49" s="2"/>
      <c r="H49" s="6">
        <v>0</v>
      </c>
      <c r="I49" s="2"/>
      <c r="J49" s="7">
        <f t="shared" si="24"/>
        <v>0</v>
      </c>
      <c r="K49" s="2"/>
      <c r="L49" s="6">
        <f t="shared" si="25"/>
        <v>0</v>
      </c>
      <c r="M49" s="2"/>
      <c r="N49" s="7">
        <f t="shared" si="26"/>
        <v>0</v>
      </c>
      <c r="O49" s="11"/>
      <c r="P49" s="6"/>
      <c r="Q49" s="2"/>
      <c r="R49" s="7">
        <f t="shared" si="27"/>
        <v>0</v>
      </c>
      <c r="S49" s="2"/>
      <c r="T49" s="6">
        <v>0</v>
      </c>
      <c r="U49" s="2"/>
      <c r="V49" s="7">
        <f t="shared" si="28"/>
        <v>0</v>
      </c>
      <c r="W49" s="2"/>
      <c r="X49" s="6">
        <f t="shared" si="29"/>
        <v>0</v>
      </c>
      <c r="Y49" s="2"/>
      <c r="Z49" s="7">
        <f t="shared" si="30"/>
        <v>0</v>
      </c>
    </row>
    <row r="50" spans="1:26" s="24" customFormat="1" hidden="1" outlineLevel="2" x14ac:dyDescent="0.25">
      <c r="A50" s="27"/>
      <c r="B50" s="11" t="str">
        <f>CONCATENATE("          ", "6004", " - ", "STAFF HOURLY")</f>
        <v xml:space="preserve">          6004 - STAFF HOURLY</v>
      </c>
      <c r="C50" s="11"/>
      <c r="D50" s="6">
        <v>30850.21</v>
      </c>
      <c r="E50" s="2"/>
      <c r="F50" s="7">
        <f t="shared" si="23"/>
        <v>-0.23084749562477755</v>
      </c>
      <c r="G50" s="2"/>
      <c r="H50" s="6">
        <v>109288.42504</v>
      </c>
      <c r="I50" s="2"/>
      <c r="J50" s="7">
        <f t="shared" si="24"/>
        <v>0.30440762364213692</v>
      </c>
      <c r="K50" s="2"/>
      <c r="L50" s="6">
        <f t="shared" si="25"/>
        <v>-78438.21504000001</v>
      </c>
      <c r="M50" s="2"/>
      <c r="N50" s="7">
        <f t="shared" si="26"/>
        <v>-0.71771749854837152</v>
      </c>
      <c r="O50" s="11"/>
      <c r="P50" s="6">
        <v>917166.33</v>
      </c>
      <c r="Q50" s="2"/>
      <c r="R50" s="7">
        <f t="shared" si="27"/>
        <v>6.7157782693132093E-2</v>
      </c>
      <c r="S50" s="2"/>
      <c r="T50" s="6">
        <v>1561181.5793300001</v>
      </c>
      <c r="U50" s="2"/>
      <c r="V50" s="7">
        <f t="shared" si="28"/>
        <v>8.3109913589584125E-2</v>
      </c>
      <c r="W50" s="2"/>
      <c r="X50" s="6">
        <f t="shared" si="29"/>
        <v>-644015.24933000014</v>
      </c>
      <c r="Y50" s="2"/>
      <c r="Z50" s="7">
        <f t="shared" si="30"/>
        <v>-0.41251783767932176</v>
      </c>
    </row>
    <row r="51" spans="1:26" s="24" customFormat="1" hidden="1" outlineLevel="2" x14ac:dyDescent="0.25">
      <c r="A51" s="27"/>
      <c r="B51" s="11" t="str">
        <f>CONCATENATE("          ", "6005", " - ", "TEMPORARY WAGES-HOURLY")</f>
        <v xml:space="preserve">          6005 - TEMPORARY WAGES-HOURLY</v>
      </c>
      <c r="C51" s="11"/>
      <c r="D51" s="6"/>
      <c r="E51" s="2"/>
      <c r="F51" s="7">
        <f t="shared" si="23"/>
        <v>0</v>
      </c>
      <c r="G51" s="2"/>
      <c r="H51" s="6">
        <v>29172.956404</v>
      </c>
      <c r="I51" s="2"/>
      <c r="J51" s="7">
        <f t="shared" si="24"/>
        <v>8.1257190139825075E-2</v>
      </c>
      <c r="K51" s="2"/>
      <c r="L51" s="6">
        <f t="shared" si="25"/>
        <v>-29172.956404</v>
      </c>
      <c r="M51" s="2"/>
      <c r="N51" s="7">
        <f t="shared" si="26"/>
        <v>-1</v>
      </c>
      <c r="O51" s="11"/>
      <c r="P51" s="6">
        <v>831285.8</v>
      </c>
      <c r="Q51" s="2"/>
      <c r="R51" s="7">
        <f t="shared" si="27"/>
        <v>6.0869342109720136E-2</v>
      </c>
      <c r="S51" s="2"/>
      <c r="T51" s="6">
        <v>606829.78543399996</v>
      </c>
      <c r="U51" s="2"/>
      <c r="V51" s="7">
        <f t="shared" si="28"/>
        <v>3.2304743854747367E-2</v>
      </c>
      <c r="W51" s="2"/>
      <c r="X51" s="6">
        <f t="shared" si="29"/>
        <v>224456.01456600009</v>
      </c>
      <c r="Y51" s="2"/>
      <c r="Z51" s="7">
        <f t="shared" si="30"/>
        <v>0.36988298853107693</v>
      </c>
    </row>
    <row r="52" spans="1:26" s="24" customFormat="1" hidden="1" outlineLevel="2" x14ac:dyDescent="0.25">
      <c r="A52" s="27"/>
      <c r="B52" s="11" t="str">
        <f>CONCATENATE("          ", "6006", " - ", "TEMPORARY PART TIME")</f>
        <v xml:space="preserve">          6006 - TEMPORARY PART TIME</v>
      </c>
      <c r="C52" s="11"/>
      <c r="D52" s="6"/>
      <c r="E52" s="2"/>
      <c r="F52" s="7">
        <f t="shared" si="23"/>
        <v>0</v>
      </c>
      <c r="G52" s="2"/>
      <c r="H52" s="6">
        <v>0</v>
      </c>
      <c r="I52" s="2"/>
      <c r="J52" s="7">
        <f t="shared" si="24"/>
        <v>0</v>
      </c>
      <c r="K52" s="2"/>
      <c r="L52" s="6">
        <f t="shared" si="25"/>
        <v>0</v>
      </c>
      <c r="M52" s="2"/>
      <c r="N52" s="7">
        <f t="shared" si="26"/>
        <v>0</v>
      </c>
      <c r="O52" s="11"/>
      <c r="P52" s="6">
        <v>45957.26</v>
      </c>
      <c r="Q52" s="2"/>
      <c r="R52" s="7">
        <f t="shared" si="27"/>
        <v>3.3651340866948007E-3</v>
      </c>
      <c r="S52" s="2"/>
      <c r="T52" s="6">
        <v>0</v>
      </c>
      <c r="U52" s="2"/>
      <c r="V52" s="7">
        <f t="shared" si="28"/>
        <v>0</v>
      </c>
      <c r="W52" s="2"/>
      <c r="X52" s="6">
        <f t="shared" si="29"/>
        <v>45957.26</v>
      </c>
      <c r="Y52" s="2"/>
      <c r="Z52" s="7">
        <f t="shared" si="30"/>
        <v>0</v>
      </c>
    </row>
    <row r="53" spans="1:26" s="24" customFormat="1" hidden="1" outlineLevel="2" x14ac:dyDescent="0.25">
      <c r="A53" s="27"/>
      <c r="B53" s="11" t="str">
        <f>CONCATENATE("          ", "6007", " - ", "STUDENT HOURLY")</f>
        <v xml:space="preserve">          6007 - STUDENT HOURLY</v>
      </c>
      <c r="C53" s="11"/>
      <c r="D53" s="6"/>
      <c r="E53" s="2"/>
      <c r="F53" s="7">
        <f t="shared" si="23"/>
        <v>0</v>
      </c>
      <c r="G53" s="2"/>
      <c r="H53" s="6">
        <v>42500.447</v>
      </c>
      <c r="I53" s="2"/>
      <c r="J53" s="7">
        <f t="shared" si="24"/>
        <v>0.11837905130633392</v>
      </c>
      <c r="K53" s="2"/>
      <c r="L53" s="6">
        <f t="shared" si="25"/>
        <v>-42500.447</v>
      </c>
      <c r="M53" s="2"/>
      <c r="N53" s="7">
        <f t="shared" si="26"/>
        <v>-1</v>
      </c>
      <c r="O53" s="11"/>
      <c r="P53" s="6">
        <v>1410448.02</v>
      </c>
      <c r="Q53" s="2"/>
      <c r="R53" s="7">
        <f t="shared" si="27"/>
        <v>0.10327740839234519</v>
      </c>
      <c r="S53" s="2"/>
      <c r="T53" s="6">
        <v>499004.86449999997</v>
      </c>
      <c r="U53" s="2"/>
      <c r="V53" s="7">
        <f t="shared" si="28"/>
        <v>2.6564655718763635E-2</v>
      </c>
      <c r="W53" s="2"/>
      <c r="X53" s="6">
        <f t="shared" si="29"/>
        <v>911443.15550000011</v>
      </c>
      <c r="Y53" s="2"/>
      <c r="Z53" s="7">
        <f t="shared" si="30"/>
        <v>1.8265215839393889</v>
      </c>
    </row>
    <row r="54" spans="1:26" s="24" customFormat="1" hidden="1" outlineLevel="2" x14ac:dyDescent="0.25">
      <c r="A54" s="27"/>
      <c r="B54" s="11" t="str">
        <f>CONCATENATE("          ", "6008", " - ", "STUDENT HOURLY-FICA EXEMPT")</f>
        <v xml:space="preserve">          6008 - STUDENT HOURLY-FICA EXEMPT</v>
      </c>
      <c r="C54" s="11"/>
      <c r="D54" s="6"/>
      <c r="E54" s="2"/>
      <c r="F54" s="7">
        <f t="shared" si="23"/>
        <v>0</v>
      </c>
      <c r="G54" s="2"/>
      <c r="H54" s="6">
        <v>11376.9</v>
      </c>
      <c r="I54" s="2"/>
      <c r="J54" s="7">
        <f t="shared" si="24"/>
        <v>3.1688763857166728E-2</v>
      </c>
      <c r="K54" s="2"/>
      <c r="L54" s="6">
        <f t="shared" si="25"/>
        <v>-11376.9</v>
      </c>
      <c r="M54" s="2"/>
      <c r="N54" s="7">
        <f t="shared" si="26"/>
        <v>-1</v>
      </c>
      <c r="O54" s="11"/>
      <c r="P54" s="6">
        <v>208908.99000000002</v>
      </c>
      <c r="Q54" s="2"/>
      <c r="R54" s="7">
        <f t="shared" si="27"/>
        <v>1.5296968602261825E-2</v>
      </c>
      <c r="S54" s="2"/>
      <c r="T54" s="6">
        <v>1425116.3818000001</v>
      </c>
      <c r="U54" s="2"/>
      <c r="V54" s="7">
        <f t="shared" si="28"/>
        <v>7.5866446872457527E-2</v>
      </c>
      <c r="W54" s="2"/>
      <c r="X54" s="6">
        <f t="shared" si="29"/>
        <v>-1216207.3918000001</v>
      </c>
      <c r="Y54" s="2"/>
      <c r="Z54" s="7">
        <f t="shared" si="30"/>
        <v>-0.85340917228378466</v>
      </c>
    </row>
    <row r="55" spans="1:26" s="24" customFormat="1" hidden="1" outlineLevel="2" x14ac:dyDescent="0.25">
      <c r="A55" s="27"/>
      <c r="B55" s="11" t="str">
        <f>CONCATENATE("          ", "6009", " - ", "TEMPORARY-SEASONAL")</f>
        <v xml:space="preserve">          6009 - TEMPORARY-SEASONAL</v>
      </c>
      <c r="C55" s="11"/>
      <c r="D55" s="6"/>
      <c r="E55" s="2"/>
      <c r="F55" s="7">
        <f t="shared" si="23"/>
        <v>0</v>
      </c>
      <c r="G55" s="2"/>
      <c r="H55" s="6">
        <v>0</v>
      </c>
      <c r="I55" s="2"/>
      <c r="J55" s="7">
        <f t="shared" si="24"/>
        <v>0</v>
      </c>
      <c r="K55" s="2"/>
      <c r="L55" s="6">
        <f t="shared" si="25"/>
        <v>0</v>
      </c>
      <c r="M55" s="2"/>
      <c r="N55" s="7">
        <f t="shared" si="26"/>
        <v>0</v>
      </c>
      <c r="O55" s="11"/>
      <c r="P55" s="6"/>
      <c r="Q55" s="2"/>
      <c r="R55" s="7">
        <f t="shared" si="27"/>
        <v>0</v>
      </c>
      <c r="S55" s="2"/>
      <c r="T55" s="6">
        <v>0</v>
      </c>
      <c r="U55" s="2"/>
      <c r="V55" s="7">
        <f t="shared" si="28"/>
        <v>0</v>
      </c>
      <c r="W55" s="2"/>
      <c r="X55" s="6">
        <f t="shared" si="29"/>
        <v>0</v>
      </c>
      <c r="Y55" s="2"/>
      <c r="Z55" s="7">
        <f t="shared" si="30"/>
        <v>0</v>
      </c>
    </row>
    <row r="56" spans="1:26" s="24" customFormat="1" hidden="1" outlineLevel="2" x14ac:dyDescent="0.25">
      <c r="A56" s="27"/>
      <c r="B56" s="11" t="str">
        <f>CONCATENATE("          ", "6010", " - ", "GRATUITY")</f>
        <v xml:space="preserve">          6010 - GRATUITY</v>
      </c>
      <c r="C56" s="11"/>
      <c r="D56" s="6"/>
      <c r="E56" s="2"/>
      <c r="F56" s="7">
        <f t="shared" si="23"/>
        <v>0</v>
      </c>
      <c r="G56" s="2"/>
      <c r="H56" s="6">
        <v>0</v>
      </c>
      <c r="I56" s="2"/>
      <c r="J56" s="7">
        <f t="shared" si="24"/>
        <v>0</v>
      </c>
      <c r="K56" s="2"/>
      <c r="L56" s="6">
        <f t="shared" si="25"/>
        <v>0</v>
      </c>
      <c r="M56" s="2"/>
      <c r="N56" s="7">
        <f t="shared" si="26"/>
        <v>0</v>
      </c>
      <c r="O56" s="11"/>
      <c r="P56" s="6"/>
      <c r="Q56" s="2"/>
      <c r="R56" s="7">
        <f t="shared" si="27"/>
        <v>0</v>
      </c>
      <c r="S56" s="2"/>
      <c r="T56" s="6">
        <v>0</v>
      </c>
      <c r="U56" s="2"/>
      <c r="V56" s="7">
        <f t="shared" si="28"/>
        <v>0</v>
      </c>
      <c r="W56" s="2"/>
      <c r="X56" s="6">
        <f t="shared" si="29"/>
        <v>0</v>
      </c>
      <c r="Y56" s="2"/>
      <c r="Z56" s="7">
        <f t="shared" si="30"/>
        <v>0</v>
      </c>
    </row>
    <row r="57" spans="1:26" s="26" customFormat="1" outlineLevel="1" collapsed="1" x14ac:dyDescent="0.25">
      <c r="A57" s="25"/>
      <c r="B57" s="12" t="str">
        <f>CONCATENATE("     ","Advertising/Promo                                 ")</f>
        <v xml:space="preserve">     Advertising/Promo                                 </v>
      </c>
      <c r="C57" s="12"/>
      <c r="D57" s="1">
        <f>SUM(OSRRefD22_2x_0)</f>
        <v>0</v>
      </c>
      <c r="E57" s="1"/>
      <c r="F57" s="5">
        <f t="shared" ref="F57:F61" si="31">IF(D$12=0,0,D57/D$12)</f>
        <v>0</v>
      </c>
      <c r="G57" s="1"/>
      <c r="H57" s="1">
        <f>SUM(OSRRefH22_2x_0)</f>
        <v>2075</v>
      </c>
      <c r="I57" s="1"/>
      <c r="J57" s="5">
        <f t="shared" ref="J57:J61" si="32">IF(H$12=0,0,H57/H$12)</f>
        <v>5.779622305164058E-3</v>
      </c>
      <c r="K57" s="1"/>
      <c r="L57" s="1">
        <f t="shared" ref="L57:L61" si="33">+D57-H57</f>
        <v>-2075</v>
      </c>
      <c r="M57" s="1"/>
      <c r="N57" s="5">
        <f t="shared" ref="N57:N61" si="34">IF(H57=0,0,L57/H57)</f>
        <v>-1</v>
      </c>
      <c r="O57" s="12"/>
      <c r="P57" s="1">
        <f>SUM(OSRRefP22_2x_0)</f>
        <v>36981.440000000002</v>
      </c>
      <c r="Q57" s="1"/>
      <c r="R57" s="5">
        <f t="shared" ref="R57:R61" si="35">IF(P$12=0,0,P57/P$12)</f>
        <v>2.7078965177440642E-3</v>
      </c>
      <c r="S57" s="1"/>
      <c r="T57" s="1">
        <f>SUM(OSRRefT22_2x_0)</f>
        <v>41460</v>
      </c>
      <c r="U57" s="1"/>
      <c r="V57" s="5">
        <f t="shared" ref="V57:V61" si="36">IF(T$12=0,0,T57/T$12)</f>
        <v>2.2071340470869102E-3</v>
      </c>
      <c r="W57" s="1"/>
      <c r="X57" s="1">
        <f t="shared" ref="X57:X61" si="37">+P57-T57</f>
        <v>-4478.5599999999977</v>
      </c>
      <c r="Y57" s="1"/>
      <c r="Z57" s="5">
        <f t="shared" ref="Z57:Z61" si="38">IF(T57=0,0,X57/T57)</f>
        <v>-0.10802122527737573</v>
      </c>
    </row>
    <row r="58" spans="1:26" s="24" customFormat="1" hidden="1" outlineLevel="2" x14ac:dyDescent="0.25">
      <c r="A58" s="27"/>
      <c r="B58" s="11" t="str">
        <f>CONCATENATE("          ", "6362", " - ", "ADVERTISING EXPENSE")</f>
        <v xml:space="preserve">          6362 - ADVERTISING EXPENSE</v>
      </c>
      <c r="C58" s="11"/>
      <c r="D58" s="6"/>
      <c r="E58" s="2"/>
      <c r="F58" s="7">
        <f t="shared" si="31"/>
        <v>0</v>
      </c>
      <c r="G58" s="2"/>
      <c r="H58" s="6">
        <v>2075</v>
      </c>
      <c r="I58" s="2"/>
      <c r="J58" s="7">
        <f t="shared" si="32"/>
        <v>5.779622305164058E-3</v>
      </c>
      <c r="K58" s="2"/>
      <c r="L58" s="6">
        <f t="shared" si="33"/>
        <v>-2075</v>
      </c>
      <c r="M58" s="2"/>
      <c r="N58" s="7">
        <f t="shared" si="34"/>
        <v>-1</v>
      </c>
      <c r="O58" s="11"/>
      <c r="P58" s="6">
        <v>36981.440000000002</v>
      </c>
      <c r="Q58" s="2"/>
      <c r="R58" s="7">
        <f t="shared" si="35"/>
        <v>2.7078965177440642E-3</v>
      </c>
      <c r="S58" s="2"/>
      <c r="T58" s="6">
        <v>41460</v>
      </c>
      <c r="U58" s="2"/>
      <c r="V58" s="7">
        <f t="shared" si="36"/>
        <v>2.2071340470869102E-3</v>
      </c>
      <c r="W58" s="2"/>
      <c r="X58" s="6">
        <f t="shared" si="37"/>
        <v>-4478.5599999999977</v>
      </c>
      <c r="Y58" s="2"/>
      <c r="Z58" s="7">
        <f t="shared" si="38"/>
        <v>-0.10802122527737573</v>
      </c>
    </row>
    <row r="59" spans="1:26" s="26" customFormat="1" outlineLevel="1" collapsed="1" x14ac:dyDescent="0.25">
      <c r="A59" s="25"/>
      <c r="B59" s="12" t="str">
        <f>CONCATENATE("     ","Bad Debts/Over/Short                              ")</f>
        <v xml:space="preserve">     Bad Debts/Over/Short                              </v>
      </c>
      <c r="C59" s="12"/>
      <c r="D59" s="1">
        <f>SUM(OSRRefD22_3x_0)</f>
        <v>0</v>
      </c>
      <c r="E59" s="1"/>
      <c r="F59" s="5">
        <f t="shared" si="31"/>
        <v>0</v>
      </c>
      <c r="G59" s="1"/>
      <c r="H59" s="1">
        <f>SUM(OSRRefH22_3x_0)</f>
        <v>257</v>
      </c>
      <c r="I59" s="1"/>
      <c r="J59" s="5">
        <f t="shared" si="32"/>
        <v>7.1583755779622304E-4</v>
      </c>
      <c r="K59" s="1"/>
      <c r="L59" s="1">
        <f t="shared" si="33"/>
        <v>-257</v>
      </c>
      <c r="M59" s="1"/>
      <c r="N59" s="5">
        <f t="shared" si="34"/>
        <v>-1</v>
      </c>
      <c r="O59" s="12"/>
      <c r="P59" s="1">
        <f>SUM(OSRRefP22_3x_0)</f>
        <v>-197.1</v>
      </c>
      <c r="Q59" s="1"/>
      <c r="R59" s="5">
        <f t="shared" si="35"/>
        <v>-1.4432277478847631E-5</v>
      </c>
      <c r="S59" s="1"/>
      <c r="T59" s="1">
        <f>SUM(OSRRefT22_3x_0)</f>
        <v>3096</v>
      </c>
      <c r="U59" s="1"/>
      <c r="V59" s="5">
        <f t="shared" si="36"/>
        <v>1.6481637746698202E-4</v>
      </c>
      <c r="W59" s="1"/>
      <c r="X59" s="1">
        <f t="shared" si="37"/>
        <v>-3293.1</v>
      </c>
      <c r="Y59" s="1"/>
      <c r="Z59" s="5">
        <f t="shared" si="38"/>
        <v>-1.0636627906976743</v>
      </c>
    </row>
    <row r="60" spans="1:26" s="24" customFormat="1" hidden="1" outlineLevel="2" x14ac:dyDescent="0.25">
      <c r="A60" s="27"/>
      <c r="B60" s="11" t="str">
        <f>CONCATENATE("          ", "6272", " - ", "CASH (OVER/SHORT)")</f>
        <v xml:space="preserve">          6272 - CASH (OVER/SHORT)</v>
      </c>
      <c r="C60" s="11"/>
      <c r="D60" s="6"/>
      <c r="E60" s="2"/>
      <c r="F60" s="7">
        <f t="shared" si="31"/>
        <v>0</v>
      </c>
      <c r="G60" s="2"/>
      <c r="H60" s="6">
        <v>207</v>
      </c>
      <c r="I60" s="2"/>
      <c r="J60" s="7">
        <f t="shared" si="32"/>
        <v>5.7656955044287225E-4</v>
      </c>
      <c r="K60" s="2"/>
      <c r="L60" s="6">
        <f t="shared" si="33"/>
        <v>-207</v>
      </c>
      <c r="M60" s="2"/>
      <c r="N60" s="7">
        <f t="shared" si="34"/>
        <v>-1</v>
      </c>
      <c r="O60" s="11"/>
      <c r="P60" s="6">
        <v>-197.1</v>
      </c>
      <c r="Q60" s="2"/>
      <c r="R60" s="7">
        <f t="shared" si="35"/>
        <v>-1.4432277478847631E-5</v>
      </c>
      <c r="S60" s="2"/>
      <c r="T60" s="6">
        <v>2546</v>
      </c>
      <c r="U60" s="2"/>
      <c r="V60" s="7">
        <f t="shared" si="36"/>
        <v>1.3553698224513444E-4</v>
      </c>
      <c r="W60" s="2"/>
      <c r="X60" s="6">
        <f t="shared" si="37"/>
        <v>-2743.1</v>
      </c>
      <c r="Y60" s="2"/>
      <c r="Z60" s="7">
        <f t="shared" si="38"/>
        <v>-1.077415553809898</v>
      </c>
    </row>
    <row r="61" spans="1:26" s="24" customFormat="1" hidden="1" outlineLevel="2" x14ac:dyDescent="0.25">
      <c r="A61" s="27"/>
      <c r="B61" s="11" t="str">
        <f>CONCATENATE("          ", "6342", " - ", "BAD DEBT")</f>
        <v xml:space="preserve">          6342 - BAD DEBT</v>
      </c>
      <c r="C61" s="11"/>
      <c r="D61" s="6"/>
      <c r="E61" s="2"/>
      <c r="F61" s="7">
        <f t="shared" si="31"/>
        <v>0</v>
      </c>
      <c r="G61" s="2"/>
      <c r="H61" s="6">
        <v>50</v>
      </c>
      <c r="I61" s="2"/>
      <c r="J61" s="7">
        <f t="shared" si="32"/>
        <v>1.3926800735335079E-4</v>
      </c>
      <c r="K61" s="2"/>
      <c r="L61" s="6">
        <f t="shared" si="33"/>
        <v>-50</v>
      </c>
      <c r="M61" s="2"/>
      <c r="N61" s="7">
        <f t="shared" si="34"/>
        <v>-1</v>
      </c>
      <c r="O61" s="11"/>
      <c r="P61" s="6"/>
      <c r="Q61" s="2"/>
      <c r="R61" s="7">
        <f t="shared" si="35"/>
        <v>0</v>
      </c>
      <c r="S61" s="2"/>
      <c r="T61" s="6">
        <v>550</v>
      </c>
      <c r="U61" s="2"/>
      <c r="V61" s="7">
        <f t="shared" si="36"/>
        <v>2.9279395221847581E-5</v>
      </c>
      <c r="W61" s="2"/>
      <c r="X61" s="6">
        <f t="shared" si="37"/>
        <v>-550</v>
      </c>
      <c r="Y61" s="2"/>
      <c r="Z61" s="7">
        <f t="shared" si="38"/>
        <v>-1</v>
      </c>
    </row>
    <row r="62" spans="1:26" s="26" customFormat="1" outlineLevel="1" collapsed="1" x14ac:dyDescent="0.25">
      <c r="A62" s="25"/>
      <c r="B62" s="12" t="str">
        <f>CONCATENATE("     ","Bank/card Fees                                    ")</f>
        <v xml:space="preserve">     Bank/card Fees                                    </v>
      </c>
      <c r="C62" s="12"/>
      <c r="D62" s="1">
        <f>SUM(OSRRefD22_4x_0)</f>
        <v>279.08999999999997</v>
      </c>
      <c r="E62" s="1"/>
      <c r="F62" s="5">
        <f t="shared" ref="F62:F68" si="39">IF(D$12=0,0,D62/D$12)</f>
        <v>-2.0883886221169695E-3</v>
      </c>
      <c r="G62" s="1"/>
      <c r="H62" s="1">
        <f>SUM(OSRRefH22_4x_0)</f>
        <v>3945</v>
      </c>
      <c r="I62" s="1"/>
      <c r="J62" s="5">
        <f t="shared" ref="J62:J68" si="40">IF(H$12=0,0,H62/H$12)</f>
        <v>1.0988245780179377E-2</v>
      </c>
      <c r="K62" s="1"/>
      <c r="L62" s="1">
        <f t="shared" ref="L62:L68" si="41">+D62-H62</f>
        <v>-3665.91</v>
      </c>
      <c r="M62" s="1"/>
      <c r="N62" s="5">
        <f t="shared" ref="N62:N68" si="42">IF(H62=0,0,L62/H62)</f>
        <v>-0.929254752851711</v>
      </c>
      <c r="O62" s="12"/>
      <c r="P62" s="1">
        <f>SUM(OSRRefP22_4x_0)</f>
        <v>152805.46</v>
      </c>
      <c r="Q62" s="1"/>
      <c r="R62" s="5">
        <f t="shared" ref="R62:R68" si="43">IF(P$12=0,0,P62/P$12)</f>
        <v>1.1188892942683677E-2</v>
      </c>
      <c r="S62" s="1"/>
      <c r="T62" s="1">
        <f>SUM(OSRRefT22_4x_0)</f>
        <v>121007</v>
      </c>
      <c r="U62" s="1"/>
      <c r="V62" s="5">
        <f t="shared" ref="V62:V68" si="44">IF(T$12=0,0,T62/T$12)</f>
        <v>6.4418395956547464E-3</v>
      </c>
      <c r="W62" s="1"/>
      <c r="X62" s="1">
        <f t="shared" ref="X62:X68" si="45">+P62-T62</f>
        <v>31798.459999999992</v>
      </c>
      <c r="Y62" s="1"/>
      <c r="Z62" s="5">
        <f t="shared" ref="Z62:Z68" si="46">IF(T62=0,0,X62/T62)</f>
        <v>0.26278198781888645</v>
      </c>
    </row>
    <row r="63" spans="1:26" s="24" customFormat="1" hidden="1" outlineLevel="2" x14ac:dyDescent="0.25">
      <c r="A63" s="27"/>
      <c r="B63" s="11" t="str">
        <f>CONCATENATE("          ", "6381", " - ", "BANK/CREDIT CARD FEES")</f>
        <v xml:space="preserve">          6381 - BANK/CREDIT CARD FEES</v>
      </c>
      <c r="C63" s="11"/>
      <c r="D63" s="6">
        <v>279.08999999999997</v>
      </c>
      <c r="E63" s="2"/>
      <c r="F63" s="7">
        <f t="shared" si="39"/>
        <v>-2.0883886221169695E-3</v>
      </c>
      <c r="G63" s="2"/>
      <c r="H63" s="6">
        <v>3945</v>
      </c>
      <c r="I63" s="2"/>
      <c r="J63" s="7">
        <f t="shared" si="40"/>
        <v>1.0988245780179377E-2</v>
      </c>
      <c r="K63" s="2"/>
      <c r="L63" s="6">
        <f t="shared" si="41"/>
        <v>-3665.91</v>
      </c>
      <c r="M63" s="2"/>
      <c r="N63" s="7">
        <f t="shared" si="42"/>
        <v>-0.929254752851711</v>
      </c>
      <c r="O63" s="11"/>
      <c r="P63" s="6">
        <v>152805.46</v>
      </c>
      <c r="Q63" s="2"/>
      <c r="R63" s="7">
        <f t="shared" si="43"/>
        <v>1.1188892942683677E-2</v>
      </c>
      <c r="S63" s="2"/>
      <c r="T63" s="6">
        <v>121007</v>
      </c>
      <c r="U63" s="2"/>
      <c r="V63" s="7">
        <f t="shared" si="44"/>
        <v>6.4418395956547464E-3</v>
      </c>
      <c r="W63" s="2"/>
      <c r="X63" s="6">
        <f t="shared" si="45"/>
        <v>31798.459999999992</v>
      </c>
      <c r="Y63" s="2"/>
      <c r="Z63" s="7">
        <f t="shared" si="46"/>
        <v>0.26278198781888645</v>
      </c>
    </row>
    <row r="64" spans="1:26" s="26" customFormat="1" outlineLevel="1" collapsed="1" x14ac:dyDescent="0.25">
      <c r="A64" s="25"/>
      <c r="B64" s="12" t="str">
        <f>CONCATENATE("     ","Depreciation                                      ")</f>
        <v xml:space="preserve">     Depreciation                                      </v>
      </c>
      <c r="C64" s="12"/>
      <c r="D64" s="1">
        <f>SUM(OSRRefD22_5x_0)</f>
        <v>37950.61</v>
      </c>
      <c r="E64" s="1"/>
      <c r="F64" s="5">
        <f t="shared" si="39"/>
        <v>-0.28397872416209285</v>
      </c>
      <c r="G64" s="1"/>
      <c r="H64" s="1">
        <f>SUM(OSRRefH22_5x_0)</f>
        <v>44988</v>
      </c>
      <c r="I64" s="1"/>
      <c r="J64" s="5">
        <f t="shared" si="40"/>
        <v>0.12530778229625089</v>
      </c>
      <c r="K64" s="1"/>
      <c r="L64" s="1">
        <f t="shared" si="41"/>
        <v>-7037.3899999999994</v>
      </c>
      <c r="M64" s="1"/>
      <c r="N64" s="5">
        <f t="shared" si="42"/>
        <v>-0.15642815862007645</v>
      </c>
      <c r="O64" s="12"/>
      <c r="P64" s="1">
        <f>SUM(OSRRefP22_5x_0)</f>
        <v>478199.97</v>
      </c>
      <c r="Q64" s="1"/>
      <c r="R64" s="5">
        <f t="shared" si="43"/>
        <v>3.5015295065533296E-2</v>
      </c>
      <c r="S64" s="1"/>
      <c r="T64" s="1">
        <f>SUM(OSRRefT22_5x_0)</f>
        <v>521654</v>
      </c>
      <c r="U64" s="1"/>
      <c r="V64" s="5">
        <f t="shared" si="44"/>
        <v>2.7770388427377599E-2</v>
      </c>
      <c r="W64" s="1"/>
      <c r="X64" s="1">
        <f t="shared" si="45"/>
        <v>-43454.030000000028</v>
      </c>
      <c r="Y64" s="1"/>
      <c r="Z64" s="5">
        <f t="shared" si="46"/>
        <v>-8.3300482695426517E-2</v>
      </c>
    </row>
    <row r="65" spans="1:26" s="24" customFormat="1" hidden="1" outlineLevel="2" x14ac:dyDescent="0.25">
      <c r="A65" s="27"/>
      <c r="B65" s="11" t="str">
        <f>CONCATENATE("          ", "6321", " - ", "BUILDING DEPRECIATION")</f>
        <v xml:space="preserve">          6321 - BUILDING DEPRECIATION</v>
      </c>
      <c r="C65" s="11"/>
      <c r="D65" s="6">
        <v>24027.89</v>
      </c>
      <c r="E65" s="2"/>
      <c r="F65" s="7">
        <f t="shared" si="39"/>
        <v>-0.17979709803102267</v>
      </c>
      <c r="G65" s="2"/>
      <c r="H65" s="6">
        <v>23037</v>
      </c>
      <c r="I65" s="2"/>
      <c r="J65" s="7">
        <f t="shared" si="40"/>
        <v>6.4166341707982841E-2</v>
      </c>
      <c r="K65" s="2"/>
      <c r="L65" s="6">
        <f t="shared" si="41"/>
        <v>990.88999999999942</v>
      </c>
      <c r="M65" s="2"/>
      <c r="N65" s="7">
        <f t="shared" si="42"/>
        <v>4.3012979120545185E-2</v>
      </c>
      <c r="O65" s="11"/>
      <c r="P65" s="6">
        <v>288500.45</v>
      </c>
      <c r="Q65" s="2"/>
      <c r="R65" s="7">
        <f t="shared" si="43"/>
        <v>2.1124903841564728E-2</v>
      </c>
      <c r="S65" s="2"/>
      <c r="T65" s="6">
        <v>276690</v>
      </c>
      <c r="U65" s="2"/>
      <c r="V65" s="7">
        <f t="shared" si="44"/>
        <v>1.4729665207150923E-2</v>
      </c>
      <c r="W65" s="2"/>
      <c r="X65" s="6">
        <f t="shared" si="45"/>
        <v>11810.450000000012</v>
      </c>
      <c r="Y65" s="2"/>
      <c r="Z65" s="7">
        <f t="shared" si="46"/>
        <v>4.2684773573313135E-2</v>
      </c>
    </row>
    <row r="66" spans="1:26" s="24" customFormat="1" hidden="1" outlineLevel="2" x14ac:dyDescent="0.25">
      <c r="A66" s="27"/>
      <c r="B66" s="11" t="str">
        <f>CONCATENATE("          ", "6322", " - ", "EQUIPMENT DEPRECIATION EXPENSE")</f>
        <v xml:space="preserve">          6322 - EQUIPMENT DEPRECIATION EXPENSE</v>
      </c>
      <c r="C66" s="11"/>
      <c r="D66" s="6">
        <v>13922.72</v>
      </c>
      <c r="E66" s="2"/>
      <c r="F66" s="7">
        <f t="shared" si="39"/>
        <v>-0.10418162613107018</v>
      </c>
      <c r="G66" s="2"/>
      <c r="H66" s="6">
        <v>15301</v>
      </c>
      <c r="I66" s="2"/>
      <c r="J66" s="7">
        <f t="shared" si="40"/>
        <v>4.261879561027241E-2</v>
      </c>
      <c r="K66" s="2"/>
      <c r="L66" s="6">
        <f t="shared" si="41"/>
        <v>-1378.2800000000007</v>
      </c>
      <c r="M66" s="2"/>
      <c r="N66" s="7">
        <f t="shared" si="42"/>
        <v>-9.0077772694595173E-2</v>
      </c>
      <c r="O66" s="11"/>
      <c r="P66" s="6">
        <v>185457.03999999998</v>
      </c>
      <c r="Q66" s="2"/>
      <c r="R66" s="7">
        <f t="shared" si="43"/>
        <v>1.3579743590490839E-2</v>
      </c>
      <c r="S66" s="2"/>
      <c r="T66" s="6">
        <v>183612</v>
      </c>
      <c r="U66" s="2"/>
      <c r="V66" s="7">
        <f t="shared" si="44"/>
        <v>9.7746333008615974E-3</v>
      </c>
      <c r="W66" s="2"/>
      <c r="X66" s="6">
        <f t="shared" si="45"/>
        <v>1845.039999999979</v>
      </c>
      <c r="Y66" s="2"/>
      <c r="Z66" s="7">
        <f t="shared" si="46"/>
        <v>1.0048580702786197E-2</v>
      </c>
    </row>
    <row r="67" spans="1:26" s="24" customFormat="1" hidden="1" outlineLevel="2" x14ac:dyDescent="0.25">
      <c r="A67" s="27"/>
      <c r="B67" s="11" t="str">
        <f>CONCATENATE("          ", "6324", " - ", "FURNITURE + FIXT DEPRECIATION")</f>
        <v xml:space="preserve">          6324 - FURNITURE + FIXT DEPRECIATION</v>
      </c>
      <c r="C67" s="11"/>
      <c r="D67" s="6"/>
      <c r="E67" s="2"/>
      <c r="F67" s="7">
        <f t="shared" si="39"/>
        <v>0</v>
      </c>
      <c r="G67" s="2"/>
      <c r="H67" s="6">
        <v>4476</v>
      </c>
      <c r="I67" s="2"/>
      <c r="J67" s="7">
        <f t="shared" si="40"/>
        <v>1.2467272018271962E-2</v>
      </c>
      <c r="K67" s="2"/>
      <c r="L67" s="6">
        <f t="shared" si="41"/>
        <v>-4476</v>
      </c>
      <c r="M67" s="2"/>
      <c r="N67" s="7">
        <f t="shared" si="42"/>
        <v>-1</v>
      </c>
      <c r="O67" s="11"/>
      <c r="P67" s="6"/>
      <c r="Q67" s="2"/>
      <c r="R67" s="7">
        <f t="shared" si="43"/>
        <v>0</v>
      </c>
      <c r="S67" s="2"/>
      <c r="T67" s="6">
        <v>40514</v>
      </c>
      <c r="U67" s="2"/>
      <c r="V67" s="7">
        <f t="shared" si="44"/>
        <v>2.1567734873053327E-3</v>
      </c>
      <c r="W67" s="2"/>
      <c r="X67" s="6">
        <f t="shared" si="45"/>
        <v>-40514</v>
      </c>
      <c r="Y67" s="2"/>
      <c r="Z67" s="7">
        <f t="shared" si="46"/>
        <v>-1</v>
      </c>
    </row>
    <row r="68" spans="1:26" s="24" customFormat="1" hidden="1" outlineLevel="2" x14ac:dyDescent="0.25">
      <c r="A68" s="27"/>
      <c r="B68" s="11" t="str">
        <f>CONCATENATE("          ", "6326", " - ", "VEHICLES DEPRECIATION EXPENSE")</f>
        <v xml:space="preserve">          6326 - VEHICLES DEPRECIATION EXPENSE</v>
      </c>
      <c r="C68" s="11"/>
      <c r="D68" s="6"/>
      <c r="E68" s="2"/>
      <c r="F68" s="7">
        <f t="shared" si="39"/>
        <v>0</v>
      </c>
      <c r="G68" s="2"/>
      <c r="H68" s="6">
        <v>2174</v>
      </c>
      <c r="I68" s="2"/>
      <c r="J68" s="7">
        <f t="shared" si="40"/>
        <v>6.0553729597236918E-3</v>
      </c>
      <c r="K68" s="2"/>
      <c r="L68" s="6">
        <f t="shared" si="41"/>
        <v>-2174</v>
      </c>
      <c r="M68" s="2"/>
      <c r="N68" s="7">
        <f t="shared" si="42"/>
        <v>-1</v>
      </c>
      <c r="O68" s="11"/>
      <c r="P68" s="6">
        <v>4242.4799999999996</v>
      </c>
      <c r="Q68" s="2"/>
      <c r="R68" s="7">
        <f t="shared" si="43"/>
        <v>3.1064763347773462E-4</v>
      </c>
      <c r="S68" s="2"/>
      <c r="T68" s="6">
        <v>20838</v>
      </c>
      <c r="U68" s="2"/>
      <c r="V68" s="7">
        <f t="shared" si="44"/>
        <v>1.1093164320597454E-3</v>
      </c>
      <c r="W68" s="2"/>
      <c r="X68" s="6">
        <f t="shared" si="45"/>
        <v>-16595.52</v>
      </c>
      <c r="Y68" s="2"/>
      <c r="Z68" s="7">
        <f t="shared" si="46"/>
        <v>-0.79640656492945583</v>
      </c>
    </row>
    <row r="69" spans="1:26" s="26" customFormat="1" outlineLevel="1" collapsed="1" x14ac:dyDescent="0.25">
      <c r="A69" s="25"/>
      <c r="B69" s="12" t="str">
        <f>CONCATENATE("     ","Discounts and Markdowns                           ")</f>
        <v xml:space="preserve">     Discounts and Markdowns                           </v>
      </c>
      <c r="C69" s="12"/>
      <c r="D69" s="1">
        <f>SUM(OSRRefD22_6x_0)</f>
        <v>0</v>
      </c>
      <c r="E69" s="1"/>
      <c r="F69" s="5">
        <f t="shared" ref="F69:F73" si="47">IF(D$12=0,0,D69/D$12)</f>
        <v>0</v>
      </c>
      <c r="G69" s="1"/>
      <c r="H69" s="1">
        <f>SUM(OSRRefH22_6x_0)</f>
        <v>0</v>
      </c>
      <c r="I69" s="1"/>
      <c r="J69" s="5">
        <f t="shared" ref="J69:J73" si="48">IF(H$12=0,0,H69/H$12)</f>
        <v>0</v>
      </c>
      <c r="K69" s="1"/>
      <c r="L69" s="1">
        <f t="shared" ref="L69:L73" si="49">+D69-H69</f>
        <v>0</v>
      </c>
      <c r="M69" s="1"/>
      <c r="N69" s="5">
        <f t="shared" ref="N69:N73" si="50">IF(H69=0,0,L69/H69)</f>
        <v>0</v>
      </c>
      <c r="O69" s="12"/>
      <c r="P69" s="1">
        <f>SUM(OSRRefP22_6x_0)</f>
        <v>0.09</v>
      </c>
      <c r="Q69" s="1"/>
      <c r="R69" s="5">
        <f t="shared" ref="R69:R73" si="51">IF(P$12=0,0,P69/P$12)</f>
        <v>6.5900810405696951E-9</v>
      </c>
      <c r="S69" s="1"/>
      <c r="T69" s="1">
        <f>SUM(OSRRefT22_6x_0)</f>
        <v>0</v>
      </c>
      <c r="U69" s="1"/>
      <c r="V69" s="5">
        <f t="shared" ref="V69:V73" si="52">IF(T$12=0,0,T69/T$12)</f>
        <v>0</v>
      </c>
      <c r="W69" s="1"/>
      <c r="X69" s="1">
        <f t="shared" ref="X69:X73" si="53">+P69-T69</f>
        <v>0.09</v>
      </c>
      <c r="Y69" s="1"/>
      <c r="Z69" s="5">
        <f t="shared" ref="Z69:Z73" si="54">IF(T69=0,0,X69/T69)</f>
        <v>0</v>
      </c>
    </row>
    <row r="70" spans="1:26" s="24" customFormat="1" hidden="1" outlineLevel="2" x14ac:dyDescent="0.25">
      <c r="A70" s="27"/>
      <c r="B70" s="11" t="str">
        <f>CONCATENATE("          ", "6382", " - ", "DISCOUNTS/MARK DOWNS")</f>
        <v xml:space="preserve">          6382 - DISCOUNTS/MARK DOWNS</v>
      </c>
      <c r="C70" s="11"/>
      <c r="D70" s="6"/>
      <c r="E70" s="2"/>
      <c r="F70" s="7">
        <f t="shared" si="47"/>
        <v>0</v>
      </c>
      <c r="G70" s="2"/>
      <c r="H70" s="6"/>
      <c r="I70" s="2"/>
      <c r="J70" s="7">
        <f t="shared" si="48"/>
        <v>0</v>
      </c>
      <c r="K70" s="2"/>
      <c r="L70" s="6">
        <f t="shared" si="49"/>
        <v>0</v>
      </c>
      <c r="M70" s="2"/>
      <c r="N70" s="7">
        <f t="shared" si="50"/>
        <v>0</v>
      </c>
      <c r="O70" s="11"/>
      <c r="P70" s="6">
        <v>0.09</v>
      </c>
      <c r="Q70" s="2"/>
      <c r="R70" s="7">
        <f t="shared" si="51"/>
        <v>6.5900810405696951E-9</v>
      </c>
      <c r="S70" s="2"/>
      <c r="T70" s="6"/>
      <c r="U70" s="2"/>
      <c r="V70" s="7">
        <f t="shared" si="52"/>
        <v>0</v>
      </c>
      <c r="W70" s="2"/>
      <c r="X70" s="6">
        <f t="shared" si="53"/>
        <v>0.09</v>
      </c>
      <c r="Y70" s="2"/>
      <c r="Z70" s="7">
        <f t="shared" si="54"/>
        <v>0</v>
      </c>
    </row>
    <row r="71" spans="1:26" s="26" customFormat="1" outlineLevel="1" collapsed="1" x14ac:dyDescent="0.25">
      <c r="A71" s="25"/>
      <c r="B71" s="12" t="str">
        <f>CONCATENATE("     ","Donations                                         ")</f>
        <v xml:space="preserve">     Donations                                         </v>
      </c>
      <c r="C71" s="12"/>
      <c r="D71" s="1">
        <f>SUM(OSRRefD22_7x_0)</f>
        <v>0</v>
      </c>
      <c r="E71" s="1"/>
      <c r="F71" s="5">
        <f t="shared" si="47"/>
        <v>0</v>
      </c>
      <c r="G71" s="1"/>
      <c r="H71" s="1">
        <f>SUM(OSRRefH22_7x_0)</f>
        <v>100</v>
      </c>
      <c r="I71" s="1"/>
      <c r="J71" s="5">
        <f t="shared" si="48"/>
        <v>2.7853601470670159E-4</v>
      </c>
      <c r="K71" s="1"/>
      <c r="L71" s="1">
        <f t="shared" si="49"/>
        <v>-100</v>
      </c>
      <c r="M71" s="1"/>
      <c r="N71" s="5">
        <f t="shared" si="50"/>
        <v>-1</v>
      </c>
      <c r="O71" s="12"/>
      <c r="P71" s="1">
        <f>SUM(OSRRefP22_7x_0)</f>
        <v>140336.19999999998</v>
      </c>
      <c r="Q71" s="1"/>
      <c r="R71" s="5">
        <f t="shared" si="51"/>
        <v>1.0275854788062186E-2</v>
      </c>
      <c r="S71" s="1"/>
      <c r="T71" s="1">
        <f>SUM(OSRRefT22_7x_0)</f>
        <v>139508</v>
      </c>
      <c r="U71" s="1"/>
      <c r="V71" s="5">
        <f t="shared" si="52"/>
        <v>7.4267452156536592E-3</v>
      </c>
      <c r="W71" s="1"/>
      <c r="X71" s="1">
        <f t="shared" si="53"/>
        <v>828.19999999998254</v>
      </c>
      <c r="Y71" s="1"/>
      <c r="Z71" s="5">
        <f t="shared" si="54"/>
        <v>5.9365771138571444E-3</v>
      </c>
    </row>
    <row r="72" spans="1:26" s="24" customFormat="1" hidden="1" outlineLevel="2" x14ac:dyDescent="0.25">
      <c r="A72" s="27"/>
      <c r="B72" s="11" t="str">
        <f>CONCATENATE("          ", "6396", " - ", "COUPONS-CHARTROOM")</f>
        <v xml:space="preserve">          6396 - COUPONS-CHARTROOM</v>
      </c>
      <c r="C72" s="11"/>
      <c r="D72" s="6"/>
      <c r="E72" s="2"/>
      <c r="F72" s="7">
        <f t="shared" si="47"/>
        <v>0</v>
      </c>
      <c r="G72" s="2"/>
      <c r="H72" s="6">
        <v>100</v>
      </c>
      <c r="I72" s="2"/>
      <c r="J72" s="7">
        <f t="shared" si="48"/>
        <v>2.7853601470670159E-4</v>
      </c>
      <c r="K72" s="2"/>
      <c r="L72" s="6">
        <f t="shared" si="49"/>
        <v>-100</v>
      </c>
      <c r="M72" s="2"/>
      <c r="N72" s="7">
        <f t="shared" si="50"/>
        <v>-1</v>
      </c>
      <c r="O72" s="11"/>
      <c r="P72" s="6"/>
      <c r="Q72" s="2"/>
      <c r="R72" s="7">
        <f t="shared" si="51"/>
        <v>0</v>
      </c>
      <c r="S72" s="2"/>
      <c r="T72" s="6">
        <v>1200</v>
      </c>
      <c r="U72" s="2"/>
      <c r="V72" s="7">
        <f t="shared" si="52"/>
        <v>6.3882316847667457E-5</v>
      </c>
      <c r="W72" s="2"/>
      <c r="X72" s="6">
        <f t="shared" si="53"/>
        <v>-1200</v>
      </c>
      <c r="Y72" s="2"/>
      <c r="Z72" s="7">
        <f t="shared" si="54"/>
        <v>-1</v>
      </c>
    </row>
    <row r="73" spans="1:26" s="24" customFormat="1" hidden="1" outlineLevel="2" x14ac:dyDescent="0.25">
      <c r="A73" s="27"/>
      <c r="B73" s="11" t="str">
        <f>CONCATENATE("          ", "6399", " - ", "DONATION-ON CAMPUS")</f>
        <v xml:space="preserve">          6399 - DONATION-ON CAMPUS</v>
      </c>
      <c r="C73" s="11"/>
      <c r="D73" s="6"/>
      <c r="E73" s="2"/>
      <c r="F73" s="7">
        <f t="shared" si="47"/>
        <v>0</v>
      </c>
      <c r="G73" s="2"/>
      <c r="H73" s="6"/>
      <c r="I73" s="2"/>
      <c r="J73" s="7">
        <f t="shared" si="48"/>
        <v>0</v>
      </c>
      <c r="K73" s="2"/>
      <c r="L73" s="6">
        <f t="shared" si="49"/>
        <v>0</v>
      </c>
      <c r="M73" s="2"/>
      <c r="N73" s="7">
        <f t="shared" si="50"/>
        <v>0</v>
      </c>
      <c r="O73" s="11"/>
      <c r="P73" s="6">
        <v>140336.19999999998</v>
      </c>
      <c r="Q73" s="2"/>
      <c r="R73" s="7">
        <f t="shared" si="51"/>
        <v>1.0275854788062186E-2</v>
      </c>
      <c r="S73" s="2"/>
      <c r="T73" s="6">
        <v>138308</v>
      </c>
      <c r="U73" s="2"/>
      <c r="V73" s="7">
        <f t="shared" si="52"/>
        <v>7.3628628988059918E-3</v>
      </c>
      <c r="W73" s="2"/>
      <c r="X73" s="6">
        <f t="shared" si="53"/>
        <v>2028.1999999999825</v>
      </c>
      <c r="Y73" s="2"/>
      <c r="Z73" s="7">
        <f t="shared" si="54"/>
        <v>1.4664372270584366E-2</v>
      </c>
    </row>
    <row r="74" spans="1:26" s="26" customFormat="1" outlineLevel="1" collapsed="1" x14ac:dyDescent="0.25">
      <c r="A74" s="25"/>
      <c r="B74" s="12" t="str">
        <f>CONCATENATE("     ","Employees' Appreciation                           ")</f>
        <v xml:space="preserve">     Employees' Appreciation                           </v>
      </c>
      <c r="C74" s="12"/>
      <c r="D74" s="1">
        <f>SUM(OSRRefD22_8x_0)</f>
        <v>0</v>
      </c>
      <c r="E74" s="1"/>
      <c r="F74" s="5">
        <f t="shared" ref="F74:F82" si="55">IF(D$12=0,0,D74/D$12)</f>
        <v>0</v>
      </c>
      <c r="G74" s="1"/>
      <c r="H74" s="1">
        <f>SUM(OSRRefH22_8x_0)</f>
        <v>805</v>
      </c>
      <c r="I74" s="1"/>
      <c r="J74" s="5">
        <f t="shared" ref="J74:J82" si="56">IF(H$12=0,0,H74/H$12)</f>
        <v>2.2422149183889475E-3</v>
      </c>
      <c r="K74" s="1"/>
      <c r="L74" s="1">
        <f t="shared" ref="L74:L82" si="57">+D74-H74</f>
        <v>-805</v>
      </c>
      <c r="M74" s="1"/>
      <c r="N74" s="5">
        <f t="shared" ref="N74:N82" si="58">IF(H74=0,0,L74/H74)</f>
        <v>-1</v>
      </c>
      <c r="O74" s="12"/>
      <c r="P74" s="1">
        <f>SUM(OSRRefP22_8x_0)</f>
        <v>3471.24</v>
      </c>
      <c r="Q74" s="1"/>
      <c r="R74" s="5">
        <f t="shared" ref="R74:R82" si="59">IF(P$12=0,0,P74/P$12)</f>
        <v>2.5417503234741276E-4</v>
      </c>
      <c r="S74" s="1"/>
      <c r="T74" s="1">
        <f>SUM(OSRRefT22_8x_0)</f>
        <v>14295</v>
      </c>
      <c r="U74" s="1"/>
      <c r="V74" s="5">
        <f t="shared" ref="V74:V82" si="60">IF(T$12=0,0,T74/T$12)</f>
        <v>7.6099809944783856E-4</v>
      </c>
      <c r="W74" s="1"/>
      <c r="X74" s="1">
        <f t="shared" ref="X74:X82" si="61">+P74-T74</f>
        <v>-10823.76</v>
      </c>
      <c r="Y74" s="1"/>
      <c r="Z74" s="5">
        <f t="shared" ref="Z74:Z82" si="62">IF(T74=0,0,X74/T74)</f>
        <v>-0.75717103882476389</v>
      </c>
    </row>
    <row r="75" spans="1:26" s="24" customFormat="1" hidden="1" outlineLevel="2" x14ac:dyDescent="0.25">
      <c r="A75" s="27"/>
      <c r="B75" s="11" t="str">
        <f>CONCATENATE("          ", "6277", " - ", "EMPLOYEE APPRECIATION")</f>
        <v xml:space="preserve">          6277 - EMPLOYEE APPRECIATION</v>
      </c>
      <c r="C75" s="11"/>
      <c r="D75" s="6"/>
      <c r="E75" s="2"/>
      <c r="F75" s="7">
        <f t="shared" si="55"/>
        <v>0</v>
      </c>
      <c r="G75" s="2"/>
      <c r="H75" s="6">
        <v>805</v>
      </c>
      <c r="I75" s="2"/>
      <c r="J75" s="7">
        <f t="shared" si="56"/>
        <v>2.2422149183889475E-3</v>
      </c>
      <c r="K75" s="2"/>
      <c r="L75" s="6">
        <f t="shared" si="57"/>
        <v>-805</v>
      </c>
      <c r="M75" s="2"/>
      <c r="N75" s="7">
        <f t="shared" si="58"/>
        <v>-1</v>
      </c>
      <c r="O75" s="11"/>
      <c r="P75" s="6">
        <v>3471.24</v>
      </c>
      <c r="Q75" s="2"/>
      <c r="R75" s="7">
        <f t="shared" si="59"/>
        <v>2.5417503234741276E-4</v>
      </c>
      <c r="S75" s="2"/>
      <c r="T75" s="6">
        <v>14295</v>
      </c>
      <c r="U75" s="2"/>
      <c r="V75" s="7">
        <f t="shared" si="60"/>
        <v>7.6099809944783856E-4</v>
      </c>
      <c r="W75" s="2"/>
      <c r="X75" s="6">
        <f t="shared" si="61"/>
        <v>-10823.76</v>
      </c>
      <c r="Y75" s="2"/>
      <c r="Z75" s="7">
        <f t="shared" si="62"/>
        <v>-0.75717103882476389</v>
      </c>
    </row>
    <row r="76" spans="1:26" s="26" customFormat="1" outlineLevel="1" collapsed="1" x14ac:dyDescent="0.25">
      <c r="A76" s="25"/>
      <c r="B76" s="12" t="str">
        <f>CONCATENATE("     ","Equipment Rental                                  ")</f>
        <v xml:space="preserve">     Equipment Rental                                  </v>
      </c>
      <c r="C76" s="12"/>
      <c r="D76" s="1">
        <f>SUM(OSRRefD22_9x_0)</f>
        <v>2754.41</v>
      </c>
      <c r="E76" s="1"/>
      <c r="F76" s="5">
        <f t="shared" si="55"/>
        <v>-2.0610837022627837E-2</v>
      </c>
      <c r="G76" s="1"/>
      <c r="H76" s="1">
        <f>SUM(OSRRefH22_9x_0)</f>
        <v>1985</v>
      </c>
      <c r="I76" s="1"/>
      <c r="J76" s="5">
        <f t="shared" si="56"/>
        <v>5.5289398919280263E-3</v>
      </c>
      <c r="K76" s="1"/>
      <c r="L76" s="1">
        <f t="shared" si="57"/>
        <v>769.40999999999985</v>
      </c>
      <c r="M76" s="1"/>
      <c r="N76" s="5">
        <f t="shared" si="58"/>
        <v>0.38761209068010066</v>
      </c>
      <c r="O76" s="12"/>
      <c r="P76" s="1">
        <f>SUM(OSRRefP22_9x_0)</f>
        <v>34249.83</v>
      </c>
      <c r="Q76" s="1"/>
      <c r="R76" s="5">
        <f t="shared" si="59"/>
        <v>2.5078795036192797E-3</v>
      </c>
      <c r="S76" s="1"/>
      <c r="T76" s="1">
        <f>SUM(OSRRefT22_9x_0)</f>
        <v>26851</v>
      </c>
      <c r="U76" s="1"/>
      <c r="V76" s="5">
        <f t="shared" si="60"/>
        <v>1.4294200747305989E-3</v>
      </c>
      <c r="W76" s="1"/>
      <c r="X76" s="1">
        <f t="shared" si="61"/>
        <v>7398.8300000000017</v>
      </c>
      <c r="Y76" s="1"/>
      <c r="Z76" s="5">
        <f t="shared" si="62"/>
        <v>0.27555137611262159</v>
      </c>
    </row>
    <row r="77" spans="1:26" s="24" customFormat="1" hidden="1" outlineLevel="2" x14ac:dyDescent="0.25">
      <c r="A77" s="27"/>
      <c r="B77" s="11" t="str">
        <f>CONCATENATE("          ", "6351", " - ", "EQUIPMENT RENTAL")</f>
        <v xml:space="preserve">          6351 - EQUIPMENT RENTAL</v>
      </c>
      <c r="C77" s="11"/>
      <c r="D77" s="6">
        <v>2754.41</v>
      </c>
      <c r="E77" s="2"/>
      <c r="F77" s="7">
        <f t="shared" si="55"/>
        <v>-2.0610837022627837E-2</v>
      </c>
      <c r="G77" s="2"/>
      <c r="H77" s="6">
        <v>1985</v>
      </c>
      <c r="I77" s="2"/>
      <c r="J77" s="7">
        <f t="shared" si="56"/>
        <v>5.5289398919280263E-3</v>
      </c>
      <c r="K77" s="2"/>
      <c r="L77" s="6">
        <f t="shared" si="57"/>
        <v>769.40999999999985</v>
      </c>
      <c r="M77" s="2"/>
      <c r="N77" s="7">
        <f t="shared" si="58"/>
        <v>0.38761209068010066</v>
      </c>
      <c r="O77" s="11"/>
      <c r="P77" s="6">
        <v>34249.83</v>
      </c>
      <c r="Q77" s="2"/>
      <c r="R77" s="7">
        <f t="shared" si="59"/>
        <v>2.5078795036192797E-3</v>
      </c>
      <c r="S77" s="2"/>
      <c r="T77" s="6">
        <v>26851</v>
      </c>
      <c r="U77" s="2"/>
      <c r="V77" s="7">
        <f t="shared" si="60"/>
        <v>1.4294200747305989E-3</v>
      </c>
      <c r="W77" s="2"/>
      <c r="X77" s="6">
        <f t="shared" si="61"/>
        <v>7398.8300000000017</v>
      </c>
      <c r="Y77" s="2"/>
      <c r="Z77" s="7">
        <f t="shared" si="62"/>
        <v>0.27555137611262159</v>
      </c>
    </row>
    <row r="78" spans="1:26" s="26" customFormat="1" outlineLevel="1" collapsed="1" x14ac:dyDescent="0.25">
      <c r="A78" s="25"/>
      <c r="B78" s="12" t="str">
        <f>CONCATENATE("     ","Freight out/Postage                               ")</f>
        <v xml:space="preserve">     Freight out/Postage                               </v>
      </c>
      <c r="C78" s="12"/>
      <c r="D78" s="1">
        <f>SUM(OSRRefD22_10x_0)</f>
        <v>0</v>
      </c>
      <c r="E78" s="1"/>
      <c r="F78" s="5">
        <f t="shared" si="55"/>
        <v>0</v>
      </c>
      <c r="G78" s="1"/>
      <c r="H78" s="1">
        <f>SUM(OSRRefH22_10x_0)</f>
        <v>1</v>
      </c>
      <c r="I78" s="1"/>
      <c r="J78" s="5">
        <f t="shared" si="56"/>
        <v>2.7853601470670156E-6</v>
      </c>
      <c r="K78" s="1"/>
      <c r="L78" s="1">
        <f t="shared" si="57"/>
        <v>-1</v>
      </c>
      <c r="M78" s="1"/>
      <c r="N78" s="5">
        <f t="shared" si="58"/>
        <v>-1</v>
      </c>
      <c r="O78" s="12"/>
      <c r="P78" s="1">
        <f>SUM(OSRRefP22_10x_0)</f>
        <v>0.57999999999999996</v>
      </c>
      <c r="Q78" s="1"/>
      <c r="R78" s="5">
        <f t="shared" si="59"/>
        <v>4.2469411150338035E-8</v>
      </c>
      <c r="S78" s="1"/>
      <c r="T78" s="1">
        <f>SUM(OSRRefT22_10x_0)</f>
        <v>12</v>
      </c>
      <c r="U78" s="1"/>
      <c r="V78" s="5">
        <f t="shared" si="60"/>
        <v>6.3882316847667446E-7</v>
      </c>
      <c r="W78" s="1"/>
      <c r="X78" s="1">
        <f t="shared" si="61"/>
        <v>-11.42</v>
      </c>
      <c r="Y78" s="1"/>
      <c r="Z78" s="5">
        <f t="shared" si="62"/>
        <v>-0.95166666666666666</v>
      </c>
    </row>
    <row r="79" spans="1:26" s="24" customFormat="1" hidden="1" outlineLevel="2" x14ac:dyDescent="0.25">
      <c r="A79" s="27"/>
      <c r="B79" s="11" t="str">
        <f>CONCATENATE("          ", "6307", " - ", "POSTAGE")</f>
        <v xml:space="preserve">          6307 - POSTAGE</v>
      </c>
      <c r="C79" s="11"/>
      <c r="D79" s="6"/>
      <c r="E79" s="2"/>
      <c r="F79" s="7">
        <f t="shared" si="55"/>
        <v>0</v>
      </c>
      <c r="G79" s="2"/>
      <c r="H79" s="6">
        <v>1</v>
      </c>
      <c r="I79" s="2"/>
      <c r="J79" s="7">
        <f t="shared" si="56"/>
        <v>2.7853601470670156E-6</v>
      </c>
      <c r="K79" s="2"/>
      <c r="L79" s="6">
        <f t="shared" si="57"/>
        <v>-1</v>
      </c>
      <c r="M79" s="2"/>
      <c r="N79" s="7">
        <f t="shared" si="58"/>
        <v>-1</v>
      </c>
      <c r="O79" s="11"/>
      <c r="P79" s="6">
        <v>0.57999999999999996</v>
      </c>
      <c r="Q79" s="2"/>
      <c r="R79" s="7">
        <f t="shared" si="59"/>
        <v>4.2469411150338035E-8</v>
      </c>
      <c r="S79" s="2"/>
      <c r="T79" s="6">
        <v>12</v>
      </c>
      <c r="U79" s="2"/>
      <c r="V79" s="7">
        <f t="shared" si="60"/>
        <v>6.3882316847667446E-7</v>
      </c>
      <c r="W79" s="2"/>
      <c r="X79" s="6">
        <f t="shared" si="61"/>
        <v>-11.42</v>
      </c>
      <c r="Y79" s="2"/>
      <c r="Z79" s="7">
        <f t="shared" si="62"/>
        <v>-0.95166666666666666</v>
      </c>
    </row>
    <row r="80" spans="1:26" s="26" customFormat="1" outlineLevel="1" collapsed="1" x14ac:dyDescent="0.25">
      <c r="A80" s="25"/>
      <c r="B80" s="12" t="str">
        <f>CONCATENATE("     ","General                                           ")</f>
        <v xml:space="preserve">     General                                           </v>
      </c>
      <c r="C80" s="12"/>
      <c r="D80" s="1">
        <f>SUM(OSRRefD22_11x_0)</f>
        <v>4574.0600000000004</v>
      </c>
      <c r="E80" s="1"/>
      <c r="F80" s="5">
        <f t="shared" si="55"/>
        <v>-3.4227005126949546E-2</v>
      </c>
      <c r="G80" s="1"/>
      <c r="H80" s="1">
        <f>SUM(OSRRefH22_11x_0)</f>
        <v>2100</v>
      </c>
      <c r="I80" s="1"/>
      <c r="J80" s="5">
        <f t="shared" si="56"/>
        <v>5.8492563088407331E-3</v>
      </c>
      <c r="K80" s="1"/>
      <c r="L80" s="1">
        <f t="shared" si="57"/>
        <v>2474.0600000000004</v>
      </c>
      <c r="M80" s="1"/>
      <c r="N80" s="5">
        <f t="shared" si="58"/>
        <v>1.1781238095238098</v>
      </c>
      <c r="O80" s="12"/>
      <c r="P80" s="1">
        <f>SUM(OSRRefP22_11x_0)</f>
        <v>97175.52</v>
      </c>
      <c r="Q80" s="1"/>
      <c r="R80" s="5">
        <f t="shared" si="59"/>
        <v>7.1154950217722363E-3</v>
      </c>
      <c r="S80" s="1"/>
      <c r="T80" s="1">
        <f>SUM(OSRRefT22_11x_0)</f>
        <v>63286</v>
      </c>
      <c r="U80" s="1"/>
      <c r="V80" s="5">
        <f t="shared" si="60"/>
        <v>3.3690469200179018E-3</v>
      </c>
      <c r="W80" s="1"/>
      <c r="X80" s="1">
        <f t="shared" si="61"/>
        <v>33889.520000000004</v>
      </c>
      <c r="Y80" s="1"/>
      <c r="Z80" s="5">
        <f t="shared" si="62"/>
        <v>0.53549789842935258</v>
      </c>
    </row>
    <row r="81" spans="1:26" s="24" customFormat="1" hidden="1" outlineLevel="2" x14ac:dyDescent="0.25">
      <c r="A81" s="27"/>
      <c r="B81" s="11" t="str">
        <f>CONCATENATE("          ", "6269", " - ", "ENTERTAINMENT")</f>
        <v xml:space="preserve">          6269 - ENTERTAINMENT</v>
      </c>
      <c r="C81" s="11"/>
      <c r="D81" s="6"/>
      <c r="E81" s="2"/>
      <c r="F81" s="7">
        <f t="shared" si="55"/>
        <v>0</v>
      </c>
      <c r="G81" s="2"/>
      <c r="H81" s="6">
        <v>0</v>
      </c>
      <c r="I81" s="2"/>
      <c r="J81" s="7">
        <f t="shared" si="56"/>
        <v>0</v>
      </c>
      <c r="K81" s="2"/>
      <c r="L81" s="6">
        <f t="shared" si="57"/>
        <v>0</v>
      </c>
      <c r="M81" s="2"/>
      <c r="N81" s="7">
        <f t="shared" si="58"/>
        <v>0</v>
      </c>
      <c r="O81" s="11"/>
      <c r="P81" s="6">
        <v>10050</v>
      </c>
      <c r="Q81" s="2"/>
      <c r="R81" s="7">
        <f t="shared" si="59"/>
        <v>7.3589238286361595E-4</v>
      </c>
      <c r="S81" s="2"/>
      <c r="T81" s="6">
        <v>7250</v>
      </c>
      <c r="U81" s="2"/>
      <c r="V81" s="7">
        <f t="shared" si="60"/>
        <v>3.8595566428799088E-4</v>
      </c>
      <c r="W81" s="2"/>
      <c r="X81" s="6">
        <f t="shared" si="61"/>
        <v>2800</v>
      </c>
      <c r="Y81" s="2"/>
      <c r="Z81" s="7">
        <f t="shared" si="62"/>
        <v>0.38620689655172413</v>
      </c>
    </row>
    <row r="82" spans="1:26" s="24" customFormat="1" hidden="1" outlineLevel="2" x14ac:dyDescent="0.25">
      <c r="A82" s="27"/>
      <c r="B82" s="11" t="str">
        <f>CONCATENATE("          ", "6279", " - ", "GENERAL EXPENSE")</f>
        <v xml:space="preserve">          6279 - GENERAL EXPENSE</v>
      </c>
      <c r="C82" s="11"/>
      <c r="D82" s="6">
        <v>4574.0600000000004</v>
      </c>
      <c r="E82" s="2"/>
      <c r="F82" s="7">
        <f t="shared" si="55"/>
        <v>-3.4227005126949546E-2</v>
      </c>
      <c r="G82" s="2"/>
      <c r="H82" s="6">
        <v>2100</v>
      </c>
      <c r="I82" s="2"/>
      <c r="J82" s="7">
        <f t="shared" si="56"/>
        <v>5.8492563088407331E-3</v>
      </c>
      <c r="K82" s="2"/>
      <c r="L82" s="6">
        <f t="shared" si="57"/>
        <v>2474.0600000000004</v>
      </c>
      <c r="M82" s="2"/>
      <c r="N82" s="7">
        <f t="shared" si="58"/>
        <v>1.1781238095238098</v>
      </c>
      <c r="O82" s="11"/>
      <c r="P82" s="6">
        <v>87125.52</v>
      </c>
      <c r="Q82" s="2"/>
      <c r="R82" s="7">
        <f t="shared" si="59"/>
        <v>6.3796026389086203E-3</v>
      </c>
      <c r="S82" s="2"/>
      <c r="T82" s="6">
        <v>56036</v>
      </c>
      <c r="U82" s="2"/>
      <c r="V82" s="7">
        <f t="shared" si="60"/>
        <v>2.983091255729911E-3</v>
      </c>
      <c r="W82" s="2"/>
      <c r="X82" s="6">
        <f t="shared" si="61"/>
        <v>31089.520000000004</v>
      </c>
      <c r="Y82" s="2"/>
      <c r="Z82" s="7">
        <f t="shared" si="62"/>
        <v>0.55481333428510249</v>
      </c>
    </row>
    <row r="83" spans="1:26" s="26" customFormat="1" outlineLevel="1" collapsed="1" x14ac:dyDescent="0.25">
      <c r="A83" s="25"/>
      <c r="B83" s="12" t="str">
        <f>CONCATENATE("     ","Insurance                                         ")</f>
        <v xml:space="preserve">     Insurance                                         </v>
      </c>
      <c r="C83" s="12"/>
      <c r="D83" s="1">
        <f>SUM(OSRRefD22_12x_0)</f>
        <v>4246.03</v>
      </c>
      <c r="E83" s="1"/>
      <c r="F83" s="5">
        <f t="shared" ref="F83:F97" si="63">IF(D$12=0,0,D83/D$12)</f>
        <v>-3.1772405823094048E-2</v>
      </c>
      <c r="G83" s="1"/>
      <c r="H83" s="1">
        <f>SUM(OSRRefH22_12x_0)</f>
        <v>4009</v>
      </c>
      <c r="I83" s="1"/>
      <c r="J83" s="5">
        <f t="shared" ref="J83:J97" si="64">IF(H$12=0,0,H83/H$12)</f>
        <v>1.1166508829591667E-2</v>
      </c>
      <c r="K83" s="1"/>
      <c r="L83" s="1">
        <f t="shared" ref="L83:L97" si="65">+D83-H83</f>
        <v>237.02999999999975</v>
      </c>
      <c r="M83" s="1"/>
      <c r="N83" s="5">
        <f t="shared" ref="N83:N97" si="66">IF(H83=0,0,L83/H83)</f>
        <v>5.9124469942629022E-2</v>
      </c>
      <c r="O83" s="12"/>
      <c r="P83" s="1">
        <f>SUM(OSRRefP22_12x_0)</f>
        <v>56713.36</v>
      </c>
      <c r="Q83" s="1"/>
      <c r="R83" s="5">
        <f t="shared" ref="R83:R97" si="67">IF(P$12=0,0,P83/P$12)</f>
        <v>4.1527293164778196E-3</v>
      </c>
      <c r="S83" s="1"/>
      <c r="T83" s="1">
        <f>SUM(OSRRefT22_12x_0)</f>
        <v>48108</v>
      </c>
      <c r="U83" s="1"/>
      <c r="V83" s="5">
        <f t="shared" ref="V83:V97" si="68">IF(T$12=0,0,T83/T$12)</f>
        <v>2.5610420824229881E-3</v>
      </c>
      <c r="W83" s="1"/>
      <c r="X83" s="1">
        <f t="shared" ref="X83:X97" si="69">+P83-T83</f>
        <v>8605.36</v>
      </c>
      <c r="Y83" s="1"/>
      <c r="Z83" s="5">
        <f t="shared" ref="Z83:Z97" si="70">IF(T83=0,0,X83/T83)</f>
        <v>0.17887586264238797</v>
      </c>
    </row>
    <row r="84" spans="1:26" s="24" customFormat="1" hidden="1" outlineLevel="2" x14ac:dyDescent="0.25">
      <c r="A84" s="27"/>
      <c r="B84" s="11" t="str">
        <f>CONCATENATE("          ", "6314", " - ", "LIABILITY INSURANCE")</f>
        <v xml:space="preserve">          6314 - LIABILITY INSURANCE</v>
      </c>
      <c r="C84" s="11"/>
      <c r="D84" s="6">
        <v>4246.03</v>
      </c>
      <c r="E84" s="2"/>
      <c r="F84" s="7">
        <f t="shared" si="63"/>
        <v>-3.1772405823094048E-2</v>
      </c>
      <c r="G84" s="2"/>
      <c r="H84" s="6">
        <v>4009</v>
      </c>
      <c r="I84" s="2"/>
      <c r="J84" s="7">
        <f t="shared" si="64"/>
        <v>1.1166508829591667E-2</v>
      </c>
      <c r="K84" s="2"/>
      <c r="L84" s="6">
        <f t="shared" si="65"/>
        <v>237.02999999999975</v>
      </c>
      <c r="M84" s="2"/>
      <c r="N84" s="7">
        <f t="shared" si="66"/>
        <v>5.9124469942629022E-2</v>
      </c>
      <c r="O84" s="11"/>
      <c r="P84" s="6">
        <v>56713.36</v>
      </c>
      <c r="Q84" s="2"/>
      <c r="R84" s="7">
        <f t="shared" si="67"/>
        <v>4.1527293164778196E-3</v>
      </c>
      <c r="S84" s="2"/>
      <c r="T84" s="6">
        <v>48108</v>
      </c>
      <c r="U84" s="2"/>
      <c r="V84" s="7">
        <f t="shared" si="68"/>
        <v>2.5610420824229881E-3</v>
      </c>
      <c r="W84" s="2"/>
      <c r="X84" s="6">
        <f t="shared" si="69"/>
        <v>8605.36</v>
      </c>
      <c r="Y84" s="2"/>
      <c r="Z84" s="7">
        <f t="shared" si="70"/>
        <v>0.17887586264238797</v>
      </c>
    </row>
    <row r="85" spans="1:26" s="26" customFormat="1" outlineLevel="1" collapsed="1" x14ac:dyDescent="0.25">
      <c r="A85" s="25"/>
      <c r="B85" s="12" t="str">
        <f>CONCATENATE("     ","Interest                                          ")</f>
        <v xml:space="preserve">     Interest                                          </v>
      </c>
      <c r="C85" s="12"/>
      <c r="D85" s="1">
        <f>SUM(OSRRefD22_13x_0)</f>
        <v>7754</v>
      </c>
      <c r="E85" s="1"/>
      <c r="F85" s="5">
        <f t="shared" si="63"/>
        <v>-5.8022019333888654E-2</v>
      </c>
      <c r="G85" s="1"/>
      <c r="H85" s="1">
        <f>SUM(OSRRefH22_13x_0)</f>
        <v>7510</v>
      </c>
      <c r="I85" s="1"/>
      <c r="J85" s="5">
        <f t="shared" si="64"/>
        <v>2.0918054704473287E-2</v>
      </c>
      <c r="K85" s="1"/>
      <c r="L85" s="1">
        <f t="shared" si="65"/>
        <v>244</v>
      </c>
      <c r="M85" s="1"/>
      <c r="N85" s="5">
        <f t="shared" si="66"/>
        <v>3.2490013315579228E-2</v>
      </c>
      <c r="O85" s="12"/>
      <c r="P85" s="1">
        <f>SUM(OSRRefP22_13x_0)</f>
        <v>90704.280000000013</v>
      </c>
      <c r="Q85" s="1"/>
      <c r="R85" s="5">
        <f t="shared" si="67"/>
        <v>6.6416506214058346E-3</v>
      </c>
      <c r="S85" s="1"/>
      <c r="T85" s="1">
        <f>SUM(OSRRefT22_13x_0)</f>
        <v>92560</v>
      </c>
      <c r="U85" s="1"/>
      <c r="V85" s="5">
        <f t="shared" si="68"/>
        <v>4.9274560395167494E-3</v>
      </c>
      <c r="W85" s="1"/>
      <c r="X85" s="1">
        <f t="shared" si="69"/>
        <v>-1855.7199999999866</v>
      </c>
      <c r="Y85" s="1"/>
      <c r="Z85" s="5">
        <f t="shared" si="70"/>
        <v>-2.0048833189282484E-2</v>
      </c>
    </row>
    <row r="86" spans="1:26" s="24" customFormat="1" hidden="1" outlineLevel="2" x14ac:dyDescent="0.25">
      <c r="A86" s="27"/>
      <c r="B86" s="11" t="str">
        <f>CONCATENATE("          ", "6401", " - ", "INTEREST EXPENSE")</f>
        <v xml:space="preserve">          6401 - INTEREST EXPENSE</v>
      </c>
      <c r="C86" s="11"/>
      <c r="D86" s="6">
        <v>7754</v>
      </c>
      <c r="E86" s="2"/>
      <c r="F86" s="7">
        <f t="shared" si="63"/>
        <v>-5.8022019333888654E-2</v>
      </c>
      <c r="G86" s="2"/>
      <c r="H86" s="6">
        <v>7510</v>
      </c>
      <c r="I86" s="2"/>
      <c r="J86" s="7">
        <f t="shared" si="64"/>
        <v>2.0918054704473287E-2</v>
      </c>
      <c r="K86" s="2"/>
      <c r="L86" s="6">
        <f t="shared" si="65"/>
        <v>244</v>
      </c>
      <c r="M86" s="2"/>
      <c r="N86" s="7">
        <f t="shared" si="66"/>
        <v>3.2490013315579228E-2</v>
      </c>
      <c r="O86" s="11"/>
      <c r="P86" s="6">
        <v>90704.280000000013</v>
      </c>
      <c r="Q86" s="2"/>
      <c r="R86" s="7">
        <f t="shared" si="67"/>
        <v>6.6416506214058346E-3</v>
      </c>
      <c r="S86" s="2"/>
      <c r="T86" s="6">
        <v>92560</v>
      </c>
      <c r="U86" s="2"/>
      <c r="V86" s="7">
        <f t="shared" si="68"/>
        <v>4.9274560395167494E-3</v>
      </c>
      <c r="W86" s="2"/>
      <c r="X86" s="6">
        <f t="shared" si="69"/>
        <v>-1855.7199999999866</v>
      </c>
      <c r="Y86" s="2"/>
      <c r="Z86" s="7">
        <f t="shared" si="70"/>
        <v>-2.0048833189282484E-2</v>
      </c>
    </row>
    <row r="87" spans="1:26" s="26" customFormat="1" outlineLevel="1" collapsed="1" x14ac:dyDescent="0.25">
      <c r="A87" s="25"/>
      <c r="B87" s="12" t="str">
        <f>CONCATENATE("     ","Professional Services                             ")</f>
        <v xml:space="preserve">     Professional Services                             </v>
      </c>
      <c r="C87" s="12"/>
      <c r="D87" s="1">
        <f>SUM(OSRRefD22_14x_0)</f>
        <v>0</v>
      </c>
      <c r="E87" s="1"/>
      <c r="F87" s="5">
        <f t="shared" si="63"/>
        <v>0</v>
      </c>
      <c r="G87" s="1"/>
      <c r="H87" s="1">
        <f>SUM(OSRRefH22_14x_0)</f>
        <v>0</v>
      </c>
      <c r="I87" s="1"/>
      <c r="J87" s="5">
        <f t="shared" si="64"/>
        <v>0</v>
      </c>
      <c r="K87" s="1"/>
      <c r="L87" s="1">
        <f t="shared" si="65"/>
        <v>0</v>
      </c>
      <c r="M87" s="1"/>
      <c r="N87" s="5">
        <f t="shared" si="66"/>
        <v>0</v>
      </c>
      <c r="O87" s="12"/>
      <c r="P87" s="1">
        <f>SUM(OSRRefP22_14x_0)</f>
        <v>125</v>
      </c>
      <c r="Q87" s="1"/>
      <c r="R87" s="5">
        <f t="shared" si="67"/>
        <v>9.1528903341245765E-6</v>
      </c>
      <c r="S87" s="1"/>
      <c r="T87" s="1">
        <f>SUM(OSRRefT22_14x_0)</f>
        <v>0</v>
      </c>
      <c r="U87" s="1"/>
      <c r="V87" s="5">
        <f t="shared" si="68"/>
        <v>0</v>
      </c>
      <c r="W87" s="1"/>
      <c r="X87" s="1">
        <f t="shared" si="69"/>
        <v>125</v>
      </c>
      <c r="Y87" s="1"/>
      <c r="Z87" s="5">
        <f t="shared" si="70"/>
        <v>0</v>
      </c>
    </row>
    <row r="88" spans="1:26" s="24" customFormat="1" hidden="1" outlineLevel="2" x14ac:dyDescent="0.25">
      <c r="A88" s="27"/>
      <c r="B88" s="11" t="str">
        <f>CONCATENATE("          ", "6336", " - ", "PROFESSIONAL SERVICES")</f>
        <v xml:space="preserve">          6336 - PROFESSIONAL SERVICES</v>
      </c>
      <c r="C88" s="11"/>
      <c r="D88" s="6"/>
      <c r="E88" s="2"/>
      <c r="F88" s="7">
        <f t="shared" si="63"/>
        <v>0</v>
      </c>
      <c r="G88" s="2"/>
      <c r="H88" s="6"/>
      <c r="I88" s="2"/>
      <c r="J88" s="7">
        <f t="shared" si="64"/>
        <v>0</v>
      </c>
      <c r="K88" s="2"/>
      <c r="L88" s="6">
        <f t="shared" si="65"/>
        <v>0</v>
      </c>
      <c r="M88" s="2"/>
      <c r="N88" s="7">
        <f t="shared" si="66"/>
        <v>0</v>
      </c>
      <c r="O88" s="11"/>
      <c r="P88" s="6">
        <v>125</v>
      </c>
      <c r="Q88" s="2"/>
      <c r="R88" s="7">
        <f t="shared" si="67"/>
        <v>9.1528903341245765E-6</v>
      </c>
      <c r="S88" s="2"/>
      <c r="T88" s="6"/>
      <c r="U88" s="2"/>
      <c r="V88" s="7">
        <f t="shared" si="68"/>
        <v>0</v>
      </c>
      <c r="W88" s="2"/>
      <c r="X88" s="6">
        <f t="shared" si="69"/>
        <v>125</v>
      </c>
      <c r="Y88" s="2"/>
      <c r="Z88" s="7">
        <f t="shared" si="70"/>
        <v>0</v>
      </c>
    </row>
    <row r="89" spans="1:26" s="26" customFormat="1" outlineLevel="1" collapsed="1" x14ac:dyDescent="0.25">
      <c r="A89" s="25"/>
      <c r="B89" s="12" t="str">
        <f>CONCATENATE("     ","R/H Commissions                                   ")</f>
        <v xml:space="preserve">     R/H Commissions                                   </v>
      </c>
      <c r="C89" s="12"/>
      <c r="D89" s="1">
        <f>SUM(OSRRefD22_15x_0)</f>
        <v>-11146.03</v>
      </c>
      <c r="E89" s="1"/>
      <c r="F89" s="5">
        <f t="shared" si="63"/>
        <v>8.3404071209195643E-2</v>
      </c>
      <c r="G89" s="1"/>
      <c r="H89" s="1">
        <f>SUM(OSRRefH22_15x_0)</f>
        <v>9494</v>
      </c>
      <c r="I89" s="1"/>
      <c r="J89" s="5">
        <f t="shared" si="64"/>
        <v>2.6444209236254249E-2</v>
      </c>
      <c r="K89" s="1"/>
      <c r="L89" s="1">
        <f t="shared" si="65"/>
        <v>-20640.03</v>
      </c>
      <c r="M89" s="1"/>
      <c r="N89" s="5">
        <f t="shared" si="66"/>
        <v>-2.1740077943964606</v>
      </c>
      <c r="O89" s="12"/>
      <c r="P89" s="1">
        <f>SUM(OSRRefP22_15x_0)</f>
        <v>703130.05</v>
      </c>
      <c r="Q89" s="1"/>
      <c r="R89" s="5">
        <f t="shared" si="67"/>
        <v>5.1485377906220244E-2</v>
      </c>
      <c r="S89" s="1"/>
      <c r="T89" s="1">
        <f>SUM(OSRRefT22_15x_0)</f>
        <v>899591</v>
      </c>
      <c r="U89" s="1"/>
      <c r="V89" s="5">
        <f t="shared" si="68"/>
        <v>4.7889964412758342E-2</v>
      </c>
      <c r="W89" s="1"/>
      <c r="X89" s="1">
        <f t="shared" si="69"/>
        <v>-196460.94999999995</v>
      </c>
      <c r="Y89" s="1"/>
      <c r="Z89" s="5">
        <f t="shared" si="70"/>
        <v>-0.21838919019865691</v>
      </c>
    </row>
    <row r="90" spans="1:26" s="24" customFormat="1" hidden="1" outlineLevel="2" x14ac:dyDescent="0.25">
      <c r="A90" s="27"/>
      <c r="B90" s="11" t="str">
        <f>CONCATENATE("          ", "6387", " - ", "COMMISSION DUE HOUSING")</f>
        <v xml:space="preserve">          6387 - COMMISSION DUE HOUSING</v>
      </c>
      <c r="C90" s="11"/>
      <c r="D90" s="6">
        <v>-11146.03</v>
      </c>
      <c r="E90" s="2"/>
      <c r="F90" s="7">
        <f t="shared" si="63"/>
        <v>8.3404071209195643E-2</v>
      </c>
      <c r="G90" s="2"/>
      <c r="H90" s="6">
        <v>9494</v>
      </c>
      <c r="I90" s="2"/>
      <c r="J90" s="7">
        <f t="shared" si="64"/>
        <v>2.6444209236254249E-2</v>
      </c>
      <c r="K90" s="2"/>
      <c r="L90" s="6">
        <f t="shared" si="65"/>
        <v>-20640.03</v>
      </c>
      <c r="M90" s="2"/>
      <c r="N90" s="7">
        <f t="shared" si="66"/>
        <v>-2.1740077943964606</v>
      </c>
      <c r="O90" s="11"/>
      <c r="P90" s="6">
        <v>703130.05</v>
      </c>
      <c r="Q90" s="2"/>
      <c r="R90" s="7">
        <f t="shared" si="67"/>
        <v>5.1485377906220244E-2</v>
      </c>
      <c r="S90" s="2"/>
      <c r="T90" s="6">
        <v>899591</v>
      </c>
      <c r="U90" s="2"/>
      <c r="V90" s="7">
        <f t="shared" si="68"/>
        <v>4.7889964412758342E-2</v>
      </c>
      <c r="W90" s="2"/>
      <c r="X90" s="6">
        <f t="shared" si="69"/>
        <v>-196460.94999999995</v>
      </c>
      <c r="Y90" s="2"/>
      <c r="Z90" s="7">
        <f t="shared" si="70"/>
        <v>-0.21838919019865691</v>
      </c>
    </row>
    <row r="91" spans="1:26" s="26" customFormat="1" outlineLevel="1" collapsed="1" x14ac:dyDescent="0.25">
      <c r="A91" s="25"/>
      <c r="B91" s="12" t="str">
        <f>CONCATENATE("     ","Rent                                              ")</f>
        <v xml:space="preserve">     Rent                                              </v>
      </c>
      <c r="C91" s="12"/>
      <c r="D91" s="1">
        <f>SUM(OSRRefD22_16x_0)</f>
        <v>1850</v>
      </c>
      <c r="E91" s="1"/>
      <c r="F91" s="5">
        <f t="shared" si="63"/>
        <v>-1.3843272603519991E-2</v>
      </c>
      <c r="G91" s="1"/>
      <c r="H91" s="1">
        <f>SUM(OSRRefH22_16x_0)</f>
        <v>1850</v>
      </c>
      <c r="I91" s="1"/>
      <c r="J91" s="5">
        <f t="shared" si="64"/>
        <v>5.1529162720739792E-3</v>
      </c>
      <c r="K91" s="1"/>
      <c r="L91" s="1">
        <f t="shared" si="65"/>
        <v>0</v>
      </c>
      <c r="M91" s="1"/>
      <c r="N91" s="5">
        <f t="shared" si="66"/>
        <v>0</v>
      </c>
      <c r="O91" s="12"/>
      <c r="P91" s="1">
        <f>SUM(OSRRefP22_16x_0)</f>
        <v>22200</v>
      </c>
      <c r="Q91" s="1"/>
      <c r="R91" s="5">
        <f t="shared" si="67"/>
        <v>1.6255533233405248E-3</v>
      </c>
      <c r="S91" s="1"/>
      <c r="T91" s="1">
        <f>SUM(OSRRefT22_16x_0)</f>
        <v>22200</v>
      </c>
      <c r="U91" s="1"/>
      <c r="V91" s="5">
        <f t="shared" si="68"/>
        <v>1.181822861681848E-3</v>
      </c>
      <c r="W91" s="1"/>
      <c r="X91" s="1">
        <f t="shared" si="69"/>
        <v>0</v>
      </c>
      <c r="Y91" s="1"/>
      <c r="Z91" s="5">
        <f t="shared" si="70"/>
        <v>0</v>
      </c>
    </row>
    <row r="92" spans="1:26" s="24" customFormat="1" hidden="1" outlineLevel="2" x14ac:dyDescent="0.25">
      <c r="A92" s="27"/>
      <c r="B92" s="11" t="str">
        <f>CONCATENATE("          ", "6273", " - ", "RENT")</f>
        <v xml:space="preserve">          6273 - RENT</v>
      </c>
      <c r="C92" s="11"/>
      <c r="D92" s="6">
        <v>1850</v>
      </c>
      <c r="E92" s="2"/>
      <c r="F92" s="7">
        <f t="shared" si="63"/>
        <v>-1.3843272603519991E-2</v>
      </c>
      <c r="G92" s="2"/>
      <c r="H92" s="6">
        <v>1850</v>
      </c>
      <c r="I92" s="2"/>
      <c r="J92" s="7">
        <f t="shared" si="64"/>
        <v>5.1529162720739792E-3</v>
      </c>
      <c r="K92" s="2"/>
      <c r="L92" s="6">
        <f t="shared" si="65"/>
        <v>0</v>
      </c>
      <c r="M92" s="2"/>
      <c r="N92" s="7">
        <f t="shared" si="66"/>
        <v>0</v>
      </c>
      <c r="O92" s="11"/>
      <c r="P92" s="6">
        <v>22200</v>
      </c>
      <c r="Q92" s="2"/>
      <c r="R92" s="7">
        <f t="shared" si="67"/>
        <v>1.6255533233405248E-3</v>
      </c>
      <c r="S92" s="2"/>
      <c r="T92" s="6">
        <v>22200</v>
      </c>
      <c r="U92" s="2"/>
      <c r="V92" s="7">
        <f t="shared" si="68"/>
        <v>1.181822861681848E-3</v>
      </c>
      <c r="W92" s="2"/>
      <c r="X92" s="6">
        <f t="shared" si="69"/>
        <v>0</v>
      </c>
      <c r="Y92" s="2"/>
      <c r="Z92" s="7">
        <f t="shared" si="70"/>
        <v>0</v>
      </c>
    </row>
    <row r="93" spans="1:26" s="26" customFormat="1" outlineLevel="1" collapsed="1" x14ac:dyDescent="0.25">
      <c r="A93" s="25"/>
      <c r="B93" s="12" t="str">
        <f>CONCATENATE("     ","Repair and Maintenance                            ")</f>
        <v xml:space="preserve">     Repair and Maintenance                            </v>
      </c>
      <c r="C93" s="12"/>
      <c r="D93" s="1">
        <f>SUM(OSRRefD22_17x_0)</f>
        <v>7909.78</v>
      </c>
      <c r="E93" s="1"/>
      <c r="F93" s="5">
        <f t="shared" si="63"/>
        <v>-5.9187697715605593E-2</v>
      </c>
      <c r="G93" s="1"/>
      <c r="H93" s="1">
        <f>SUM(OSRRefH22_17x_0)</f>
        <v>17505</v>
      </c>
      <c r="I93" s="1"/>
      <c r="J93" s="5">
        <f t="shared" si="64"/>
        <v>4.8757729374408108E-2</v>
      </c>
      <c r="K93" s="1"/>
      <c r="L93" s="1">
        <f t="shared" si="65"/>
        <v>-9595.2200000000012</v>
      </c>
      <c r="M93" s="1"/>
      <c r="N93" s="5">
        <f t="shared" si="66"/>
        <v>-0.54814167380748369</v>
      </c>
      <c r="O93" s="12"/>
      <c r="P93" s="1">
        <f>SUM(OSRRefP22_17x_0)</f>
        <v>299126.58999999997</v>
      </c>
      <c r="Q93" s="1"/>
      <c r="R93" s="5">
        <f t="shared" si="67"/>
        <v>2.1902982994325158E-2</v>
      </c>
      <c r="S93" s="1"/>
      <c r="T93" s="1">
        <f>SUM(OSRRefT22_17x_0)</f>
        <v>298466</v>
      </c>
      <c r="U93" s="1"/>
      <c r="V93" s="5">
        <f t="shared" si="68"/>
        <v>1.5888916316879928E-2</v>
      </c>
      <c r="W93" s="1"/>
      <c r="X93" s="1">
        <f t="shared" si="69"/>
        <v>660.5899999999674</v>
      </c>
      <c r="Y93" s="1"/>
      <c r="Z93" s="5">
        <f t="shared" si="70"/>
        <v>2.2132839251370923E-3</v>
      </c>
    </row>
    <row r="94" spans="1:26" s="24" customFormat="1" hidden="1" outlineLevel="2" x14ac:dyDescent="0.25">
      <c r="A94" s="27"/>
      <c r="B94" s="11" t="str">
        <f>CONCATENATE("          ", "6371", " - ", "COMPUTER SOFTWARE MAINTENANCE")</f>
        <v xml:space="preserve">          6371 - COMPUTER SOFTWARE MAINTENANCE</v>
      </c>
      <c r="C94" s="11"/>
      <c r="D94" s="6"/>
      <c r="E94" s="2"/>
      <c r="F94" s="7">
        <f t="shared" si="63"/>
        <v>0</v>
      </c>
      <c r="G94" s="2"/>
      <c r="H94" s="6">
        <v>2047</v>
      </c>
      <c r="I94" s="2"/>
      <c r="J94" s="7">
        <f t="shared" si="64"/>
        <v>5.7016322210461812E-3</v>
      </c>
      <c r="K94" s="2"/>
      <c r="L94" s="6">
        <f t="shared" si="65"/>
        <v>-2047</v>
      </c>
      <c r="M94" s="2"/>
      <c r="N94" s="7">
        <f t="shared" si="66"/>
        <v>-1</v>
      </c>
      <c r="O94" s="11"/>
      <c r="P94" s="6">
        <v>73995.62</v>
      </c>
      <c r="Q94" s="2"/>
      <c r="R94" s="7">
        <f t="shared" si="67"/>
        <v>5.4181903605244417E-3</v>
      </c>
      <c r="S94" s="2"/>
      <c r="T94" s="6">
        <v>30014</v>
      </c>
      <c r="U94" s="2"/>
      <c r="V94" s="7">
        <f t="shared" si="68"/>
        <v>1.5978032148882425E-3</v>
      </c>
      <c r="W94" s="2"/>
      <c r="X94" s="6">
        <f t="shared" si="69"/>
        <v>43981.619999999995</v>
      </c>
      <c r="Y94" s="2"/>
      <c r="Z94" s="7">
        <f t="shared" si="70"/>
        <v>1.4653701605917238</v>
      </c>
    </row>
    <row r="95" spans="1:26" s="24" customFormat="1" hidden="1" outlineLevel="2" x14ac:dyDescent="0.25">
      <c r="A95" s="27"/>
      <c r="B95" s="11" t="str">
        <f>CONCATENATE("          ", "6372", " - ", "COMPUTER HARDWARE MAINTENANCE")</f>
        <v xml:space="preserve">          6372 - COMPUTER HARDWARE MAINTENANCE</v>
      </c>
      <c r="C95" s="11"/>
      <c r="D95" s="6"/>
      <c r="E95" s="2"/>
      <c r="F95" s="7">
        <f t="shared" si="63"/>
        <v>0</v>
      </c>
      <c r="G95" s="2"/>
      <c r="H95" s="6">
        <v>70</v>
      </c>
      <c r="I95" s="2"/>
      <c r="J95" s="7">
        <f t="shared" si="64"/>
        <v>1.9497521029469109E-4</v>
      </c>
      <c r="K95" s="2"/>
      <c r="L95" s="6">
        <f t="shared" si="65"/>
        <v>-70</v>
      </c>
      <c r="M95" s="2"/>
      <c r="N95" s="7">
        <f t="shared" si="66"/>
        <v>-1</v>
      </c>
      <c r="O95" s="11"/>
      <c r="P95" s="6">
        <v>8142.87</v>
      </c>
      <c r="Q95" s="2"/>
      <c r="R95" s="7">
        <f t="shared" si="67"/>
        <v>5.9624636892026395E-4</v>
      </c>
      <c r="S95" s="2"/>
      <c r="T95" s="6">
        <v>480</v>
      </c>
      <c r="U95" s="2"/>
      <c r="V95" s="7">
        <f t="shared" si="68"/>
        <v>2.5552926739066982E-5</v>
      </c>
      <c r="W95" s="2"/>
      <c r="X95" s="6">
        <f t="shared" si="69"/>
        <v>7662.87</v>
      </c>
      <c r="Y95" s="2"/>
      <c r="Z95" s="7">
        <f t="shared" si="70"/>
        <v>15.9643125</v>
      </c>
    </row>
    <row r="96" spans="1:26" s="24" customFormat="1" hidden="1" outlineLevel="2" x14ac:dyDescent="0.25">
      <c r="A96" s="27"/>
      <c r="B96" s="11" t="str">
        <f>CONCATENATE("          ", "6373", " - ", "MAINTENANCE CONTRACTS")</f>
        <v xml:space="preserve">          6373 - MAINTENANCE CONTRACTS</v>
      </c>
      <c r="C96" s="11"/>
      <c r="D96" s="6">
        <v>7909.78</v>
      </c>
      <c r="E96" s="2"/>
      <c r="F96" s="7">
        <f t="shared" si="63"/>
        <v>-5.9187697715605593E-2</v>
      </c>
      <c r="G96" s="2"/>
      <c r="H96" s="6">
        <v>2478</v>
      </c>
      <c r="I96" s="2"/>
      <c r="J96" s="7">
        <f t="shared" si="64"/>
        <v>6.9021224444320651E-3</v>
      </c>
      <c r="K96" s="2"/>
      <c r="L96" s="6">
        <f t="shared" si="65"/>
        <v>5431.78</v>
      </c>
      <c r="M96" s="2"/>
      <c r="N96" s="7">
        <f t="shared" si="66"/>
        <v>2.1920016142050041</v>
      </c>
      <c r="O96" s="11"/>
      <c r="P96" s="6">
        <v>101890.43999999999</v>
      </c>
      <c r="Q96" s="2"/>
      <c r="R96" s="7">
        <f t="shared" si="67"/>
        <v>7.4607361873256003E-3</v>
      </c>
      <c r="S96" s="2"/>
      <c r="T96" s="6">
        <v>35252</v>
      </c>
      <c r="U96" s="2"/>
      <c r="V96" s="7">
        <f t="shared" si="68"/>
        <v>1.8766495279283109E-3</v>
      </c>
      <c r="W96" s="2"/>
      <c r="X96" s="6">
        <f t="shared" si="69"/>
        <v>66638.439999999988</v>
      </c>
      <c r="Y96" s="2"/>
      <c r="Z96" s="7">
        <f t="shared" si="70"/>
        <v>1.890344944967661</v>
      </c>
    </row>
    <row r="97" spans="1:26" s="24" customFormat="1" hidden="1" outlineLevel="2" x14ac:dyDescent="0.25">
      <c r="A97" s="27"/>
      <c r="B97" s="11" t="str">
        <f>CONCATENATE("          ", "6375", " - ", "OUTSIDE REPAIRS &amp; MAINTENANCE")</f>
        <v xml:space="preserve">          6375 - OUTSIDE REPAIRS &amp; MAINTENANCE</v>
      </c>
      <c r="C97" s="11"/>
      <c r="D97" s="6"/>
      <c r="E97" s="2"/>
      <c r="F97" s="7">
        <f t="shared" si="63"/>
        <v>0</v>
      </c>
      <c r="G97" s="2"/>
      <c r="H97" s="6">
        <v>12910</v>
      </c>
      <c r="I97" s="2"/>
      <c r="J97" s="7">
        <f t="shared" si="64"/>
        <v>3.5958999498635173E-2</v>
      </c>
      <c r="K97" s="2"/>
      <c r="L97" s="6">
        <f t="shared" si="65"/>
        <v>-12910</v>
      </c>
      <c r="M97" s="2"/>
      <c r="N97" s="7">
        <f t="shared" si="66"/>
        <v>-1</v>
      </c>
      <c r="O97" s="11"/>
      <c r="P97" s="6">
        <v>115097.66</v>
      </c>
      <c r="Q97" s="2"/>
      <c r="R97" s="7">
        <f t="shared" si="67"/>
        <v>8.4278100775548558E-3</v>
      </c>
      <c r="S97" s="2"/>
      <c r="T97" s="6">
        <v>232720</v>
      </c>
      <c r="U97" s="2"/>
      <c r="V97" s="7">
        <f t="shared" si="68"/>
        <v>1.2388910647324308E-2</v>
      </c>
      <c r="W97" s="2"/>
      <c r="X97" s="6">
        <f t="shared" si="69"/>
        <v>-117622.34</v>
      </c>
      <c r="Y97" s="2"/>
      <c r="Z97" s="7">
        <f t="shared" si="70"/>
        <v>-0.50542428669645922</v>
      </c>
    </row>
    <row r="98" spans="1:26" s="26" customFormat="1" outlineLevel="1" collapsed="1" x14ac:dyDescent="0.25">
      <c r="A98" s="25"/>
      <c r="B98" s="12" t="str">
        <f>CONCATENATE("     ","Royalty &amp; Commissions                             ")</f>
        <v xml:space="preserve">     Royalty &amp; Commissions                             </v>
      </c>
      <c r="C98" s="12"/>
      <c r="D98" s="1">
        <f>SUM(OSRRefD22_18x_0)</f>
        <v>0</v>
      </c>
      <c r="E98" s="1"/>
      <c r="F98" s="5">
        <f t="shared" ref="F98:F102" si="71">IF(D$12=0,0,D98/D$12)</f>
        <v>0</v>
      </c>
      <c r="G98" s="1"/>
      <c r="H98" s="1">
        <f>SUM(OSRRefH22_18x_0)</f>
        <v>10600</v>
      </c>
      <c r="I98" s="1"/>
      <c r="J98" s="5">
        <f t="shared" ref="J98:J102" si="72">IF(H$12=0,0,H98/H$12)</f>
        <v>2.9524817558910368E-2</v>
      </c>
      <c r="K98" s="1"/>
      <c r="L98" s="1">
        <f t="shared" ref="L98:L102" si="73">+D98-H98</f>
        <v>-10600</v>
      </c>
      <c r="M98" s="1"/>
      <c r="N98" s="5">
        <f t="shared" ref="N98:N102" si="74">IF(H98=0,0,L98/H98)</f>
        <v>-1</v>
      </c>
      <c r="O98" s="12"/>
      <c r="P98" s="1">
        <f>SUM(OSRRefP22_18x_0)</f>
        <v>233763.46999999997</v>
      </c>
      <c r="Q98" s="1"/>
      <c r="R98" s="5">
        <f t="shared" ref="R98:R102" si="75">IF(P$12=0,0,P98/P$12)</f>
        <v>1.7116891240275361E-2</v>
      </c>
      <c r="S98" s="1"/>
      <c r="T98" s="1">
        <f>SUM(OSRRefT22_18x_0)</f>
        <v>388541</v>
      </c>
      <c r="U98" s="1"/>
      <c r="V98" s="5">
        <f t="shared" ref="V98:V102" si="76">IF(T$12=0,0,T98/T$12)</f>
        <v>2.0684082725257968E-2</v>
      </c>
      <c r="W98" s="1"/>
      <c r="X98" s="1">
        <f t="shared" ref="X98:X102" si="77">+P98-T98</f>
        <v>-154777.53000000003</v>
      </c>
      <c r="Y98" s="1"/>
      <c r="Z98" s="5">
        <f t="shared" ref="Z98:Z102" si="78">IF(T98=0,0,X98/T98)</f>
        <v>-0.39835572050311302</v>
      </c>
    </row>
    <row r="99" spans="1:26" s="24" customFormat="1" hidden="1" outlineLevel="2" x14ac:dyDescent="0.25">
      <c r="A99" s="27"/>
      <c r="B99" s="11" t="str">
        <f>CONCATENATE("          ", "6252", " - ", "ROYALTY DUE CSTV")</f>
        <v xml:space="preserve">          6252 - ROYALTY DUE CSTV</v>
      </c>
      <c r="C99" s="11"/>
      <c r="D99" s="6"/>
      <c r="E99" s="2"/>
      <c r="F99" s="7">
        <f t="shared" si="71"/>
        <v>0</v>
      </c>
      <c r="G99" s="2"/>
      <c r="H99" s="6"/>
      <c r="I99" s="2"/>
      <c r="J99" s="7">
        <f t="shared" si="72"/>
        <v>0</v>
      </c>
      <c r="K99" s="2"/>
      <c r="L99" s="6">
        <f t="shared" si="73"/>
        <v>0</v>
      </c>
      <c r="M99" s="2"/>
      <c r="N99" s="7">
        <f t="shared" si="74"/>
        <v>0</v>
      </c>
      <c r="O99" s="11"/>
      <c r="P99" s="6"/>
      <c r="Q99" s="2"/>
      <c r="R99" s="7">
        <f t="shared" si="75"/>
        <v>0</v>
      </c>
      <c r="S99" s="2"/>
      <c r="T99" s="6">
        <v>46000</v>
      </c>
      <c r="U99" s="2"/>
      <c r="V99" s="7">
        <f t="shared" si="76"/>
        <v>2.4488221458272524E-3</v>
      </c>
      <c r="W99" s="2"/>
      <c r="X99" s="6">
        <f t="shared" si="77"/>
        <v>-46000</v>
      </c>
      <c r="Y99" s="2"/>
      <c r="Z99" s="7">
        <f t="shared" si="78"/>
        <v>-1</v>
      </c>
    </row>
    <row r="100" spans="1:26" s="24" customFormat="1" hidden="1" outlineLevel="2" x14ac:dyDescent="0.25">
      <c r="A100" s="27"/>
      <c r="B100" s="11" t="str">
        <f>CONCATENATE("          ", "6253", " - ", "ROYALTY DUE ATHLETICS-LRG")</f>
        <v xml:space="preserve">          6253 - ROYALTY DUE ATHLETICS-LRG</v>
      </c>
      <c r="C100" s="11"/>
      <c r="D100" s="6"/>
      <c r="E100" s="2"/>
      <c r="F100" s="7">
        <f t="shared" si="71"/>
        <v>0</v>
      </c>
      <c r="G100" s="2"/>
      <c r="H100" s="6">
        <v>6000</v>
      </c>
      <c r="I100" s="2"/>
      <c r="J100" s="7">
        <f t="shared" si="72"/>
        <v>1.6712160882402096E-2</v>
      </c>
      <c r="K100" s="2"/>
      <c r="L100" s="6">
        <f t="shared" si="73"/>
        <v>-6000</v>
      </c>
      <c r="M100" s="2"/>
      <c r="N100" s="7">
        <f t="shared" si="74"/>
        <v>-1</v>
      </c>
      <c r="O100" s="11"/>
      <c r="P100" s="6"/>
      <c r="Q100" s="2"/>
      <c r="R100" s="7">
        <f t="shared" si="75"/>
        <v>0</v>
      </c>
      <c r="S100" s="2"/>
      <c r="T100" s="6">
        <v>173000</v>
      </c>
      <c r="U100" s="2"/>
      <c r="V100" s="7">
        <f t="shared" si="76"/>
        <v>9.209700678872057E-3</v>
      </c>
      <c r="W100" s="2"/>
      <c r="X100" s="6">
        <f t="shared" si="77"/>
        <v>-173000</v>
      </c>
      <c r="Y100" s="2"/>
      <c r="Z100" s="7">
        <f t="shared" si="78"/>
        <v>-1</v>
      </c>
    </row>
    <row r="101" spans="1:26" s="24" customFormat="1" hidden="1" outlineLevel="2" x14ac:dyDescent="0.25">
      <c r="A101" s="27"/>
      <c r="B101" s="11" t="str">
        <f>CONCATENATE("          ", "6254", " - ", "ROYALTY &amp; COMMISSIONS")</f>
        <v xml:space="preserve">          6254 - ROYALTY &amp; COMMISSIONS</v>
      </c>
      <c r="C101" s="11"/>
      <c r="D101" s="6"/>
      <c r="E101" s="2"/>
      <c r="F101" s="7">
        <f t="shared" si="71"/>
        <v>0</v>
      </c>
      <c r="G101" s="2"/>
      <c r="H101" s="6">
        <v>1000</v>
      </c>
      <c r="I101" s="2"/>
      <c r="J101" s="7">
        <f t="shared" si="72"/>
        <v>2.7853601470670159E-3</v>
      </c>
      <c r="K101" s="2"/>
      <c r="L101" s="6">
        <f t="shared" si="73"/>
        <v>-1000</v>
      </c>
      <c r="M101" s="2"/>
      <c r="N101" s="7">
        <f t="shared" si="74"/>
        <v>-1</v>
      </c>
      <c r="O101" s="11"/>
      <c r="P101" s="6">
        <v>129093.51</v>
      </c>
      <c r="Q101" s="2"/>
      <c r="R101" s="7">
        <f t="shared" si="75"/>
        <v>9.4526299190177149E-3</v>
      </c>
      <c r="S101" s="2"/>
      <c r="T101" s="6">
        <v>7117</v>
      </c>
      <c r="U101" s="2"/>
      <c r="V101" s="7">
        <f t="shared" si="76"/>
        <v>3.7887537417070769E-4</v>
      </c>
      <c r="W101" s="2"/>
      <c r="X101" s="6">
        <f t="shared" si="77"/>
        <v>121976.51</v>
      </c>
      <c r="Y101" s="2"/>
      <c r="Z101" s="7">
        <f t="shared" si="78"/>
        <v>17.138753688351834</v>
      </c>
    </row>
    <row r="102" spans="1:26" s="24" customFormat="1" hidden="1" outlineLevel="2" x14ac:dyDescent="0.25">
      <c r="A102" s="27"/>
      <c r="B102" s="11" t="str">
        <f>CONCATENATE("          ", "6259", " - ", "ROYALTY &amp; COMMISSIONS")</f>
        <v xml:space="preserve">          6259 - ROYALTY &amp; COMMISSIONS</v>
      </c>
      <c r="C102" s="11"/>
      <c r="D102" s="6"/>
      <c r="E102" s="2"/>
      <c r="F102" s="7">
        <f t="shared" si="71"/>
        <v>0</v>
      </c>
      <c r="G102" s="2"/>
      <c r="H102" s="6">
        <v>3600</v>
      </c>
      <c r="I102" s="2"/>
      <c r="J102" s="7">
        <f t="shared" si="72"/>
        <v>1.0027296529441256E-2</v>
      </c>
      <c r="K102" s="2"/>
      <c r="L102" s="6">
        <f t="shared" si="73"/>
        <v>-3600</v>
      </c>
      <c r="M102" s="2"/>
      <c r="N102" s="7">
        <f t="shared" si="74"/>
        <v>-1</v>
      </c>
      <c r="O102" s="11"/>
      <c r="P102" s="6">
        <v>104669.95999999999</v>
      </c>
      <c r="Q102" s="2"/>
      <c r="R102" s="7">
        <f t="shared" si="75"/>
        <v>7.6642613212576484E-3</v>
      </c>
      <c r="S102" s="2"/>
      <c r="T102" s="6">
        <v>162424</v>
      </c>
      <c r="U102" s="2"/>
      <c r="V102" s="7">
        <f t="shared" si="76"/>
        <v>8.6466845263879488E-3</v>
      </c>
      <c r="W102" s="2"/>
      <c r="X102" s="6">
        <f t="shared" si="77"/>
        <v>-57754.040000000008</v>
      </c>
      <c r="Y102" s="2"/>
      <c r="Z102" s="7">
        <f t="shared" si="78"/>
        <v>-0.35557577697877168</v>
      </c>
    </row>
    <row r="103" spans="1:26" s="26" customFormat="1" outlineLevel="1" collapsed="1" x14ac:dyDescent="0.25">
      <c r="A103" s="25"/>
      <c r="B103" s="12" t="str">
        <f>CONCATENATE("     ","Services                                          ")</f>
        <v xml:space="preserve">     Services                                          </v>
      </c>
      <c r="C103" s="12"/>
      <c r="D103" s="1">
        <f>SUM(OSRRefD22_19x_0)</f>
        <v>19673.629999999997</v>
      </c>
      <c r="E103" s="1"/>
      <c r="F103" s="5">
        <f t="shared" ref="F103:F108" si="79">IF(D$12=0,0,D103/D$12)</f>
        <v>-0.14721482334637243</v>
      </c>
      <c r="G103" s="1"/>
      <c r="H103" s="1">
        <f>SUM(OSRRefH22_19x_0)</f>
        <v>41651</v>
      </c>
      <c r="I103" s="1"/>
      <c r="J103" s="5">
        <f t="shared" ref="J103:J108" si="80">IF(H$12=0,0,H103/H$12)</f>
        <v>0.11601303548548828</v>
      </c>
      <c r="K103" s="1"/>
      <c r="L103" s="1">
        <f t="shared" ref="L103:L108" si="81">+D103-H103</f>
        <v>-21977.370000000003</v>
      </c>
      <c r="M103" s="1"/>
      <c r="N103" s="5">
        <f t="shared" ref="N103:N108" si="82">IF(H103=0,0,L103/H103)</f>
        <v>-0.52765527838467274</v>
      </c>
      <c r="O103" s="12"/>
      <c r="P103" s="1">
        <f>SUM(OSRRefP22_19x_0)</f>
        <v>420622.05999999994</v>
      </c>
      <c r="Q103" s="1"/>
      <c r="R103" s="5">
        <f t="shared" ref="R103:R108" si="83">IF(P$12=0,0,P103/P$12)</f>
        <v>3.0799260698348537E-2</v>
      </c>
      <c r="S103" s="1"/>
      <c r="T103" s="1">
        <f>SUM(OSRRefT22_19x_0)</f>
        <v>503786</v>
      </c>
      <c r="U103" s="1"/>
      <c r="V103" s="5">
        <f t="shared" ref="V103:V108" si="84">IF(T$12=0,0,T103/T$12)</f>
        <v>2.6819180729515828E-2</v>
      </c>
      <c r="W103" s="1"/>
      <c r="X103" s="1">
        <f t="shared" ref="X103:X108" si="85">+P103-T103</f>
        <v>-83163.940000000061</v>
      </c>
      <c r="Y103" s="1"/>
      <c r="Z103" s="5">
        <f t="shared" ref="Z103:Z108" si="86">IF(T103=0,0,X103/T103)</f>
        <v>-0.16507791006498804</v>
      </c>
    </row>
    <row r="104" spans="1:26" s="24" customFormat="1" hidden="1" outlineLevel="2" x14ac:dyDescent="0.25">
      <c r="A104" s="27"/>
      <c r="B104" s="11" t="str">
        <f>CONCATENATE("          ", "6282", " - ", "JANITORIAL/EXTERMINATOR EXPENS")</f>
        <v xml:space="preserve">          6282 - JANITORIAL/EXTERMINATOR EXPENS</v>
      </c>
      <c r="C104" s="11"/>
      <c r="D104" s="6">
        <v>3489.67</v>
      </c>
      <c r="E104" s="2"/>
      <c r="F104" s="7">
        <f t="shared" si="79"/>
        <v>-2.6112677354770599E-2</v>
      </c>
      <c r="G104" s="2"/>
      <c r="H104" s="6">
        <v>2975</v>
      </c>
      <c r="I104" s="2"/>
      <c r="J104" s="7">
        <f t="shared" si="80"/>
        <v>8.286446437524372E-3</v>
      </c>
      <c r="K104" s="2"/>
      <c r="L104" s="6">
        <f t="shared" si="81"/>
        <v>514.67000000000007</v>
      </c>
      <c r="M104" s="2"/>
      <c r="N104" s="7">
        <f t="shared" si="82"/>
        <v>0.1729983193277311</v>
      </c>
      <c r="O104" s="11"/>
      <c r="P104" s="6">
        <v>34466.239999999998</v>
      </c>
      <c r="Q104" s="2"/>
      <c r="R104" s="7">
        <f t="shared" si="83"/>
        <v>2.5237257195969425E-3</v>
      </c>
      <c r="S104" s="2"/>
      <c r="T104" s="6">
        <v>35595</v>
      </c>
      <c r="U104" s="2"/>
      <c r="V104" s="7">
        <f t="shared" si="84"/>
        <v>1.8949092234939358E-3</v>
      </c>
      <c r="W104" s="2"/>
      <c r="X104" s="6">
        <f t="shared" si="85"/>
        <v>-1128.760000000002</v>
      </c>
      <c r="Y104" s="2"/>
      <c r="Z104" s="7">
        <f t="shared" si="86"/>
        <v>-3.1711195392611378E-2</v>
      </c>
    </row>
    <row r="105" spans="1:26" s="24" customFormat="1" hidden="1" outlineLevel="2" x14ac:dyDescent="0.25">
      <c r="A105" s="27"/>
      <c r="B105" s="11" t="str">
        <f>CONCATENATE("          ", "6283", " - ", "PLANT SERVICE")</f>
        <v xml:space="preserve">          6283 - PLANT SERVICE</v>
      </c>
      <c r="C105" s="11"/>
      <c r="D105" s="6"/>
      <c r="E105" s="2"/>
      <c r="F105" s="7">
        <f t="shared" si="79"/>
        <v>0</v>
      </c>
      <c r="G105" s="2"/>
      <c r="H105" s="6">
        <v>185</v>
      </c>
      <c r="I105" s="2"/>
      <c r="J105" s="7">
        <f t="shared" si="80"/>
        <v>5.1529162720739797E-4</v>
      </c>
      <c r="K105" s="2"/>
      <c r="L105" s="6">
        <f t="shared" si="81"/>
        <v>-185</v>
      </c>
      <c r="M105" s="2"/>
      <c r="N105" s="7">
        <f t="shared" si="82"/>
        <v>-1</v>
      </c>
      <c r="O105" s="11"/>
      <c r="P105" s="6">
        <v>1798.02</v>
      </c>
      <c r="Q105" s="2"/>
      <c r="R105" s="7">
        <f t="shared" si="83"/>
        <v>1.3165663902850138E-4</v>
      </c>
      <c r="S105" s="2"/>
      <c r="T105" s="6">
        <v>2185</v>
      </c>
      <c r="U105" s="2"/>
      <c r="V105" s="7">
        <f t="shared" si="84"/>
        <v>1.1631905192679448E-4</v>
      </c>
      <c r="W105" s="2"/>
      <c r="X105" s="6">
        <f t="shared" si="85"/>
        <v>-386.98</v>
      </c>
      <c r="Y105" s="2"/>
      <c r="Z105" s="7">
        <f t="shared" si="86"/>
        <v>-0.17710755148741419</v>
      </c>
    </row>
    <row r="106" spans="1:26" s="24" customFormat="1" hidden="1" outlineLevel="2" x14ac:dyDescent="0.25">
      <c r="A106" s="27"/>
      <c r="B106" s="11" t="str">
        <f>CONCATENATE("          ", "6284", " - ", "TRASH REMOVAL EXPENSE")</f>
        <v xml:space="preserve">          6284 - TRASH REMOVAL EXPENSE</v>
      </c>
      <c r="C106" s="11"/>
      <c r="D106" s="6">
        <v>5128</v>
      </c>
      <c r="E106" s="2"/>
      <c r="F106" s="7">
        <f t="shared" si="79"/>
        <v>-3.8372055086946223E-2</v>
      </c>
      <c r="G106" s="2"/>
      <c r="H106" s="6">
        <v>4065</v>
      </c>
      <c r="I106" s="2"/>
      <c r="J106" s="7">
        <f t="shared" si="80"/>
        <v>1.1322488997827418E-2</v>
      </c>
      <c r="K106" s="2"/>
      <c r="L106" s="6">
        <f t="shared" si="81"/>
        <v>1063</v>
      </c>
      <c r="M106" s="2"/>
      <c r="N106" s="7">
        <f t="shared" si="82"/>
        <v>0.26150061500615007</v>
      </c>
      <c r="O106" s="11"/>
      <c r="P106" s="6">
        <v>53669</v>
      </c>
      <c r="Q106" s="2"/>
      <c r="R106" s="7">
        <f t="shared" si="83"/>
        <v>3.929811770737055E-3</v>
      </c>
      <c r="S106" s="2"/>
      <c r="T106" s="6">
        <v>48730</v>
      </c>
      <c r="U106" s="2"/>
      <c r="V106" s="7">
        <f t="shared" si="84"/>
        <v>2.5941544166556956E-3</v>
      </c>
      <c r="W106" s="2"/>
      <c r="X106" s="6">
        <f t="shared" si="85"/>
        <v>4939</v>
      </c>
      <c r="Y106" s="2"/>
      <c r="Z106" s="7">
        <f t="shared" si="86"/>
        <v>0.10135440180586908</v>
      </c>
    </row>
    <row r="107" spans="1:26" s="24" customFormat="1" hidden="1" outlineLevel="2" x14ac:dyDescent="0.25">
      <c r="A107" s="27"/>
      <c r="B107" s="11" t="str">
        <f>CONCATENATE("          ", "6285", " - ", "JANITORIAL SERVICES")</f>
        <v xml:space="preserve">          6285 - JANITORIAL SERVICES</v>
      </c>
      <c r="C107" s="11"/>
      <c r="D107" s="6">
        <v>10384.39</v>
      </c>
      <c r="E107" s="2"/>
      <c r="F107" s="7">
        <f t="shared" si="79"/>
        <v>-7.7704833292576728E-2</v>
      </c>
      <c r="G107" s="2"/>
      <c r="H107" s="6">
        <v>25389</v>
      </c>
      <c r="I107" s="2"/>
      <c r="J107" s="7">
        <f t="shared" si="80"/>
        <v>7.0717508773884469E-2</v>
      </c>
      <c r="K107" s="2"/>
      <c r="L107" s="6">
        <f t="shared" si="81"/>
        <v>-15004.61</v>
      </c>
      <c r="M107" s="2"/>
      <c r="N107" s="7">
        <f t="shared" si="82"/>
        <v>-0.59098861711764938</v>
      </c>
      <c r="O107" s="11"/>
      <c r="P107" s="6">
        <v>261468.62999999998</v>
      </c>
      <c r="Q107" s="2"/>
      <c r="R107" s="7">
        <f t="shared" si="83"/>
        <v>1.9145549569630362E-2</v>
      </c>
      <c r="S107" s="2"/>
      <c r="T107" s="6">
        <v>309690</v>
      </c>
      <c r="U107" s="2"/>
      <c r="V107" s="7">
        <f t="shared" si="84"/>
        <v>1.6486428920461777E-2</v>
      </c>
      <c r="W107" s="2"/>
      <c r="X107" s="6">
        <f t="shared" si="85"/>
        <v>-48221.370000000024</v>
      </c>
      <c r="Y107" s="2"/>
      <c r="Z107" s="7">
        <f t="shared" si="86"/>
        <v>-0.15570851496657956</v>
      </c>
    </row>
    <row r="108" spans="1:26" s="24" customFormat="1" hidden="1" outlineLevel="2" x14ac:dyDescent="0.25">
      <c r="A108" s="27"/>
      <c r="B108" s="11" t="str">
        <f>CONCATENATE("          ", "6286", " - ", "LAUNDRY EXPENSE")</f>
        <v xml:space="preserve">          6286 - LAUNDRY EXPENSE</v>
      </c>
      <c r="C108" s="11"/>
      <c r="D108" s="6">
        <v>671.57</v>
      </c>
      <c r="E108" s="2"/>
      <c r="F108" s="7">
        <f t="shared" si="79"/>
        <v>-5.0252576120788763E-3</v>
      </c>
      <c r="G108" s="2"/>
      <c r="H108" s="6">
        <v>9037</v>
      </c>
      <c r="I108" s="2"/>
      <c r="J108" s="7">
        <f t="shared" si="80"/>
        <v>2.5171299649044621E-2</v>
      </c>
      <c r="K108" s="2"/>
      <c r="L108" s="6">
        <f t="shared" si="81"/>
        <v>-8365.43</v>
      </c>
      <c r="M108" s="2"/>
      <c r="N108" s="7">
        <f t="shared" si="82"/>
        <v>-0.9256866216664823</v>
      </c>
      <c r="O108" s="11"/>
      <c r="P108" s="6">
        <v>69220.17</v>
      </c>
      <c r="Q108" s="2"/>
      <c r="R108" s="7">
        <f t="shared" si="83"/>
        <v>5.0685169993556801E-3</v>
      </c>
      <c r="S108" s="2"/>
      <c r="T108" s="6">
        <v>107586</v>
      </c>
      <c r="U108" s="2"/>
      <c r="V108" s="7">
        <f t="shared" si="84"/>
        <v>5.727369116977625E-3</v>
      </c>
      <c r="W108" s="2"/>
      <c r="X108" s="6">
        <f t="shared" si="85"/>
        <v>-38365.83</v>
      </c>
      <c r="Y108" s="2"/>
      <c r="Z108" s="7">
        <f t="shared" si="86"/>
        <v>-0.35660615693491721</v>
      </c>
    </row>
    <row r="109" spans="1:26" s="26" customFormat="1" outlineLevel="1" collapsed="1" x14ac:dyDescent="0.25">
      <c r="A109" s="25"/>
      <c r="B109" s="12" t="str">
        <f>CONCATENATE("     ","Subscriptions &amp; Dues                              ")</f>
        <v xml:space="preserve">     Subscriptions &amp; Dues                              </v>
      </c>
      <c r="C109" s="12"/>
      <c r="D109" s="1">
        <f>SUM(OSRRefD22_20x_0)</f>
        <v>0</v>
      </c>
      <c r="E109" s="1"/>
      <c r="F109" s="5">
        <f t="shared" ref="F109:F111" si="87">IF(D$12=0,0,D109/D$12)</f>
        <v>0</v>
      </c>
      <c r="G109" s="1"/>
      <c r="H109" s="1">
        <f>SUM(OSRRefH22_20x_0)</f>
        <v>394</v>
      </c>
      <c r="I109" s="1"/>
      <c r="J109" s="5">
        <f t="shared" ref="J109:J111" si="88">IF(H$12=0,0,H109/H$12)</f>
        <v>1.0974318979444042E-3</v>
      </c>
      <c r="K109" s="1"/>
      <c r="L109" s="1">
        <f t="shared" ref="L109:L111" si="89">+D109-H109</f>
        <v>-394</v>
      </c>
      <c r="M109" s="1"/>
      <c r="N109" s="5">
        <f t="shared" ref="N109:N111" si="90">IF(H109=0,0,L109/H109)</f>
        <v>-1</v>
      </c>
      <c r="O109" s="12"/>
      <c r="P109" s="1">
        <f>SUM(OSRRefP22_20x_0)</f>
        <v>7300.55</v>
      </c>
      <c r="Q109" s="1"/>
      <c r="R109" s="5">
        <f t="shared" ref="R109:R111" si="91">IF(P$12=0,0,P109/P$12)</f>
        <v>5.3456906823034546E-4</v>
      </c>
      <c r="S109" s="1"/>
      <c r="T109" s="1">
        <f>SUM(OSRRefT22_20x_0)</f>
        <v>4853</v>
      </c>
      <c r="U109" s="1"/>
      <c r="V109" s="5">
        <f t="shared" ref="V109:V111" si="92">IF(T$12=0,0,T109/T$12)</f>
        <v>2.5835073638477512E-4</v>
      </c>
      <c r="W109" s="1"/>
      <c r="X109" s="1">
        <f t="shared" ref="X109:X111" si="93">+P109-T109</f>
        <v>2447.5500000000002</v>
      </c>
      <c r="Y109" s="1"/>
      <c r="Z109" s="5">
        <f t="shared" ref="Z109:Z111" si="94">IF(T109=0,0,X109/T109)</f>
        <v>0.50433752318153724</v>
      </c>
    </row>
    <row r="110" spans="1:26" s="24" customFormat="1" hidden="1" outlineLevel="2" x14ac:dyDescent="0.25">
      <c r="A110" s="27"/>
      <c r="B110" s="11" t="str">
        <f>CONCATENATE("          ", "6258", " - ", "MEMBERSHIP DUES")</f>
        <v xml:space="preserve">          6258 - MEMBERSHIP DUES</v>
      </c>
      <c r="C110" s="11"/>
      <c r="D110" s="6"/>
      <c r="E110" s="2"/>
      <c r="F110" s="7">
        <f t="shared" si="87"/>
        <v>0</v>
      </c>
      <c r="G110" s="2"/>
      <c r="H110" s="6"/>
      <c r="I110" s="2"/>
      <c r="J110" s="7">
        <f t="shared" si="88"/>
        <v>0</v>
      </c>
      <c r="K110" s="2"/>
      <c r="L110" s="6">
        <f t="shared" si="89"/>
        <v>0</v>
      </c>
      <c r="M110" s="2"/>
      <c r="N110" s="7">
        <f t="shared" si="90"/>
        <v>0</v>
      </c>
      <c r="O110" s="11"/>
      <c r="P110" s="6">
        <v>3730</v>
      </c>
      <c r="Q110" s="2"/>
      <c r="R110" s="7">
        <f t="shared" si="91"/>
        <v>2.7312224757027737E-4</v>
      </c>
      <c r="S110" s="2"/>
      <c r="T110" s="6">
        <v>300</v>
      </c>
      <c r="U110" s="2"/>
      <c r="V110" s="7">
        <f t="shared" si="92"/>
        <v>1.5970579211916864E-5</v>
      </c>
      <c r="W110" s="2"/>
      <c r="X110" s="6">
        <f t="shared" si="93"/>
        <v>3430</v>
      </c>
      <c r="Y110" s="2"/>
      <c r="Z110" s="7">
        <f t="shared" si="94"/>
        <v>11.433333333333334</v>
      </c>
    </row>
    <row r="111" spans="1:26" s="24" customFormat="1" hidden="1" outlineLevel="2" x14ac:dyDescent="0.25">
      <c r="A111" s="27"/>
      <c r="B111" s="11" t="str">
        <f>CONCATENATE("          ", "6275", " - ", "SUBSCRIPTIONS")</f>
        <v xml:space="preserve">          6275 - SUBSCRIPTIONS</v>
      </c>
      <c r="C111" s="11"/>
      <c r="D111" s="6"/>
      <c r="E111" s="2"/>
      <c r="F111" s="7">
        <f t="shared" si="87"/>
        <v>0</v>
      </c>
      <c r="G111" s="2"/>
      <c r="H111" s="6">
        <v>394</v>
      </c>
      <c r="I111" s="2"/>
      <c r="J111" s="7">
        <f t="shared" si="88"/>
        <v>1.0974318979444042E-3</v>
      </c>
      <c r="K111" s="2"/>
      <c r="L111" s="6">
        <f t="shared" si="89"/>
        <v>-394</v>
      </c>
      <c r="M111" s="2"/>
      <c r="N111" s="7">
        <f t="shared" si="90"/>
        <v>-1</v>
      </c>
      <c r="O111" s="11"/>
      <c r="P111" s="6">
        <v>3570.55</v>
      </c>
      <c r="Q111" s="2"/>
      <c r="R111" s="7">
        <f t="shared" si="91"/>
        <v>2.6144682066006809E-4</v>
      </c>
      <c r="S111" s="2"/>
      <c r="T111" s="6">
        <v>4553</v>
      </c>
      <c r="U111" s="2"/>
      <c r="V111" s="7">
        <f t="shared" si="92"/>
        <v>2.4238015717285825E-4</v>
      </c>
      <c r="W111" s="2"/>
      <c r="X111" s="6">
        <f t="shared" si="93"/>
        <v>-982.44999999999982</v>
      </c>
      <c r="Y111" s="2"/>
      <c r="Z111" s="7">
        <f t="shared" si="94"/>
        <v>-0.2157808038655831</v>
      </c>
    </row>
    <row r="112" spans="1:26" s="26" customFormat="1" outlineLevel="1" collapsed="1" x14ac:dyDescent="0.25">
      <c r="A112" s="25"/>
      <c r="B112" s="12" t="str">
        <f>CONCATENATE("     ","Supplies                                          ")</f>
        <v xml:space="preserve">     Supplies                                          </v>
      </c>
      <c r="C112" s="12"/>
      <c r="D112" s="1">
        <f>SUM(OSRRefD22_21x_0)</f>
        <v>4729.87</v>
      </c>
      <c r="E112" s="1"/>
      <c r="F112" s="5">
        <f t="shared" ref="F112:F123" si="95">IF(D$12=0,0,D112/D$12)</f>
        <v>-3.5392907994168159E-2</v>
      </c>
      <c r="G112" s="1"/>
      <c r="H112" s="1">
        <f>SUM(OSRRefH22_21x_0)</f>
        <v>32634</v>
      </c>
      <c r="I112" s="1"/>
      <c r="J112" s="5">
        <f t="shared" ref="J112:J123" si="96">IF(H$12=0,0,H112/H$12)</f>
        <v>9.089744303938499E-2</v>
      </c>
      <c r="K112" s="1"/>
      <c r="L112" s="1">
        <f t="shared" ref="L112:L123" si="97">+D112-H112</f>
        <v>-27904.13</v>
      </c>
      <c r="M112" s="1"/>
      <c r="N112" s="5">
        <f t="shared" ref="N112:N123" si="98">IF(H112=0,0,L112/H112)</f>
        <v>-0.85506312434883869</v>
      </c>
      <c r="O112" s="12"/>
      <c r="P112" s="1">
        <f>SUM(OSRRefP22_21x_0)</f>
        <v>366108.98000000004</v>
      </c>
      <c r="Q112" s="1"/>
      <c r="R112" s="5">
        <f t="shared" ref="R112:R123" si="99">IF(P$12=0,0,P112/P$12)</f>
        <v>2.6807642754225668E-2</v>
      </c>
      <c r="S112" s="1"/>
      <c r="T112" s="1">
        <f>SUM(OSRRefT22_21x_0)</f>
        <v>457136.86000000004</v>
      </c>
      <c r="U112" s="1"/>
      <c r="V112" s="5">
        <f t="shared" ref="V112:V123" si="100">IF(T$12=0,0,T112/T$12)</f>
        <v>2.4335801444389835E-2</v>
      </c>
      <c r="W112" s="1"/>
      <c r="X112" s="1">
        <f t="shared" ref="X112:X123" si="101">+P112-T112</f>
        <v>-91027.88</v>
      </c>
      <c r="Y112" s="1"/>
      <c r="Z112" s="5">
        <f t="shared" ref="Z112:Z123" si="102">IF(T112=0,0,X112/T112)</f>
        <v>-0.19912609978552157</v>
      </c>
    </row>
    <row r="113" spans="1:26" s="24" customFormat="1" hidden="1" outlineLevel="2" x14ac:dyDescent="0.25">
      <c r="A113" s="27"/>
      <c r="B113" s="11" t="str">
        <f>CONCATENATE("          ", "6234", " - ", "EXPENDABLE SUPPLIES &amp; EQUIPMEN")</f>
        <v xml:space="preserve">          6234 - EXPENDABLE SUPPLIES &amp; EQUIPMEN</v>
      </c>
      <c r="C113" s="11"/>
      <c r="D113" s="6">
        <v>1048.8</v>
      </c>
      <c r="E113" s="2"/>
      <c r="F113" s="7">
        <f t="shared" si="95"/>
        <v>-7.8480131386874409E-3</v>
      </c>
      <c r="G113" s="2"/>
      <c r="H113" s="6">
        <v>100</v>
      </c>
      <c r="I113" s="2"/>
      <c r="J113" s="7">
        <f t="shared" si="96"/>
        <v>2.7853601470670159E-4</v>
      </c>
      <c r="K113" s="2"/>
      <c r="L113" s="6">
        <f t="shared" si="97"/>
        <v>948.8</v>
      </c>
      <c r="M113" s="2"/>
      <c r="N113" s="7">
        <f t="shared" si="98"/>
        <v>9.4879999999999995</v>
      </c>
      <c r="O113" s="11"/>
      <c r="P113" s="6">
        <v>15853.630000000001</v>
      </c>
      <c r="Q113" s="2"/>
      <c r="R113" s="7">
        <f t="shared" si="99"/>
        <v>1.1608522943022993E-3</v>
      </c>
      <c r="S113" s="2"/>
      <c r="T113" s="6">
        <v>8650</v>
      </c>
      <c r="U113" s="2"/>
      <c r="V113" s="7">
        <f t="shared" si="100"/>
        <v>4.6048503394360287E-4</v>
      </c>
      <c r="W113" s="2"/>
      <c r="X113" s="6">
        <f t="shared" si="101"/>
        <v>7203.630000000001</v>
      </c>
      <c r="Y113" s="2"/>
      <c r="Z113" s="7">
        <f t="shared" si="102"/>
        <v>0.83278959537572261</v>
      </c>
    </row>
    <row r="114" spans="1:26" s="24" customFormat="1" hidden="1" outlineLevel="2" x14ac:dyDescent="0.25">
      <c r="A114" s="27"/>
      <c r="B114" s="11" t="str">
        <f>CONCATENATE("          ", "6235", " - ", "COVID-19 EXPENSES")</f>
        <v xml:space="preserve">          6235 - COVID-19 EXPENSES</v>
      </c>
      <c r="C114" s="11"/>
      <c r="D114" s="6">
        <v>29.77</v>
      </c>
      <c r="E114" s="2"/>
      <c r="F114" s="7">
        <f t="shared" si="95"/>
        <v>-2.2276444616583249E-4</v>
      </c>
      <c r="G114" s="2"/>
      <c r="H114" s="6"/>
      <c r="I114" s="2"/>
      <c r="J114" s="7">
        <f t="shared" si="96"/>
        <v>0</v>
      </c>
      <c r="K114" s="2"/>
      <c r="L114" s="6">
        <f t="shared" si="97"/>
        <v>29.77</v>
      </c>
      <c r="M114" s="2"/>
      <c r="N114" s="7">
        <f t="shared" si="98"/>
        <v>0</v>
      </c>
      <c r="O114" s="11"/>
      <c r="P114" s="6">
        <v>1980.88</v>
      </c>
      <c r="Q114" s="2"/>
      <c r="R114" s="7">
        <f t="shared" si="99"/>
        <v>1.4504621924048554E-4</v>
      </c>
      <c r="S114" s="2"/>
      <c r="T114" s="6"/>
      <c r="U114" s="2"/>
      <c r="V114" s="7">
        <f t="shared" si="100"/>
        <v>0</v>
      </c>
      <c r="W114" s="2"/>
      <c r="X114" s="6">
        <f t="shared" si="101"/>
        <v>1980.88</v>
      </c>
      <c r="Y114" s="2"/>
      <c r="Z114" s="7">
        <f t="shared" si="102"/>
        <v>0</v>
      </c>
    </row>
    <row r="115" spans="1:26" s="24" customFormat="1" hidden="1" outlineLevel="2" x14ac:dyDescent="0.25">
      <c r="A115" s="27"/>
      <c r="B115" s="11" t="str">
        <f>CONCATENATE("          ", "6237", " - ", "JANITORIAL SUPPLIES")</f>
        <v xml:space="preserve">          6237 - JANITORIAL SUPPLIES</v>
      </c>
      <c r="C115" s="11"/>
      <c r="D115" s="6">
        <v>2339.62</v>
      </c>
      <c r="E115" s="2"/>
      <c r="F115" s="7">
        <f t="shared" si="95"/>
        <v>-1.7507025647917535E-2</v>
      </c>
      <c r="G115" s="2"/>
      <c r="H115" s="6">
        <v>13166</v>
      </c>
      <c r="I115" s="2"/>
      <c r="J115" s="7">
        <f t="shared" si="96"/>
        <v>3.6672051696284333E-2</v>
      </c>
      <c r="K115" s="2"/>
      <c r="L115" s="6">
        <f t="shared" si="97"/>
        <v>-10826.380000000001</v>
      </c>
      <c r="M115" s="2"/>
      <c r="N115" s="7">
        <f t="shared" si="98"/>
        <v>-0.82229834421996062</v>
      </c>
      <c r="O115" s="11"/>
      <c r="P115" s="6">
        <v>125027.55</v>
      </c>
      <c r="Q115" s="2"/>
      <c r="R115" s="7">
        <f t="shared" si="99"/>
        <v>9.1549076311542178E-3</v>
      </c>
      <c r="S115" s="2"/>
      <c r="T115" s="6">
        <v>166517</v>
      </c>
      <c r="U115" s="2"/>
      <c r="V115" s="7">
        <f t="shared" si="100"/>
        <v>8.8645764621025341E-3</v>
      </c>
      <c r="W115" s="2"/>
      <c r="X115" s="6">
        <f t="shared" si="101"/>
        <v>-41489.449999999997</v>
      </c>
      <c r="Y115" s="2"/>
      <c r="Z115" s="7">
        <f t="shared" si="102"/>
        <v>-0.24916044608058036</v>
      </c>
    </row>
    <row r="116" spans="1:26" s="24" customFormat="1" hidden="1" outlineLevel="2" x14ac:dyDescent="0.25">
      <c r="A116" s="27"/>
      <c r="B116" s="11" t="str">
        <f>CONCATENATE("          ", "6239", " - ", "KITCHEN SUPPLIES")</f>
        <v xml:space="preserve">          6239 - KITCHEN SUPPLIES</v>
      </c>
      <c r="C116" s="11"/>
      <c r="D116" s="6">
        <v>349.26</v>
      </c>
      <c r="E116" s="2"/>
      <c r="F116" s="7">
        <f t="shared" si="95"/>
        <v>-2.6134602105434552E-3</v>
      </c>
      <c r="G116" s="2"/>
      <c r="H116" s="6">
        <v>6750</v>
      </c>
      <c r="I116" s="2"/>
      <c r="J116" s="7">
        <f t="shared" si="96"/>
        <v>1.8801180992702355E-2</v>
      </c>
      <c r="K116" s="2"/>
      <c r="L116" s="6">
        <f t="shared" si="97"/>
        <v>-6400.74</v>
      </c>
      <c r="M116" s="2"/>
      <c r="N116" s="7">
        <f t="shared" si="98"/>
        <v>-0.94825777777777776</v>
      </c>
      <c r="O116" s="11"/>
      <c r="P116" s="6">
        <v>72723.39</v>
      </c>
      <c r="Q116" s="2"/>
      <c r="R116" s="7">
        <f t="shared" si="99"/>
        <v>5.3250337071661753E-3</v>
      </c>
      <c r="S116" s="2"/>
      <c r="T116" s="6">
        <v>85154.150000000009</v>
      </c>
      <c r="U116" s="2"/>
      <c r="V116" s="7">
        <f t="shared" si="100"/>
        <v>4.533203659328168E-3</v>
      </c>
      <c r="W116" s="2"/>
      <c r="X116" s="6">
        <f t="shared" si="101"/>
        <v>-12430.760000000009</v>
      </c>
      <c r="Y116" s="2"/>
      <c r="Z116" s="7">
        <f t="shared" si="102"/>
        <v>-0.14597949718246273</v>
      </c>
    </row>
    <row r="117" spans="1:26" s="24" customFormat="1" hidden="1" outlineLevel="2" x14ac:dyDescent="0.25">
      <c r="A117" s="27"/>
      <c r="B117" s="11" t="str">
        <f>CONCATENATE("          ", "6241", " - ", "OFFICE EXPENSE")</f>
        <v xml:space="preserve">          6241 - OFFICE EXPENSE</v>
      </c>
      <c r="C117" s="11"/>
      <c r="D117" s="6">
        <v>102.56</v>
      </c>
      <c r="E117" s="2"/>
      <c r="F117" s="7">
        <f t="shared" si="95"/>
        <v>-7.6744110173892447E-4</v>
      </c>
      <c r="G117" s="2"/>
      <c r="H117" s="6">
        <v>1949</v>
      </c>
      <c r="I117" s="2"/>
      <c r="J117" s="7">
        <f t="shared" si="96"/>
        <v>5.428666926633614E-3</v>
      </c>
      <c r="K117" s="2"/>
      <c r="L117" s="6">
        <f t="shared" si="97"/>
        <v>-1846.44</v>
      </c>
      <c r="M117" s="2"/>
      <c r="N117" s="7">
        <f t="shared" si="98"/>
        <v>-0.94737814263724995</v>
      </c>
      <c r="O117" s="11"/>
      <c r="P117" s="6">
        <v>46419.689999999995</v>
      </c>
      <c r="Q117" s="2"/>
      <c r="R117" s="7">
        <f t="shared" si="99"/>
        <v>3.3989946553124738E-3</v>
      </c>
      <c r="S117" s="2"/>
      <c r="T117" s="6">
        <v>27192.82</v>
      </c>
      <c r="U117" s="2"/>
      <c r="V117" s="7">
        <f t="shared" si="100"/>
        <v>1.447616952684657E-3</v>
      </c>
      <c r="W117" s="2"/>
      <c r="X117" s="6">
        <f t="shared" si="101"/>
        <v>19226.869999999995</v>
      </c>
      <c r="Y117" s="2"/>
      <c r="Z117" s="7">
        <f t="shared" si="102"/>
        <v>0.70705686280422542</v>
      </c>
    </row>
    <row r="118" spans="1:26" s="24" customFormat="1" hidden="1" outlineLevel="2" x14ac:dyDescent="0.25">
      <c r="A118" s="27"/>
      <c r="B118" s="11" t="str">
        <f>CONCATENATE("          ", "6243", " - ", "PAPER SUPPLIES")</f>
        <v xml:space="preserve">          6243 - PAPER SUPPLIES</v>
      </c>
      <c r="C118" s="11"/>
      <c r="D118" s="6">
        <v>859.86</v>
      </c>
      <c r="E118" s="2"/>
      <c r="F118" s="7">
        <f t="shared" si="95"/>
        <v>-6.434203449114973E-3</v>
      </c>
      <c r="G118" s="2"/>
      <c r="H118" s="6">
        <v>9609</v>
      </c>
      <c r="I118" s="2"/>
      <c r="J118" s="7">
        <f t="shared" si="96"/>
        <v>2.6764525653166955E-2</v>
      </c>
      <c r="K118" s="2"/>
      <c r="L118" s="6">
        <f t="shared" si="97"/>
        <v>-8749.14</v>
      </c>
      <c r="M118" s="2"/>
      <c r="N118" s="7">
        <f t="shared" si="98"/>
        <v>-0.91051514205432404</v>
      </c>
      <c r="O118" s="11"/>
      <c r="P118" s="6">
        <v>89968.26</v>
      </c>
      <c r="Q118" s="2"/>
      <c r="R118" s="7">
        <f t="shared" si="99"/>
        <v>6.5877569386560541E-3</v>
      </c>
      <c r="S118" s="2"/>
      <c r="T118" s="6">
        <v>126538.52</v>
      </c>
      <c r="U118" s="2"/>
      <c r="V118" s="7">
        <f t="shared" si="100"/>
        <v>6.7363115233957539E-3</v>
      </c>
      <c r="W118" s="2"/>
      <c r="X118" s="6">
        <f t="shared" si="101"/>
        <v>-36570.260000000009</v>
      </c>
      <c r="Y118" s="2"/>
      <c r="Z118" s="7">
        <f t="shared" si="102"/>
        <v>-0.28900496070287535</v>
      </c>
    </row>
    <row r="119" spans="1:26" s="24" customFormat="1" hidden="1" outlineLevel="2" x14ac:dyDescent="0.25">
      <c r="A119" s="27"/>
      <c r="B119" s="11" t="str">
        <f>CONCATENATE("          ", "6244", " - ", "SAFETY SUPPLY EXPENSE")</f>
        <v xml:space="preserve">          6244 - SAFETY SUPPLY EXPENSE</v>
      </c>
      <c r="C119" s="11"/>
      <c r="D119" s="6"/>
      <c r="E119" s="2"/>
      <c r="F119" s="7">
        <f t="shared" si="95"/>
        <v>0</v>
      </c>
      <c r="G119" s="2"/>
      <c r="H119" s="6">
        <v>235</v>
      </c>
      <c r="I119" s="2"/>
      <c r="J119" s="7">
        <f t="shared" si="96"/>
        <v>6.5455963456074865E-4</v>
      </c>
      <c r="K119" s="2"/>
      <c r="L119" s="6">
        <f t="shared" si="97"/>
        <v>-235</v>
      </c>
      <c r="M119" s="2"/>
      <c r="N119" s="7">
        <f t="shared" si="98"/>
        <v>-1</v>
      </c>
      <c r="O119" s="11"/>
      <c r="P119" s="6"/>
      <c r="Q119" s="2"/>
      <c r="R119" s="7">
        <f t="shared" si="99"/>
        <v>0</v>
      </c>
      <c r="S119" s="2"/>
      <c r="T119" s="6">
        <v>2820</v>
      </c>
      <c r="U119" s="2"/>
      <c r="V119" s="7">
        <f t="shared" si="100"/>
        <v>1.501234445920185E-4</v>
      </c>
      <c r="W119" s="2"/>
      <c r="X119" s="6">
        <f t="shared" si="101"/>
        <v>-2820</v>
      </c>
      <c r="Y119" s="2"/>
      <c r="Z119" s="7">
        <f t="shared" si="102"/>
        <v>-1</v>
      </c>
    </row>
    <row r="120" spans="1:26" s="24" customFormat="1" hidden="1" outlineLevel="2" x14ac:dyDescent="0.25">
      <c r="A120" s="27"/>
      <c r="B120" s="11" t="str">
        <f>CONCATENATE("          ", "6245", " - ", "PRINTING")</f>
        <v xml:space="preserve">          6245 - PRINTING</v>
      </c>
      <c r="C120" s="11"/>
      <c r="D120" s="6"/>
      <c r="E120" s="2"/>
      <c r="F120" s="7">
        <f t="shared" si="95"/>
        <v>0</v>
      </c>
      <c r="G120" s="2"/>
      <c r="H120" s="6">
        <v>200</v>
      </c>
      <c r="I120" s="2"/>
      <c r="J120" s="7">
        <f t="shared" si="96"/>
        <v>5.5707202941340317E-4</v>
      </c>
      <c r="K120" s="2"/>
      <c r="L120" s="6">
        <f t="shared" si="97"/>
        <v>-200</v>
      </c>
      <c r="M120" s="2"/>
      <c r="N120" s="7">
        <f t="shared" si="98"/>
        <v>-1</v>
      </c>
      <c r="O120" s="11"/>
      <c r="P120" s="6">
        <v>1882.72</v>
      </c>
      <c r="Q120" s="2"/>
      <c r="R120" s="7">
        <f t="shared" si="99"/>
        <v>1.3785863751890418E-4</v>
      </c>
      <c r="S120" s="2"/>
      <c r="T120" s="6">
        <v>4636.82</v>
      </c>
      <c r="U120" s="2"/>
      <c r="V120" s="7">
        <f t="shared" si="100"/>
        <v>2.4684233700466782E-4</v>
      </c>
      <c r="W120" s="2"/>
      <c r="X120" s="6">
        <f t="shared" si="101"/>
        <v>-2754.0999999999995</v>
      </c>
      <c r="Y120" s="2"/>
      <c r="Z120" s="7">
        <f t="shared" si="102"/>
        <v>-0.59396310402387831</v>
      </c>
    </row>
    <row r="121" spans="1:26" s="24" customFormat="1" hidden="1" outlineLevel="2" x14ac:dyDescent="0.25">
      <c r="A121" s="27"/>
      <c r="B121" s="11" t="str">
        <f>CONCATENATE("          ", "6246", " - ", "REPLACEMENTS")</f>
        <v xml:space="preserve">          6246 - REPLACEMENTS</v>
      </c>
      <c r="C121" s="11"/>
      <c r="D121" s="6"/>
      <c r="E121" s="2"/>
      <c r="F121" s="7">
        <f t="shared" si="95"/>
        <v>0</v>
      </c>
      <c r="G121" s="2"/>
      <c r="H121" s="6"/>
      <c r="I121" s="2"/>
      <c r="J121" s="7">
        <f t="shared" si="96"/>
        <v>0</v>
      </c>
      <c r="K121" s="2"/>
      <c r="L121" s="6">
        <f t="shared" si="97"/>
        <v>0</v>
      </c>
      <c r="M121" s="2"/>
      <c r="N121" s="7">
        <f t="shared" si="98"/>
        <v>0</v>
      </c>
      <c r="O121" s="11"/>
      <c r="P121" s="6">
        <v>25.87</v>
      </c>
      <c r="Q121" s="2"/>
      <c r="R121" s="7">
        <f t="shared" si="99"/>
        <v>1.8942821835504224E-6</v>
      </c>
      <c r="S121" s="2"/>
      <c r="T121" s="6">
        <v>3400</v>
      </c>
      <c r="U121" s="2"/>
      <c r="V121" s="7">
        <f t="shared" si="100"/>
        <v>1.8099989773505778E-4</v>
      </c>
      <c r="W121" s="2"/>
      <c r="X121" s="6">
        <f t="shared" si="101"/>
        <v>-3374.13</v>
      </c>
      <c r="Y121" s="2"/>
      <c r="Z121" s="7">
        <f t="shared" si="102"/>
        <v>-0.99239117647058828</v>
      </c>
    </row>
    <row r="122" spans="1:26" s="24" customFormat="1" hidden="1" outlineLevel="2" x14ac:dyDescent="0.25">
      <c r="A122" s="27"/>
      <c r="B122" s="11" t="str">
        <f>CONCATENATE("          ", "6247", " - ", "STORE SUPPLIES")</f>
        <v xml:space="preserve">          6247 - STORE SUPPLIES</v>
      </c>
      <c r="C122" s="11"/>
      <c r="D122" s="6"/>
      <c r="E122" s="2"/>
      <c r="F122" s="7">
        <f t="shared" si="95"/>
        <v>0</v>
      </c>
      <c r="G122" s="2"/>
      <c r="H122" s="6">
        <v>250</v>
      </c>
      <c r="I122" s="2"/>
      <c r="J122" s="7">
        <f t="shared" si="96"/>
        <v>6.9634003676675397E-4</v>
      </c>
      <c r="K122" s="2"/>
      <c r="L122" s="6">
        <f t="shared" si="97"/>
        <v>-250</v>
      </c>
      <c r="M122" s="2"/>
      <c r="N122" s="7">
        <f t="shared" si="98"/>
        <v>-1</v>
      </c>
      <c r="O122" s="11"/>
      <c r="P122" s="6">
        <v>7629.9</v>
      </c>
      <c r="Q122" s="2"/>
      <c r="R122" s="7">
        <f t="shared" si="99"/>
        <v>5.5868510368269682E-4</v>
      </c>
      <c r="S122" s="2"/>
      <c r="T122" s="6">
        <v>5677.55</v>
      </c>
      <c r="U122" s="2"/>
      <c r="V122" s="7">
        <f t="shared" si="100"/>
        <v>3.0224587334872865E-4</v>
      </c>
      <c r="W122" s="2"/>
      <c r="X122" s="6">
        <f t="shared" si="101"/>
        <v>1952.3499999999995</v>
      </c>
      <c r="Y122" s="2"/>
      <c r="Z122" s="7">
        <f t="shared" si="102"/>
        <v>0.34387191658373761</v>
      </c>
    </row>
    <row r="123" spans="1:26" s="24" customFormat="1" hidden="1" outlineLevel="2" x14ac:dyDescent="0.25">
      <c r="A123" s="27"/>
      <c r="B123" s="11" t="str">
        <f>CONCATENATE("          ", "6248", " - ", "UNIFORMS")</f>
        <v xml:space="preserve">          6248 - UNIFORMS</v>
      </c>
      <c r="C123" s="11"/>
      <c r="D123" s="6"/>
      <c r="E123" s="2"/>
      <c r="F123" s="7">
        <f t="shared" si="95"/>
        <v>0</v>
      </c>
      <c r="G123" s="2"/>
      <c r="H123" s="6">
        <v>375</v>
      </c>
      <c r="I123" s="2"/>
      <c r="J123" s="7">
        <f t="shared" si="96"/>
        <v>1.044510055150131E-3</v>
      </c>
      <c r="K123" s="2"/>
      <c r="L123" s="6">
        <f t="shared" si="97"/>
        <v>-375</v>
      </c>
      <c r="M123" s="2"/>
      <c r="N123" s="7">
        <f t="shared" si="98"/>
        <v>-1</v>
      </c>
      <c r="O123" s="11"/>
      <c r="P123" s="6">
        <v>4597.09</v>
      </c>
      <c r="Q123" s="2"/>
      <c r="R123" s="7">
        <f t="shared" si="99"/>
        <v>3.3661328500880604E-4</v>
      </c>
      <c r="S123" s="2"/>
      <c r="T123" s="6">
        <v>26550</v>
      </c>
      <c r="U123" s="2"/>
      <c r="V123" s="7">
        <f t="shared" si="100"/>
        <v>1.4133962602546424E-3</v>
      </c>
      <c r="W123" s="2"/>
      <c r="X123" s="6">
        <f t="shared" si="101"/>
        <v>-21952.91</v>
      </c>
      <c r="Y123" s="2"/>
      <c r="Z123" s="7">
        <f t="shared" si="102"/>
        <v>-0.82685160075329567</v>
      </c>
    </row>
    <row r="124" spans="1:26" s="26" customFormat="1" outlineLevel="1" collapsed="1" x14ac:dyDescent="0.25">
      <c r="A124" s="25"/>
      <c r="B124" s="12" t="str">
        <f>CONCATENATE("     ","Telephone/Data Lines                              ")</f>
        <v xml:space="preserve">     Telephone/Data Lines                              </v>
      </c>
      <c r="C124" s="12"/>
      <c r="D124" s="1">
        <f>SUM(OSRRefD22_22x_0)</f>
        <v>690.62</v>
      </c>
      <c r="E124" s="1"/>
      <c r="F124" s="5">
        <f t="shared" ref="F124:F126" si="103">IF(D$12=0,0,D124/D$12)</f>
        <v>-5.1678059056448518E-3</v>
      </c>
      <c r="G124" s="1"/>
      <c r="H124" s="1">
        <f>SUM(OSRRefH22_22x_0)</f>
        <v>2704</v>
      </c>
      <c r="I124" s="1"/>
      <c r="J124" s="5">
        <f t="shared" ref="J124:J126" si="104">IF(H$12=0,0,H124/H$12)</f>
        <v>7.5316138376692104E-3</v>
      </c>
      <c r="K124" s="1"/>
      <c r="L124" s="1">
        <f t="shared" ref="L124:L126" si="105">+D124-H124</f>
        <v>-2013.38</v>
      </c>
      <c r="M124" s="1"/>
      <c r="N124" s="5">
        <f t="shared" ref="N124:N126" si="106">IF(H124=0,0,L124/H124)</f>
        <v>-0.74459319526627221</v>
      </c>
      <c r="O124" s="12"/>
      <c r="P124" s="1">
        <f>SUM(OSRRefP22_22x_0)</f>
        <v>28396.59</v>
      </c>
      <c r="Q124" s="1"/>
      <c r="R124" s="5">
        <f t="shared" ref="R124:R126" si="107">IF(P$12=0,0,P124/P$12)</f>
        <v>2.0792869930647889E-3</v>
      </c>
      <c r="S124" s="1"/>
      <c r="T124" s="1">
        <f>SUM(OSRRefT22_22x_0)</f>
        <v>32734</v>
      </c>
      <c r="U124" s="1"/>
      <c r="V124" s="5">
        <f t="shared" ref="V124:V126" si="108">IF(T$12=0,0,T124/T$12)</f>
        <v>1.7426031330762886E-3</v>
      </c>
      <c r="W124" s="1"/>
      <c r="X124" s="1">
        <f t="shared" ref="X124:X126" si="109">+P124-T124</f>
        <v>-4337.41</v>
      </c>
      <c r="Y124" s="1"/>
      <c r="Z124" s="5">
        <f t="shared" ref="Z124:Z126" si="110">IF(T124=0,0,X124/T124)</f>
        <v>-0.13250473513777722</v>
      </c>
    </row>
    <row r="125" spans="1:26" s="24" customFormat="1" hidden="1" outlineLevel="2" x14ac:dyDescent="0.25">
      <c r="A125" s="27"/>
      <c r="B125" s="11" t="str">
        <f>CONCATENATE("          ", "6303", " - ", "DATA PHONE LINES")</f>
        <v xml:space="preserve">          6303 - DATA PHONE LINES</v>
      </c>
      <c r="C125" s="11"/>
      <c r="D125" s="6"/>
      <c r="E125" s="2"/>
      <c r="F125" s="7">
        <f t="shared" si="103"/>
        <v>0</v>
      </c>
      <c r="G125" s="2"/>
      <c r="H125" s="6">
        <v>696</v>
      </c>
      <c r="I125" s="2"/>
      <c r="J125" s="7">
        <f t="shared" si="104"/>
        <v>1.9386106623586429E-3</v>
      </c>
      <c r="K125" s="2"/>
      <c r="L125" s="6">
        <f t="shared" si="105"/>
        <v>-696</v>
      </c>
      <c r="M125" s="2"/>
      <c r="N125" s="7">
        <f t="shared" si="106"/>
        <v>-1</v>
      </c>
      <c r="O125" s="11"/>
      <c r="P125" s="6"/>
      <c r="Q125" s="2"/>
      <c r="R125" s="7">
        <f t="shared" si="107"/>
        <v>0</v>
      </c>
      <c r="S125" s="2"/>
      <c r="T125" s="6">
        <v>7558</v>
      </c>
      <c r="U125" s="2"/>
      <c r="V125" s="7">
        <f t="shared" si="108"/>
        <v>4.0235212561222551E-4</v>
      </c>
      <c r="W125" s="2"/>
      <c r="X125" s="6">
        <f t="shared" si="109"/>
        <v>-7558</v>
      </c>
      <c r="Y125" s="2"/>
      <c r="Z125" s="7">
        <f t="shared" si="110"/>
        <v>-1</v>
      </c>
    </row>
    <row r="126" spans="1:26" s="24" customFormat="1" hidden="1" outlineLevel="2" x14ac:dyDescent="0.25">
      <c r="A126" s="27"/>
      <c r="B126" s="11" t="str">
        <f>CONCATENATE("          ", "6309", " - ", "TELEPHONE")</f>
        <v xml:space="preserve">          6309 - TELEPHONE</v>
      </c>
      <c r="C126" s="11"/>
      <c r="D126" s="6">
        <v>690.62</v>
      </c>
      <c r="E126" s="2"/>
      <c r="F126" s="7">
        <f t="shared" si="103"/>
        <v>-5.1678059056448518E-3</v>
      </c>
      <c r="G126" s="2"/>
      <c r="H126" s="6">
        <v>2008</v>
      </c>
      <c r="I126" s="2"/>
      <c r="J126" s="7">
        <f t="shared" si="104"/>
        <v>5.5930031753105673E-3</v>
      </c>
      <c r="K126" s="2"/>
      <c r="L126" s="6">
        <f t="shared" si="105"/>
        <v>-1317.38</v>
      </c>
      <c r="M126" s="2"/>
      <c r="N126" s="7">
        <f t="shared" si="106"/>
        <v>-0.65606573705179283</v>
      </c>
      <c r="O126" s="11"/>
      <c r="P126" s="6">
        <v>28396.59</v>
      </c>
      <c r="Q126" s="2"/>
      <c r="R126" s="7">
        <f t="shared" si="107"/>
        <v>2.0792869930647889E-3</v>
      </c>
      <c r="S126" s="2"/>
      <c r="T126" s="6">
        <v>25176</v>
      </c>
      <c r="U126" s="2"/>
      <c r="V126" s="7">
        <f t="shared" si="108"/>
        <v>1.3402510074640632E-3</v>
      </c>
      <c r="W126" s="2"/>
      <c r="X126" s="6">
        <f t="shared" si="109"/>
        <v>3220.59</v>
      </c>
      <c r="Y126" s="2"/>
      <c r="Z126" s="7">
        <f t="shared" si="110"/>
        <v>0.12792302192564348</v>
      </c>
    </row>
    <row r="127" spans="1:26" s="26" customFormat="1" outlineLevel="1" collapsed="1" x14ac:dyDescent="0.25">
      <c r="A127" s="25"/>
      <c r="B127" s="12" t="str">
        <f>CONCATENATE("     ","Training                                          ")</f>
        <v xml:space="preserve">     Training                                          </v>
      </c>
      <c r="C127" s="12"/>
      <c r="D127" s="1">
        <f>SUM(OSRRefD22_23x_0)</f>
        <v>494</v>
      </c>
      <c r="E127" s="1"/>
      <c r="F127" s="5">
        <f t="shared" ref="F127:F132" si="111">IF(D$12=0,0,D127/D$12)</f>
        <v>-3.6965279276426357E-3</v>
      </c>
      <c r="G127" s="1"/>
      <c r="H127" s="1">
        <f>SUM(OSRRefH22_23x_0)</f>
        <v>4939</v>
      </c>
      <c r="I127" s="1"/>
      <c r="J127" s="5">
        <f t="shared" ref="J127:J132" si="112">IF(H$12=0,0,H127/H$12)</f>
        <v>1.3756893766363991E-2</v>
      </c>
      <c r="K127" s="1"/>
      <c r="L127" s="1">
        <f t="shared" ref="L127:L132" si="113">+D127-H127</f>
        <v>-4445</v>
      </c>
      <c r="M127" s="1"/>
      <c r="N127" s="5">
        <f t="shared" ref="N127:N132" si="114">IF(H127=0,0,L127/H127)</f>
        <v>-0.89997975298643451</v>
      </c>
      <c r="O127" s="12"/>
      <c r="P127" s="1">
        <f>SUM(OSRRefP22_23x_0)</f>
        <v>9015.24</v>
      </c>
      <c r="Q127" s="1"/>
      <c r="R127" s="5">
        <f t="shared" ref="R127:R132" si="115">IF(P$12=0,0,P127/P$12)</f>
        <v>6.6012402444650601E-4</v>
      </c>
      <c r="S127" s="1"/>
      <c r="T127" s="1">
        <f>SUM(OSRRefT22_23x_0)</f>
        <v>31795</v>
      </c>
      <c r="U127" s="1"/>
      <c r="V127" s="5">
        <f t="shared" ref="V127:V132" si="116">IF(T$12=0,0,T127/T$12)</f>
        <v>1.6926152201429889E-3</v>
      </c>
      <c r="W127" s="1"/>
      <c r="X127" s="1">
        <f t="shared" ref="X127:X132" si="117">+P127-T127</f>
        <v>-22779.760000000002</v>
      </c>
      <c r="Y127" s="1"/>
      <c r="Z127" s="5">
        <f t="shared" ref="Z127:Z132" si="118">IF(T127=0,0,X127/T127)</f>
        <v>-0.71645730460764279</v>
      </c>
    </row>
    <row r="128" spans="1:26" s="24" customFormat="1" hidden="1" outlineLevel="2" x14ac:dyDescent="0.25">
      <c r="A128" s="27"/>
      <c r="B128" s="11" t="str">
        <f>CONCATENATE("          ", "6376", " - ", "TRAINING")</f>
        <v xml:space="preserve">          6376 - TRAINING</v>
      </c>
      <c r="C128" s="11"/>
      <c r="D128" s="6">
        <v>494</v>
      </c>
      <c r="E128" s="2"/>
      <c r="F128" s="7">
        <f t="shared" si="111"/>
        <v>-3.6965279276426357E-3</v>
      </c>
      <c r="G128" s="2"/>
      <c r="H128" s="6">
        <v>4939</v>
      </c>
      <c r="I128" s="2"/>
      <c r="J128" s="7">
        <f t="shared" si="112"/>
        <v>1.3756893766363991E-2</v>
      </c>
      <c r="K128" s="2"/>
      <c r="L128" s="6">
        <f t="shared" si="113"/>
        <v>-4445</v>
      </c>
      <c r="M128" s="2"/>
      <c r="N128" s="7">
        <f t="shared" si="114"/>
        <v>-0.89997975298643451</v>
      </c>
      <c r="O128" s="11"/>
      <c r="P128" s="6">
        <v>9015.24</v>
      </c>
      <c r="Q128" s="2"/>
      <c r="R128" s="7">
        <f t="shared" si="115"/>
        <v>6.6012402444650601E-4</v>
      </c>
      <c r="S128" s="2"/>
      <c r="T128" s="6">
        <v>31795</v>
      </c>
      <c r="U128" s="2"/>
      <c r="V128" s="7">
        <f t="shared" si="116"/>
        <v>1.6926152201429889E-3</v>
      </c>
      <c r="W128" s="2"/>
      <c r="X128" s="6">
        <f t="shared" si="117"/>
        <v>-22779.760000000002</v>
      </c>
      <c r="Y128" s="2"/>
      <c r="Z128" s="7">
        <f t="shared" si="118"/>
        <v>-0.71645730460764279</v>
      </c>
    </row>
    <row r="129" spans="1:26" s="26" customFormat="1" outlineLevel="1" collapsed="1" x14ac:dyDescent="0.25">
      <c r="A129" s="25"/>
      <c r="B129" s="12" t="str">
        <f>CONCATENATE("     ","Travel                                            ")</f>
        <v xml:space="preserve">     Travel                                            </v>
      </c>
      <c r="C129" s="12"/>
      <c r="D129" s="1">
        <f>SUM(OSRRefD22_24x_0)</f>
        <v>0</v>
      </c>
      <c r="E129" s="1"/>
      <c r="F129" s="5">
        <f t="shared" si="111"/>
        <v>0</v>
      </c>
      <c r="G129" s="1"/>
      <c r="H129" s="1">
        <f>SUM(OSRRefH22_24x_0)</f>
        <v>1910</v>
      </c>
      <c r="I129" s="1"/>
      <c r="J129" s="5">
        <f t="shared" si="112"/>
        <v>5.3200378808980001E-3</v>
      </c>
      <c r="K129" s="1"/>
      <c r="L129" s="1">
        <f t="shared" si="113"/>
        <v>-1910</v>
      </c>
      <c r="M129" s="1"/>
      <c r="N129" s="5">
        <f t="shared" si="114"/>
        <v>-1</v>
      </c>
      <c r="O129" s="12"/>
      <c r="P129" s="1">
        <f>SUM(OSRRefP22_24x_0)</f>
        <v>8235.58</v>
      </c>
      <c r="Q129" s="1"/>
      <c r="R129" s="5">
        <f t="shared" si="115"/>
        <v>6.0303488462327742E-4</v>
      </c>
      <c r="S129" s="1"/>
      <c r="T129" s="1">
        <f>SUM(OSRRefT22_24x_0)</f>
        <v>20940</v>
      </c>
      <c r="U129" s="1"/>
      <c r="V129" s="5">
        <f t="shared" si="116"/>
        <v>1.114746428991797E-3</v>
      </c>
      <c r="W129" s="1"/>
      <c r="X129" s="1">
        <f t="shared" si="117"/>
        <v>-12704.42</v>
      </c>
      <c r="Y129" s="1"/>
      <c r="Z129" s="5">
        <f t="shared" si="118"/>
        <v>-0.60670582617000957</v>
      </c>
    </row>
    <row r="130" spans="1:26" s="24" customFormat="1" hidden="1" outlineLevel="2" x14ac:dyDescent="0.25">
      <c r="A130" s="27"/>
      <c r="B130" s="11" t="str">
        <f>CONCATENATE("          ", "6292", " - ", "TRAVEL/CONFERENCE")</f>
        <v xml:space="preserve">          6292 - TRAVEL/CONFERENCE</v>
      </c>
      <c r="C130" s="11"/>
      <c r="D130" s="6"/>
      <c r="E130" s="2"/>
      <c r="F130" s="7">
        <f t="shared" si="111"/>
        <v>0</v>
      </c>
      <c r="G130" s="2"/>
      <c r="H130" s="6">
        <v>1800</v>
      </c>
      <c r="I130" s="2"/>
      <c r="J130" s="7">
        <f t="shared" si="112"/>
        <v>5.0136482647206281E-3</v>
      </c>
      <c r="K130" s="2"/>
      <c r="L130" s="6">
        <f t="shared" si="113"/>
        <v>-1800</v>
      </c>
      <c r="M130" s="2"/>
      <c r="N130" s="7">
        <f t="shared" si="114"/>
        <v>-1</v>
      </c>
      <c r="O130" s="11"/>
      <c r="P130" s="6">
        <v>6889.94</v>
      </c>
      <c r="Q130" s="2"/>
      <c r="R130" s="7">
        <f t="shared" si="115"/>
        <v>5.0450292182958629E-4</v>
      </c>
      <c r="S130" s="2"/>
      <c r="T130" s="6">
        <v>19500</v>
      </c>
      <c r="U130" s="2"/>
      <c r="V130" s="7">
        <f t="shared" si="116"/>
        <v>1.0380876487745961E-3</v>
      </c>
      <c r="W130" s="2"/>
      <c r="X130" s="6">
        <f t="shared" si="117"/>
        <v>-12610.060000000001</v>
      </c>
      <c r="Y130" s="2"/>
      <c r="Z130" s="7">
        <f t="shared" si="118"/>
        <v>-0.64666974358974361</v>
      </c>
    </row>
    <row r="131" spans="1:26" s="24" customFormat="1" hidden="1" outlineLevel="2" x14ac:dyDescent="0.25">
      <c r="A131" s="27"/>
      <c r="B131" s="11" t="str">
        <f>CONCATENATE("          ", "6294", " - ", "TRAVEL OPERATIONAL")</f>
        <v xml:space="preserve">          6294 - TRAVEL OPERATIONAL</v>
      </c>
      <c r="C131" s="11"/>
      <c r="D131" s="6"/>
      <c r="E131" s="2"/>
      <c r="F131" s="7">
        <f t="shared" si="111"/>
        <v>0</v>
      </c>
      <c r="G131" s="2"/>
      <c r="H131" s="6"/>
      <c r="I131" s="2"/>
      <c r="J131" s="7">
        <f t="shared" si="112"/>
        <v>0</v>
      </c>
      <c r="K131" s="2"/>
      <c r="L131" s="6">
        <f t="shared" si="113"/>
        <v>0</v>
      </c>
      <c r="M131" s="2"/>
      <c r="N131" s="7">
        <f t="shared" si="114"/>
        <v>0</v>
      </c>
      <c r="O131" s="11"/>
      <c r="P131" s="6">
        <v>56.99</v>
      </c>
      <c r="Q131" s="2"/>
      <c r="R131" s="7">
        <f t="shared" si="115"/>
        <v>4.1729857611340769E-6</v>
      </c>
      <c r="S131" s="2"/>
      <c r="T131" s="6">
        <v>120</v>
      </c>
      <c r="U131" s="2"/>
      <c r="V131" s="7">
        <f t="shared" si="116"/>
        <v>6.3882316847667455E-6</v>
      </c>
      <c r="W131" s="2"/>
      <c r="X131" s="6">
        <f t="shared" si="117"/>
        <v>-63.01</v>
      </c>
      <c r="Y131" s="2"/>
      <c r="Z131" s="7">
        <f t="shared" si="118"/>
        <v>-0.52508333333333335</v>
      </c>
    </row>
    <row r="132" spans="1:26" s="24" customFormat="1" hidden="1" outlineLevel="2" x14ac:dyDescent="0.25">
      <c r="A132" s="27"/>
      <c r="B132" s="11" t="str">
        <f>CONCATENATE("          ", "6298", " - ", "VEHICLE MILEAGE")</f>
        <v xml:space="preserve">          6298 - VEHICLE MILEAGE</v>
      </c>
      <c r="C132" s="11"/>
      <c r="D132" s="6"/>
      <c r="E132" s="2"/>
      <c r="F132" s="7">
        <f t="shared" si="111"/>
        <v>0</v>
      </c>
      <c r="G132" s="2"/>
      <c r="H132" s="6">
        <v>110</v>
      </c>
      <c r="I132" s="2"/>
      <c r="J132" s="7">
        <f t="shared" si="112"/>
        <v>3.0638961617737172E-4</v>
      </c>
      <c r="K132" s="2"/>
      <c r="L132" s="6">
        <f t="shared" si="113"/>
        <v>-110</v>
      </c>
      <c r="M132" s="2"/>
      <c r="N132" s="7">
        <f t="shared" si="114"/>
        <v>-1</v>
      </c>
      <c r="O132" s="11"/>
      <c r="P132" s="6">
        <v>1288.6500000000001</v>
      </c>
      <c r="Q132" s="2"/>
      <c r="R132" s="7">
        <f t="shared" si="115"/>
        <v>9.4358977032557093E-5</v>
      </c>
      <c r="S132" s="2"/>
      <c r="T132" s="6">
        <v>1320</v>
      </c>
      <c r="U132" s="2"/>
      <c r="V132" s="7">
        <f t="shared" si="116"/>
        <v>7.02705485324342E-5</v>
      </c>
      <c r="W132" s="2"/>
      <c r="X132" s="6">
        <f t="shared" si="117"/>
        <v>-31.349999999999909</v>
      </c>
      <c r="Y132" s="2"/>
      <c r="Z132" s="7">
        <f t="shared" si="118"/>
        <v>-2.3749999999999931E-2</v>
      </c>
    </row>
    <row r="133" spans="1:26" s="26" customFormat="1" outlineLevel="1" collapsed="1" x14ac:dyDescent="0.25">
      <c r="A133" s="25"/>
      <c r="B133" s="12" t="str">
        <f>CONCATENATE("     ","Utilities                                         ")</f>
        <v xml:space="preserve">     Utilities                                         </v>
      </c>
      <c r="C133" s="12"/>
      <c r="D133" s="1">
        <f>SUM(OSRRefD22_25x_0)</f>
        <v>15583</v>
      </c>
      <c r="E133" s="1"/>
      <c r="F133" s="5">
        <f t="shared" ref="F133:F134" si="119">IF(D$12=0,0,D133/D$12)</f>
        <v>-0.11660525242197407</v>
      </c>
      <c r="G133" s="1"/>
      <c r="H133" s="1">
        <f>SUM(OSRRefH22_25x_0)</f>
        <v>17450</v>
      </c>
      <c r="I133" s="1"/>
      <c r="J133" s="5">
        <f t="shared" ref="J133:J134" si="120">IF(H$12=0,0,H133/H$12)</f>
        <v>4.8604534566319427E-2</v>
      </c>
      <c r="K133" s="1"/>
      <c r="L133" s="1">
        <f t="shared" ref="L133:L134" si="121">+D133-H133</f>
        <v>-1867</v>
      </c>
      <c r="M133" s="1"/>
      <c r="N133" s="5">
        <f t="shared" ref="N133:N134" si="122">IF(H133=0,0,L133/H133)</f>
        <v>-0.10699140401146132</v>
      </c>
      <c r="O133" s="12"/>
      <c r="P133" s="1">
        <f>SUM(OSRRefP22_25x_0)</f>
        <v>190385</v>
      </c>
      <c r="Q133" s="1"/>
      <c r="R133" s="5">
        <f t="shared" ref="R133:R134" si="123">IF(P$12=0,0,P133/P$12)</f>
        <v>1.394058421009846E-2</v>
      </c>
      <c r="S133" s="1"/>
      <c r="T133" s="1">
        <f>SUM(OSRRefT22_25x_0)</f>
        <v>229400</v>
      </c>
      <c r="U133" s="1"/>
      <c r="V133" s="5">
        <f t="shared" ref="V133:V134" si="124">IF(T$12=0,0,T133/T$12)</f>
        <v>1.2212169570712427E-2</v>
      </c>
      <c r="W133" s="1"/>
      <c r="X133" s="1">
        <f t="shared" ref="X133:X134" si="125">+P133-T133</f>
        <v>-39015</v>
      </c>
      <c r="Y133" s="1"/>
      <c r="Z133" s="5">
        <f t="shared" ref="Z133:Z134" si="126">IF(T133=0,0,X133/T133)</f>
        <v>-0.17007410636442893</v>
      </c>
    </row>
    <row r="134" spans="1:26" s="24" customFormat="1" hidden="1" outlineLevel="2" x14ac:dyDescent="0.25">
      <c r="A134" s="27"/>
      <c r="B134" s="11" t="str">
        <f>CONCATENATE("          ", "6274", " - ", "UTILITIES")</f>
        <v xml:space="preserve">          6274 - UTILITIES</v>
      </c>
      <c r="C134" s="11"/>
      <c r="D134" s="6">
        <v>15583</v>
      </c>
      <c r="E134" s="2"/>
      <c r="F134" s="7">
        <f t="shared" si="119"/>
        <v>-0.11660525242197407</v>
      </c>
      <c r="G134" s="2"/>
      <c r="H134" s="6">
        <v>17450</v>
      </c>
      <c r="I134" s="2"/>
      <c r="J134" s="7">
        <f t="shared" si="120"/>
        <v>4.8604534566319427E-2</v>
      </c>
      <c r="K134" s="2"/>
      <c r="L134" s="6">
        <f t="shared" si="121"/>
        <v>-1867</v>
      </c>
      <c r="M134" s="2"/>
      <c r="N134" s="7">
        <f t="shared" si="122"/>
        <v>-0.10699140401146132</v>
      </c>
      <c r="O134" s="11"/>
      <c r="P134" s="6">
        <v>190385</v>
      </c>
      <c r="Q134" s="2"/>
      <c r="R134" s="7">
        <f t="shared" si="123"/>
        <v>1.394058421009846E-2</v>
      </c>
      <c r="S134" s="2"/>
      <c r="T134" s="6">
        <v>229400</v>
      </c>
      <c r="U134" s="2"/>
      <c r="V134" s="7">
        <f t="shared" si="124"/>
        <v>1.2212169570712427E-2</v>
      </c>
      <c r="W134" s="2"/>
      <c r="X134" s="6">
        <f t="shared" si="125"/>
        <v>-39015</v>
      </c>
      <c r="Y134" s="2"/>
      <c r="Z134" s="7">
        <f t="shared" si="126"/>
        <v>-0.17007410636442893</v>
      </c>
    </row>
    <row r="135" spans="1:26" s="60" customFormat="1" x14ac:dyDescent="0.25">
      <c r="A135" s="36"/>
      <c r="B135" s="36"/>
      <c r="C135" s="36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6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collapsed="1" x14ac:dyDescent="0.25">
      <c r="A136" s="10"/>
      <c r="B136" s="28" t="s">
        <v>0</v>
      </c>
      <c r="C136" s="10"/>
      <c r="D136" s="4">
        <f>SUM(OSRRefD25x_0)</f>
        <v>43261.639999999992</v>
      </c>
      <c r="E136" s="4"/>
      <c r="F136" s="13">
        <f t="shared" ref="F136:F140" si="127">IF(D$12=0,0,D136/D$12)</f>
        <v>-0.32372036529478082</v>
      </c>
      <c r="G136" s="4"/>
      <c r="H136" s="4">
        <f>SUM(OSRRefH25x_0)</f>
        <v>27800</v>
      </c>
      <c r="I136" s="4"/>
      <c r="J136" s="13">
        <f t="shared" ref="J136:J140" si="128">IF(H$12=0,0,H136/H$12)</f>
        <v>7.7433012088463038E-2</v>
      </c>
      <c r="K136" s="4"/>
      <c r="L136" s="4">
        <f t="shared" ref="L136:L140" si="129">+D136-H136</f>
        <v>15461.639999999992</v>
      </c>
      <c r="M136" s="4"/>
      <c r="N136" s="13">
        <f t="shared" ref="N136:N140" si="130">IF(H136=0,0,L136/H136)</f>
        <v>0.55617410071942419</v>
      </c>
      <c r="O136" s="10"/>
      <c r="P136" s="4">
        <f>SUM(OSRRefP25x_0)</f>
        <v>730460.52</v>
      </c>
      <c r="Q136" s="4"/>
      <c r="R136" s="13">
        <f t="shared" ref="R136:R140" si="131">IF(P$12=0,0,P136/P$12)</f>
        <v>5.3486600263740899E-2</v>
      </c>
      <c r="S136" s="4"/>
      <c r="T136" s="4">
        <f>SUM(OSRRefT25x_0)</f>
        <v>735151</v>
      </c>
      <c r="U136" s="4"/>
      <c r="V136" s="13">
        <f t="shared" ref="V136:V140" si="132">IF(T$12=0,0,T136/T$12)</f>
        <v>3.9135957594066309E-2</v>
      </c>
      <c r="W136" s="4"/>
      <c r="X136" s="4">
        <f t="shared" ref="X136:X140" si="133">+P136-T136</f>
        <v>-4690.4799999999814</v>
      </c>
      <c r="Y136" s="4"/>
      <c r="Z136" s="13">
        <f t="shared" ref="Z136:Z140" si="134">IF(T136=0,0,X136/T136)</f>
        <v>-6.3802946605527044E-3</v>
      </c>
    </row>
    <row r="137" spans="1:26" s="24" customFormat="1" hidden="1" outlineLevel="1" x14ac:dyDescent="0.25">
      <c r="A137" s="44"/>
      <c r="B137" s="11" t="str">
        <f>CONCATENATE("          ", "9150", " - ", "MISC. INCOME")</f>
        <v xml:space="preserve">          9150 - MISC. INCOME</v>
      </c>
      <c r="C137" s="11"/>
      <c r="D137" s="2">
        <f>--16951.85</f>
        <v>16951.849999999999</v>
      </c>
      <c r="E137" s="2"/>
      <c r="F137" s="19">
        <f t="shared" si="127"/>
        <v>-0.12684815172107045</v>
      </c>
      <c r="G137" s="2"/>
      <c r="H137" s="2">
        <v>22141</v>
      </c>
      <c r="I137" s="2"/>
      <c r="J137" s="19">
        <f t="shared" si="128"/>
        <v>6.1670659016210799E-2</v>
      </c>
      <c r="K137" s="2"/>
      <c r="L137" s="2">
        <f t="shared" si="129"/>
        <v>-5189.1500000000015</v>
      </c>
      <c r="M137" s="2"/>
      <c r="N137" s="19">
        <f t="shared" si="130"/>
        <v>-0.23436836637911573</v>
      </c>
      <c r="O137" s="11"/>
      <c r="P137" s="2">
        <f>--330936.39</f>
        <v>330936.39</v>
      </c>
      <c r="Q137" s="2"/>
      <c r="R137" s="19">
        <f t="shared" si="131"/>
        <v>2.423219588192865E-2</v>
      </c>
      <c r="S137" s="2"/>
      <c r="T137" s="2">
        <v>405596</v>
      </c>
      <c r="U137" s="2"/>
      <c r="V137" s="19">
        <f t="shared" si="132"/>
        <v>2.1592010153455441E-2</v>
      </c>
      <c r="W137" s="2"/>
      <c r="X137" s="2">
        <f t="shared" si="133"/>
        <v>-74659.609999999986</v>
      </c>
      <c r="Y137" s="2"/>
      <c r="Z137" s="19">
        <f t="shared" si="134"/>
        <v>-0.18407383208907382</v>
      </c>
    </row>
    <row r="138" spans="1:26" s="24" customFormat="1" hidden="1" outlineLevel="1" x14ac:dyDescent="0.25">
      <c r="A138" s="44"/>
      <c r="B138" s="11" t="str">
        <f>CONCATENATE("          ", "9151", " - ", "MISC. INCOME")</f>
        <v xml:space="preserve">          9151 - MISC. INCOME</v>
      </c>
      <c r="C138" s="11"/>
      <c r="D138" s="2">
        <f>0</f>
        <v>0</v>
      </c>
      <c r="E138" s="2"/>
      <c r="F138" s="19">
        <f t="shared" si="127"/>
        <v>0</v>
      </c>
      <c r="G138" s="2"/>
      <c r="H138" s="2">
        <v>5659</v>
      </c>
      <c r="I138" s="2"/>
      <c r="J138" s="19">
        <f t="shared" si="128"/>
        <v>1.5762353072252242E-2</v>
      </c>
      <c r="K138" s="2"/>
      <c r="L138" s="2">
        <f t="shared" si="129"/>
        <v>-5659</v>
      </c>
      <c r="M138" s="2"/>
      <c r="N138" s="19">
        <f t="shared" si="130"/>
        <v>-1</v>
      </c>
      <c r="O138" s="11"/>
      <c r="P138" s="2">
        <f>0</f>
        <v>0</v>
      </c>
      <c r="Q138" s="2"/>
      <c r="R138" s="19">
        <f t="shared" si="131"/>
        <v>0</v>
      </c>
      <c r="S138" s="2"/>
      <c r="T138" s="2">
        <v>329555</v>
      </c>
      <c r="U138" s="2"/>
      <c r="V138" s="19">
        <f t="shared" si="132"/>
        <v>1.7543947440610871E-2</v>
      </c>
      <c r="W138" s="2"/>
      <c r="X138" s="2">
        <f t="shared" si="133"/>
        <v>-329555</v>
      </c>
      <c r="Y138" s="2"/>
      <c r="Z138" s="19">
        <f t="shared" si="134"/>
        <v>-1</v>
      </c>
    </row>
    <row r="139" spans="1:26" s="24" customFormat="1" hidden="1" outlineLevel="1" x14ac:dyDescent="0.25">
      <c r="A139" s="44"/>
      <c r="B139" s="11" t="str">
        <f>CONCATENATE("          ", "9160", " - ", "MISC. INCOME")</f>
        <v xml:space="preserve">          9160 - MISC. INCOME</v>
      </c>
      <c r="C139" s="11"/>
      <c r="D139" s="2">
        <f>--25000.02</f>
        <v>25000.02</v>
      </c>
      <c r="E139" s="2"/>
      <c r="F139" s="19">
        <f t="shared" si="127"/>
        <v>-0.18707140105591993</v>
      </c>
      <c r="G139" s="2"/>
      <c r="H139" s="2"/>
      <c r="I139" s="2"/>
      <c r="J139" s="19">
        <f t="shared" si="128"/>
        <v>0</v>
      </c>
      <c r="K139" s="2"/>
      <c r="L139" s="2">
        <f t="shared" si="129"/>
        <v>25000.02</v>
      </c>
      <c r="M139" s="2"/>
      <c r="N139" s="19">
        <f t="shared" si="130"/>
        <v>0</v>
      </c>
      <c r="O139" s="11"/>
      <c r="P139" s="2">
        <f>--155089.34</f>
        <v>155089.34</v>
      </c>
      <c r="Q139" s="2"/>
      <c r="R139" s="19">
        <f t="shared" si="131"/>
        <v>1.1356125768094081E-2</v>
      </c>
      <c r="S139" s="2"/>
      <c r="T139" s="2"/>
      <c r="U139" s="2"/>
      <c r="V139" s="19">
        <f t="shared" si="132"/>
        <v>0</v>
      </c>
      <c r="W139" s="2"/>
      <c r="X139" s="2">
        <f t="shared" si="133"/>
        <v>155089.34</v>
      </c>
      <c r="Y139" s="2"/>
      <c r="Z139" s="19">
        <f t="shared" si="134"/>
        <v>0</v>
      </c>
    </row>
    <row r="140" spans="1:26" s="24" customFormat="1" hidden="1" outlineLevel="1" x14ac:dyDescent="0.25">
      <c r="A140" s="44"/>
      <c r="B140" s="11" t="str">
        <f>CONCATENATE("          ", "9165", " - ", "OTHER INCOME")</f>
        <v xml:space="preserve">          9165 - OTHER INCOME</v>
      </c>
      <c r="C140" s="11"/>
      <c r="D140" s="2">
        <f>--1309.77</f>
        <v>1309.77</v>
      </c>
      <c r="E140" s="2"/>
      <c r="F140" s="19">
        <f t="shared" si="127"/>
        <v>-9.8008125177904745E-3</v>
      </c>
      <c r="G140" s="2"/>
      <c r="H140" s="2"/>
      <c r="I140" s="2"/>
      <c r="J140" s="19">
        <f t="shared" si="128"/>
        <v>0</v>
      </c>
      <c r="K140" s="2"/>
      <c r="L140" s="2">
        <f t="shared" si="129"/>
        <v>1309.77</v>
      </c>
      <c r="M140" s="2"/>
      <c r="N140" s="19">
        <f t="shared" si="130"/>
        <v>0</v>
      </c>
      <c r="O140" s="11"/>
      <c r="P140" s="2">
        <f>--244434.79</f>
        <v>244434.79</v>
      </c>
      <c r="Q140" s="2"/>
      <c r="R140" s="19">
        <f t="shared" si="131"/>
        <v>1.7898278613718167E-2</v>
      </c>
      <c r="S140" s="2"/>
      <c r="T140" s="2"/>
      <c r="U140" s="2"/>
      <c r="V140" s="19">
        <f t="shared" si="132"/>
        <v>0</v>
      </c>
      <c r="W140" s="2"/>
      <c r="X140" s="2">
        <f t="shared" si="133"/>
        <v>244434.79</v>
      </c>
      <c r="Y140" s="2"/>
      <c r="Z140" s="19">
        <f t="shared" si="134"/>
        <v>0</v>
      </c>
    </row>
    <row r="141" spans="1:26" x14ac:dyDescent="0.25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10"/>
      <c r="B142" s="29" t="s">
        <v>3</v>
      </c>
      <c r="C142" s="29"/>
      <c r="D142" s="22">
        <f>+D32-D34+D136</f>
        <v>-412895.31999999995</v>
      </c>
      <c r="E142" s="14"/>
      <c r="F142" s="20">
        <f>IF(D$12=0,0,D142/D$12)</f>
        <v>3.0896337683662805</v>
      </c>
      <c r="G142" s="14"/>
      <c r="H142" s="22">
        <f>+H32-H34+H136</f>
        <v>-359238.85211684182</v>
      </c>
      <c r="I142" s="14"/>
      <c r="J142" s="20">
        <f>IF(H$12=0,0,H142/H$12)</f>
        <v>-1.0006095819643526</v>
      </c>
      <c r="K142" s="15"/>
      <c r="L142" s="22">
        <f>+D142-H142</f>
        <v>-53656.467883158126</v>
      </c>
      <c r="M142" s="15"/>
      <c r="N142" s="20">
        <f>IF(H142=0,0,L142/H142)</f>
        <v>0.14936153917368172</v>
      </c>
      <c r="O142" s="28"/>
      <c r="P142" s="22">
        <f>+P32-P34+P136</f>
        <v>714015.04999999562</v>
      </c>
      <c r="Q142" s="14"/>
      <c r="R142" s="20">
        <f>IF(P$12=0,0,P142/P$12)</f>
        <v>5.2282411596515491E-2</v>
      </c>
      <c r="S142" s="14"/>
      <c r="T142" s="22">
        <f>+T32-T34+T136</f>
        <v>2921888.3344787583</v>
      </c>
      <c r="U142" s="14"/>
      <c r="V142" s="20">
        <f>IF(T$12=0,0,T142/T$12)</f>
        <v>0.1555474969805628</v>
      </c>
      <c r="W142" s="15"/>
      <c r="X142" s="22">
        <f>+P142-T142</f>
        <v>-2207873.2844787627</v>
      </c>
      <c r="Y142" s="15"/>
      <c r="Z142" s="20">
        <f>IF(T142=0,0,X142/T142)</f>
        <v>-0.75563232804809766</v>
      </c>
    </row>
    <row r="143" spans="1:26" x14ac:dyDescent="0.25">
      <c r="A143" s="9"/>
      <c r="B143" s="10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52"/>
      <c r="B144" s="10" t="s">
        <v>14</v>
      </c>
      <c r="C144" s="10"/>
      <c r="D144" s="4">
        <v>435099.94</v>
      </c>
      <c r="E144" s="4"/>
      <c r="F144" s="13">
        <f>IF(D$12=0,0,D144/D$12)</f>
        <v>-3.2557876103757795</v>
      </c>
      <c r="G144" s="4"/>
      <c r="H144" s="4">
        <v>296023</v>
      </c>
      <c r="I144" s="4"/>
      <c r="J144" s="13">
        <f>IF(H$12=0,0,H144/H$12)</f>
        <v>0.82453066681521925</v>
      </c>
      <c r="K144" s="4"/>
      <c r="L144" s="4">
        <f>+D144-H144</f>
        <v>139076.94</v>
      </c>
      <c r="M144" s="4"/>
      <c r="N144" s="13">
        <f>IF(H144=0,0,L144/H144)</f>
        <v>0.4698180208970249</v>
      </c>
      <c r="O144" s="10"/>
      <c r="P144" s="4">
        <v>2068182.09</v>
      </c>
      <c r="Q144" s="4"/>
      <c r="R144" s="13">
        <f>IF(P$12=0,0,P144/P$12)</f>
        <v>0.15143875088616454</v>
      </c>
      <c r="S144" s="4"/>
      <c r="T144" s="4">
        <v>2430173</v>
      </c>
      <c r="U144" s="4"/>
      <c r="V144" s="13">
        <f>IF(T$12=0,0,T144/T$12)</f>
        <v>0.12937090131720547</v>
      </c>
      <c r="W144" s="4"/>
      <c r="X144" s="4">
        <f>+P144-T144</f>
        <v>-361990.90999999992</v>
      </c>
      <c r="Y144" s="4"/>
      <c r="Z144" s="13">
        <f>IF(T144=0,0,X144/T144)</f>
        <v>-0.14895684792811043</v>
      </c>
    </row>
    <row r="145" spans="1:26" x14ac:dyDescent="0.25">
      <c r="A145" s="9"/>
      <c r="B145" s="10"/>
      <c r="C145" s="10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0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9" t="s">
        <v>4</v>
      </c>
      <c r="C146" s="29"/>
      <c r="D146" s="31">
        <f>+D142-D144</f>
        <v>-847995.26</v>
      </c>
      <c r="E146" s="14"/>
      <c r="F146" s="33">
        <f>IF(D$12=0,0,D146/D$12)</f>
        <v>6.3454213787420608</v>
      </c>
      <c r="G146" s="14"/>
      <c r="H146" s="31">
        <f>+H142-H144</f>
        <v>-655261.85211684182</v>
      </c>
      <c r="I146" s="14"/>
      <c r="J146" s="33">
        <f>IF(H$12=0,0,H146/H$12)</f>
        <v>-1.8251402487795716</v>
      </c>
      <c r="K146" s="15"/>
      <c r="L146" s="31">
        <f>D146-H146</f>
        <v>-192733.40788315819</v>
      </c>
      <c r="M146" s="15"/>
      <c r="N146" s="33">
        <f>IF(H146=0,0,L146/H146)</f>
        <v>0.29413189133554396</v>
      </c>
      <c r="O146" s="28"/>
      <c r="P146" s="31">
        <f>+P142-P144</f>
        <v>-1354167.0400000045</v>
      </c>
      <c r="Q146" s="14"/>
      <c r="R146" s="33">
        <f>IF(P$12=0,0,P146/P$12)</f>
        <v>-9.9156339289649037E-2</v>
      </c>
      <c r="S146" s="14"/>
      <c r="T146" s="31">
        <f>+T142-T144</f>
        <v>491715.33447875828</v>
      </c>
      <c r="U146" s="14"/>
      <c r="V146" s="33">
        <f>IF(T$12=0,0,T146/T$12)</f>
        <v>2.6176595663357345E-2</v>
      </c>
      <c r="W146" s="15"/>
      <c r="X146" s="31">
        <f>P146-T146</f>
        <v>-1845882.3744787627</v>
      </c>
      <c r="Y146" s="15"/>
      <c r="Z146" s="33">
        <f>IF(T146=0,0,X146/T146)</f>
        <v>-3.7539654451400954</v>
      </c>
    </row>
    <row r="147" spans="1:26" ht="15.75" thickTop="1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9" t="s">
        <v>5</v>
      </c>
      <c r="C149" s="29"/>
      <c r="D149" s="34">
        <f>SUM(D146:D148)</f>
        <v>-847995.26</v>
      </c>
      <c r="E149" s="14"/>
      <c r="F149" s="35">
        <f>IF(D$12=0,0,D149/D$12)</f>
        <v>6.3454213787420608</v>
      </c>
      <c r="G149" s="14"/>
      <c r="H149" s="34">
        <f>SUM(H146:H148)</f>
        <v>-655261.85211684182</v>
      </c>
      <c r="I149" s="14"/>
      <c r="J149" s="35">
        <f>IF(H$12=0,0,H149/H$12)</f>
        <v>-1.8251402487795716</v>
      </c>
      <c r="K149" s="15"/>
      <c r="L149" s="34">
        <f>+D149-H149</f>
        <v>-192733.40788315819</v>
      </c>
      <c r="M149" s="15"/>
      <c r="N149" s="35">
        <f>IF(H149=0,0,L149/H149)</f>
        <v>0.29413189133554396</v>
      </c>
      <c r="O149" s="28"/>
      <c r="P149" s="34">
        <f>SUM(P146:P148)</f>
        <v>-1354167.0400000045</v>
      </c>
      <c r="Q149" s="14"/>
      <c r="R149" s="35">
        <f>IF(P$12=0,0,P149/P$12)</f>
        <v>-9.9156339289649037E-2</v>
      </c>
      <c r="S149" s="14"/>
      <c r="T149" s="34">
        <f>SUM(T146:T148)</f>
        <v>491715.33447875828</v>
      </c>
      <c r="U149" s="14"/>
      <c r="V149" s="35">
        <f>IF(T$12=0,0,T149/T$12)</f>
        <v>2.6176595663357345E-2</v>
      </c>
      <c r="W149" s="15"/>
      <c r="X149" s="34">
        <f>+P149-T149</f>
        <v>-1845882.3744787627</v>
      </c>
      <c r="Y149" s="15"/>
      <c r="Z149" s="35">
        <f>IF(T149=0,0,X149/T149)</f>
        <v>-3.7539654451400954</v>
      </c>
    </row>
    <row r="150" spans="1:26" ht="15.75" thickTop="1" x14ac:dyDescent="0.25">
      <c r="A150" s="9"/>
      <c r="C150" s="9"/>
      <c r="D150" s="17"/>
      <c r="E150" s="17"/>
      <c r="G150" s="17"/>
      <c r="H150" s="17"/>
      <c r="I150" s="17"/>
      <c r="J150" s="43"/>
      <c r="K150" s="17"/>
      <c r="L150" s="17"/>
      <c r="M150" s="17"/>
      <c r="P150" s="17"/>
      <c r="Q150" s="17"/>
      <c r="R150" s="43"/>
      <c r="S150" s="17"/>
      <c r="T150" s="17"/>
      <c r="U150" s="17"/>
      <c r="V150" s="43"/>
      <c r="W150" s="17"/>
      <c r="X150" s="17"/>
    </row>
    <row r="151" spans="1:26" x14ac:dyDescent="0.25">
      <c r="A151" s="9"/>
      <c r="B151" s="55">
        <v>44043.473006678243</v>
      </c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  <row r="152" spans="1:26" x14ac:dyDescent="0.25">
      <c r="A152" s="9"/>
      <c r="B152" s="62" t="s">
        <v>314</v>
      </c>
      <c r="D152" s="17"/>
      <c r="E152" s="17"/>
      <c r="G152" s="17"/>
      <c r="H152" s="17"/>
      <c r="I152" s="17"/>
      <c r="J152" s="43"/>
      <c r="K152" s="17"/>
      <c r="L152" s="17"/>
      <c r="M152" s="17"/>
      <c r="P152" s="17"/>
      <c r="Q152" s="17"/>
      <c r="R152" s="43"/>
      <c r="S152" s="17"/>
      <c r="T152" s="17"/>
      <c r="U152" s="17"/>
      <c r="V152" s="43"/>
      <c r="W152" s="17"/>
      <c r="X152" s="17"/>
    </row>
    <row r="153" spans="1:26" x14ac:dyDescent="0.25">
      <c r="A153" s="9"/>
      <c r="B153" s="63"/>
      <c r="D153" s="17"/>
      <c r="E153" s="17"/>
      <c r="G153" s="17"/>
      <c r="H153" s="17"/>
      <c r="I153" s="17"/>
      <c r="J153" s="43"/>
      <c r="K153" s="17"/>
      <c r="L153" s="17"/>
      <c r="M153" s="17"/>
      <c r="P153" s="17"/>
      <c r="Q153" s="17"/>
      <c r="R153" s="43"/>
      <c r="S153" s="17"/>
      <c r="T153" s="17"/>
      <c r="U153" s="17"/>
      <c r="V153" s="43"/>
      <c r="W153" s="17"/>
      <c r="X153" s="17"/>
    </row>
    <row r="154" spans="1:26" x14ac:dyDescent="0.25">
      <c r="D154" s="17"/>
      <c r="E154" s="17"/>
      <c r="G154" s="17"/>
      <c r="H154" s="17"/>
      <c r="I154" s="17"/>
      <c r="J154" s="43"/>
      <c r="K154" s="17"/>
      <c r="L154" s="17"/>
      <c r="M154" s="17"/>
      <c r="P154" s="17"/>
      <c r="Q154" s="17"/>
      <c r="R154" s="43"/>
      <c r="S154" s="17"/>
      <c r="T154" s="17"/>
      <c r="U154" s="17"/>
      <c r="V154" s="43"/>
      <c r="W154" s="17"/>
      <c r="X15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60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313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119.47</v>
      </c>
      <c r="E12" s="4"/>
      <c r="F12" s="13"/>
      <c r="G12" s="4"/>
      <c r="H12" s="4">
        <f>SUM(OSRRefH13x_0)</f>
        <v>361307</v>
      </c>
      <c r="I12" s="4"/>
      <c r="J12" s="13"/>
      <c r="K12" s="4"/>
      <c r="L12" s="4">
        <f t="shared" ref="L12:L31" si="0">+D12-H12</f>
        <v>-361187.53</v>
      </c>
      <c r="M12" s="4"/>
      <c r="N12" s="13">
        <f t="shared" ref="N12:N31" si="1">IF(H12=0,0,L12/H12)</f>
        <v>-0.99966933937067382</v>
      </c>
      <c r="O12" s="10"/>
      <c r="P12" s="4">
        <f>SUM(OSRRefP13x_0)</f>
        <v>6984271.0700000003</v>
      </c>
      <c r="Q12" s="4"/>
      <c r="R12" s="13"/>
      <c r="S12" s="4"/>
      <c r="T12" s="4">
        <f>SUM(OSRRefT13x_0)</f>
        <v>10838051.199999999</v>
      </c>
      <c r="U12" s="4"/>
      <c r="V12" s="13"/>
      <c r="W12" s="4"/>
      <c r="X12" s="4">
        <f t="shared" ref="X12:X31" si="2">+P12-T12</f>
        <v>-3853780.129999999</v>
      </c>
      <c r="Y12" s="4"/>
      <c r="Z12" s="13">
        <f t="shared" ref="Z12:Z31" si="3">IF(T12=0,0,X12/T12)</f>
        <v>-0.35557869757987481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2" si="4">0</f>
        <v>0</v>
      </c>
      <c r="E13" s="2"/>
      <c r="F13" s="19"/>
      <c r="G13" s="2"/>
      <c r="H13" s="2">
        <v>170250</v>
      </c>
      <c r="I13" s="2"/>
      <c r="J13" s="19"/>
      <c r="K13" s="2"/>
      <c r="L13" s="2">
        <f t="shared" si="0"/>
        <v>-170250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4477317.2</v>
      </c>
      <c r="U13" s="2"/>
      <c r="V13" s="19"/>
      <c r="W13" s="2"/>
      <c r="X13" s="2">
        <f t="shared" si="2"/>
        <v>-4477317.2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--275749.46</f>
        <v>275749.46000000002</v>
      </c>
      <c r="Q14" s="2"/>
      <c r="R14" s="19"/>
      <c r="S14" s="2"/>
      <c r="T14" s="2"/>
      <c r="U14" s="2"/>
      <c r="V14" s="19"/>
      <c r="W14" s="2"/>
      <c r="X14" s="2">
        <f t="shared" si="2"/>
        <v>275749.46000000002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--3121.95</f>
        <v>3121.95</v>
      </c>
      <c r="Q15" s="2"/>
      <c r="R15" s="19"/>
      <c r="S15" s="2"/>
      <c r="T15" s="2"/>
      <c r="U15" s="2"/>
      <c r="V15" s="19"/>
      <c r="W15" s="2"/>
      <c r="X15" s="2">
        <f t="shared" si="2"/>
        <v>3121.95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--604143.21</f>
        <v>604143.21</v>
      </c>
      <c r="Q16" s="2"/>
      <c r="R16" s="19"/>
      <c r="S16" s="2"/>
      <c r="T16" s="2"/>
      <c r="U16" s="2"/>
      <c r="V16" s="19"/>
      <c r="W16" s="2"/>
      <c r="X16" s="2">
        <f t="shared" si="2"/>
        <v>604143.21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--836487.29</f>
        <v>836487.29</v>
      </c>
      <c r="Q17" s="2"/>
      <c r="R17" s="19"/>
      <c r="S17" s="2"/>
      <c r="T17" s="2"/>
      <c r="U17" s="2"/>
      <c r="V17" s="19"/>
      <c r="W17" s="2"/>
      <c r="X17" s="2">
        <f t="shared" si="2"/>
        <v>836487.29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--253270.4</f>
        <v>253270.39999999999</v>
      </c>
      <c r="Q18" s="2"/>
      <c r="R18" s="19"/>
      <c r="S18" s="2"/>
      <c r="T18" s="2"/>
      <c r="U18" s="2"/>
      <c r="V18" s="19"/>
      <c r="W18" s="2"/>
      <c r="X18" s="2">
        <f t="shared" si="2"/>
        <v>253270.39999999999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--381406.04</f>
        <v>381406.04</v>
      </c>
      <c r="Q19" s="2"/>
      <c r="R19" s="19"/>
      <c r="S19" s="2"/>
      <c r="T19" s="2"/>
      <c r="U19" s="2"/>
      <c r="V19" s="19"/>
      <c r="W19" s="2"/>
      <c r="X19" s="2">
        <f t="shared" si="2"/>
        <v>381406.04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"4058", " - ", "TAXABLE SALES-FOOD")</f>
        <v xml:space="preserve">          4058 - TAXABLE SALES-FOOD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--117077.57</f>
        <v>117077.57</v>
      </c>
      <c r="Q20" s="2"/>
      <c r="R20" s="19"/>
      <c r="S20" s="2"/>
      <c r="T20" s="2"/>
      <c r="U20" s="2"/>
      <c r="V20" s="19"/>
      <c r="W20" s="2"/>
      <c r="X20" s="2">
        <f t="shared" si="2"/>
        <v>117077.57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4"/>
        <v>0</v>
      </c>
      <c r="E21" s="2"/>
      <c r="F21" s="19"/>
      <c r="G21" s="2"/>
      <c r="H21" s="2">
        <v>191057</v>
      </c>
      <c r="I21" s="2"/>
      <c r="J21" s="19"/>
      <c r="K21" s="2"/>
      <c r="L21" s="2">
        <f t="shared" si="0"/>
        <v>-191057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6360734</v>
      </c>
      <c r="U21" s="2"/>
      <c r="V21" s="19"/>
      <c r="W21" s="2"/>
      <c r="X21" s="2">
        <f t="shared" si="2"/>
        <v>-6360734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--2.48</f>
        <v>2.48</v>
      </c>
      <c r="Q22" s="2"/>
      <c r="R22" s="19"/>
      <c r="S22" s="2"/>
      <c r="T22" s="2"/>
      <c r="U22" s="2"/>
      <c r="V22" s="19"/>
      <c r="W22" s="2"/>
      <c r="X22" s="2">
        <f t="shared" si="2"/>
        <v>2.48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"4132", " - ", "NON-TAXABLE SALES-JUICE")</f>
        <v xml:space="preserve">          4132 - NON-TAXABLE SALES-JUICE</v>
      </c>
      <c r="C23" s="11"/>
      <c r="D23" s="2">
        <f>--114.48</f>
        <v>114.48</v>
      </c>
      <c r="E23" s="2"/>
      <c r="F23" s="19"/>
      <c r="G23" s="2"/>
      <c r="H23" s="2"/>
      <c r="I23" s="2"/>
      <c r="J23" s="19"/>
      <c r="K23" s="2"/>
      <c r="L23" s="2">
        <f t="shared" si="0"/>
        <v>114.48</v>
      </c>
      <c r="M23" s="2"/>
      <c r="N23" s="19">
        <f t="shared" si="1"/>
        <v>0</v>
      </c>
      <c r="O23" s="11"/>
      <c r="P23" s="2">
        <f>--1093892.63</f>
        <v>1093892.6299999999</v>
      </c>
      <c r="Q23" s="2"/>
      <c r="R23" s="19"/>
      <c r="S23" s="2"/>
      <c r="T23" s="2"/>
      <c r="U23" s="2"/>
      <c r="V23" s="19"/>
      <c r="W23" s="2"/>
      <c r="X23" s="2">
        <f t="shared" si="2"/>
        <v>1093892.6299999999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"4133", " - ", "NON-TAXABLE SALES-CANDY")</f>
        <v xml:space="preserve">          4133 - NON-TAXABLE SALES-CANDY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--1.59</f>
        <v>1.59</v>
      </c>
      <c r="Q24" s="2"/>
      <c r="R24" s="19"/>
      <c r="S24" s="2"/>
      <c r="T24" s="2"/>
      <c r="U24" s="2"/>
      <c r="V24" s="19"/>
      <c r="W24" s="2"/>
      <c r="X24" s="2">
        <f t="shared" si="2"/>
        <v>1.59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"4134", " - ", "NON-TAXABLE SALES-SODA")</f>
        <v xml:space="preserve">          4134 - NON-TAXABLE SALES-SODA</v>
      </c>
      <c r="C25" s="11"/>
      <c r="D25" s="2">
        <f>--4.99</f>
        <v>4.99</v>
      </c>
      <c r="E25" s="2"/>
      <c r="F25" s="19"/>
      <c r="G25" s="2"/>
      <c r="H25" s="2"/>
      <c r="I25" s="2"/>
      <c r="J25" s="19"/>
      <c r="K25" s="2"/>
      <c r="L25" s="2">
        <f t="shared" si="0"/>
        <v>4.99</v>
      </c>
      <c r="M25" s="2"/>
      <c r="N25" s="19">
        <f t="shared" si="1"/>
        <v>0</v>
      </c>
      <c r="O25" s="11"/>
      <c r="P25" s="2">
        <f>--99.83</f>
        <v>99.83</v>
      </c>
      <c r="Q25" s="2"/>
      <c r="R25" s="19"/>
      <c r="S25" s="2"/>
      <c r="T25" s="2"/>
      <c r="U25" s="2"/>
      <c r="V25" s="19"/>
      <c r="W25" s="2"/>
      <c r="X25" s="2">
        <f t="shared" si="2"/>
        <v>99.83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 t="shared" ref="D26:D31" si="5"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--1575.68</f>
        <v>1575.68</v>
      </c>
      <c r="Q26" s="2"/>
      <c r="R26" s="19"/>
      <c r="S26" s="2"/>
      <c r="T26" s="2"/>
      <c r="U26" s="2"/>
      <c r="V26" s="19"/>
      <c r="W26" s="2"/>
      <c r="X26" s="2">
        <f t="shared" si="2"/>
        <v>1575.68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"4151", " - ", "NON-TAXABLE SALES-FOOD")</f>
        <v xml:space="preserve">          4151 - NON-TAXABLE SALES-FOOD</v>
      </c>
      <c r="C27" s="11"/>
      <c r="D27" s="2">
        <f t="shared" si="5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--2191470.18</f>
        <v>2191470.1800000002</v>
      </c>
      <c r="Q27" s="2"/>
      <c r="R27" s="19"/>
      <c r="S27" s="2"/>
      <c r="T27" s="2"/>
      <c r="U27" s="2"/>
      <c r="V27" s="19"/>
      <c r="W27" s="2"/>
      <c r="X27" s="2">
        <f t="shared" si="2"/>
        <v>2191470.1800000002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"4152", " - ", "NON-TAXABLE SALES-FOOD")</f>
        <v xml:space="preserve">          4152 - NON-TAXABLE SALES-FOOD</v>
      </c>
      <c r="C28" s="11"/>
      <c r="D28" s="2">
        <f t="shared" si="5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--51415.27</f>
        <v>51415.27</v>
      </c>
      <c r="Q28" s="2"/>
      <c r="R28" s="19"/>
      <c r="S28" s="2"/>
      <c r="T28" s="2"/>
      <c r="U28" s="2"/>
      <c r="V28" s="19"/>
      <c r="W28" s="2"/>
      <c r="X28" s="2">
        <f t="shared" si="2"/>
        <v>51415.27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"4153", " - ", "NON-TAXABLE SALES-FOOD")</f>
        <v xml:space="preserve">          4153 - NON-TAXABLE SALES-FOOD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--12314.09</f>
        <v>12314.09</v>
      </c>
      <c r="Q29" s="2"/>
      <c r="R29" s="19"/>
      <c r="S29" s="2"/>
      <c r="T29" s="2"/>
      <c r="U29" s="2"/>
      <c r="V29" s="19"/>
      <c r="W29" s="2"/>
      <c r="X29" s="2">
        <f t="shared" si="2"/>
        <v>12314.09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"4155", " - ", "NON-TAXABLE SALES-FOOD")</f>
        <v xml:space="preserve">          4155 - NON-TAXABLE SALES-FOOD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--687389.73</f>
        <v>687389.73</v>
      </c>
      <c r="Q30" s="2"/>
      <c r="R30" s="19"/>
      <c r="S30" s="2"/>
      <c r="T30" s="2"/>
      <c r="U30" s="2"/>
      <c r="V30" s="19"/>
      <c r="W30" s="2"/>
      <c r="X30" s="2">
        <f t="shared" si="2"/>
        <v>687389.73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"4158", " - ", "NON-TAXABLE SALES-FOOD")</f>
        <v xml:space="preserve">          4158 - NON-TAXABLE SALES-FOOD</v>
      </c>
      <c r="C31" s="11"/>
      <c r="D31" s="2">
        <f t="shared" si="5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--474853.67</f>
        <v>474853.67</v>
      </c>
      <c r="Q31" s="2"/>
      <c r="R31" s="19"/>
      <c r="S31" s="2"/>
      <c r="T31" s="2"/>
      <c r="U31" s="2"/>
      <c r="V31" s="19"/>
      <c r="W31" s="2"/>
      <c r="X31" s="2">
        <f t="shared" si="2"/>
        <v>474853.67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8" t="s">
        <v>8</v>
      </c>
      <c r="C33" s="10"/>
      <c r="D33" s="4">
        <f>SUM(OSRRefD16x_0)</f>
        <v>37553.06</v>
      </c>
      <c r="E33" s="4"/>
      <c r="F33" s="13">
        <f t="shared" ref="F33:F36" si="6">IF(D$12=0,0,D33/D$12)</f>
        <v>314.33045952958901</v>
      </c>
      <c r="G33" s="4"/>
      <c r="H33" s="4">
        <f>SUM(OSRRefH16x_0)</f>
        <v>128857</v>
      </c>
      <c r="I33" s="4"/>
      <c r="J33" s="13">
        <f t="shared" ref="J33:J36" si="7">IF(H$12=0,0,H33/H$12)</f>
        <v>0.35664130503975844</v>
      </c>
      <c r="K33" s="4"/>
      <c r="L33" s="4">
        <f t="shared" ref="L33:L36" si="8">+D33-H33</f>
        <v>-91303.94</v>
      </c>
      <c r="M33" s="4"/>
      <c r="N33" s="13">
        <f t="shared" ref="N33:N36" si="9">IF(H33=0,0,L33/H33)</f>
        <v>-0.70856794741457585</v>
      </c>
      <c r="O33" s="10"/>
      <c r="P33" s="4">
        <f>SUM(OSRRefP16x_0)</f>
        <v>2914716.1599999997</v>
      </c>
      <c r="Q33" s="4"/>
      <c r="R33" s="13">
        <f t="shared" ref="R33:R36" si="10">IF(P$12=0,0,P33/P$12)</f>
        <v>0.41732574964333385</v>
      </c>
      <c r="S33" s="4"/>
      <c r="T33" s="4">
        <f>SUM(OSRRefT16x_0)</f>
        <v>3900897</v>
      </c>
      <c r="U33" s="4"/>
      <c r="V33" s="13">
        <f t="shared" ref="V33:V36" si="11">IF(T$12=0,0,T33/T$12)</f>
        <v>0.35992605386473908</v>
      </c>
      <c r="W33" s="4"/>
      <c r="X33" s="4">
        <f t="shared" ref="X33:X36" si="12">+P33-T33</f>
        <v>-986180.84000000032</v>
      </c>
      <c r="Y33" s="4"/>
      <c r="Z33" s="13">
        <f t="shared" ref="Z33:Z36" si="13">IF(T33=0,0,X33/T33)</f>
        <v>-0.2528087360419925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6"/>
        <v>0</v>
      </c>
      <c r="G34" s="2"/>
      <c r="H34" s="2">
        <v>128857</v>
      </c>
      <c r="I34" s="2"/>
      <c r="J34" s="19">
        <f t="shared" si="7"/>
        <v>0.35664130503975844</v>
      </c>
      <c r="K34" s="2"/>
      <c r="L34" s="2">
        <f t="shared" si="8"/>
        <v>-128857</v>
      </c>
      <c r="M34" s="2"/>
      <c r="N34" s="19">
        <f t="shared" si="9"/>
        <v>-1</v>
      </c>
      <c r="O34" s="11"/>
      <c r="P34" s="2"/>
      <c r="Q34" s="2"/>
      <c r="R34" s="19">
        <f t="shared" si="10"/>
        <v>0</v>
      </c>
      <c r="S34" s="2"/>
      <c r="T34" s="2">
        <v>3900897</v>
      </c>
      <c r="U34" s="2"/>
      <c r="V34" s="19">
        <f t="shared" si="11"/>
        <v>0.35992605386473908</v>
      </c>
      <c r="W34" s="2"/>
      <c r="X34" s="2">
        <f t="shared" si="12"/>
        <v>-3900897</v>
      </c>
      <c r="Y34" s="2"/>
      <c r="Z34" s="19">
        <f t="shared" si="13"/>
        <v>-1</v>
      </c>
    </row>
    <row r="35" spans="1:26" s="24" customFormat="1" hidden="1" outlineLevel="1" x14ac:dyDescent="0.25">
      <c r="A35" s="44"/>
      <c r="B35" s="11" t="str">
        <f>CONCATENATE("          ", "5053", " - ", "PURCHASES @ COST-FOOD")</f>
        <v xml:space="preserve">          5053 - PURCHASES @ COST-FOOD</v>
      </c>
      <c r="C35" s="11"/>
      <c r="D35" s="2">
        <v>-1135.94</v>
      </c>
      <c r="E35" s="2"/>
      <c r="F35" s="19">
        <f t="shared" si="6"/>
        <v>-9.5081610446137113</v>
      </c>
      <c r="G35" s="2"/>
      <c r="H35" s="2"/>
      <c r="I35" s="2"/>
      <c r="J35" s="19">
        <f t="shared" si="7"/>
        <v>0</v>
      </c>
      <c r="K35" s="2"/>
      <c r="L35" s="2">
        <f t="shared" si="8"/>
        <v>-1135.94</v>
      </c>
      <c r="M35" s="2"/>
      <c r="N35" s="19">
        <f t="shared" si="9"/>
        <v>0</v>
      </c>
      <c r="O35" s="11"/>
      <c r="P35" s="2">
        <v>2758827.3699999996</v>
      </c>
      <c r="Q35" s="2"/>
      <c r="R35" s="19">
        <f t="shared" si="10"/>
        <v>0.39500576972880858</v>
      </c>
      <c r="S35" s="2"/>
      <c r="T35" s="2"/>
      <c r="U35" s="2"/>
      <c r="V35" s="19">
        <f t="shared" si="11"/>
        <v>0</v>
      </c>
      <c r="W35" s="2"/>
      <c r="X35" s="2">
        <f t="shared" si="12"/>
        <v>2758827.3699999996</v>
      </c>
      <c r="Y35" s="2"/>
      <c r="Z35" s="19">
        <f t="shared" si="13"/>
        <v>0</v>
      </c>
    </row>
    <row r="36" spans="1:26" s="24" customFormat="1" hidden="1" outlineLevel="1" x14ac:dyDescent="0.25">
      <c r="A36" s="44"/>
      <c r="B36" s="11" t="str">
        <f>CONCATENATE("          ", "5059", " - ", "PURCHASES @ COST-FOOD")</f>
        <v xml:space="preserve">          5059 - PURCHASES @ COST-FOOD</v>
      </c>
      <c r="C36" s="11"/>
      <c r="D36" s="2">
        <v>38689</v>
      </c>
      <c r="E36" s="2"/>
      <c r="F36" s="19">
        <f t="shared" si="6"/>
        <v>323.83862057420271</v>
      </c>
      <c r="G36" s="2"/>
      <c r="H36" s="2"/>
      <c r="I36" s="2"/>
      <c r="J36" s="19">
        <f t="shared" si="7"/>
        <v>0</v>
      </c>
      <c r="K36" s="2"/>
      <c r="L36" s="2">
        <f t="shared" si="8"/>
        <v>38689</v>
      </c>
      <c r="M36" s="2"/>
      <c r="N36" s="19">
        <f t="shared" si="9"/>
        <v>0</v>
      </c>
      <c r="O36" s="11"/>
      <c r="P36" s="2">
        <v>155888.78999999998</v>
      </c>
      <c r="Q36" s="2"/>
      <c r="R36" s="19">
        <f t="shared" si="10"/>
        <v>2.2319979914525279E-2</v>
      </c>
      <c r="S36" s="2"/>
      <c r="T36" s="2"/>
      <c r="U36" s="2"/>
      <c r="V36" s="19">
        <f t="shared" si="11"/>
        <v>0</v>
      </c>
      <c r="W36" s="2"/>
      <c r="X36" s="2">
        <f t="shared" si="12"/>
        <v>155888.78999999998</v>
      </c>
      <c r="Y36" s="2"/>
      <c r="Z36" s="19">
        <f t="shared" si="13"/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9" t="s">
        <v>6</v>
      </c>
      <c r="C38" s="29"/>
      <c r="D38" s="22">
        <f>D12-D33</f>
        <v>-37433.589999999997</v>
      </c>
      <c r="E38" s="14"/>
      <c r="F38" s="20">
        <f>IF(D$12=0,0,D38/D$12)</f>
        <v>-313.33045952958901</v>
      </c>
      <c r="G38" s="14"/>
      <c r="H38" s="22">
        <f>H12-H33</f>
        <v>232450</v>
      </c>
      <c r="I38" s="14"/>
      <c r="J38" s="20">
        <f>IF(H$12=0,0,H38/H$12)</f>
        <v>0.64335869496024156</v>
      </c>
      <c r="K38" s="15"/>
      <c r="L38" s="22">
        <f>+D38-H38</f>
        <v>-269883.58999999997</v>
      </c>
      <c r="M38" s="15"/>
      <c r="N38" s="20">
        <f>IF(H38=0,0,L38/H38)</f>
        <v>-1.161039320283932</v>
      </c>
      <c r="O38" s="28"/>
      <c r="P38" s="22">
        <f>P12-P33</f>
        <v>4069554.9100000006</v>
      </c>
      <c r="Q38" s="14"/>
      <c r="R38" s="20">
        <f>IF(P$12=0,0,P38/P$12)</f>
        <v>0.58267425035666609</v>
      </c>
      <c r="S38" s="14"/>
      <c r="T38" s="22">
        <f>T12-T33</f>
        <v>6937154.1999999993</v>
      </c>
      <c r="U38" s="14"/>
      <c r="V38" s="20">
        <f>IF(T$12=0,0,T38/T$12)</f>
        <v>0.64007394613526092</v>
      </c>
      <c r="W38" s="15"/>
      <c r="X38" s="22">
        <f>+P38-T38</f>
        <v>-2867599.2899999986</v>
      </c>
      <c r="Y38" s="15"/>
      <c r="Z38" s="20">
        <f>IF(T38=0,0,X38/T38)</f>
        <v>-0.41336824976443498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8" t="s">
        <v>9</v>
      </c>
      <c r="C40" s="10"/>
      <c r="D40" s="21">
        <f>SUM(OSRRefD22x_0)</f>
        <v>187952.15999999995</v>
      </c>
      <c r="E40" s="21"/>
      <c r="F40" s="32">
        <f t="shared" ref="F40:F51" si="14">IF(D$12=0,0,D40/D$12)</f>
        <v>1573.21637231104</v>
      </c>
      <c r="G40" s="21"/>
      <c r="H40" s="21">
        <f>SUM(OSRRefH22x_0)</f>
        <v>417356.4167308202</v>
      </c>
      <c r="I40" s="21"/>
      <c r="J40" s="32">
        <f t="shared" ref="J40:J51" si="15">IF(H$12=0,0,H40/H$12)</f>
        <v>1.1551296175574239</v>
      </c>
      <c r="K40" s="4"/>
      <c r="L40" s="21">
        <f t="shared" ref="L40:L51" si="16">+D40-H40</f>
        <v>-229404.25673082026</v>
      </c>
      <c r="M40" s="4"/>
      <c r="N40" s="32">
        <f t="shared" ref="N40:N51" si="17">IF(H40=0,0,L40/H40)</f>
        <v>-0.5496603083948215</v>
      </c>
      <c r="O40" s="10"/>
      <c r="P40" s="21">
        <f>SUM(OSRRefP22x_0)</f>
        <v>5914692.8799999999</v>
      </c>
      <c r="Q40" s="21"/>
      <c r="R40" s="32">
        <f t="shared" ref="R40:R51" si="18">IF(P$12=0,0,P40/P$12)</f>
        <v>0.846859009439907</v>
      </c>
      <c r="S40" s="21"/>
      <c r="T40" s="21">
        <f>SUM(OSRRefT22x_0)</f>
        <v>6938265.2567964448</v>
      </c>
      <c r="U40" s="21"/>
      <c r="V40" s="32">
        <f t="shared" ref="V40:V51" si="19">IF(T$12=0,0,T40/T$12)</f>
        <v>0.64017646057959621</v>
      </c>
      <c r="W40" s="4"/>
      <c r="X40" s="21">
        <f t="shared" ref="X40:X51" si="20">+P40-T40</f>
        <v>-1023572.3767964449</v>
      </c>
      <c r="Y40" s="4"/>
      <c r="Z40" s="32">
        <f t="shared" ref="Z40:Z51" si="21">IF(T40=0,0,X40/T40)</f>
        <v>-0.14752569106431823</v>
      </c>
    </row>
    <row r="41" spans="1:26" s="26" customFormat="1" outlineLevel="1" collapsed="1" x14ac:dyDescent="0.25">
      <c r="A41" s="25"/>
      <c r="B41" s="12" t="str">
        <f>CONCATENATE("     ","*Benefits                                         ")</f>
        <v xml:space="preserve">     *Benefits                                         </v>
      </c>
      <c r="C41" s="12"/>
      <c r="D41" s="1">
        <f>SUM(OSRRefD22_0x_0)</f>
        <v>26320.14</v>
      </c>
      <c r="E41" s="1"/>
      <c r="F41" s="5">
        <f t="shared" si="14"/>
        <v>220.30752490164895</v>
      </c>
      <c r="G41" s="1"/>
      <c r="H41" s="1">
        <f>SUM(OSRRefH22_0x_0)</f>
        <v>67720.86866220925</v>
      </c>
      <c r="I41" s="1"/>
      <c r="J41" s="5">
        <f t="shared" si="15"/>
        <v>0.1874330380042713</v>
      </c>
      <c r="K41" s="1"/>
      <c r="L41" s="1">
        <f t="shared" si="16"/>
        <v>-41400.728662209251</v>
      </c>
      <c r="M41" s="1"/>
      <c r="N41" s="5">
        <f t="shared" si="17"/>
        <v>-0.61134373318091217</v>
      </c>
      <c r="O41" s="12"/>
      <c r="P41" s="1">
        <f>SUM(OSRRefP22_0x_0)</f>
        <v>781747.87</v>
      </c>
      <c r="Q41" s="1"/>
      <c r="R41" s="5">
        <f t="shared" si="18"/>
        <v>0.11192977222174166</v>
      </c>
      <c r="S41" s="1"/>
      <c r="T41" s="1">
        <f>SUM(OSRRefT22_0x_0)</f>
        <v>951836.44651321892</v>
      </c>
      <c r="U41" s="1"/>
      <c r="V41" s="5">
        <f t="shared" si="19"/>
        <v>8.7823579068644644E-2</v>
      </c>
      <c r="W41" s="1"/>
      <c r="X41" s="1">
        <f t="shared" si="20"/>
        <v>-170088.57651321893</v>
      </c>
      <c r="Y41" s="1"/>
      <c r="Z41" s="5">
        <f t="shared" si="21"/>
        <v>-0.17869517093644594</v>
      </c>
    </row>
    <row r="42" spans="1:26" s="24" customFormat="1" hidden="1" outlineLevel="2" x14ac:dyDescent="0.25">
      <c r="A42" s="27"/>
      <c r="B42" s="11" t="str">
        <f>CONCATENATE("          ", "6111", " - ", "F.I.C.A.")</f>
        <v xml:space="preserve">          6111 - F.I.C.A.</v>
      </c>
      <c r="C42" s="11"/>
      <c r="D42" s="6">
        <v>3740.32</v>
      </c>
      <c r="E42" s="2"/>
      <c r="F42" s="7">
        <f t="shared" si="14"/>
        <v>31.30760860467063</v>
      </c>
      <c r="G42" s="2"/>
      <c r="H42" s="6">
        <v>12742.105738947694</v>
      </c>
      <c r="I42" s="2"/>
      <c r="J42" s="7">
        <f t="shared" si="15"/>
        <v>3.5266700448504162E-2</v>
      </c>
      <c r="K42" s="2"/>
      <c r="L42" s="6">
        <f t="shared" si="16"/>
        <v>-9001.785738947694</v>
      </c>
      <c r="M42" s="2"/>
      <c r="N42" s="7">
        <f t="shared" si="17"/>
        <v>-0.70645982095665028</v>
      </c>
      <c r="O42" s="11"/>
      <c r="P42" s="6">
        <v>161110.72</v>
      </c>
      <c r="Q42" s="2"/>
      <c r="R42" s="7">
        <f t="shared" si="18"/>
        <v>2.3067649921554377E-2</v>
      </c>
      <c r="S42" s="2"/>
      <c r="T42" s="6">
        <v>154146.76986228651</v>
      </c>
      <c r="U42" s="2"/>
      <c r="V42" s="7">
        <f t="shared" si="19"/>
        <v>1.422273866562713E-2</v>
      </c>
      <c r="W42" s="2"/>
      <c r="X42" s="6">
        <f t="shared" si="20"/>
        <v>6963.9501377134875</v>
      </c>
      <c r="Y42" s="2"/>
      <c r="Z42" s="7">
        <f t="shared" si="21"/>
        <v>4.5177399071904163E-2</v>
      </c>
    </row>
    <row r="43" spans="1:26" s="24" customFormat="1" hidden="1" outlineLevel="2" x14ac:dyDescent="0.25">
      <c r="A43" s="27"/>
      <c r="B43" s="11" t="str">
        <f>CONCATENATE("          ", "6112", " - ", "COMPENSATION INSURANCE")</f>
        <v xml:space="preserve">          6112 - COMPENSATION INSURANCE</v>
      </c>
      <c r="C43" s="11"/>
      <c r="D43" s="6">
        <v>1030.26</v>
      </c>
      <c r="E43" s="2"/>
      <c r="F43" s="7">
        <f t="shared" si="14"/>
        <v>8.6235875115091662</v>
      </c>
      <c r="G43" s="2"/>
      <c r="H43" s="6">
        <v>6293.9891056923043</v>
      </c>
      <c r="I43" s="2"/>
      <c r="J43" s="7">
        <f t="shared" si="15"/>
        <v>1.742005858090849E-2</v>
      </c>
      <c r="K43" s="2"/>
      <c r="L43" s="6">
        <f t="shared" si="16"/>
        <v>-5263.7291056923041</v>
      </c>
      <c r="M43" s="2"/>
      <c r="N43" s="7">
        <f t="shared" si="17"/>
        <v>-0.83631048883319015</v>
      </c>
      <c r="O43" s="11"/>
      <c r="P43" s="6">
        <v>81411.14</v>
      </c>
      <c r="Q43" s="2"/>
      <c r="R43" s="7">
        <f t="shared" si="18"/>
        <v>1.165635456929652E-2</v>
      </c>
      <c r="S43" s="2"/>
      <c r="T43" s="6">
        <v>113942.82545357228</v>
      </c>
      <c r="U43" s="2"/>
      <c r="V43" s="7">
        <f t="shared" si="19"/>
        <v>1.0513220813495722E-2</v>
      </c>
      <c r="W43" s="2"/>
      <c r="X43" s="6">
        <f t="shared" si="20"/>
        <v>-32531.685453572281</v>
      </c>
      <c r="Y43" s="2"/>
      <c r="Z43" s="7">
        <f t="shared" si="21"/>
        <v>-0.28550885344534316</v>
      </c>
    </row>
    <row r="44" spans="1:26" s="24" customFormat="1" hidden="1" outlineLevel="2" x14ac:dyDescent="0.25">
      <c r="A44" s="27"/>
      <c r="B44" s="11" t="str">
        <f>CONCATENATE("          ", "6113", " - ", "GROUP INSURANCE")</f>
        <v xml:space="preserve">          6113 - GROUP INSURANCE</v>
      </c>
      <c r="C44" s="11"/>
      <c r="D44" s="6">
        <v>18239.099999999999</v>
      </c>
      <c r="E44" s="2"/>
      <c r="F44" s="7">
        <f t="shared" si="14"/>
        <v>152.66677827069557</v>
      </c>
      <c r="G44" s="2"/>
      <c r="H44" s="6">
        <v>26627.340384615389</v>
      </c>
      <c r="I44" s="2"/>
      <c r="J44" s="7">
        <f t="shared" si="15"/>
        <v>7.3697272360113114E-2</v>
      </c>
      <c r="K44" s="2"/>
      <c r="L44" s="6">
        <f t="shared" si="16"/>
        <v>-8388.2403846153902</v>
      </c>
      <c r="M44" s="2"/>
      <c r="N44" s="7">
        <f t="shared" si="17"/>
        <v>-0.31502359092017712</v>
      </c>
      <c r="O44" s="11"/>
      <c r="P44" s="6">
        <v>313890.68</v>
      </c>
      <c r="Q44" s="2"/>
      <c r="R44" s="7">
        <f t="shared" si="18"/>
        <v>4.4942511087273707E-2</v>
      </c>
      <c r="S44" s="2"/>
      <c r="T44" s="6">
        <v>337394.44615384622</v>
      </c>
      <c r="U44" s="2"/>
      <c r="V44" s="7">
        <f t="shared" si="19"/>
        <v>3.1130545513002029E-2</v>
      </c>
      <c r="W44" s="2"/>
      <c r="X44" s="6">
        <f t="shared" si="20"/>
        <v>-23503.766153846227</v>
      </c>
      <c r="Y44" s="2"/>
      <c r="Z44" s="7">
        <f t="shared" si="21"/>
        <v>-6.9662575723397957E-2</v>
      </c>
    </row>
    <row r="45" spans="1:26" s="24" customFormat="1" hidden="1" outlineLevel="2" x14ac:dyDescent="0.25">
      <c r="A45" s="27"/>
      <c r="B45" s="11" t="str">
        <f>CONCATENATE("          ", "6114", " - ", "STATE UNEMPLOYMENT INSURANCE")</f>
        <v xml:space="preserve">          6114 - STATE UNEMPLOYMENT INSURANCE</v>
      </c>
      <c r="C45" s="11"/>
      <c r="D45" s="6">
        <v>-7547.47</v>
      </c>
      <c r="E45" s="2"/>
      <c r="F45" s="7">
        <f t="shared" si="14"/>
        <v>-63.174604503222568</v>
      </c>
      <c r="G45" s="2"/>
      <c r="H45" s="6">
        <v>508.06815879999999</v>
      </c>
      <c r="I45" s="2"/>
      <c r="J45" s="7">
        <f t="shared" si="15"/>
        <v>1.4061951714193193E-3</v>
      </c>
      <c r="K45" s="2"/>
      <c r="L45" s="6">
        <f t="shared" si="16"/>
        <v>-8055.5381588</v>
      </c>
      <c r="M45" s="2"/>
      <c r="N45" s="7">
        <f t="shared" si="17"/>
        <v>-15.855231270202561</v>
      </c>
      <c r="O45" s="11"/>
      <c r="P45" s="6">
        <v>0</v>
      </c>
      <c r="Q45" s="2"/>
      <c r="R45" s="7">
        <f t="shared" si="18"/>
        <v>0</v>
      </c>
      <c r="S45" s="2"/>
      <c r="T45" s="6">
        <v>9120.6400873599996</v>
      </c>
      <c r="U45" s="2"/>
      <c r="V45" s="7">
        <f t="shared" si="19"/>
        <v>8.4153875259050269E-4</v>
      </c>
      <c r="W45" s="2"/>
      <c r="X45" s="6">
        <f t="shared" si="20"/>
        <v>-9120.6400873599996</v>
      </c>
      <c r="Y45" s="2"/>
      <c r="Z45" s="7">
        <f t="shared" si="21"/>
        <v>-1</v>
      </c>
    </row>
    <row r="46" spans="1:26" s="24" customFormat="1" hidden="1" outlineLevel="2" x14ac:dyDescent="0.25">
      <c r="A46" s="27"/>
      <c r="B46" s="11" t="str">
        <f>CONCATENATE("          ", "6115", " - ", "P.E.R.S.")</f>
        <v xml:space="preserve">          6115 - P.E.R.S.</v>
      </c>
      <c r="C46" s="11"/>
      <c r="D46" s="6">
        <v>4349.3900000000003</v>
      </c>
      <c r="E46" s="2"/>
      <c r="F46" s="7">
        <f t="shared" si="14"/>
        <v>36.405708546078515</v>
      </c>
      <c r="G46" s="2"/>
      <c r="H46" s="6">
        <v>7983.908066461544</v>
      </c>
      <c r="I46" s="2"/>
      <c r="J46" s="7">
        <f t="shared" si="15"/>
        <v>2.2097296942659689E-2</v>
      </c>
      <c r="K46" s="2"/>
      <c r="L46" s="6">
        <f t="shared" si="16"/>
        <v>-3634.5180664615436</v>
      </c>
      <c r="M46" s="2"/>
      <c r="N46" s="7">
        <f t="shared" si="17"/>
        <v>-0.45523045057711398</v>
      </c>
      <c r="O46" s="11"/>
      <c r="P46" s="6">
        <v>96972.78</v>
      </c>
      <c r="Q46" s="2"/>
      <c r="R46" s="7">
        <f t="shared" si="18"/>
        <v>1.3884452511663467E-2</v>
      </c>
      <c r="S46" s="2"/>
      <c r="T46" s="6">
        <v>107651.38223430776</v>
      </c>
      <c r="U46" s="2"/>
      <c r="V46" s="7">
        <f t="shared" si="19"/>
        <v>9.9327250118829268E-3</v>
      </c>
      <c r="W46" s="2"/>
      <c r="X46" s="6">
        <f t="shared" si="20"/>
        <v>-10678.602234307764</v>
      </c>
      <c r="Y46" s="2"/>
      <c r="Z46" s="7">
        <f t="shared" si="21"/>
        <v>-9.919614604729679E-2</v>
      </c>
    </row>
    <row r="47" spans="1:26" s="24" customFormat="1" hidden="1" outlineLevel="2" x14ac:dyDescent="0.25">
      <c r="A47" s="27"/>
      <c r="B47" s="11" t="str">
        <f>CONCATENATE("          ", "6116", " - ", "EDUCATIONAL BENEFITS")</f>
        <v xml:space="preserve">          6116 - EDUCATIONAL BENEFITS</v>
      </c>
      <c r="C47" s="11"/>
      <c r="D47" s="6"/>
      <c r="E47" s="2"/>
      <c r="F47" s="7">
        <f t="shared" si="14"/>
        <v>0</v>
      </c>
      <c r="G47" s="2"/>
      <c r="H47" s="6">
        <v>0</v>
      </c>
      <c r="I47" s="2"/>
      <c r="J47" s="7">
        <f t="shared" si="15"/>
        <v>0</v>
      </c>
      <c r="K47" s="2"/>
      <c r="L47" s="6">
        <f t="shared" si="16"/>
        <v>0</v>
      </c>
      <c r="M47" s="2"/>
      <c r="N47" s="7">
        <f t="shared" si="17"/>
        <v>0</v>
      </c>
      <c r="O47" s="11"/>
      <c r="P47" s="6"/>
      <c r="Q47" s="2"/>
      <c r="R47" s="7">
        <f t="shared" si="18"/>
        <v>0</v>
      </c>
      <c r="S47" s="2"/>
      <c r="T47" s="6">
        <v>24000</v>
      </c>
      <c r="U47" s="2"/>
      <c r="V47" s="7">
        <f t="shared" si="19"/>
        <v>2.2144202455880633E-3</v>
      </c>
      <c r="W47" s="2"/>
      <c r="X47" s="6">
        <f t="shared" si="20"/>
        <v>-24000</v>
      </c>
      <c r="Y47" s="2"/>
      <c r="Z47" s="7">
        <f t="shared" si="21"/>
        <v>-1</v>
      </c>
    </row>
    <row r="48" spans="1:26" s="24" customFormat="1" hidden="1" outlineLevel="2" x14ac:dyDescent="0.25">
      <c r="A48" s="27"/>
      <c r="B48" s="11" t="str">
        <f>CONCATENATE("          ", "6117", " - ", "RETIREMENT STAFF HOURLY")</f>
        <v xml:space="preserve">          6117 - RETIREMENT STAFF HOURLY</v>
      </c>
      <c r="C48" s="11"/>
      <c r="D48" s="6"/>
      <c r="E48" s="2"/>
      <c r="F48" s="7">
        <f t="shared" si="14"/>
        <v>0</v>
      </c>
      <c r="G48" s="2"/>
      <c r="H48" s="6"/>
      <c r="I48" s="2"/>
      <c r="J48" s="7">
        <f t="shared" si="15"/>
        <v>0</v>
      </c>
      <c r="K48" s="2"/>
      <c r="L48" s="6">
        <f t="shared" si="16"/>
        <v>0</v>
      </c>
      <c r="M48" s="2"/>
      <c r="N48" s="7">
        <f t="shared" si="17"/>
        <v>0</v>
      </c>
      <c r="O48" s="11"/>
      <c r="P48" s="6">
        <v>1352.45</v>
      </c>
      <c r="Q48" s="2"/>
      <c r="R48" s="7">
        <f t="shared" si="18"/>
        <v>1.9364225506785779E-4</v>
      </c>
      <c r="S48" s="2"/>
      <c r="T48" s="6"/>
      <c r="U48" s="2"/>
      <c r="V48" s="7">
        <f t="shared" si="19"/>
        <v>0</v>
      </c>
      <c r="W48" s="2"/>
      <c r="X48" s="6">
        <f t="shared" si="20"/>
        <v>1352.45</v>
      </c>
      <c r="Y48" s="2"/>
      <c r="Z48" s="7">
        <f t="shared" si="21"/>
        <v>0</v>
      </c>
    </row>
    <row r="49" spans="1:26" s="24" customFormat="1" hidden="1" outlineLevel="2" x14ac:dyDescent="0.25">
      <c r="A49" s="27"/>
      <c r="B49" s="11" t="str">
        <f>CONCATENATE("          ", "6118", " - ", "VACATION")</f>
        <v xml:space="preserve">          6118 - VACATION</v>
      </c>
      <c r="C49" s="11"/>
      <c r="D49" s="6">
        <v>3509.82</v>
      </c>
      <c r="E49" s="2"/>
      <c r="F49" s="7">
        <f t="shared" si="14"/>
        <v>29.378253954967775</v>
      </c>
      <c r="G49" s="2"/>
      <c r="H49" s="6">
        <v>5741.4591323076893</v>
      </c>
      <c r="I49" s="2"/>
      <c r="J49" s="7">
        <f t="shared" si="15"/>
        <v>1.5890805138864428E-2</v>
      </c>
      <c r="K49" s="2"/>
      <c r="L49" s="6">
        <f t="shared" si="16"/>
        <v>-2231.6391323076891</v>
      </c>
      <c r="M49" s="2"/>
      <c r="N49" s="7">
        <f t="shared" si="17"/>
        <v>-0.38868849901762115</v>
      </c>
      <c r="O49" s="11"/>
      <c r="P49" s="6">
        <v>91985.75</v>
      </c>
      <c r="Q49" s="2"/>
      <c r="R49" s="7">
        <f t="shared" si="18"/>
        <v>1.3170415219866316E-2</v>
      </c>
      <c r="S49" s="2"/>
      <c r="T49" s="6">
        <v>76021.10603692304</v>
      </c>
      <c r="U49" s="2"/>
      <c r="V49" s="7">
        <f t="shared" si="19"/>
        <v>7.0142781791733043E-3</v>
      </c>
      <c r="W49" s="2"/>
      <c r="X49" s="6">
        <f t="shared" si="20"/>
        <v>15964.64396307696</v>
      </c>
      <c r="Y49" s="2"/>
      <c r="Z49" s="7">
        <f t="shared" si="21"/>
        <v>0.21000278469143843</v>
      </c>
    </row>
    <row r="50" spans="1:26" s="24" customFormat="1" hidden="1" outlineLevel="2" x14ac:dyDescent="0.25">
      <c r="A50" s="27"/>
      <c r="B50" s="11" t="str">
        <f>CONCATENATE("          ", "6119", " - ", "SICK LEAVE")</f>
        <v xml:space="preserve">          6119 - SICK LEAVE</v>
      </c>
      <c r="C50" s="11"/>
      <c r="D50" s="6">
        <v>2296.34</v>
      </c>
      <c r="E50" s="2"/>
      <c r="F50" s="7">
        <f t="shared" si="14"/>
        <v>19.221059680254459</v>
      </c>
      <c r="G50" s="2"/>
      <c r="H50" s="6">
        <v>6098.9980753846176</v>
      </c>
      <c r="I50" s="2"/>
      <c r="J50" s="7">
        <f t="shared" si="15"/>
        <v>1.6880376177003539E-2</v>
      </c>
      <c r="K50" s="2"/>
      <c r="L50" s="6">
        <f t="shared" si="16"/>
        <v>-3802.6580753846174</v>
      </c>
      <c r="M50" s="2"/>
      <c r="N50" s="7">
        <f t="shared" si="17"/>
        <v>-0.62348897776046808</v>
      </c>
      <c r="O50" s="11"/>
      <c r="P50" s="6">
        <v>3228.11</v>
      </c>
      <c r="Q50" s="2"/>
      <c r="R50" s="7">
        <f t="shared" si="18"/>
        <v>4.6219712374365217E-4</v>
      </c>
      <c r="S50" s="2"/>
      <c r="T50" s="6">
        <v>108734.27668492307</v>
      </c>
      <c r="U50" s="2"/>
      <c r="V50" s="7">
        <f t="shared" si="19"/>
        <v>1.0032640986686155E-2</v>
      </c>
      <c r="W50" s="2"/>
      <c r="X50" s="6">
        <f t="shared" si="20"/>
        <v>-105506.16668492307</v>
      </c>
      <c r="Y50" s="2"/>
      <c r="Z50" s="7">
        <f t="shared" si="21"/>
        <v>-0.97031193751944456</v>
      </c>
    </row>
    <row r="51" spans="1:26" s="24" customFormat="1" hidden="1" outlineLevel="2" x14ac:dyDescent="0.25">
      <c r="A51" s="27"/>
      <c r="B51" s="11" t="str">
        <f>CONCATENATE("          ", "6156", " - ", "EMPLOYEE MEALS")</f>
        <v xml:space="preserve">          6156 - EMPLOYEE MEALS</v>
      </c>
      <c r="C51" s="11"/>
      <c r="D51" s="6">
        <v>702.38</v>
      </c>
      <c r="E51" s="2"/>
      <c r="F51" s="7">
        <f t="shared" si="14"/>
        <v>5.8791328366954048</v>
      </c>
      <c r="G51" s="2"/>
      <c r="H51" s="6">
        <v>1725</v>
      </c>
      <c r="I51" s="2"/>
      <c r="J51" s="7">
        <f t="shared" si="15"/>
        <v>4.7743331847985232E-3</v>
      </c>
      <c r="K51" s="2"/>
      <c r="L51" s="6">
        <f t="shared" si="16"/>
        <v>-1022.62</v>
      </c>
      <c r="M51" s="2"/>
      <c r="N51" s="7">
        <f t="shared" si="17"/>
        <v>-0.59282318840579706</v>
      </c>
      <c r="O51" s="11"/>
      <c r="P51" s="6">
        <v>31796.240000000002</v>
      </c>
      <c r="Q51" s="2"/>
      <c r="R51" s="7">
        <f t="shared" si="18"/>
        <v>4.5525495332757755E-3</v>
      </c>
      <c r="S51" s="2"/>
      <c r="T51" s="6">
        <v>20825</v>
      </c>
      <c r="U51" s="2"/>
      <c r="V51" s="7">
        <f t="shared" si="19"/>
        <v>1.9214709005988088E-3</v>
      </c>
      <c r="W51" s="2"/>
      <c r="X51" s="6">
        <f t="shared" si="20"/>
        <v>10971.240000000002</v>
      </c>
      <c r="Y51" s="2"/>
      <c r="Z51" s="7">
        <f t="shared" si="21"/>
        <v>0.52683025210084045</v>
      </c>
    </row>
    <row r="52" spans="1:26" s="26" customFormat="1" outlineLevel="1" collapsed="1" x14ac:dyDescent="0.25">
      <c r="A52" s="25"/>
      <c r="B52" s="12" t="str">
        <f>CONCATENATE("     ","*Payroll                                          ")</f>
        <v xml:space="preserve">     *Payroll                                          </v>
      </c>
      <c r="C52" s="12"/>
      <c r="D52" s="1">
        <f>SUM(OSRRefD22_1x_0)</f>
        <v>40354.03</v>
      </c>
      <c r="E52" s="1"/>
      <c r="F52" s="5">
        <f t="shared" ref="F52:F62" si="22">IF(D$12=0,0,D52/D$12)</f>
        <v>337.775424792835</v>
      </c>
      <c r="G52" s="1"/>
      <c r="H52" s="1">
        <f>SUM(OSRRefH22_1x_0)</f>
        <v>179864.04540000003</v>
      </c>
      <c r="I52" s="1"/>
      <c r="J52" s="5">
        <f t="shared" ref="J52:J62" si="23">IF(H$12=0,0,H52/H$12)</f>
        <v>0.49781500330743672</v>
      </c>
      <c r="K52" s="1"/>
      <c r="L52" s="1">
        <f t="shared" ref="L52:L62" si="24">+D52-H52</f>
        <v>-139510.01540000003</v>
      </c>
      <c r="M52" s="1"/>
      <c r="N52" s="5">
        <f t="shared" ref="N52:N62" si="25">IF(H52=0,0,L52/H52)</f>
        <v>-0.7756414857107401</v>
      </c>
      <c r="O52" s="12"/>
      <c r="P52" s="1">
        <f>SUM(OSRRefP22_1x_0)</f>
        <v>2681909.44</v>
      </c>
      <c r="Q52" s="1"/>
      <c r="R52" s="5">
        <f t="shared" ref="R52:R62" si="26">IF(P$12=0,0,P52/P$12)</f>
        <v>0.38399274786452409</v>
      </c>
      <c r="S52" s="1"/>
      <c r="T52" s="1">
        <f>SUM(OSRRefT22_1x_0)</f>
        <v>3296132.4476146149</v>
      </c>
      <c r="U52" s="1"/>
      <c r="V52" s="5">
        <f t="shared" ref="V52:V62" si="27">IF(T$12=0,0,T52/T$12)</f>
        <v>0.3041259343390641</v>
      </c>
      <c r="W52" s="1"/>
      <c r="X52" s="1">
        <f t="shared" ref="X52:X62" si="28">+P52-T52</f>
        <v>-614223.00761461491</v>
      </c>
      <c r="Y52" s="1"/>
      <c r="Z52" s="5">
        <f t="shared" ref="Z52:Z62" si="29">IF(T52=0,0,X52/T52)</f>
        <v>-0.18634657962823165</v>
      </c>
    </row>
    <row r="53" spans="1:26" s="24" customFormat="1" hidden="1" outlineLevel="2" x14ac:dyDescent="0.25">
      <c r="A53" s="27"/>
      <c r="B53" s="11" t="str">
        <f>CONCATENATE("          ", "6001", " - ", "ADMINISTRATIVE SALARIES")</f>
        <v xml:space="preserve">          6001 - ADMINISTRATIVE SALARIES</v>
      </c>
      <c r="C53" s="11"/>
      <c r="D53" s="6">
        <v>7748.5</v>
      </c>
      <c r="E53" s="2"/>
      <c r="F53" s="7">
        <f t="shared" si="22"/>
        <v>64.857286348037164</v>
      </c>
      <c r="G53" s="2"/>
      <c r="H53" s="6">
        <v>33402.792869230769</v>
      </c>
      <c r="I53" s="2"/>
      <c r="J53" s="7">
        <f t="shared" si="23"/>
        <v>9.2449891281460833E-2</v>
      </c>
      <c r="K53" s="2"/>
      <c r="L53" s="6">
        <f t="shared" si="24"/>
        <v>-25654.292869230769</v>
      </c>
      <c r="M53" s="2"/>
      <c r="N53" s="7">
        <f t="shared" si="25"/>
        <v>-0.76802837923359435</v>
      </c>
      <c r="O53" s="11"/>
      <c r="P53" s="6">
        <v>187186.24</v>
      </c>
      <c r="Q53" s="2"/>
      <c r="R53" s="7">
        <f t="shared" si="26"/>
        <v>2.6801113262060142E-2</v>
      </c>
      <c r="S53" s="2"/>
      <c r="T53" s="6">
        <v>431720.68165000004</v>
      </c>
      <c r="U53" s="2"/>
      <c r="V53" s="7">
        <f t="shared" si="27"/>
        <v>3.9833792411868296E-2</v>
      </c>
      <c r="W53" s="2"/>
      <c r="X53" s="6">
        <f t="shared" si="28"/>
        <v>-244534.44165000005</v>
      </c>
      <c r="Y53" s="2"/>
      <c r="Z53" s="7">
        <f t="shared" si="29"/>
        <v>-0.56641817740908318</v>
      </c>
    </row>
    <row r="54" spans="1:26" s="24" customFormat="1" hidden="1" outlineLevel="2" x14ac:dyDescent="0.25">
      <c r="A54" s="27"/>
      <c r="B54" s="11" t="str">
        <f>CONCATENATE("          ", "6002", " - ", "STAFF SALARIES")</f>
        <v xml:space="preserve">          6002 - STAFF SALARIES</v>
      </c>
      <c r="C54" s="11"/>
      <c r="D54" s="6">
        <v>32605.53</v>
      </c>
      <c r="E54" s="2"/>
      <c r="F54" s="7">
        <f t="shared" si="22"/>
        <v>272.91813844479788</v>
      </c>
      <c r="G54" s="2"/>
      <c r="H54" s="6">
        <v>51362.097030769262</v>
      </c>
      <c r="I54" s="2"/>
      <c r="J54" s="7">
        <f t="shared" si="23"/>
        <v>0.14215638509845993</v>
      </c>
      <c r="K54" s="2"/>
      <c r="L54" s="6">
        <f t="shared" si="24"/>
        <v>-18756.567030769264</v>
      </c>
      <c r="M54" s="2"/>
      <c r="N54" s="7">
        <f t="shared" si="25"/>
        <v>-0.36518304576880595</v>
      </c>
      <c r="O54" s="11"/>
      <c r="P54" s="6">
        <v>797718.80999999994</v>
      </c>
      <c r="Q54" s="2"/>
      <c r="R54" s="7">
        <f t="shared" si="26"/>
        <v>0.11421647327328031</v>
      </c>
      <c r="S54" s="2"/>
      <c r="T54" s="6">
        <v>710491.87678461545</v>
      </c>
      <c r="U54" s="2"/>
      <c r="V54" s="7">
        <f t="shared" si="27"/>
        <v>6.5555316511571329E-2</v>
      </c>
      <c r="W54" s="2"/>
      <c r="X54" s="6">
        <f t="shared" si="28"/>
        <v>87226.933215384488</v>
      </c>
      <c r="Y54" s="2"/>
      <c r="Z54" s="7">
        <f t="shared" si="29"/>
        <v>0.1227697825485867</v>
      </c>
    </row>
    <row r="55" spans="1:26" s="24" customFormat="1" hidden="1" outlineLevel="2" x14ac:dyDescent="0.25">
      <c r="A55" s="27"/>
      <c r="B55" s="11" t="str">
        <f>CONCATENATE("          ", "6003", " - ", "STAFF HOURLY-9 MONTH")</f>
        <v xml:space="preserve">          6003 - STAFF HOURLY-9 MONTH</v>
      </c>
      <c r="C55" s="11"/>
      <c r="D55" s="6"/>
      <c r="E55" s="2"/>
      <c r="F55" s="7">
        <f t="shared" si="22"/>
        <v>0</v>
      </c>
      <c r="G55" s="2"/>
      <c r="H55" s="6">
        <v>0</v>
      </c>
      <c r="I55" s="2"/>
      <c r="J55" s="7">
        <f t="shared" si="23"/>
        <v>0</v>
      </c>
      <c r="K55" s="2"/>
      <c r="L55" s="6">
        <f t="shared" si="24"/>
        <v>0</v>
      </c>
      <c r="M55" s="2"/>
      <c r="N55" s="7">
        <f t="shared" si="25"/>
        <v>0</v>
      </c>
      <c r="O55" s="11"/>
      <c r="P55" s="6"/>
      <c r="Q55" s="2"/>
      <c r="R55" s="7">
        <f t="shared" si="26"/>
        <v>0</v>
      </c>
      <c r="S55" s="2"/>
      <c r="T55" s="6">
        <v>0</v>
      </c>
      <c r="U55" s="2"/>
      <c r="V55" s="7">
        <f t="shared" si="27"/>
        <v>0</v>
      </c>
      <c r="W55" s="2"/>
      <c r="X55" s="6">
        <f t="shared" si="28"/>
        <v>0</v>
      </c>
      <c r="Y55" s="2"/>
      <c r="Z55" s="7">
        <f t="shared" si="29"/>
        <v>0</v>
      </c>
    </row>
    <row r="56" spans="1:26" s="24" customFormat="1" hidden="1" outlineLevel="2" x14ac:dyDescent="0.25">
      <c r="A56" s="27"/>
      <c r="B56" s="11" t="str">
        <f>CONCATENATE("          ", "6004", " - ", "STAFF HOURLY")</f>
        <v xml:space="preserve">          6004 - STAFF HOURLY</v>
      </c>
      <c r="C56" s="11"/>
      <c r="D56" s="6"/>
      <c r="E56" s="2"/>
      <c r="F56" s="7">
        <f t="shared" si="22"/>
        <v>0</v>
      </c>
      <c r="G56" s="2"/>
      <c r="H56" s="6">
        <v>47858.022000000004</v>
      </c>
      <c r="I56" s="2"/>
      <c r="J56" s="7">
        <f t="shared" si="23"/>
        <v>0.13245805367734365</v>
      </c>
      <c r="K56" s="2"/>
      <c r="L56" s="6">
        <f t="shared" si="24"/>
        <v>-47858.022000000004</v>
      </c>
      <c r="M56" s="2"/>
      <c r="N56" s="7">
        <f t="shared" si="25"/>
        <v>-1</v>
      </c>
      <c r="O56" s="11"/>
      <c r="P56" s="6">
        <v>217791.13</v>
      </c>
      <c r="Q56" s="2"/>
      <c r="R56" s="7">
        <f t="shared" si="26"/>
        <v>3.1183086655312192E-2</v>
      </c>
      <c r="S56" s="2"/>
      <c r="T56" s="6">
        <v>646872.68724999996</v>
      </c>
      <c r="U56" s="2"/>
      <c r="V56" s="7">
        <f t="shared" si="27"/>
        <v>5.968533229018147E-2</v>
      </c>
      <c r="W56" s="2"/>
      <c r="X56" s="6">
        <f t="shared" si="28"/>
        <v>-429081.55724999995</v>
      </c>
      <c r="Y56" s="2"/>
      <c r="Z56" s="7">
        <f t="shared" si="29"/>
        <v>-0.66331685617168556</v>
      </c>
    </row>
    <row r="57" spans="1:26" s="24" customFormat="1" hidden="1" outlineLevel="2" x14ac:dyDescent="0.25">
      <c r="A57" s="27"/>
      <c r="B57" s="11" t="str">
        <f>CONCATENATE("          ", "6005", " - ", "TEMPORARY WAGES-HOURLY")</f>
        <v xml:space="preserve">          6005 - TEMPORARY WAGES-HOURLY</v>
      </c>
      <c r="C57" s="11"/>
      <c r="D57" s="6"/>
      <c r="E57" s="2"/>
      <c r="F57" s="7">
        <f t="shared" si="22"/>
        <v>0</v>
      </c>
      <c r="G57" s="2"/>
      <c r="H57" s="6">
        <v>14637.61</v>
      </c>
      <c r="I57" s="2"/>
      <c r="J57" s="7">
        <f t="shared" si="23"/>
        <v>4.0512943286457222E-2</v>
      </c>
      <c r="K57" s="2"/>
      <c r="L57" s="6">
        <f t="shared" si="24"/>
        <v>-14637.61</v>
      </c>
      <c r="M57" s="2"/>
      <c r="N57" s="7">
        <f t="shared" si="25"/>
        <v>-1</v>
      </c>
      <c r="O57" s="11"/>
      <c r="P57" s="6">
        <v>505027.62</v>
      </c>
      <c r="Q57" s="2"/>
      <c r="R57" s="7">
        <f t="shared" si="26"/>
        <v>7.2309281088656252E-2</v>
      </c>
      <c r="S57" s="2"/>
      <c r="T57" s="6">
        <v>348619.16859999998</v>
      </c>
      <c r="U57" s="2"/>
      <c r="V57" s="7">
        <f t="shared" si="27"/>
        <v>3.2166222706163261E-2</v>
      </c>
      <c r="W57" s="2"/>
      <c r="X57" s="6">
        <f t="shared" si="28"/>
        <v>156408.45140000002</v>
      </c>
      <c r="Y57" s="2"/>
      <c r="Z57" s="7">
        <f t="shared" si="29"/>
        <v>0.44865132352908732</v>
      </c>
    </row>
    <row r="58" spans="1:26" s="24" customFormat="1" hidden="1" outlineLevel="2" x14ac:dyDescent="0.25">
      <c r="A58" s="27"/>
      <c r="B58" s="11" t="str">
        <f>CONCATENATE("          ", "6006", " - ", "TEMPORARY PART TIME")</f>
        <v xml:space="preserve">          6006 - TEMPORARY PART TIME</v>
      </c>
      <c r="C58" s="11"/>
      <c r="D58" s="6"/>
      <c r="E58" s="2"/>
      <c r="F58" s="7">
        <f t="shared" si="22"/>
        <v>0</v>
      </c>
      <c r="G58" s="2"/>
      <c r="H58" s="6">
        <v>0</v>
      </c>
      <c r="I58" s="2"/>
      <c r="J58" s="7">
        <f t="shared" si="23"/>
        <v>0</v>
      </c>
      <c r="K58" s="2"/>
      <c r="L58" s="6">
        <f t="shared" si="24"/>
        <v>0</v>
      </c>
      <c r="M58" s="2"/>
      <c r="N58" s="7">
        <f t="shared" si="25"/>
        <v>0</v>
      </c>
      <c r="O58" s="11"/>
      <c r="P58" s="6">
        <v>33612.15</v>
      </c>
      <c r="Q58" s="2"/>
      <c r="R58" s="7">
        <f t="shared" si="26"/>
        <v>4.8125494648076422E-3</v>
      </c>
      <c r="S58" s="2"/>
      <c r="T58" s="6">
        <v>0</v>
      </c>
      <c r="U58" s="2"/>
      <c r="V58" s="7">
        <f t="shared" si="27"/>
        <v>0</v>
      </c>
      <c r="W58" s="2"/>
      <c r="X58" s="6">
        <f t="shared" si="28"/>
        <v>33612.15</v>
      </c>
      <c r="Y58" s="2"/>
      <c r="Z58" s="7">
        <f t="shared" si="29"/>
        <v>0</v>
      </c>
    </row>
    <row r="59" spans="1:26" s="24" customFormat="1" hidden="1" outlineLevel="2" x14ac:dyDescent="0.25">
      <c r="A59" s="27"/>
      <c r="B59" s="11" t="str">
        <f>CONCATENATE("          ", "6007", " - ", "STUDENT HOURLY")</f>
        <v xml:space="preserve">          6007 - STUDENT HOURLY</v>
      </c>
      <c r="C59" s="11"/>
      <c r="D59" s="6"/>
      <c r="E59" s="2"/>
      <c r="F59" s="7">
        <f t="shared" si="22"/>
        <v>0</v>
      </c>
      <c r="G59" s="2"/>
      <c r="H59" s="6">
        <v>21226.623499999998</v>
      </c>
      <c r="I59" s="2"/>
      <c r="J59" s="7">
        <f t="shared" si="23"/>
        <v>5.8749549552042993E-2</v>
      </c>
      <c r="K59" s="2"/>
      <c r="L59" s="6">
        <f t="shared" si="24"/>
        <v>-21226.623499999998</v>
      </c>
      <c r="M59" s="2"/>
      <c r="N59" s="7">
        <f t="shared" si="25"/>
        <v>-1</v>
      </c>
      <c r="O59" s="11"/>
      <c r="P59" s="6">
        <v>893279.31</v>
      </c>
      <c r="Q59" s="2"/>
      <c r="R59" s="7">
        <f t="shared" si="26"/>
        <v>0.12789871713842288</v>
      </c>
      <c r="S59" s="2"/>
      <c r="T59" s="6">
        <v>91532.067249999993</v>
      </c>
      <c r="U59" s="2"/>
      <c r="V59" s="7">
        <f t="shared" si="27"/>
        <v>8.4454359516220046E-3</v>
      </c>
      <c r="W59" s="2"/>
      <c r="X59" s="6">
        <f t="shared" si="28"/>
        <v>801747.24275000009</v>
      </c>
      <c r="Y59" s="2"/>
      <c r="Z59" s="7">
        <f t="shared" si="29"/>
        <v>8.7591951852261936</v>
      </c>
    </row>
    <row r="60" spans="1:26" s="24" customFormat="1" hidden="1" outlineLevel="2" x14ac:dyDescent="0.25">
      <c r="A60" s="27"/>
      <c r="B60" s="11" t="str">
        <f>CONCATENATE("          ", "6008", " - ", "STUDENT HOURLY-FICA EXEMPT")</f>
        <v xml:space="preserve">          6008 - STUDENT HOURLY-FICA EXEMPT</v>
      </c>
      <c r="C60" s="11"/>
      <c r="D60" s="6"/>
      <c r="E60" s="2"/>
      <c r="F60" s="7">
        <f t="shared" si="22"/>
        <v>0</v>
      </c>
      <c r="G60" s="2"/>
      <c r="H60" s="6">
        <v>11376.9</v>
      </c>
      <c r="I60" s="2"/>
      <c r="J60" s="7">
        <f t="shared" si="23"/>
        <v>3.1488180411672069E-2</v>
      </c>
      <c r="K60" s="2"/>
      <c r="L60" s="6">
        <f t="shared" si="24"/>
        <v>-11376.9</v>
      </c>
      <c r="M60" s="2"/>
      <c r="N60" s="7">
        <f t="shared" si="25"/>
        <v>-1</v>
      </c>
      <c r="O60" s="11"/>
      <c r="P60" s="6">
        <v>47294.18</v>
      </c>
      <c r="Q60" s="2"/>
      <c r="R60" s="7">
        <f t="shared" si="26"/>
        <v>6.7715269819846784E-3</v>
      </c>
      <c r="S60" s="2"/>
      <c r="T60" s="6">
        <v>1066895.9660799999</v>
      </c>
      <c r="U60" s="2"/>
      <c r="V60" s="7">
        <f t="shared" si="27"/>
        <v>9.8439834467657805E-2</v>
      </c>
      <c r="W60" s="2"/>
      <c r="X60" s="6">
        <f t="shared" si="28"/>
        <v>-1019601.7860799999</v>
      </c>
      <c r="Y60" s="2"/>
      <c r="Z60" s="7">
        <f t="shared" si="29"/>
        <v>-0.95567123552470745</v>
      </c>
    </row>
    <row r="61" spans="1:26" s="24" customFormat="1" hidden="1" outlineLevel="2" x14ac:dyDescent="0.25">
      <c r="A61" s="27"/>
      <c r="B61" s="11" t="str">
        <f>CONCATENATE("          ", "6009", " - ", "TEMPORARY-SEASONAL")</f>
        <v xml:space="preserve">          6009 - TEMPORARY-SEASONAL</v>
      </c>
      <c r="C61" s="11"/>
      <c r="D61" s="6"/>
      <c r="E61" s="2"/>
      <c r="F61" s="7">
        <f t="shared" si="22"/>
        <v>0</v>
      </c>
      <c r="G61" s="2"/>
      <c r="H61" s="6">
        <v>0</v>
      </c>
      <c r="I61" s="2"/>
      <c r="J61" s="7">
        <f t="shared" si="23"/>
        <v>0</v>
      </c>
      <c r="K61" s="2"/>
      <c r="L61" s="6">
        <f t="shared" si="24"/>
        <v>0</v>
      </c>
      <c r="M61" s="2"/>
      <c r="N61" s="7">
        <f t="shared" si="25"/>
        <v>0</v>
      </c>
      <c r="O61" s="11"/>
      <c r="P61" s="6"/>
      <c r="Q61" s="2"/>
      <c r="R61" s="7">
        <f t="shared" si="26"/>
        <v>0</v>
      </c>
      <c r="S61" s="2"/>
      <c r="T61" s="6">
        <v>0</v>
      </c>
      <c r="U61" s="2"/>
      <c r="V61" s="7">
        <f t="shared" si="27"/>
        <v>0</v>
      </c>
      <c r="W61" s="2"/>
      <c r="X61" s="6">
        <f t="shared" si="28"/>
        <v>0</v>
      </c>
      <c r="Y61" s="2"/>
      <c r="Z61" s="7">
        <f t="shared" si="29"/>
        <v>0</v>
      </c>
    </row>
    <row r="62" spans="1:26" s="24" customFormat="1" hidden="1" outlineLevel="2" x14ac:dyDescent="0.25">
      <c r="A62" s="27"/>
      <c r="B62" s="11" t="str">
        <f>CONCATENATE("          ", "6010", " - ", "GRATUITY")</f>
        <v xml:space="preserve">          6010 - GRATUITY</v>
      </c>
      <c r="C62" s="11"/>
      <c r="D62" s="6"/>
      <c r="E62" s="2"/>
      <c r="F62" s="7">
        <f t="shared" si="22"/>
        <v>0</v>
      </c>
      <c r="G62" s="2"/>
      <c r="H62" s="6">
        <v>0</v>
      </c>
      <c r="I62" s="2"/>
      <c r="J62" s="7">
        <f t="shared" si="23"/>
        <v>0</v>
      </c>
      <c r="K62" s="2"/>
      <c r="L62" s="6">
        <f t="shared" si="24"/>
        <v>0</v>
      </c>
      <c r="M62" s="2"/>
      <c r="N62" s="7">
        <f t="shared" si="25"/>
        <v>0</v>
      </c>
      <c r="O62" s="11"/>
      <c r="P62" s="6"/>
      <c r="Q62" s="2"/>
      <c r="R62" s="7">
        <f t="shared" si="26"/>
        <v>0</v>
      </c>
      <c r="S62" s="2"/>
      <c r="T62" s="6">
        <v>0</v>
      </c>
      <c r="U62" s="2"/>
      <c r="V62" s="7">
        <f t="shared" si="27"/>
        <v>0</v>
      </c>
      <c r="W62" s="2"/>
      <c r="X62" s="6">
        <f t="shared" si="28"/>
        <v>0</v>
      </c>
      <c r="Y62" s="2"/>
      <c r="Z62" s="7">
        <f t="shared" si="29"/>
        <v>0</v>
      </c>
    </row>
    <row r="63" spans="1:26" s="26" customFormat="1" outlineLevel="1" collapsed="1" x14ac:dyDescent="0.25">
      <c r="A63" s="25"/>
      <c r="B63" s="12" t="str">
        <f>CONCATENATE("     ","Advertising/Promo                                 ")</f>
        <v xml:space="preserve">     Advertising/Promo                                 </v>
      </c>
      <c r="C63" s="12"/>
      <c r="D63" s="1">
        <f>SUM(OSRRefD22_2x_0)</f>
        <v>0</v>
      </c>
      <c r="E63" s="1"/>
      <c r="F63" s="5">
        <f t="shared" ref="F63:F73" si="30">IF(D$12=0,0,D63/D$12)</f>
        <v>0</v>
      </c>
      <c r="G63" s="1"/>
      <c r="H63" s="1">
        <f>SUM(OSRRefH22_2x_0)</f>
        <v>1275</v>
      </c>
      <c r="I63" s="1"/>
      <c r="J63" s="5">
        <f t="shared" ref="J63:J73" si="31">IF(H$12=0,0,H63/H$12)</f>
        <v>3.5288549626771694E-3</v>
      </c>
      <c r="K63" s="1"/>
      <c r="L63" s="1">
        <f t="shared" ref="L63:L73" si="32">+D63-H63</f>
        <v>-1275</v>
      </c>
      <c r="M63" s="1"/>
      <c r="N63" s="5">
        <f t="shared" ref="N63:N73" si="33">IF(H63=0,0,L63/H63)</f>
        <v>-1</v>
      </c>
      <c r="O63" s="12"/>
      <c r="P63" s="1">
        <f>SUM(OSRRefP22_2x_0)</f>
        <v>32110.92</v>
      </c>
      <c r="Q63" s="1"/>
      <c r="R63" s="5">
        <f t="shared" ref="R63:R73" si="34">IF(P$12=0,0,P63/P$12)</f>
        <v>4.5976050583042445E-3</v>
      </c>
      <c r="S63" s="1"/>
      <c r="T63" s="1">
        <f>SUM(OSRRefT22_2x_0)</f>
        <v>26810</v>
      </c>
      <c r="U63" s="1"/>
      <c r="V63" s="5">
        <f t="shared" ref="V63:V73" si="35">IF(T$12=0,0,T63/T$12)</f>
        <v>2.4736919493423323E-3</v>
      </c>
      <c r="W63" s="1"/>
      <c r="X63" s="1">
        <f t="shared" ref="X63:X73" si="36">+P63-T63</f>
        <v>5300.9199999999983</v>
      </c>
      <c r="Y63" s="1"/>
      <c r="Z63" s="5">
        <f t="shared" ref="Z63:Z73" si="37">IF(T63=0,0,X63/T63)</f>
        <v>0.1977217456173069</v>
      </c>
    </row>
    <row r="64" spans="1:26" s="24" customFormat="1" hidden="1" outlineLevel="2" x14ac:dyDescent="0.25">
      <c r="A64" s="27"/>
      <c r="B64" s="11" t="str">
        <f>CONCATENATE("          ", "6362", " - ", "ADVERTISING EXPENSE")</f>
        <v xml:space="preserve">          6362 - ADVERTISING EXPENSE</v>
      </c>
      <c r="C64" s="11"/>
      <c r="D64" s="6"/>
      <c r="E64" s="2"/>
      <c r="F64" s="7">
        <f t="shared" si="30"/>
        <v>0</v>
      </c>
      <c r="G64" s="2"/>
      <c r="H64" s="6">
        <v>1275</v>
      </c>
      <c r="I64" s="2"/>
      <c r="J64" s="7">
        <f t="shared" si="31"/>
        <v>3.5288549626771694E-3</v>
      </c>
      <c r="K64" s="2"/>
      <c r="L64" s="6">
        <f t="shared" si="32"/>
        <v>-1275</v>
      </c>
      <c r="M64" s="2"/>
      <c r="N64" s="7">
        <f t="shared" si="33"/>
        <v>-1</v>
      </c>
      <c r="O64" s="11"/>
      <c r="P64" s="6">
        <v>32110.92</v>
      </c>
      <c r="Q64" s="2"/>
      <c r="R64" s="7">
        <f t="shared" si="34"/>
        <v>4.5976050583042445E-3</v>
      </c>
      <c r="S64" s="2"/>
      <c r="T64" s="6">
        <v>26810</v>
      </c>
      <c r="U64" s="2"/>
      <c r="V64" s="7">
        <f t="shared" si="35"/>
        <v>2.4736919493423323E-3</v>
      </c>
      <c r="W64" s="2"/>
      <c r="X64" s="6">
        <f t="shared" si="36"/>
        <v>5300.9199999999983</v>
      </c>
      <c r="Y64" s="2"/>
      <c r="Z64" s="7">
        <f t="shared" si="37"/>
        <v>0.1977217456173069</v>
      </c>
    </row>
    <row r="65" spans="1:26" s="26" customFormat="1" outlineLevel="1" collapsed="1" x14ac:dyDescent="0.25">
      <c r="A65" s="25"/>
      <c r="B65" s="12" t="str">
        <f>CONCATENATE("     ","Bad Debts/Over/Short                              ")</f>
        <v xml:space="preserve">     Bad Debts/Over/Short                              </v>
      </c>
      <c r="C65" s="12"/>
      <c r="D65" s="1">
        <f>SUM(OSRRefD22_3x_0)</f>
        <v>0</v>
      </c>
      <c r="E65" s="1"/>
      <c r="F65" s="5">
        <f t="shared" si="30"/>
        <v>0</v>
      </c>
      <c r="G65" s="1"/>
      <c r="H65" s="1">
        <f>SUM(OSRRefH22_3x_0)</f>
        <v>154</v>
      </c>
      <c r="I65" s="1"/>
      <c r="J65" s="5">
        <f t="shared" si="31"/>
        <v>4.2623032490375222E-4</v>
      </c>
      <c r="K65" s="1"/>
      <c r="L65" s="1">
        <f t="shared" si="32"/>
        <v>-154</v>
      </c>
      <c r="M65" s="1"/>
      <c r="N65" s="5">
        <f t="shared" si="33"/>
        <v>-1</v>
      </c>
      <c r="O65" s="12"/>
      <c r="P65" s="1">
        <f>SUM(OSRRefP22_3x_0)</f>
        <v>-689.57</v>
      </c>
      <c r="Q65" s="1"/>
      <c r="R65" s="5">
        <f t="shared" si="34"/>
        <v>-9.8731849478459608E-5</v>
      </c>
      <c r="S65" s="1"/>
      <c r="T65" s="1">
        <f>SUM(OSRRefT22_3x_0)</f>
        <v>1928</v>
      </c>
      <c r="U65" s="1"/>
      <c r="V65" s="5">
        <f t="shared" si="35"/>
        <v>1.7789175972890772E-4</v>
      </c>
      <c r="W65" s="1"/>
      <c r="X65" s="1">
        <f t="shared" si="36"/>
        <v>-2617.5700000000002</v>
      </c>
      <c r="Y65" s="1"/>
      <c r="Z65" s="5">
        <f t="shared" si="37"/>
        <v>-1.3576607883817429</v>
      </c>
    </row>
    <row r="66" spans="1:26" s="24" customFormat="1" hidden="1" outlineLevel="2" x14ac:dyDescent="0.25">
      <c r="A66" s="27"/>
      <c r="B66" s="11" t="str">
        <f>CONCATENATE("          ", "6272", " - ", "CASH (OVER/SHORT)")</f>
        <v xml:space="preserve">          6272 - CASH (OVER/SHORT)</v>
      </c>
      <c r="C66" s="11"/>
      <c r="D66" s="6"/>
      <c r="E66" s="2"/>
      <c r="F66" s="7">
        <f t="shared" si="30"/>
        <v>0</v>
      </c>
      <c r="G66" s="2"/>
      <c r="H66" s="6">
        <v>154</v>
      </c>
      <c r="I66" s="2"/>
      <c r="J66" s="7">
        <f t="shared" si="31"/>
        <v>4.2623032490375222E-4</v>
      </c>
      <c r="K66" s="2"/>
      <c r="L66" s="6">
        <f t="shared" si="32"/>
        <v>-154</v>
      </c>
      <c r="M66" s="2"/>
      <c r="N66" s="7">
        <f t="shared" si="33"/>
        <v>-1</v>
      </c>
      <c r="O66" s="11"/>
      <c r="P66" s="6">
        <v>-689.57</v>
      </c>
      <c r="Q66" s="2"/>
      <c r="R66" s="7">
        <f t="shared" si="34"/>
        <v>-9.8731849478459608E-5</v>
      </c>
      <c r="S66" s="2"/>
      <c r="T66" s="6">
        <v>1928</v>
      </c>
      <c r="U66" s="2"/>
      <c r="V66" s="7">
        <f t="shared" si="35"/>
        <v>1.7789175972890772E-4</v>
      </c>
      <c r="W66" s="2"/>
      <c r="X66" s="6">
        <f t="shared" si="36"/>
        <v>-2617.5700000000002</v>
      </c>
      <c r="Y66" s="2"/>
      <c r="Z66" s="7">
        <f t="shared" si="37"/>
        <v>-1.3576607883817429</v>
      </c>
    </row>
    <row r="67" spans="1:26" s="26" customFormat="1" outlineLevel="1" collapsed="1" x14ac:dyDescent="0.25">
      <c r="A67" s="25"/>
      <c r="B67" s="12" t="str">
        <f>CONCATENATE("     ","Bank/card Fees                                    ")</f>
        <v xml:space="preserve">     Bank/card Fees                                    </v>
      </c>
      <c r="C67" s="12"/>
      <c r="D67" s="1">
        <f>SUM(OSRRefD22_4x_0)</f>
        <v>339.09</v>
      </c>
      <c r="E67" s="1"/>
      <c r="F67" s="5">
        <f t="shared" si="30"/>
        <v>2.838285762116012</v>
      </c>
      <c r="G67" s="1"/>
      <c r="H67" s="1">
        <f>SUM(OSRRefH22_4x_0)</f>
        <v>6905</v>
      </c>
      <c r="I67" s="1"/>
      <c r="J67" s="5">
        <f t="shared" si="31"/>
        <v>1.9111171386106553E-2</v>
      </c>
      <c r="K67" s="1"/>
      <c r="L67" s="1">
        <f t="shared" si="32"/>
        <v>-6565.91</v>
      </c>
      <c r="M67" s="1"/>
      <c r="N67" s="5">
        <f t="shared" si="33"/>
        <v>-0.9508921071687183</v>
      </c>
      <c r="O67" s="12"/>
      <c r="P67" s="1">
        <f>SUM(OSRRefP22_4x_0)</f>
        <v>238904.25</v>
      </c>
      <c r="Q67" s="1"/>
      <c r="R67" s="5">
        <f t="shared" si="34"/>
        <v>3.420603919944934E-2</v>
      </c>
      <c r="S67" s="1"/>
      <c r="T67" s="1">
        <f>SUM(OSRRefT22_4x_0)</f>
        <v>222546</v>
      </c>
      <c r="U67" s="1"/>
      <c r="V67" s="5">
        <f t="shared" si="35"/>
        <v>2.0533765332276712E-2</v>
      </c>
      <c r="W67" s="1"/>
      <c r="X67" s="1">
        <f t="shared" si="36"/>
        <v>16358.25</v>
      </c>
      <c r="Y67" s="1"/>
      <c r="Z67" s="5">
        <f t="shared" si="37"/>
        <v>7.3505028173950548E-2</v>
      </c>
    </row>
    <row r="68" spans="1:26" s="24" customFormat="1" hidden="1" outlineLevel="2" x14ac:dyDescent="0.25">
      <c r="A68" s="27"/>
      <c r="B68" s="11" t="str">
        <f>CONCATENATE("          ", "6381", " - ", "BANK/CREDIT CARD FEES")</f>
        <v xml:space="preserve">          6381 - BANK/CREDIT CARD FEES</v>
      </c>
      <c r="C68" s="11"/>
      <c r="D68" s="6">
        <v>339.09</v>
      </c>
      <c r="E68" s="2"/>
      <c r="F68" s="7">
        <f t="shared" si="30"/>
        <v>2.838285762116012</v>
      </c>
      <c r="G68" s="2"/>
      <c r="H68" s="6">
        <v>6905</v>
      </c>
      <c r="I68" s="2"/>
      <c r="J68" s="7">
        <f t="shared" si="31"/>
        <v>1.9111171386106553E-2</v>
      </c>
      <c r="K68" s="2"/>
      <c r="L68" s="6">
        <f t="shared" si="32"/>
        <v>-6565.91</v>
      </c>
      <c r="M68" s="2"/>
      <c r="N68" s="7">
        <f t="shared" si="33"/>
        <v>-0.9508921071687183</v>
      </c>
      <c r="O68" s="11"/>
      <c r="P68" s="6">
        <v>238904.25</v>
      </c>
      <c r="Q68" s="2"/>
      <c r="R68" s="7">
        <f t="shared" si="34"/>
        <v>3.420603919944934E-2</v>
      </c>
      <c r="S68" s="2"/>
      <c r="T68" s="6">
        <v>222546</v>
      </c>
      <c r="U68" s="2"/>
      <c r="V68" s="7">
        <f t="shared" si="35"/>
        <v>2.0533765332276712E-2</v>
      </c>
      <c r="W68" s="2"/>
      <c r="X68" s="6">
        <f t="shared" si="36"/>
        <v>16358.25</v>
      </c>
      <c r="Y68" s="2"/>
      <c r="Z68" s="7">
        <f t="shared" si="37"/>
        <v>7.3505028173950548E-2</v>
      </c>
    </row>
    <row r="69" spans="1:26" s="26" customFormat="1" outlineLevel="1" collapsed="1" x14ac:dyDescent="0.25">
      <c r="A69" s="25"/>
      <c r="B69" s="12" t="str">
        <f>CONCATENATE("     ","Depreciation                                      ")</f>
        <v xml:space="preserve">     Depreciation                                      </v>
      </c>
      <c r="C69" s="12"/>
      <c r="D69" s="1">
        <f>SUM(OSRRefD22_5x_0)</f>
        <v>46728.299999999996</v>
      </c>
      <c r="E69" s="1"/>
      <c r="F69" s="5">
        <f t="shared" si="30"/>
        <v>391.12999079266757</v>
      </c>
      <c r="G69" s="1"/>
      <c r="H69" s="1">
        <f>SUM(OSRRefH22_5x_0)</f>
        <v>54222</v>
      </c>
      <c r="I69" s="1"/>
      <c r="J69" s="5">
        <f t="shared" si="31"/>
        <v>0.15007182257747567</v>
      </c>
      <c r="K69" s="1"/>
      <c r="L69" s="1">
        <f t="shared" si="32"/>
        <v>-7493.7000000000044</v>
      </c>
      <c r="M69" s="1"/>
      <c r="N69" s="5">
        <f t="shared" si="33"/>
        <v>-0.13820405001659852</v>
      </c>
      <c r="O69" s="12"/>
      <c r="P69" s="1">
        <f>SUM(OSRRefP22_5x_0)</f>
        <v>581057.55999999994</v>
      </c>
      <c r="Q69" s="1"/>
      <c r="R69" s="5">
        <f t="shared" si="34"/>
        <v>8.3195161553201266E-2</v>
      </c>
      <c r="S69" s="1"/>
      <c r="T69" s="1">
        <f>SUM(OSRRefT22_5x_0)</f>
        <v>629708</v>
      </c>
      <c r="U69" s="1"/>
      <c r="V69" s="5">
        <f t="shared" si="35"/>
        <v>5.8101589333698668E-2</v>
      </c>
      <c r="W69" s="1"/>
      <c r="X69" s="1">
        <f t="shared" si="36"/>
        <v>-48650.440000000061</v>
      </c>
      <c r="Y69" s="1"/>
      <c r="Z69" s="5">
        <f t="shared" si="37"/>
        <v>-7.7258729442852975E-2</v>
      </c>
    </row>
    <row r="70" spans="1:26" s="24" customFormat="1" hidden="1" outlineLevel="2" x14ac:dyDescent="0.25">
      <c r="A70" s="27"/>
      <c r="B70" s="11" t="str">
        <f>CONCATENATE("          ", "6321", " - ", "BUILDING DEPRECIATION")</f>
        <v xml:space="preserve">          6321 - BUILDING DEPRECIATION</v>
      </c>
      <c r="C70" s="11"/>
      <c r="D70" s="6">
        <v>29108.37</v>
      </c>
      <c r="E70" s="2"/>
      <c r="F70" s="7">
        <f t="shared" si="30"/>
        <v>243.64585251527581</v>
      </c>
      <c r="G70" s="2"/>
      <c r="H70" s="6">
        <v>28118</v>
      </c>
      <c r="I70" s="2"/>
      <c r="J70" s="7">
        <f t="shared" si="31"/>
        <v>7.7823014776907173E-2</v>
      </c>
      <c r="K70" s="2"/>
      <c r="L70" s="6">
        <f t="shared" si="32"/>
        <v>990.36999999999898</v>
      </c>
      <c r="M70" s="2"/>
      <c r="N70" s="7">
        <f t="shared" si="33"/>
        <v>3.5221921900561878E-2</v>
      </c>
      <c r="O70" s="11"/>
      <c r="P70" s="6">
        <v>349466.54</v>
      </c>
      <c r="Q70" s="2"/>
      <c r="R70" s="7">
        <f t="shared" si="34"/>
        <v>5.0036222319761701E-2</v>
      </c>
      <c r="S70" s="2"/>
      <c r="T70" s="6">
        <v>337662</v>
      </c>
      <c r="U70" s="2"/>
      <c r="V70" s="7">
        <f t="shared" si="35"/>
        <v>3.1155232040239858E-2</v>
      </c>
      <c r="W70" s="2"/>
      <c r="X70" s="6">
        <f t="shared" si="36"/>
        <v>11804.539999999979</v>
      </c>
      <c r="Y70" s="2"/>
      <c r="Z70" s="7">
        <f t="shared" si="37"/>
        <v>3.4959634190403356E-2</v>
      </c>
    </row>
    <row r="71" spans="1:26" s="24" customFormat="1" hidden="1" outlineLevel="2" x14ac:dyDescent="0.25">
      <c r="A71" s="27"/>
      <c r="B71" s="11" t="str">
        <f>CONCATENATE("          ", "6322", " - ", "EQUIPMENT DEPRECIATION EXPENSE")</f>
        <v xml:space="preserve">          6322 - EQUIPMENT DEPRECIATION EXPENSE</v>
      </c>
      <c r="C71" s="11"/>
      <c r="D71" s="6">
        <v>17619.929999999997</v>
      </c>
      <c r="E71" s="2"/>
      <c r="F71" s="7">
        <f t="shared" si="30"/>
        <v>147.48413827739179</v>
      </c>
      <c r="G71" s="2"/>
      <c r="H71" s="6">
        <v>18476</v>
      </c>
      <c r="I71" s="2"/>
      <c r="J71" s="7">
        <f t="shared" si="31"/>
        <v>5.1136568070920298E-2</v>
      </c>
      <c r="K71" s="2"/>
      <c r="L71" s="6">
        <f t="shared" si="32"/>
        <v>-856.07000000000335</v>
      </c>
      <c r="M71" s="2"/>
      <c r="N71" s="7">
        <f t="shared" si="33"/>
        <v>-4.6334163238796459E-2</v>
      </c>
      <c r="O71" s="11"/>
      <c r="P71" s="6">
        <v>227348.53999999998</v>
      </c>
      <c r="Q71" s="2"/>
      <c r="R71" s="7">
        <f t="shared" si="34"/>
        <v>3.2551505765081937E-2</v>
      </c>
      <c r="S71" s="2"/>
      <c r="T71" s="6">
        <v>221712</v>
      </c>
      <c r="U71" s="2"/>
      <c r="V71" s="7">
        <f t="shared" si="35"/>
        <v>2.0456814228742525E-2</v>
      </c>
      <c r="W71" s="2"/>
      <c r="X71" s="6">
        <f t="shared" si="36"/>
        <v>5636.539999999979</v>
      </c>
      <c r="Y71" s="2"/>
      <c r="Z71" s="7">
        <f t="shared" si="37"/>
        <v>2.5422800750523108E-2</v>
      </c>
    </row>
    <row r="72" spans="1:26" s="24" customFormat="1" hidden="1" outlineLevel="2" x14ac:dyDescent="0.25">
      <c r="A72" s="27"/>
      <c r="B72" s="11" t="str">
        <f>CONCATENATE("          ", "6324", " - ", "FURNITURE + FIXT DEPRECIATION")</f>
        <v xml:space="preserve">          6324 - FURNITURE + FIXT DEPRECIATION</v>
      </c>
      <c r="C72" s="11"/>
      <c r="D72" s="6"/>
      <c r="E72" s="2"/>
      <c r="F72" s="7">
        <f t="shared" si="30"/>
        <v>0</v>
      </c>
      <c r="G72" s="2"/>
      <c r="H72" s="6">
        <v>5454</v>
      </c>
      <c r="I72" s="2"/>
      <c r="J72" s="7">
        <f t="shared" si="31"/>
        <v>1.5095196052110809E-2</v>
      </c>
      <c r="K72" s="2"/>
      <c r="L72" s="6">
        <f t="shared" si="32"/>
        <v>-5454</v>
      </c>
      <c r="M72" s="2"/>
      <c r="N72" s="7">
        <f t="shared" si="33"/>
        <v>-1</v>
      </c>
      <c r="O72" s="11"/>
      <c r="P72" s="6"/>
      <c r="Q72" s="2"/>
      <c r="R72" s="7">
        <f t="shared" si="34"/>
        <v>0</v>
      </c>
      <c r="S72" s="2"/>
      <c r="T72" s="6">
        <v>49496</v>
      </c>
      <c r="U72" s="2"/>
      <c r="V72" s="7">
        <f t="shared" si="35"/>
        <v>4.5668726864844487E-3</v>
      </c>
      <c r="W72" s="2"/>
      <c r="X72" s="6">
        <f t="shared" si="36"/>
        <v>-49496</v>
      </c>
      <c r="Y72" s="2"/>
      <c r="Z72" s="7">
        <f t="shared" si="37"/>
        <v>-1</v>
      </c>
    </row>
    <row r="73" spans="1:26" s="24" customFormat="1" hidden="1" outlineLevel="2" x14ac:dyDescent="0.25">
      <c r="A73" s="27"/>
      <c r="B73" s="11" t="str">
        <f>CONCATENATE("          ", "6326", " - ", "VEHICLES DEPRECIATION EXPENSE")</f>
        <v xml:space="preserve">          6326 - VEHICLES DEPRECIATION EXPENSE</v>
      </c>
      <c r="C73" s="11"/>
      <c r="D73" s="6"/>
      <c r="E73" s="2"/>
      <c r="F73" s="7">
        <f t="shared" si="30"/>
        <v>0</v>
      </c>
      <c r="G73" s="2"/>
      <c r="H73" s="6">
        <v>2174</v>
      </c>
      <c r="I73" s="2"/>
      <c r="J73" s="7">
        <f t="shared" si="31"/>
        <v>6.0170436775373853E-3</v>
      </c>
      <c r="K73" s="2"/>
      <c r="L73" s="6">
        <f t="shared" si="32"/>
        <v>-2174</v>
      </c>
      <c r="M73" s="2"/>
      <c r="N73" s="7">
        <f t="shared" si="33"/>
        <v>-1</v>
      </c>
      <c r="O73" s="11"/>
      <c r="P73" s="6">
        <v>4242.4799999999996</v>
      </c>
      <c r="Q73" s="2"/>
      <c r="R73" s="7">
        <f t="shared" si="34"/>
        <v>6.0743346835763631E-4</v>
      </c>
      <c r="S73" s="2"/>
      <c r="T73" s="6">
        <v>20838</v>
      </c>
      <c r="U73" s="2"/>
      <c r="V73" s="7">
        <f t="shared" si="35"/>
        <v>1.9226703782318358E-3</v>
      </c>
      <c r="W73" s="2"/>
      <c r="X73" s="6">
        <f t="shared" si="36"/>
        <v>-16595.52</v>
      </c>
      <c r="Y73" s="2"/>
      <c r="Z73" s="7">
        <f t="shared" si="37"/>
        <v>-0.79640656492945583</v>
      </c>
    </row>
    <row r="74" spans="1:26" s="26" customFormat="1" outlineLevel="1" collapsed="1" x14ac:dyDescent="0.25">
      <c r="A74" s="25"/>
      <c r="B74" s="12" t="str">
        <f>CONCATENATE("     ","Discounts and Markdowns                           ")</f>
        <v xml:space="preserve">     Discounts and Markdowns                           </v>
      </c>
      <c r="C74" s="12"/>
      <c r="D74" s="1">
        <f>SUM(OSRRefD22_6x_0)</f>
        <v>0</v>
      </c>
      <c r="E74" s="1"/>
      <c r="F74" s="5">
        <f t="shared" ref="F74:F84" si="38">IF(D$12=0,0,D74/D$12)</f>
        <v>0</v>
      </c>
      <c r="G74" s="1"/>
      <c r="H74" s="1">
        <f>SUM(OSRRefH22_6x_0)</f>
        <v>0</v>
      </c>
      <c r="I74" s="1"/>
      <c r="J74" s="5">
        <f t="shared" ref="J74:J84" si="39">IF(H$12=0,0,H74/H$12)</f>
        <v>0</v>
      </c>
      <c r="K74" s="1"/>
      <c r="L74" s="1">
        <f t="shared" ref="L74:L84" si="40">+D74-H74</f>
        <v>0</v>
      </c>
      <c r="M74" s="1"/>
      <c r="N74" s="5">
        <f t="shared" ref="N74:N84" si="41">IF(H74=0,0,L74/H74)</f>
        <v>0</v>
      </c>
      <c r="O74" s="12"/>
      <c r="P74" s="1">
        <f>SUM(OSRRefP22_6x_0)</f>
        <v>125.96</v>
      </c>
      <c r="Q74" s="1"/>
      <c r="R74" s="5">
        <f t="shared" ref="R74:R84" si="42">IF(P$12=0,0,P74/P$12)</f>
        <v>1.8034809751449121E-5</v>
      </c>
      <c r="S74" s="1"/>
      <c r="T74" s="1">
        <f>SUM(OSRRefT22_6x_0)</f>
        <v>0</v>
      </c>
      <c r="U74" s="1"/>
      <c r="V74" s="5">
        <f t="shared" ref="V74:V84" si="43">IF(T$12=0,0,T74/T$12)</f>
        <v>0</v>
      </c>
      <c r="W74" s="1"/>
      <c r="X74" s="1">
        <f t="shared" ref="X74:X84" si="44">+P74-T74</f>
        <v>125.96</v>
      </c>
      <c r="Y74" s="1"/>
      <c r="Z74" s="5">
        <f t="shared" ref="Z74:Z84" si="45">IF(T74=0,0,X74/T74)</f>
        <v>0</v>
      </c>
    </row>
    <row r="75" spans="1:26" s="24" customFormat="1" hidden="1" outlineLevel="2" x14ac:dyDescent="0.25">
      <c r="A75" s="27"/>
      <c r="B75" s="11" t="str">
        <f>CONCATENATE("          ", "6382", " - ", "DISCOUNTS/MARK DOWNS")</f>
        <v xml:space="preserve">          6382 - DISCOUNTS/MARK DOWNS</v>
      </c>
      <c r="C75" s="11"/>
      <c r="D75" s="6"/>
      <c r="E75" s="2"/>
      <c r="F75" s="7">
        <f t="shared" si="38"/>
        <v>0</v>
      </c>
      <c r="G75" s="2"/>
      <c r="H75" s="6"/>
      <c r="I75" s="2"/>
      <c r="J75" s="7">
        <f t="shared" si="39"/>
        <v>0</v>
      </c>
      <c r="K75" s="2"/>
      <c r="L75" s="6">
        <f t="shared" si="40"/>
        <v>0</v>
      </c>
      <c r="M75" s="2"/>
      <c r="N75" s="7">
        <f t="shared" si="41"/>
        <v>0</v>
      </c>
      <c r="O75" s="11"/>
      <c r="P75" s="6">
        <v>125.96</v>
      </c>
      <c r="Q75" s="2"/>
      <c r="R75" s="7">
        <f t="shared" si="42"/>
        <v>1.8034809751449121E-5</v>
      </c>
      <c r="S75" s="2"/>
      <c r="T75" s="6"/>
      <c r="U75" s="2"/>
      <c r="V75" s="7">
        <f t="shared" si="43"/>
        <v>0</v>
      </c>
      <c r="W75" s="2"/>
      <c r="X75" s="6">
        <f t="shared" si="44"/>
        <v>125.96</v>
      </c>
      <c r="Y75" s="2"/>
      <c r="Z75" s="7">
        <f t="shared" si="45"/>
        <v>0</v>
      </c>
    </row>
    <row r="76" spans="1:26" s="26" customFormat="1" outlineLevel="1" collapsed="1" x14ac:dyDescent="0.25">
      <c r="A76" s="25"/>
      <c r="B76" s="12" t="str">
        <f>CONCATENATE("     ","Donations                                         ")</f>
        <v xml:space="preserve">     Donations                                         </v>
      </c>
      <c r="C76" s="12"/>
      <c r="D76" s="1">
        <f>SUM(OSRRefD22_7x_0)</f>
        <v>0</v>
      </c>
      <c r="E76" s="1"/>
      <c r="F76" s="5">
        <f t="shared" si="38"/>
        <v>0</v>
      </c>
      <c r="G76" s="1"/>
      <c r="H76" s="1">
        <f>SUM(OSRRefH22_7x_0)</f>
        <v>0</v>
      </c>
      <c r="I76" s="1"/>
      <c r="J76" s="5">
        <f t="shared" si="39"/>
        <v>0</v>
      </c>
      <c r="K76" s="1"/>
      <c r="L76" s="1">
        <f t="shared" si="40"/>
        <v>0</v>
      </c>
      <c r="M76" s="1"/>
      <c r="N76" s="5">
        <f t="shared" si="41"/>
        <v>0</v>
      </c>
      <c r="O76" s="12"/>
      <c r="P76" s="1">
        <f>SUM(OSRRefP22_7x_0)</f>
        <v>236.68</v>
      </c>
      <c r="Q76" s="1"/>
      <c r="R76" s="5">
        <f t="shared" si="42"/>
        <v>3.388757361045553E-5</v>
      </c>
      <c r="S76" s="1"/>
      <c r="T76" s="1">
        <f>SUM(OSRRefT22_7x_0)</f>
        <v>4700</v>
      </c>
      <c r="U76" s="1"/>
      <c r="V76" s="5">
        <f t="shared" si="43"/>
        <v>4.33657298094329E-4</v>
      </c>
      <c r="W76" s="1"/>
      <c r="X76" s="1">
        <f t="shared" si="44"/>
        <v>-4463.32</v>
      </c>
      <c r="Y76" s="1"/>
      <c r="Z76" s="5">
        <f t="shared" si="45"/>
        <v>-0.94964255319148927</v>
      </c>
    </row>
    <row r="77" spans="1:26" s="24" customFormat="1" hidden="1" outlineLevel="2" x14ac:dyDescent="0.25">
      <c r="A77" s="27"/>
      <c r="B77" s="11" t="str">
        <f>CONCATENATE("          ", "6399", " - ", "DONATION-ON CAMPUS")</f>
        <v xml:space="preserve">          6399 - DONATION-ON CAMPUS</v>
      </c>
      <c r="C77" s="11"/>
      <c r="D77" s="6"/>
      <c r="E77" s="2"/>
      <c r="F77" s="7">
        <f t="shared" si="38"/>
        <v>0</v>
      </c>
      <c r="G77" s="2"/>
      <c r="H77" s="6"/>
      <c r="I77" s="2"/>
      <c r="J77" s="7">
        <f t="shared" si="39"/>
        <v>0</v>
      </c>
      <c r="K77" s="2"/>
      <c r="L77" s="6">
        <f t="shared" si="40"/>
        <v>0</v>
      </c>
      <c r="M77" s="2"/>
      <c r="N77" s="7">
        <f t="shared" si="41"/>
        <v>0</v>
      </c>
      <c r="O77" s="11"/>
      <c r="P77" s="6">
        <v>236.68</v>
      </c>
      <c r="Q77" s="2"/>
      <c r="R77" s="7">
        <f t="shared" si="42"/>
        <v>3.388757361045553E-5</v>
      </c>
      <c r="S77" s="2"/>
      <c r="T77" s="6">
        <v>4700</v>
      </c>
      <c r="U77" s="2"/>
      <c r="V77" s="7">
        <f t="shared" si="43"/>
        <v>4.33657298094329E-4</v>
      </c>
      <c r="W77" s="2"/>
      <c r="X77" s="6">
        <f t="shared" si="44"/>
        <v>-4463.32</v>
      </c>
      <c r="Y77" s="2"/>
      <c r="Z77" s="7">
        <f t="shared" si="45"/>
        <v>-0.94964255319148927</v>
      </c>
    </row>
    <row r="78" spans="1:26" s="26" customFormat="1" outlineLevel="1" collapsed="1" x14ac:dyDescent="0.25">
      <c r="A78" s="25"/>
      <c r="B78" s="12" t="str">
        <f>CONCATENATE("     ","Employees' Appreciation                           ")</f>
        <v xml:space="preserve">     Employees' Appreciation                           </v>
      </c>
      <c r="C78" s="12"/>
      <c r="D78" s="1">
        <f>SUM(OSRRefD22_8x_0)</f>
        <v>0</v>
      </c>
      <c r="E78" s="1"/>
      <c r="F78" s="5">
        <f t="shared" si="38"/>
        <v>0</v>
      </c>
      <c r="G78" s="1"/>
      <c r="H78" s="1">
        <f>SUM(OSRRefH22_8x_0)</f>
        <v>225</v>
      </c>
      <c r="I78" s="1"/>
      <c r="J78" s="5">
        <f t="shared" si="39"/>
        <v>6.2273911106067691E-4</v>
      </c>
      <c r="K78" s="1"/>
      <c r="L78" s="1">
        <f t="shared" si="40"/>
        <v>-225</v>
      </c>
      <c r="M78" s="1"/>
      <c r="N78" s="5">
        <f t="shared" si="41"/>
        <v>-1</v>
      </c>
      <c r="O78" s="12"/>
      <c r="P78" s="1">
        <f>SUM(OSRRefP22_8x_0)</f>
        <v>1836.65</v>
      </c>
      <c r="Q78" s="1"/>
      <c r="R78" s="5">
        <f t="shared" si="42"/>
        <v>2.6296946117814412E-4</v>
      </c>
      <c r="S78" s="1"/>
      <c r="T78" s="1">
        <f>SUM(OSRRefT22_8x_0)</f>
        <v>6525</v>
      </c>
      <c r="U78" s="1"/>
      <c r="V78" s="5">
        <f t="shared" si="43"/>
        <v>6.0204550426925466E-4</v>
      </c>
      <c r="W78" s="1"/>
      <c r="X78" s="1">
        <f t="shared" si="44"/>
        <v>-4688.3500000000004</v>
      </c>
      <c r="Y78" s="1"/>
      <c r="Z78" s="5">
        <f t="shared" si="45"/>
        <v>-0.71852107279693489</v>
      </c>
    </row>
    <row r="79" spans="1:26" s="24" customFormat="1" hidden="1" outlineLevel="2" x14ac:dyDescent="0.25">
      <c r="A79" s="27"/>
      <c r="B79" s="11" t="str">
        <f>CONCATENATE("          ", "6277", " - ", "EMPLOYEE APPRECIATION")</f>
        <v xml:space="preserve">          6277 - EMPLOYEE APPRECIATION</v>
      </c>
      <c r="C79" s="11"/>
      <c r="D79" s="6"/>
      <c r="E79" s="2"/>
      <c r="F79" s="7">
        <f t="shared" si="38"/>
        <v>0</v>
      </c>
      <c r="G79" s="2"/>
      <c r="H79" s="6">
        <v>225</v>
      </c>
      <c r="I79" s="2"/>
      <c r="J79" s="7">
        <f t="shared" si="39"/>
        <v>6.2273911106067691E-4</v>
      </c>
      <c r="K79" s="2"/>
      <c r="L79" s="6">
        <f t="shared" si="40"/>
        <v>-225</v>
      </c>
      <c r="M79" s="2"/>
      <c r="N79" s="7">
        <f t="shared" si="41"/>
        <v>-1</v>
      </c>
      <c r="O79" s="11"/>
      <c r="P79" s="6">
        <v>1836.65</v>
      </c>
      <c r="Q79" s="2"/>
      <c r="R79" s="7">
        <f t="shared" si="42"/>
        <v>2.6296946117814412E-4</v>
      </c>
      <c r="S79" s="2"/>
      <c r="T79" s="6">
        <v>6525</v>
      </c>
      <c r="U79" s="2"/>
      <c r="V79" s="7">
        <f t="shared" si="43"/>
        <v>6.0204550426925466E-4</v>
      </c>
      <c r="W79" s="2"/>
      <c r="X79" s="6">
        <f t="shared" si="44"/>
        <v>-4688.3500000000004</v>
      </c>
      <c r="Y79" s="2"/>
      <c r="Z79" s="7">
        <f t="shared" si="45"/>
        <v>-0.71852107279693489</v>
      </c>
    </row>
    <row r="80" spans="1:26" s="26" customFormat="1" outlineLevel="1" collapsed="1" x14ac:dyDescent="0.25">
      <c r="A80" s="25"/>
      <c r="B80" s="12" t="str">
        <f>CONCATENATE("     ","Equipment Rental                                  ")</f>
        <v xml:space="preserve">     Equipment Rental                                  </v>
      </c>
      <c r="C80" s="12"/>
      <c r="D80" s="1">
        <f>SUM(OSRRefD22_9x_0)</f>
        <v>1829.26</v>
      </c>
      <c r="E80" s="1"/>
      <c r="F80" s="5">
        <f t="shared" si="38"/>
        <v>15.311458943667866</v>
      </c>
      <c r="G80" s="1"/>
      <c r="H80" s="1">
        <f>SUM(OSRRefH22_9x_0)</f>
        <v>1395</v>
      </c>
      <c r="I80" s="1"/>
      <c r="J80" s="5">
        <f t="shared" si="39"/>
        <v>3.8609824885761971E-3</v>
      </c>
      <c r="K80" s="1"/>
      <c r="L80" s="1">
        <f t="shared" si="40"/>
        <v>434.26</v>
      </c>
      <c r="M80" s="1"/>
      <c r="N80" s="5">
        <f t="shared" si="41"/>
        <v>0.3112974910394265</v>
      </c>
      <c r="O80" s="12"/>
      <c r="P80" s="1">
        <f>SUM(OSRRefP22_9x_0)</f>
        <v>29359.94</v>
      </c>
      <c r="Q80" s="1"/>
      <c r="R80" s="5">
        <f t="shared" si="42"/>
        <v>4.2037228661000407E-3</v>
      </c>
      <c r="S80" s="1"/>
      <c r="T80" s="1">
        <f>SUM(OSRRefT22_9x_0)</f>
        <v>19571</v>
      </c>
      <c r="U80" s="1"/>
      <c r="V80" s="5">
        <f t="shared" si="43"/>
        <v>1.8057674427668325E-3</v>
      </c>
      <c r="W80" s="1"/>
      <c r="X80" s="1">
        <f t="shared" si="44"/>
        <v>9788.9399999999987</v>
      </c>
      <c r="Y80" s="1"/>
      <c r="Z80" s="5">
        <f t="shared" si="45"/>
        <v>0.50017577027234161</v>
      </c>
    </row>
    <row r="81" spans="1:26" s="24" customFormat="1" hidden="1" outlineLevel="2" x14ac:dyDescent="0.25">
      <c r="A81" s="27"/>
      <c r="B81" s="11" t="str">
        <f>CONCATENATE("          ", "6351", " - ", "EQUIPMENT RENTAL")</f>
        <v xml:space="preserve">          6351 - EQUIPMENT RENTAL</v>
      </c>
      <c r="C81" s="11"/>
      <c r="D81" s="6">
        <v>1829.26</v>
      </c>
      <c r="E81" s="2"/>
      <c r="F81" s="7">
        <f t="shared" si="38"/>
        <v>15.311458943667866</v>
      </c>
      <c r="G81" s="2"/>
      <c r="H81" s="6">
        <v>1395</v>
      </c>
      <c r="I81" s="2"/>
      <c r="J81" s="7">
        <f t="shared" si="39"/>
        <v>3.8609824885761971E-3</v>
      </c>
      <c r="K81" s="2"/>
      <c r="L81" s="6">
        <f t="shared" si="40"/>
        <v>434.26</v>
      </c>
      <c r="M81" s="2"/>
      <c r="N81" s="7">
        <f t="shared" si="41"/>
        <v>0.3112974910394265</v>
      </c>
      <c r="O81" s="11"/>
      <c r="P81" s="6">
        <v>29359.94</v>
      </c>
      <c r="Q81" s="2"/>
      <c r="R81" s="7">
        <f t="shared" si="42"/>
        <v>4.2037228661000407E-3</v>
      </c>
      <c r="S81" s="2"/>
      <c r="T81" s="6">
        <v>19571</v>
      </c>
      <c r="U81" s="2"/>
      <c r="V81" s="7">
        <f t="shared" si="43"/>
        <v>1.8057674427668325E-3</v>
      </c>
      <c r="W81" s="2"/>
      <c r="X81" s="6">
        <f t="shared" si="44"/>
        <v>9788.9399999999987</v>
      </c>
      <c r="Y81" s="2"/>
      <c r="Z81" s="7">
        <f t="shared" si="45"/>
        <v>0.50017577027234161</v>
      </c>
    </row>
    <row r="82" spans="1:26" s="26" customFormat="1" outlineLevel="1" collapsed="1" x14ac:dyDescent="0.25">
      <c r="A82" s="25"/>
      <c r="B82" s="12" t="str">
        <f>CONCATENATE("     ","Freight out/Postage                               ")</f>
        <v xml:space="preserve">     Freight out/Postage                               </v>
      </c>
      <c r="C82" s="12"/>
      <c r="D82" s="1">
        <f>SUM(OSRRefD22_10x_0)</f>
        <v>0</v>
      </c>
      <c r="E82" s="1"/>
      <c r="F82" s="5">
        <f t="shared" si="38"/>
        <v>0</v>
      </c>
      <c r="G82" s="1"/>
      <c r="H82" s="1">
        <f>SUM(OSRRefH22_10x_0)</f>
        <v>0</v>
      </c>
      <c r="I82" s="1"/>
      <c r="J82" s="5">
        <f t="shared" si="39"/>
        <v>0</v>
      </c>
      <c r="K82" s="1"/>
      <c r="L82" s="1">
        <f t="shared" si="40"/>
        <v>0</v>
      </c>
      <c r="M82" s="1"/>
      <c r="N82" s="5">
        <f t="shared" si="41"/>
        <v>0</v>
      </c>
      <c r="O82" s="12"/>
      <c r="P82" s="1">
        <f>SUM(OSRRefP22_10x_0)</f>
        <v>331.76</v>
      </c>
      <c r="Q82" s="1"/>
      <c r="R82" s="5">
        <f t="shared" si="42"/>
        <v>4.7501020031285812E-5</v>
      </c>
      <c r="S82" s="1"/>
      <c r="T82" s="1">
        <f>SUM(OSRRefT22_10x_0)</f>
        <v>0</v>
      </c>
      <c r="U82" s="1"/>
      <c r="V82" s="5">
        <f t="shared" si="43"/>
        <v>0</v>
      </c>
      <c r="W82" s="1"/>
      <c r="X82" s="1">
        <f t="shared" si="44"/>
        <v>331.76</v>
      </c>
      <c r="Y82" s="1"/>
      <c r="Z82" s="5">
        <f t="shared" si="45"/>
        <v>0</v>
      </c>
    </row>
    <row r="83" spans="1:26" s="24" customFormat="1" hidden="1" outlineLevel="2" x14ac:dyDescent="0.25">
      <c r="A83" s="27"/>
      <c r="B83" s="11" t="str">
        <f>CONCATENATE("          ", "6305", " - ", "FREIGHT OUT")</f>
        <v xml:space="preserve">          6305 - FREIGHT OUT</v>
      </c>
      <c r="C83" s="11"/>
      <c r="D83" s="6"/>
      <c r="E83" s="2"/>
      <c r="F83" s="7">
        <f t="shared" si="38"/>
        <v>0</v>
      </c>
      <c r="G83" s="2"/>
      <c r="H83" s="6"/>
      <c r="I83" s="2"/>
      <c r="J83" s="7">
        <f t="shared" si="39"/>
        <v>0</v>
      </c>
      <c r="K83" s="2"/>
      <c r="L83" s="6">
        <f t="shared" si="40"/>
        <v>0</v>
      </c>
      <c r="M83" s="2"/>
      <c r="N83" s="7">
        <f t="shared" si="41"/>
        <v>0</v>
      </c>
      <c r="O83" s="11"/>
      <c r="P83" s="6">
        <v>331.18</v>
      </c>
      <c r="Q83" s="2"/>
      <c r="R83" s="7">
        <f t="shared" si="42"/>
        <v>4.7417976289972378E-5</v>
      </c>
      <c r="S83" s="2"/>
      <c r="T83" s="6"/>
      <c r="U83" s="2"/>
      <c r="V83" s="7">
        <f t="shared" si="43"/>
        <v>0</v>
      </c>
      <c r="W83" s="2"/>
      <c r="X83" s="6">
        <f t="shared" si="44"/>
        <v>331.18</v>
      </c>
      <c r="Y83" s="2"/>
      <c r="Z83" s="7">
        <f t="shared" si="45"/>
        <v>0</v>
      </c>
    </row>
    <row r="84" spans="1:26" s="24" customFormat="1" hidden="1" outlineLevel="2" x14ac:dyDescent="0.25">
      <c r="A84" s="27"/>
      <c r="B84" s="11" t="str">
        <f>CONCATENATE("          ", "6307", " - ", "POSTAGE")</f>
        <v xml:space="preserve">          6307 - POSTAGE</v>
      </c>
      <c r="C84" s="11"/>
      <c r="D84" s="6"/>
      <c r="E84" s="2"/>
      <c r="F84" s="7">
        <f t="shared" si="38"/>
        <v>0</v>
      </c>
      <c r="G84" s="2"/>
      <c r="H84" s="6"/>
      <c r="I84" s="2"/>
      <c r="J84" s="7">
        <f t="shared" si="39"/>
        <v>0</v>
      </c>
      <c r="K84" s="2"/>
      <c r="L84" s="6">
        <f t="shared" si="40"/>
        <v>0</v>
      </c>
      <c r="M84" s="2"/>
      <c r="N84" s="7">
        <f t="shared" si="41"/>
        <v>0</v>
      </c>
      <c r="O84" s="11"/>
      <c r="P84" s="6">
        <v>0.57999999999999996</v>
      </c>
      <c r="Q84" s="2"/>
      <c r="R84" s="7">
        <f t="shared" si="42"/>
        <v>8.3043741313436733E-8</v>
      </c>
      <c r="S84" s="2"/>
      <c r="T84" s="6"/>
      <c r="U84" s="2"/>
      <c r="V84" s="7">
        <f t="shared" si="43"/>
        <v>0</v>
      </c>
      <c r="W84" s="2"/>
      <c r="X84" s="6">
        <f t="shared" si="44"/>
        <v>0.57999999999999996</v>
      </c>
      <c r="Y84" s="2"/>
      <c r="Z84" s="7">
        <f t="shared" si="45"/>
        <v>0</v>
      </c>
    </row>
    <row r="85" spans="1:26" s="26" customFormat="1" outlineLevel="1" collapsed="1" x14ac:dyDescent="0.25">
      <c r="A85" s="25"/>
      <c r="B85" s="12" t="str">
        <f>CONCATENATE("     ","General                                           ")</f>
        <v xml:space="preserve">     General                                           </v>
      </c>
      <c r="C85" s="12"/>
      <c r="D85" s="1">
        <f>SUM(OSRRefD22_11x_0)</f>
        <v>4574.0600000000004</v>
      </c>
      <c r="E85" s="1"/>
      <c r="F85" s="5">
        <f t="shared" ref="F85:F87" si="46">IF(D$12=0,0,D85/D$12)</f>
        <v>38.286264334142466</v>
      </c>
      <c r="G85" s="1"/>
      <c r="H85" s="1">
        <f>SUM(OSRRefH22_11x_0)</f>
        <v>1990</v>
      </c>
      <c r="I85" s="1"/>
      <c r="J85" s="5">
        <f t="shared" ref="J85:J87" si="47">IF(H$12=0,0,H85/H$12)</f>
        <v>5.5077814711588756E-3</v>
      </c>
      <c r="K85" s="1"/>
      <c r="L85" s="1">
        <f t="shared" ref="L85:L87" si="48">+D85-H85</f>
        <v>2584.0600000000004</v>
      </c>
      <c r="M85" s="1"/>
      <c r="N85" s="5">
        <f t="shared" ref="N85:N87" si="49">IF(H85=0,0,L85/H85)</f>
        <v>1.2985226130653269</v>
      </c>
      <c r="O85" s="12"/>
      <c r="P85" s="1">
        <f>SUM(OSRRefP22_11x_0)</f>
        <v>98942.55</v>
      </c>
      <c r="Q85" s="1"/>
      <c r="R85" s="5">
        <f t="shared" ref="R85:R87" si="50">IF(P$12=0,0,P85/P$12)</f>
        <v>1.4166481943261689E-2</v>
      </c>
      <c r="S85" s="1"/>
      <c r="T85" s="1">
        <f>SUM(OSRRefT22_11x_0)</f>
        <v>60721</v>
      </c>
      <c r="U85" s="1"/>
      <c r="V85" s="5">
        <f t="shared" ref="V85:V87" si="51">IF(T$12=0,0,T85/T$12)</f>
        <v>5.6025754888480326E-3</v>
      </c>
      <c r="W85" s="1"/>
      <c r="X85" s="1">
        <f t="shared" ref="X85:X87" si="52">+P85-T85</f>
        <v>38221.550000000003</v>
      </c>
      <c r="Y85" s="1"/>
      <c r="Z85" s="5">
        <f t="shared" ref="Z85:Z87" si="53">IF(T85=0,0,X85/T85)</f>
        <v>0.62946180069498203</v>
      </c>
    </row>
    <row r="86" spans="1:26" s="24" customFormat="1" hidden="1" outlineLevel="2" x14ac:dyDescent="0.25">
      <c r="A86" s="27"/>
      <c r="B86" s="11" t="str">
        <f>CONCATENATE("          ", "6269", " - ", "ENTERTAINMENT")</f>
        <v xml:space="preserve">          6269 - ENTERTAINMENT</v>
      </c>
      <c r="C86" s="11"/>
      <c r="D86" s="6"/>
      <c r="E86" s="2"/>
      <c r="F86" s="7">
        <f t="shared" si="46"/>
        <v>0</v>
      </c>
      <c r="G86" s="2"/>
      <c r="H86" s="6">
        <v>0</v>
      </c>
      <c r="I86" s="2"/>
      <c r="J86" s="7">
        <f t="shared" si="47"/>
        <v>0</v>
      </c>
      <c r="K86" s="2"/>
      <c r="L86" s="6">
        <f t="shared" si="48"/>
        <v>0</v>
      </c>
      <c r="M86" s="2"/>
      <c r="N86" s="7">
        <f t="shared" si="49"/>
        <v>0</v>
      </c>
      <c r="O86" s="11"/>
      <c r="P86" s="6">
        <v>10050</v>
      </c>
      <c r="Q86" s="2"/>
      <c r="R86" s="7">
        <f t="shared" si="50"/>
        <v>1.4389475865517916E-3</v>
      </c>
      <c r="S86" s="2"/>
      <c r="T86" s="6">
        <v>7250</v>
      </c>
      <c r="U86" s="2"/>
      <c r="V86" s="7">
        <f t="shared" si="51"/>
        <v>6.6893944918806068E-4</v>
      </c>
      <c r="W86" s="2"/>
      <c r="X86" s="6">
        <f t="shared" si="52"/>
        <v>2800</v>
      </c>
      <c r="Y86" s="2"/>
      <c r="Z86" s="7">
        <f t="shared" si="53"/>
        <v>0.38620689655172413</v>
      </c>
    </row>
    <row r="87" spans="1:26" s="24" customFormat="1" hidden="1" outlineLevel="2" x14ac:dyDescent="0.25">
      <c r="A87" s="27"/>
      <c r="B87" s="11" t="str">
        <f>CONCATENATE("          ", "6279", " - ", "GENERAL EXPENSE")</f>
        <v xml:space="preserve">          6279 - GENERAL EXPENSE</v>
      </c>
      <c r="C87" s="11"/>
      <c r="D87" s="6">
        <v>4574.0600000000004</v>
      </c>
      <c r="E87" s="2"/>
      <c r="F87" s="7">
        <f t="shared" si="46"/>
        <v>38.286264334142466</v>
      </c>
      <c r="G87" s="2"/>
      <c r="H87" s="6">
        <v>1990</v>
      </c>
      <c r="I87" s="2"/>
      <c r="J87" s="7">
        <f t="shared" si="47"/>
        <v>5.5077814711588756E-3</v>
      </c>
      <c r="K87" s="2"/>
      <c r="L87" s="6">
        <f t="shared" si="48"/>
        <v>2584.0600000000004</v>
      </c>
      <c r="M87" s="2"/>
      <c r="N87" s="7">
        <f t="shared" si="49"/>
        <v>1.2985226130653269</v>
      </c>
      <c r="O87" s="11"/>
      <c r="P87" s="6">
        <v>88892.55</v>
      </c>
      <c r="Q87" s="2"/>
      <c r="R87" s="7">
        <f t="shared" si="50"/>
        <v>1.2727534356709898E-2</v>
      </c>
      <c r="S87" s="2"/>
      <c r="T87" s="6">
        <v>53471</v>
      </c>
      <c r="U87" s="2"/>
      <c r="V87" s="7">
        <f t="shared" si="51"/>
        <v>4.9336360396599714E-3</v>
      </c>
      <c r="W87" s="2"/>
      <c r="X87" s="6">
        <f t="shared" si="52"/>
        <v>35421.550000000003</v>
      </c>
      <c r="Y87" s="2"/>
      <c r="Z87" s="7">
        <f t="shared" si="53"/>
        <v>0.66244412859306923</v>
      </c>
    </row>
    <row r="88" spans="1:26" s="26" customFormat="1" outlineLevel="1" collapsed="1" x14ac:dyDescent="0.25">
      <c r="A88" s="25"/>
      <c r="B88" s="12" t="str">
        <f>CONCATENATE("     ","Insurance                                         ")</f>
        <v xml:space="preserve">     Insurance                                         </v>
      </c>
      <c r="C88" s="12"/>
      <c r="D88" s="1">
        <f>SUM(OSRRefD22_12x_0)</f>
        <v>4483.67</v>
      </c>
      <c r="E88" s="1"/>
      <c r="F88" s="5">
        <f t="shared" ref="F88:F102" si="54">IF(D$12=0,0,D88/D$12)</f>
        <v>37.529672721185236</v>
      </c>
      <c r="G88" s="1"/>
      <c r="H88" s="1">
        <f>SUM(OSRRefH22_12x_0)</f>
        <v>4234</v>
      </c>
      <c r="I88" s="1"/>
      <c r="J88" s="5">
        <f t="shared" ref="J88:J102" si="55">IF(H$12=0,0,H88/H$12)</f>
        <v>1.1718566205470694E-2</v>
      </c>
      <c r="K88" s="1"/>
      <c r="L88" s="1">
        <f t="shared" ref="L88:L102" si="56">+D88-H88</f>
        <v>249.67000000000007</v>
      </c>
      <c r="M88" s="1"/>
      <c r="N88" s="5">
        <f t="shared" ref="N88:N102" si="57">IF(H88=0,0,L88/H88)</f>
        <v>5.8967879074161567E-2</v>
      </c>
      <c r="O88" s="12"/>
      <c r="P88" s="1">
        <f>SUM(OSRRefP22_12x_0)</f>
        <v>59565.04</v>
      </c>
      <c r="Q88" s="1"/>
      <c r="R88" s="5">
        <f t="shared" ref="R88:R102" si="58">IF(P$12=0,0,P88/P$12)</f>
        <v>8.528454781180193E-3</v>
      </c>
      <c r="S88" s="1"/>
      <c r="T88" s="1">
        <f>SUM(OSRRefT22_12x_0)</f>
        <v>50808</v>
      </c>
      <c r="U88" s="1"/>
      <c r="V88" s="5">
        <f t="shared" ref="V88:V102" si="59">IF(T$12=0,0,T88/T$12)</f>
        <v>4.6879276599099294E-3</v>
      </c>
      <c r="W88" s="1"/>
      <c r="X88" s="1">
        <f t="shared" ref="X88:X102" si="60">+P88-T88</f>
        <v>8757.0400000000009</v>
      </c>
      <c r="Y88" s="1"/>
      <c r="Z88" s="5">
        <f t="shared" ref="Z88:Z102" si="61">IF(T88=0,0,X88/T88)</f>
        <v>0.17235553456148639</v>
      </c>
    </row>
    <row r="89" spans="1:26" s="24" customFormat="1" hidden="1" outlineLevel="2" x14ac:dyDescent="0.25">
      <c r="A89" s="27"/>
      <c r="B89" s="11" t="str">
        <f>CONCATENATE("          ", "6314", " - ", "LIABILITY INSURANCE")</f>
        <v xml:space="preserve">          6314 - LIABILITY INSURANCE</v>
      </c>
      <c r="C89" s="11"/>
      <c r="D89" s="6">
        <v>4483.67</v>
      </c>
      <c r="E89" s="2"/>
      <c r="F89" s="7">
        <f t="shared" si="54"/>
        <v>37.529672721185236</v>
      </c>
      <c r="G89" s="2"/>
      <c r="H89" s="6">
        <v>4234</v>
      </c>
      <c r="I89" s="2"/>
      <c r="J89" s="7">
        <f t="shared" si="55"/>
        <v>1.1718566205470694E-2</v>
      </c>
      <c r="K89" s="2"/>
      <c r="L89" s="6">
        <f t="shared" si="56"/>
        <v>249.67000000000007</v>
      </c>
      <c r="M89" s="2"/>
      <c r="N89" s="7">
        <f t="shared" si="57"/>
        <v>5.8967879074161567E-2</v>
      </c>
      <c r="O89" s="11"/>
      <c r="P89" s="6">
        <v>59565.04</v>
      </c>
      <c r="Q89" s="2"/>
      <c r="R89" s="7">
        <f t="shared" si="58"/>
        <v>8.528454781180193E-3</v>
      </c>
      <c r="S89" s="2"/>
      <c r="T89" s="6">
        <v>50808</v>
      </c>
      <c r="U89" s="2"/>
      <c r="V89" s="7">
        <f t="shared" si="59"/>
        <v>4.6879276599099294E-3</v>
      </c>
      <c r="W89" s="2"/>
      <c r="X89" s="6">
        <f t="shared" si="60"/>
        <v>8757.0400000000009</v>
      </c>
      <c r="Y89" s="2"/>
      <c r="Z89" s="7">
        <f t="shared" si="61"/>
        <v>0.17235553456148639</v>
      </c>
    </row>
    <row r="90" spans="1:26" s="26" customFormat="1" outlineLevel="1" collapsed="1" x14ac:dyDescent="0.25">
      <c r="A90" s="25"/>
      <c r="B90" s="12" t="str">
        <f>CONCATENATE("     ","Interest                                          ")</f>
        <v xml:space="preserve">     Interest                                          </v>
      </c>
      <c r="C90" s="12"/>
      <c r="D90" s="1">
        <f>SUM(OSRRefD22_13x_0)</f>
        <v>11929</v>
      </c>
      <c r="E90" s="1"/>
      <c r="F90" s="5">
        <f t="shared" si="54"/>
        <v>99.849334560977653</v>
      </c>
      <c r="G90" s="1"/>
      <c r="H90" s="1">
        <f>SUM(OSRRefH22_13x_0)</f>
        <v>11554</v>
      </c>
      <c r="I90" s="1"/>
      <c r="J90" s="5">
        <f t="shared" si="55"/>
        <v>3.1978345285311384E-2</v>
      </c>
      <c r="K90" s="1"/>
      <c r="L90" s="1">
        <f t="shared" si="56"/>
        <v>375</v>
      </c>
      <c r="M90" s="1"/>
      <c r="N90" s="5">
        <f t="shared" si="57"/>
        <v>3.2456292193179852E-2</v>
      </c>
      <c r="O90" s="12"/>
      <c r="P90" s="1">
        <f>SUM(OSRRefP22_13x_0)</f>
        <v>139548.05000000002</v>
      </c>
      <c r="Q90" s="1"/>
      <c r="R90" s="5">
        <f t="shared" si="58"/>
        <v>1.9980331318956098E-2</v>
      </c>
      <c r="S90" s="1"/>
      <c r="T90" s="1">
        <f>SUM(OSRRefT22_13x_0)</f>
        <v>142400</v>
      </c>
      <c r="U90" s="1"/>
      <c r="V90" s="5">
        <f t="shared" si="59"/>
        <v>1.3138893457155841E-2</v>
      </c>
      <c r="W90" s="1"/>
      <c r="X90" s="1">
        <f t="shared" si="60"/>
        <v>-2851.9499999999825</v>
      </c>
      <c r="Y90" s="1"/>
      <c r="Z90" s="5">
        <f t="shared" si="61"/>
        <v>-2.002773876404482E-2</v>
      </c>
    </row>
    <row r="91" spans="1:26" s="24" customFormat="1" hidden="1" outlineLevel="2" x14ac:dyDescent="0.25">
      <c r="A91" s="27"/>
      <c r="B91" s="11" t="str">
        <f>CONCATENATE("          ", "6401", " - ", "INTEREST EXPENSE")</f>
        <v xml:space="preserve">          6401 - INTEREST EXPENSE</v>
      </c>
      <c r="C91" s="11"/>
      <c r="D91" s="6">
        <v>11929</v>
      </c>
      <c r="E91" s="2"/>
      <c r="F91" s="7">
        <f t="shared" si="54"/>
        <v>99.849334560977653</v>
      </c>
      <c r="G91" s="2"/>
      <c r="H91" s="6">
        <v>11554</v>
      </c>
      <c r="I91" s="2"/>
      <c r="J91" s="7">
        <f t="shared" si="55"/>
        <v>3.1978345285311384E-2</v>
      </c>
      <c r="K91" s="2"/>
      <c r="L91" s="6">
        <f t="shared" si="56"/>
        <v>375</v>
      </c>
      <c r="M91" s="2"/>
      <c r="N91" s="7">
        <f t="shared" si="57"/>
        <v>3.2456292193179852E-2</v>
      </c>
      <c r="O91" s="11"/>
      <c r="P91" s="6">
        <v>139548.05000000002</v>
      </c>
      <c r="Q91" s="2"/>
      <c r="R91" s="7">
        <f t="shared" si="58"/>
        <v>1.9980331318956098E-2</v>
      </c>
      <c r="S91" s="2"/>
      <c r="T91" s="6">
        <v>142400</v>
      </c>
      <c r="U91" s="2"/>
      <c r="V91" s="7">
        <f t="shared" si="59"/>
        <v>1.3138893457155841E-2</v>
      </c>
      <c r="W91" s="2"/>
      <c r="X91" s="6">
        <f t="shared" si="60"/>
        <v>-2851.9499999999825</v>
      </c>
      <c r="Y91" s="2"/>
      <c r="Z91" s="7">
        <f t="shared" si="61"/>
        <v>-2.002773876404482E-2</v>
      </c>
    </row>
    <row r="92" spans="1:26" s="26" customFormat="1" outlineLevel="1" collapsed="1" x14ac:dyDescent="0.25">
      <c r="A92" s="25"/>
      <c r="B92" s="12" t="str">
        <f>CONCATENATE("     ","Professional Services                             ")</f>
        <v xml:space="preserve">     Professional Services                             </v>
      </c>
      <c r="C92" s="12"/>
      <c r="D92" s="1">
        <f>SUM(OSRRefD22_14x_0)</f>
        <v>0</v>
      </c>
      <c r="E92" s="1"/>
      <c r="F92" s="5">
        <f t="shared" si="54"/>
        <v>0</v>
      </c>
      <c r="G92" s="1"/>
      <c r="H92" s="1">
        <f>SUM(OSRRefH22_14x_0)</f>
        <v>0</v>
      </c>
      <c r="I92" s="1"/>
      <c r="J92" s="5">
        <f t="shared" si="55"/>
        <v>0</v>
      </c>
      <c r="K92" s="1"/>
      <c r="L92" s="1">
        <f t="shared" si="56"/>
        <v>0</v>
      </c>
      <c r="M92" s="1"/>
      <c r="N92" s="5">
        <f t="shared" si="57"/>
        <v>0</v>
      </c>
      <c r="O92" s="12"/>
      <c r="P92" s="1">
        <f>SUM(OSRRefP22_14x_0)</f>
        <v>125</v>
      </c>
      <c r="Q92" s="1"/>
      <c r="R92" s="5">
        <f t="shared" si="58"/>
        <v>1.789735804168895E-5</v>
      </c>
      <c r="S92" s="1"/>
      <c r="T92" s="1">
        <f>SUM(OSRRefT22_14x_0)</f>
        <v>0</v>
      </c>
      <c r="U92" s="1"/>
      <c r="V92" s="5">
        <f t="shared" si="59"/>
        <v>0</v>
      </c>
      <c r="W92" s="1"/>
      <c r="X92" s="1">
        <f t="shared" si="60"/>
        <v>125</v>
      </c>
      <c r="Y92" s="1"/>
      <c r="Z92" s="5">
        <f t="shared" si="61"/>
        <v>0</v>
      </c>
    </row>
    <row r="93" spans="1:26" s="24" customFormat="1" hidden="1" outlineLevel="2" x14ac:dyDescent="0.25">
      <c r="A93" s="27"/>
      <c r="B93" s="11" t="str">
        <f>CONCATENATE("          ", "6336", " - ", "PROFESSIONAL SERVICES")</f>
        <v xml:space="preserve">          6336 - PROFESSIONAL SERVICES</v>
      </c>
      <c r="C93" s="11"/>
      <c r="D93" s="6"/>
      <c r="E93" s="2"/>
      <c r="F93" s="7">
        <f t="shared" si="54"/>
        <v>0</v>
      </c>
      <c r="G93" s="2"/>
      <c r="H93" s="6"/>
      <c r="I93" s="2"/>
      <c r="J93" s="7">
        <f t="shared" si="55"/>
        <v>0</v>
      </c>
      <c r="K93" s="2"/>
      <c r="L93" s="6">
        <f t="shared" si="56"/>
        <v>0</v>
      </c>
      <c r="M93" s="2"/>
      <c r="N93" s="7">
        <f t="shared" si="57"/>
        <v>0</v>
      </c>
      <c r="O93" s="11"/>
      <c r="P93" s="6">
        <v>125</v>
      </c>
      <c r="Q93" s="2"/>
      <c r="R93" s="7">
        <f t="shared" si="58"/>
        <v>1.789735804168895E-5</v>
      </c>
      <c r="S93" s="2"/>
      <c r="T93" s="6"/>
      <c r="U93" s="2"/>
      <c r="V93" s="7">
        <f t="shared" si="59"/>
        <v>0</v>
      </c>
      <c r="W93" s="2"/>
      <c r="X93" s="6">
        <f t="shared" si="60"/>
        <v>125</v>
      </c>
      <c r="Y93" s="2"/>
      <c r="Z93" s="7">
        <f t="shared" si="61"/>
        <v>0</v>
      </c>
    </row>
    <row r="94" spans="1:26" s="26" customFormat="1" outlineLevel="1" collapsed="1" x14ac:dyDescent="0.25">
      <c r="A94" s="25"/>
      <c r="B94" s="12" t="str">
        <f>CONCATENATE("     ","R/H Commissions                                   ")</f>
        <v xml:space="preserve">     R/H Commissions                                   </v>
      </c>
      <c r="C94" s="12"/>
      <c r="D94" s="1">
        <f>SUM(OSRRefD22_15x_0)</f>
        <v>0</v>
      </c>
      <c r="E94" s="1"/>
      <c r="F94" s="5">
        <f t="shared" si="54"/>
        <v>0</v>
      </c>
      <c r="G94" s="1"/>
      <c r="H94" s="1">
        <f>SUM(OSRRefH22_15x_0)</f>
        <v>0</v>
      </c>
      <c r="I94" s="1"/>
      <c r="J94" s="5">
        <f t="shared" si="55"/>
        <v>0</v>
      </c>
      <c r="K94" s="1"/>
      <c r="L94" s="1">
        <f t="shared" si="56"/>
        <v>0</v>
      </c>
      <c r="M94" s="1"/>
      <c r="N94" s="5">
        <f t="shared" si="57"/>
        <v>0</v>
      </c>
      <c r="O94" s="12"/>
      <c r="P94" s="1">
        <f>SUM(OSRRefP22_15x_0)</f>
        <v>0</v>
      </c>
      <c r="Q94" s="1"/>
      <c r="R94" s="5">
        <f t="shared" si="58"/>
        <v>0</v>
      </c>
      <c r="S94" s="1"/>
      <c r="T94" s="1">
        <f>SUM(OSRRefT22_15x_0)</f>
        <v>0</v>
      </c>
      <c r="U94" s="1"/>
      <c r="V94" s="5">
        <f t="shared" si="59"/>
        <v>0</v>
      </c>
      <c r="W94" s="1"/>
      <c r="X94" s="1">
        <f t="shared" si="60"/>
        <v>0</v>
      </c>
      <c r="Y94" s="1"/>
      <c r="Z94" s="5">
        <f t="shared" si="61"/>
        <v>0</v>
      </c>
    </row>
    <row r="95" spans="1:26" s="24" customFormat="1" hidden="1" outlineLevel="2" x14ac:dyDescent="0.25">
      <c r="A95" s="27"/>
      <c r="B95" s="11" t="str">
        <f>CONCATENATE("          ", "6387", " - ", "COMMISSION DUE HOUSING")</f>
        <v xml:space="preserve">          6387 - COMMISSION DUE HOUSING</v>
      </c>
      <c r="C95" s="11"/>
      <c r="D95" s="6"/>
      <c r="E95" s="2"/>
      <c r="F95" s="7">
        <f t="shared" si="54"/>
        <v>0</v>
      </c>
      <c r="G95" s="2"/>
      <c r="H95" s="6"/>
      <c r="I95" s="2"/>
      <c r="J95" s="7">
        <f t="shared" si="55"/>
        <v>0</v>
      </c>
      <c r="K95" s="2"/>
      <c r="L95" s="6">
        <f t="shared" si="56"/>
        <v>0</v>
      </c>
      <c r="M95" s="2"/>
      <c r="N95" s="7">
        <f t="shared" si="57"/>
        <v>0</v>
      </c>
      <c r="O95" s="11"/>
      <c r="P95" s="6"/>
      <c r="Q95" s="2"/>
      <c r="R95" s="7">
        <f t="shared" si="58"/>
        <v>0</v>
      </c>
      <c r="S95" s="2"/>
      <c r="T95" s="6">
        <v>0</v>
      </c>
      <c r="U95" s="2"/>
      <c r="V95" s="7">
        <f t="shared" si="59"/>
        <v>0</v>
      </c>
      <c r="W95" s="2"/>
      <c r="X95" s="6">
        <f t="shared" si="60"/>
        <v>0</v>
      </c>
      <c r="Y95" s="2"/>
      <c r="Z95" s="7">
        <f t="shared" si="61"/>
        <v>0</v>
      </c>
    </row>
    <row r="96" spans="1:26" s="26" customFormat="1" outlineLevel="1" collapsed="1" x14ac:dyDescent="0.25">
      <c r="A96" s="25"/>
      <c r="B96" s="12" t="str">
        <f>CONCATENATE("     ","Rent                                              ")</f>
        <v xml:space="preserve">     Rent                                              </v>
      </c>
      <c r="C96" s="12"/>
      <c r="D96" s="1">
        <f>SUM(OSRRefD22_16x_0)</f>
        <v>3000</v>
      </c>
      <c r="E96" s="1"/>
      <c r="F96" s="5">
        <f t="shared" si="54"/>
        <v>25.110906503724784</v>
      </c>
      <c r="G96" s="1"/>
      <c r="H96" s="1">
        <f>SUM(OSRRefH22_16x_0)</f>
        <v>3000</v>
      </c>
      <c r="I96" s="1"/>
      <c r="J96" s="5">
        <f t="shared" si="55"/>
        <v>8.3031881474756927E-3</v>
      </c>
      <c r="K96" s="1"/>
      <c r="L96" s="1">
        <f t="shared" si="56"/>
        <v>0</v>
      </c>
      <c r="M96" s="1"/>
      <c r="N96" s="5">
        <f t="shared" si="57"/>
        <v>0</v>
      </c>
      <c r="O96" s="12"/>
      <c r="P96" s="1">
        <f>SUM(OSRRefP22_16x_0)</f>
        <v>36000</v>
      </c>
      <c r="Q96" s="1"/>
      <c r="R96" s="5">
        <f t="shared" si="58"/>
        <v>5.1544391160064183E-3</v>
      </c>
      <c r="S96" s="1"/>
      <c r="T96" s="1">
        <f>SUM(OSRRefT22_16x_0)</f>
        <v>36000</v>
      </c>
      <c r="U96" s="1"/>
      <c r="V96" s="5">
        <f t="shared" si="59"/>
        <v>3.3216303683820947E-3</v>
      </c>
      <c r="W96" s="1"/>
      <c r="X96" s="1">
        <f t="shared" si="60"/>
        <v>0</v>
      </c>
      <c r="Y96" s="1"/>
      <c r="Z96" s="5">
        <f t="shared" si="61"/>
        <v>0</v>
      </c>
    </row>
    <row r="97" spans="1:26" s="24" customFormat="1" hidden="1" outlineLevel="2" x14ac:dyDescent="0.25">
      <c r="A97" s="27"/>
      <c r="B97" s="11" t="str">
        <f>CONCATENATE("          ", "6273", " - ", "RENT")</f>
        <v xml:space="preserve">          6273 - RENT</v>
      </c>
      <c r="C97" s="11"/>
      <c r="D97" s="6">
        <v>3000</v>
      </c>
      <c r="E97" s="2"/>
      <c r="F97" s="7">
        <f t="shared" si="54"/>
        <v>25.110906503724784</v>
      </c>
      <c r="G97" s="2"/>
      <c r="H97" s="6">
        <v>3000</v>
      </c>
      <c r="I97" s="2"/>
      <c r="J97" s="7">
        <f t="shared" si="55"/>
        <v>8.3031881474756927E-3</v>
      </c>
      <c r="K97" s="2"/>
      <c r="L97" s="6">
        <f t="shared" si="56"/>
        <v>0</v>
      </c>
      <c r="M97" s="2"/>
      <c r="N97" s="7">
        <f t="shared" si="57"/>
        <v>0</v>
      </c>
      <c r="O97" s="11"/>
      <c r="P97" s="6">
        <v>36000</v>
      </c>
      <c r="Q97" s="2"/>
      <c r="R97" s="7">
        <f t="shared" si="58"/>
        <v>5.1544391160064183E-3</v>
      </c>
      <c r="S97" s="2"/>
      <c r="T97" s="6">
        <v>36000</v>
      </c>
      <c r="U97" s="2"/>
      <c r="V97" s="7">
        <f t="shared" si="59"/>
        <v>3.3216303683820947E-3</v>
      </c>
      <c r="W97" s="2"/>
      <c r="X97" s="6">
        <f t="shared" si="60"/>
        <v>0</v>
      </c>
      <c r="Y97" s="2"/>
      <c r="Z97" s="7">
        <f t="shared" si="61"/>
        <v>0</v>
      </c>
    </row>
    <row r="98" spans="1:26" s="26" customFormat="1" outlineLevel="1" collapsed="1" x14ac:dyDescent="0.25">
      <c r="A98" s="25"/>
      <c r="B98" s="12" t="str">
        <f>CONCATENATE("     ","Repair and Maintenance                            ")</f>
        <v xml:space="preserve">     Repair and Maintenance                            </v>
      </c>
      <c r="C98" s="12"/>
      <c r="D98" s="1">
        <f>SUM(OSRRefD22_17x_0)</f>
        <v>7992.74</v>
      </c>
      <c r="E98" s="1"/>
      <c r="F98" s="5">
        <f t="shared" si="54"/>
        <v>66.901648949527072</v>
      </c>
      <c r="G98" s="1"/>
      <c r="H98" s="1">
        <f>SUM(OSRRefH22_17x_0)</f>
        <v>16230</v>
      </c>
      <c r="I98" s="1"/>
      <c r="J98" s="5">
        <f t="shared" si="55"/>
        <v>4.4920247877843496E-2</v>
      </c>
      <c r="K98" s="1"/>
      <c r="L98" s="1">
        <f t="shared" si="56"/>
        <v>-8237.26</v>
      </c>
      <c r="M98" s="1"/>
      <c r="N98" s="5">
        <f t="shared" si="57"/>
        <v>-0.50753296364756628</v>
      </c>
      <c r="O98" s="12"/>
      <c r="P98" s="1">
        <f>SUM(OSRRefP22_17x_0)</f>
        <v>251979.42</v>
      </c>
      <c r="Q98" s="1"/>
      <c r="R98" s="5">
        <f t="shared" si="58"/>
        <v>3.6078127191016947E-2</v>
      </c>
      <c r="S98" s="1"/>
      <c r="T98" s="1">
        <f>SUM(OSRRefT22_17x_0)</f>
        <v>273371</v>
      </c>
      <c r="U98" s="1"/>
      <c r="V98" s="5">
        <f t="shared" si="59"/>
        <v>2.5223261539860601E-2</v>
      </c>
      <c r="W98" s="1"/>
      <c r="X98" s="1">
        <f t="shared" si="60"/>
        <v>-21391.579999999987</v>
      </c>
      <c r="Y98" s="1"/>
      <c r="Z98" s="5">
        <f t="shared" si="61"/>
        <v>-7.8251094666222779E-2</v>
      </c>
    </row>
    <row r="99" spans="1:26" s="24" customFormat="1" hidden="1" outlineLevel="2" x14ac:dyDescent="0.25">
      <c r="A99" s="27"/>
      <c r="B99" s="11" t="str">
        <f>CONCATENATE("          ", "6371", " - ", "COMPUTER SOFTWARE MAINTENANCE")</f>
        <v xml:space="preserve">          6371 - COMPUTER SOFTWARE MAINTENANCE</v>
      </c>
      <c r="C99" s="11"/>
      <c r="D99" s="6"/>
      <c r="E99" s="2"/>
      <c r="F99" s="7">
        <f t="shared" si="54"/>
        <v>0</v>
      </c>
      <c r="G99" s="2"/>
      <c r="H99" s="6">
        <v>550</v>
      </c>
      <c r="I99" s="2"/>
      <c r="J99" s="7">
        <f t="shared" si="55"/>
        <v>1.5222511603705435E-3</v>
      </c>
      <c r="K99" s="2"/>
      <c r="L99" s="6">
        <f t="shared" si="56"/>
        <v>-550</v>
      </c>
      <c r="M99" s="2"/>
      <c r="N99" s="7">
        <f t="shared" si="57"/>
        <v>-1</v>
      </c>
      <c r="O99" s="11"/>
      <c r="P99" s="6">
        <v>12244.62</v>
      </c>
      <c r="Q99" s="2"/>
      <c r="R99" s="7">
        <f t="shared" si="58"/>
        <v>1.753170785795403E-3</v>
      </c>
      <c r="S99" s="2"/>
      <c r="T99" s="6">
        <v>3050</v>
      </c>
      <c r="U99" s="2"/>
      <c r="V99" s="7">
        <f t="shared" si="59"/>
        <v>2.814159062101497E-4</v>
      </c>
      <c r="W99" s="2"/>
      <c r="X99" s="6">
        <f t="shared" si="60"/>
        <v>9194.6200000000008</v>
      </c>
      <c r="Y99" s="2"/>
      <c r="Z99" s="7">
        <f t="shared" si="61"/>
        <v>3.0146295081967214</v>
      </c>
    </row>
    <row r="100" spans="1:26" s="24" customFormat="1" hidden="1" outlineLevel="2" x14ac:dyDescent="0.25">
      <c r="A100" s="27"/>
      <c r="B100" s="11" t="str">
        <f>CONCATENATE("          ", "6372", " - ", "COMPUTER HARDWARE MAINTENANCE")</f>
        <v xml:space="preserve">          6372 - COMPUTER HARDWARE MAINTENANCE</v>
      </c>
      <c r="C100" s="11"/>
      <c r="D100" s="6"/>
      <c r="E100" s="2"/>
      <c r="F100" s="7">
        <f t="shared" si="54"/>
        <v>0</v>
      </c>
      <c r="G100" s="2"/>
      <c r="H100" s="6"/>
      <c r="I100" s="2"/>
      <c r="J100" s="7">
        <f t="shared" si="55"/>
        <v>0</v>
      </c>
      <c r="K100" s="2"/>
      <c r="L100" s="6">
        <f t="shared" si="56"/>
        <v>0</v>
      </c>
      <c r="M100" s="2"/>
      <c r="N100" s="7">
        <f t="shared" si="57"/>
        <v>0</v>
      </c>
      <c r="O100" s="11"/>
      <c r="P100" s="6">
        <v>8142.87</v>
      </c>
      <c r="Q100" s="2"/>
      <c r="R100" s="7">
        <f t="shared" si="58"/>
        <v>1.1658868790154217E-3</v>
      </c>
      <c r="S100" s="2"/>
      <c r="T100" s="6">
        <v>200</v>
      </c>
      <c r="U100" s="2"/>
      <c r="V100" s="7">
        <f t="shared" si="59"/>
        <v>1.8453502046567192E-5</v>
      </c>
      <c r="W100" s="2"/>
      <c r="X100" s="6">
        <f t="shared" si="60"/>
        <v>7942.87</v>
      </c>
      <c r="Y100" s="2"/>
      <c r="Z100" s="7">
        <f t="shared" si="61"/>
        <v>39.714349999999996</v>
      </c>
    </row>
    <row r="101" spans="1:26" s="24" customFormat="1" hidden="1" outlineLevel="2" x14ac:dyDescent="0.25">
      <c r="A101" s="27"/>
      <c r="B101" s="11" t="str">
        <f>CONCATENATE("          ", "6373", " - ", "MAINTENANCE CONTRACTS")</f>
        <v xml:space="preserve">          6373 - MAINTENANCE CONTRACTS</v>
      </c>
      <c r="C101" s="11"/>
      <c r="D101" s="6">
        <v>7992.74</v>
      </c>
      <c r="E101" s="2"/>
      <c r="F101" s="7">
        <f t="shared" si="54"/>
        <v>66.901648949527072</v>
      </c>
      <c r="G101" s="2"/>
      <c r="H101" s="6">
        <v>2448</v>
      </c>
      <c r="I101" s="2"/>
      <c r="J101" s="7">
        <f t="shared" si="55"/>
        <v>6.7754015283401654E-3</v>
      </c>
      <c r="K101" s="2"/>
      <c r="L101" s="6">
        <f t="shared" si="56"/>
        <v>5544.74</v>
      </c>
      <c r="M101" s="2"/>
      <c r="N101" s="7">
        <f t="shared" si="57"/>
        <v>2.2650081699346405</v>
      </c>
      <c r="O101" s="11"/>
      <c r="P101" s="6">
        <v>102134.05</v>
      </c>
      <c r="Q101" s="2"/>
      <c r="R101" s="7">
        <f t="shared" si="58"/>
        <v>1.4623437288782092E-2</v>
      </c>
      <c r="S101" s="2"/>
      <c r="T101" s="6">
        <v>27892</v>
      </c>
      <c r="U101" s="2"/>
      <c r="V101" s="7">
        <f t="shared" si="59"/>
        <v>2.5735253954142605E-3</v>
      </c>
      <c r="W101" s="2"/>
      <c r="X101" s="6">
        <f t="shared" si="60"/>
        <v>74242.05</v>
      </c>
      <c r="Y101" s="2"/>
      <c r="Z101" s="7">
        <f t="shared" si="61"/>
        <v>2.6617686074860174</v>
      </c>
    </row>
    <row r="102" spans="1:26" s="24" customFormat="1" hidden="1" outlineLevel="2" x14ac:dyDescent="0.25">
      <c r="A102" s="27"/>
      <c r="B102" s="11" t="str">
        <f>CONCATENATE("          ", "6375", " - ", "OUTSIDE REPAIRS &amp; MAINTENANCE")</f>
        <v xml:space="preserve">          6375 - OUTSIDE REPAIRS &amp; MAINTENANCE</v>
      </c>
      <c r="C102" s="11"/>
      <c r="D102" s="6"/>
      <c r="E102" s="2"/>
      <c r="F102" s="7">
        <f t="shared" si="54"/>
        <v>0</v>
      </c>
      <c r="G102" s="2"/>
      <c r="H102" s="6">
        <v>13232</v>
      </c>
      <c r="I102" s="2"/>
      <c r="J102" s="7">
        <f t="shared" si="55"/>
        <v>3.6622595189132787E-2</v>
      </c>
      <c r="K102" s="2"/>
      <c r="L102" s="6">
        <f t="shared" si="56"/>
        <v>-13232</v>
      </c>
      <c r="M102" s="2"/>
      <c r="N102" s="7">
        <f t="shared" si="57"/>
        <v>-1</v>
      </c>
      <c r="O102" s="11"/>
      <c r="P102" s="6">
        <v>129457.88</v>
      </c>
      <c r="Q102" s="2"/>
      <c r="R102" s="7">
        <f t="shared" si="58"/>
        <v>1.8535632237424028E-2</v>
      </c>
      <c r="S102" s="2"/>
      <c r="T102" s="6">
        <v>242229.00000000003</v>
      </c>
      <c r="U102" s="2"/>
      <c r="V102" s="7">
        <f t="shared" si="59"/>
        <v>2.2349866736189626E-2</v>
      </c>
      <c r="W102" s="2"/>
      <c r="X102" s="6">
        <f t="shared" si="60"/>
        <v>-112771.12000000002</v>
      </c>
      <c r="Y102" s="2"/>
      <c r="Z102" s="7">
        <f t="shared" si="61"/>
        <v>-0.46555581701612941</v>
      </c>
    </row>
    <row r="103" spans="1:26" s="26" customFormat="1" outlineLevel="1" collapsed="1" x14ac:dyDescent="0.25">
      <c r="A103" s="25"/>
      <c r="B103" s="12" t="str">
        <f>CONCATENATE("     ","Royalty &amp; Commissions                             ")</f>
        <v xml:space="preserve">     Royalty &amp; Commissions                             </v>
      </c>
      <c r="C103" s="12"/>
      <c r="D103" s="1">
        <f>SUM(OSRRefD22_18x_0)</f>
        <v>0</v>
      </c>
      <c r="E103" s="1"/>
      <c r="F103" s="5">
        <f t="shared" ref="F103:F107" si="62">IF(D$12=0,0,D103/D$12)</f>
        <v>0</v>
      </c>
      <c r="G103" s="1"/>
      <c r="H103" s="1">
        <f>SUM(OSRRefH22_18x_0)</f>
        <v>10915</v>
      </c>
      <c r="I103" s="1"/>
      <c r="J103" s="5">
        <f t="shared" ref="J103:J107" si="63">IF(H$12=0,0,H103/H$12)</f>
        <v>3.0209766209899062E-2</v>
      </c>
      <c r="K103" s="1"/>
      <c r="L103" s="1">
        <f t="shared" ref="L103:L107" si="64">+D103-H103</f>
        <v>-10915</v>
      </c>
      <c r="M103" s="1"/>
      <c r="N103" s="5">
        <f t="shared" ref="N103:N107" si="65">IF(H103=0,0,L103/H103)</f>
        <v>-1</v>
      </c>
      <c r="O103" s="12"/>
      <c r="P103" s="1">
        <f>SUM(OSRRefP22_18x_0)</f>
        <v>258319.61</v>
      </c>
      <c r="Q103" s="1"/>
      <c r="R103" s="5">
        <f t="shared" ref="R103:R107" si="66">IF(P$12=0,0,P103/P$12)</f>
        <v>3.6985908394875623E-2</v>
      </c>
      <c r="S103" s="1"/>
      <c r="T103" s="1">
        <f>SUM(OSRRefT22_18x_0)</f>
        <v>417692</v>
      </c>
      <c r="U103" s="1"/>
      <c r="V103" s="5">
        <f t="shared" ref="V103:V107" si="67">IF(T$12=0,0,T103/T$12)</f>
        <v>3.8539400884173715E-2</v>
      </c>
      <c r="W103" s="1"/>
      <c r="X103" s="1">
        <f t="shared" ref="X103:X107" si="68">+P103-T103</f>
        <v>-159372.39000000001</v>
      </c>
      <c r="Y103" s="1"/>
      <c r="Z103" s="5">
        <f t="shared" ref="Z103:Z107" si="69">IF(T103=0,0,X103/T103)</f>
        <v>-0.38155480593355873</v>
      </c>
    </row>
    <row r="104" spans="1:26" s="24" customFormat="1" hidden="1" outlineLevel="2" x14ac:dyDescent="0.25">
      <c r="A104" s="27"/>
      <c r="B104" s="11" t="str">
        <f>CONCATENATE("          ", "6252", " - ", "ROYALTY DUE CSTV")</f>
        <v xml:space="preserve">          6252 - ROYALTY DUE CSTV</v>
      </c>
      <c r="C104" s="11"/>
      <c r="D104" s="6"/>
      <c r="E104" s="2"/>
      <c r="F104" s="7">
        <f t="shared" si="62"/>
        <v>0</v>
      </c>
      <c r="G104" s="2"/>
      <c r="H104" s="6"/>
      <c r="I104" s="2"/>
      <c r="J104" s="7">
        <f t="shared" si="63"/>
        <v>0</v>
      </c>
      <c r="K104" s="2"/>
      <c r="L104" s="6">
        <f t="shared" si="64"/>
        <v>0</v>
      </c>
      <c r="M104" s="2"/>
      <c r="N104" s="7">
        <f t="shared" si="65"/>
        <v>0</v>
      </c>
      <c r="O104" s="11"/>
      <c r="P104" s="6"/>
      <c r="Q104" s="2"/>
      <c r="R104" s="7">
        <f t="shared" si="66"/>
        <v>0</v>
      </c>
      <c r="S104" s="2"/>
      <c r="T104" s="6">
        <v>46000</v>
      </c>
      <c r="U104" s="2"/>
      <c r="V104" s="7">
        <f t="shared" si="67"/>
        <v>4.2443054707104544E-3</v>
      </c>
      <c r="W104" s="2"/>
      <c r="X104" s="6">
        <f t="shared" si="68"/>
        <v>-46000</v>
      </c>
      <c r="Y104" s="2"/>
      <c r="Z104" s="7">
        <f t="shared" si="69"/>
        <v>-1</v>
      </c>
    </row>
    <row r="105" spans="1:26" s="24" customFormat="1" hidden="1" outlineLevel="2" x14ac:dyDescent="0.25">
      <c r="A105" s="27"/>
      <c r="B105" s="11" t="str">
        <f>CONCATENATE("          ", "6253", " - ", "ROYALTY DUE ATHLETICS-LRG")</f>
        <v xml:space="preserve">          6253 - ROYALTY DUE ATHLETICS-LRG</v>
      </c>
      <c r="C105" s="11"/>
      <c r="D105" s="6"/>
      <c r="E105" s="2"/>
      <c r="F105" s="7">
        <f t="shared" si="62"/>
        <v>0</v>
      </c>
      <c r="G105" s="2"/>
      <c r="H105" s="6">
        <v>6000</v>
      </c>
      <c r="I105" s="2"/>
      <c r="J105" s="7">
        <f t="shared" si="63"/>
        <v>1.6606376294951385E-2</v>
      </c>
      <c r="K105" s="2"/>
      <c r="L105" s="6">
        <f t="shared" si="64"/>
        <v>-6000</v>
      </c>
      <c r="M105" s="2"/>
      <c r="N105" s="7">
        <f t="shared" si="65"/>
        <v>-1</v>
      </c>
      <c r="O105" s="11"/>
      <c r="P105" s="6"/>
      <c r="Q105" s="2"/>
      <c r="R105" s="7">
        <f t="shared" si="66"/>
        <v>0</v>
      </c>
      <c r="S105" s="2"/>
      <c r="T105" s="6">
        <v>173000</v>
      </c>
      <c r="U105" s="2"/>
      <c r="V105" s="7">
        <f t="shared" si="67"/>
        <v>1.596227927028062E-2</v>
      </c>
      <c r="W105" s="2"/>
      <c r="X105" s="6">
        <f t="shared" si="68"/>
        <v>-173000</v>
      </c>
      <c r="Y105" s="2"/>
      <c r="Z105" s="7">
        <f t="shared" si="69"/>
        <v>-1</v>
      </c>
    </row>
    <row r="106" spans="1:26" s="24" customFormat="1" hidden="1" outlineLevel="2" x14ac:dyDescent="0.25">
      <c r="A106" s="27"/>
      <c r="B106" s="11" t="str">
        <f>CONCATENATE("          ", "6254", " - ", "ROYALTY &amp; COMMISSIONS")</f>
        <v xml:space="preserve">          6254 - ROYALTY &amp; COMMISSIONS</v>
      </c>
      <c r="C106" s="11"/>
      <c r="D106" s="6"/>
      <c r="E106" s="2"/>
      <c r="F106" s="7">
        <f t="shared" si="62"/>
        <v>0</v>
      </c>
      <c r="G106" s="2"/>
      <c r="H106" s="6">
        <v>1000</v>
      </c>
      <c r="I106" s="2"/>
      <c r="J106" s="7">
        <f t="shared" si="63"/>
        <v>2.7677293824918976E-3</v>
      </c>
      <c r="K106" s="2"/>
      <c r="L106" s="6">
        <f t="shared" si="64"/>
        <v>-1000</v>
      </c>
      <c r="M106" s="2"/>
      <c r="N106" s="7">
        <f t="shared" si="65"/>
        <v>-1</v>
      </c>
      <c r="O106" s="11"/>
      <c r="P106" s="6">
        <v>153649.65</v>
      </c>
      <c r="Q106" s="2"/>
      <c r="R106" s="7">
        <f t="shared" si="66"/>
        <v>2.1999382392241543E-2</v>
      </c>
      <c r="S106" s="2"/>
      <c r="T106" s="6">
        <v>7117</v>
      </c>
      <c r="U106" s="2"/>
      <c r="V106" s="7">
        <f t="shared" si="67"/>
        <v>6.5666787032709359E-4</v>
      </c>
      <c r="W106" s="2"/>
      <c r="X106" s="6">
        <f t="shared" si="68"/>
        <v>146532.65</v>
      </c>
      <c r="Y106" s="2"/>
      <c r="Z106" s="7">
        <f t="shared" si="69"/>
        <v>20.589103554868622</v>
      </c>
    </row>
    <row r="107" spans="1:26" s="24" customFormat="1" hidden="1" outlineLevel="2" x14ac:dyDescent="0.25">
      <c r="A107" s="27"/>
      <c r="B107" s="11" t="str">
        <f>CONCATENATE("          ", "6259", " - ", "ROYALTY &amp; COMMISSIONS")</f>
        <v xml:space="preserve">          6259 - ROYALTY &amp; COMMISSIONS</v>
      </c>
      <c r="C107" s="11"/>
      <c r="D107" s="6"/>
      <c r="E107" s="2"/>
      <c r="F107" s="7">
        <f t="shared" si="62"/>
        <v>0</v>
      </c>
      <c r="G107" s="2"/>
      <c r="H107" s="6">
        <v>3915</v>
      </c>
      <c r="I107" s="2"/>
      <c r="J107" s="7">
        <f t="shared" si="63"/>
        <v>1.0835660532455778E-2</v>
      </c>
      <c r="K107" s="2"/>
      <c r="L107" s="6">
        <f t="shared" si="64"/>
        <v>-3915</v>
      </c>
      <c r="M107" s="2"/>
      <c r="N107" s="7">
        <f t="shared" si="65"/>
        <v>-1</v>
      </c>
      <c r="O107" s="11"/>
      <c r="P107" s="6">
        <v>104669.95999999999</v>
      </c>
      <c r="Q107" s="2"/>
      <c r="R107" s="7">
        <f t="shared" si="66"/>
        <v>1.4986526002634086E-2</v>
      </c>
      <c r="S107" s="2"/>
      <c r="T107" s="6">
        <v>191575</v>
      </c>
      <c r="U107" s="2"/>
      <c r="V107" s="7">
        <f t="shared" si="67"/>
        <v>1.767614827285555E-2</v>
      </c>
      <c r="W107" s="2"/>
      <c r="X107" s="6">
        <f t="shared" si="68"/>
        <v>-86905.040000000008</v>
      </c>
      <c r="Y107" s="2"/>
      <c r="Z107" s="7">
        <f t="shared" si="69"/>
        <v>-0.45363455565705341</v>
      </c>
    </row>
    <row r="108" spans="1:26" s="26" customFormat="1" outlineLevel="1" collapsed="1" x14ac:dyDescent="0.25">
      <c r="A108" s="25"/>
      <c r="B108" s="12" t="str">
        <f>CONCATENATE("     ","Services                                          ")</f>
        <v xml:space="preserve">     Services                                          </v>
      </c>
      <c r="C108" s="12"/>
      <c r="D108" s="1">
        <f>SUM(OSRRefD22_19x_0)</f>
        <v>22180.81</v>
      </c>
      <c r="E108" s="1"/>
      <c r="F108" s="5">
        <f t="shared" ref="F108:F114" si="70">IF(D$12=0,0,D108/D$12)</f>
        <v>185.66008202896126</v>
      </c>
      <c r="G108" s="1"/>
      <c r="H108" s="1">
        <f>SUM(OSRRefH22_19x_0)</f>
        <v>23236</v>
      </c>
      <c r="I108" s="1"/>
      <c r="J108" s="5">
        <f t="shared" ref="J108:J114" si="71">IF(H$12=0,0,H108/H$12)</f>
        <v>6.4310959931581729E-2</v>
      </c>
      <c r="K108" s="1"/>
      <c r="L108" s="1">
        <f t="shared" ref="L108:L114" si="72">+D108-H108</f>
        <v>-1055.1899999999987</v>
      </c>
      <c r="M108" s="1"/>
      <c r="N108" s="5">
        <f t="shared" ref="N108:N114" si="73">IF(H108=0,0,L108/H108)</f>
        <v>-4.5411860905491423E-2</v>
      </c>
      <c r="O108" s="12"/>
      <c r="P108" s="1">
        <f>SUM(OSRRefP22_19x_0)</f>
        <v>257201.99</v>
      </c>
      <c r="Q108" s="1"/>
      <c r="R108" s="5">
        <f t="shared" ref="R108:R114" si="74">IF(P$12=0,0,P108/P$12)</f>
        <v>3.6825888832519207E-2</v>
      </c>
      <c r="S108" s="1"/>
      <c r="T108" s="1">
        <f>SUM(OSRRefT22_19x_0)</f>
        <v>281443</v>
      </c>
      <c r="U108" s="1"/>
      <c r="V108" s="5">
        <f t="shared" ref="V108:V114" si="75">IF(T$12=0,0,T108/T$12)</f>
        <v>2.5968044882460052E-2</v>
      </c>
      <c r="W108" s="1"/>
      <c r="X108" s="1">
        <f t="shared" ref="X108:X114" si="76">+P108-T108</f>
        <v>-24241.010000000009</v>
      </c>
      <c r="Y108" s="1"/>
      <c r="Z108" s="5">
        <f t="shared" ref="Z108:Z114" si="77">IF(T108=0,0,X108/T108)</f>
        <v>-8.6131152666792249E-2</v>
      </c>
    </row>
    <row r="109" spans="1:26" s="24" customFormat="1" hidden="1" outlineLevel="2" x14ac:dyDescent="0.25">
      <c r="A109" s="27"/>
      <c r="B109" s="11" t="str">
        <f>CONCATENATE("          ", "6281", " - ", "STORAGE FEE")</f>
        <v xml:space="preserve">          6281 - STORAGE FEE</v>
      </c>
      <c r="C109" s="11"/>
      <c r="D109" s="6"/>
      <c r="E109" s="2"/>
      <c r="F109" s="7">
        <f t="shared" si="70"/>
        <v>0</v>
      </c>
      <c r="G109" s="2"/>
      <c r="H109" s="6"/>
      <c r="I109" s="2"/>
      <c r="J109" s="7">
        <f t="shared" si="71"/>
        <v>0</v>
      </c>
      <c r="K109" s="2"/>
      <c r="L109" s="6">
        <f t="shared" si="72"/>
        <v>0</v>
      </c>
      <c r="M109" s="2"/>
      <c r="N109" s="7">
        <f t="shared" si="73"/>
        <v>0</v>
      </c>
      <c r="O109" s="11"/>
      <c r="P109" s="6"/>
      <c r="Q109" s="2"/>
      <c r="R109" s="7">
        <f t="shared" si="74"/>
        <v>0</v>
      </c>
      <c r="S109" s="2"/>
      <c r="T109" s="6">
        <v>0</v>
      </c>
      <c r="U109" s="2"/>
      <c r="V109" s="7">
        <f t="shared" si="75"/>
        <v>0</v>
      </c>
      <c r="W109" s="2"/>
      <c r="X109" s="6">
        <f t="shared" si="76"/>
        <v>0</v>
      </c>
      <c r="Y109" s="2"/>
      <c r="Z109" s="7">
        <f t="shared" si="77"/>
        <v>0</v>
      </c>
    </row>
    <row r="110" spans="1:26" s="24" customFormat="1" hidden="1" outlineLevel="2" x14ac:dyDescent="0.25">
      <c r="A110" s="27"/>
      <c r="B110" s="11" t="str">
        <f>CONCATENATE("          ", "6282", " - ", "JANITORIAL/EXTERMINATOR EXPENS")</f>
        <v xml:space="preserve">          6282 - JANITORIAL/EXTERMINATOR EXPENS</v>
      </c>
      <c r="C110" s="11"/>
      <c r="D110" s="6">
        <v>2492.3000000000002</v>
      </c>
      <c r="E110" s="2"/>
      <c r="F110" s="7">
        <f t="shared" si="70"/>
        <v>20.861304093077763</v>
      </c>
      <c r="G110" s="2"/>
      <c r="H110" s="6">
        <v>1899</v>
      </c>
      <c r="I110" s="2"/>
      <c r="J110" s="7">
        <f t="shared" si="71"/>
        <v>5.2559180973521134E-3</v>
      </c>
      <c r="K110" s="2"/>
      <c r="L110" s="6">
        <f t="shared" si="72"/>
        <v>593.30000000000018</v>
      </c>
      <c r="M110" s="2"/>
      <c r="N110" s="7">
        <f t="shared" si="73"/>
        <v>0.31242759347024762</v>
      </c>
      <c r="O110" s="11"/>
      <c r="P110" s="6">
        <v>21589.129999999997</v>
      </c>
      <c r="Q110" s="2"/>
      <c r="R110" s="7">
        <f t="shared" si="74"/>
        <v>3.091107115348545E-3</v>
      </c>
      <c r="S110" s="2"/>
      <c r="T110" s="6">
        <v>21852</v>
      </c>
      <c r="U110" s="2"/>
      <c r="V110" s="7">
        <f t="shared" si="75"/>
        <v>2.0162296336079313E-3</v>
      </c>
      <c r="W110" s="2"/>
      <c r="X110" s="6">
        <f t="shared" si="76"/>
        <v>-262.87000000000262</v>
      </c>
      <c r="Y110" s="2"/>
      <c r="Z110" s="7">
        <f t="shared" si="77"/>
        <v>-1.202956251144072E-2</v>
      </c>
    </row>
    <row r="111" spans="1:26" s="24" customFormat="1" hidden="1" outlineLevel="2" x14ac:dyDescent="0.25">
      <c r="A111" s="27"/>
      <c r="B111" s="11" t="str">
        <f>CONCATENATE("          ", "6283", " - ", "PLANT SERVICE")</f>
        <v xml:space="preserve">          6283 - PLANT SERVICE</v>
      </c>
      <c r="C111" s="11"/>
      <c r="D111" s="6"/>
      <c r="E111" s="2"/>
      <c r="F111" s="7">
        <f t="shared" si="70"/>
        <v>0</v>
      </c>
      <c r="G111" s="2"/>
      <c r="H111" s="6">
        <v>185</v>
      </c>
      <c r="I111" s="2"/>
      <c r="J111" s="7">
        <f t="shared" si="71"/>
        <v>5.1202993576100102E-4</v>
      </c>
      <c r="K111" s="2"/>
      <c r="L111" s="6">
        <f t="shared" si="72"/>
        <v>-185</v>
      </c>
      <c r="M111" s="2"/>
      <c r="N111" s="7">
        <f t="shared" si="73"/>
        <v>-1</v>
      </c>
      <c r="O111" s="11"/>
      <c r="P111" s="6">
        <v>1798.02</v>
      </c>
      <c r="Q111" s="2"/>
      <c r="R111" s="7">
        <f t="shared" si="74"/>
        <v>2.5743846164894056E-4</v>
      </c>
      <c r="S111" s="2"/>
      <c r="T111" s="6">
        <v>2185</v>
      </c>
      <c r="U111" s="2"/>
      <c r="V111" s="7">
        <f t="shared" si="75"/>
        <v>2.0160450985874659E-4</v>
      </c>
      <c r="W111" s="2"/>
      <c r="X111" s="6">
        <f t="shared" si="76"/>
        <v>-386.98</v>
      </c>
      <c r="Y111" s="2"/>
      <c r="Z111" s="7">
        <f t="shared" si="77"/>
        <v>-0.17710755148741419</v>
      </c>
    </row>
    <row r="112" spans="1:26" s="24" customFormat="1" hidden="1" outlineLevel="2" x14ac:dyDescent="0.25">
      <c r="A112" s="27"/>
      <c r="B112" s="11" t="str">
        <f>CONCATENATE("          ", "6284", " - ", "TRASH REMOVAL EXPENSE")</f>
        <v xml:space="preserve">          6284 - TRASH REMOVAL EXPENSE</v>
      </c>
      <c r="C112" s="11"/>
      <c r="D112" s="6">
        <v>5417</v>
      </c>
      <c r="E112" s="2"/>
      <c r="F112" s="7">
        <f t="shared" si="70"/>
        <v>45.341926843559051</v>
      </c>
      <c r="G112" s="2"/>
      <c r="H112" s="6">
        <v>3665</v>
      </c>
      <c r="I112" s="2"/>
      <c r="J112" s="7">
        <f t="shared" si="71"/>
        <v>1.0143728186832804E-2</v>
      </c>
      <c r="K112" s="2"/>
      <c r="L112" s="6">
        <f t="shared" si="72"/>
        <v>1752</v>
      </c>
      <c r="M112" s="2"/>
      <c r="N112" s="7">
        <f t="shared" si="73"/>
        <v>0.47803547066848567</v>
      </c>
      <c r="O112" s="11"/>
      <c r="P112" s="6">
        <v>57136</v>
      </c>
      <c r="Q112" s="2"/>
      <c r="R112" s="7">
        <f t="shared" si="74"/>
        <v>8.1806675925595197E-3</v>
      </c>
      <c r="S112" s="2"/>
      <c r="T112" s="6">
        <v>43980</v>
      </c>
      <c r="U112" s="2"/>
      <c r="V112" s="7">
        <f t="shared" si="75"/>
        <v>4.0579251000401259E-3</v>
      </c>
      <c r="W112" s="2"/>
      <c r="X112" s="6">
        <f t="shared" si="76"/>
        <v>13156</v>
      </c>
      <c r="Y112" s="2"/>
      <c r="Z112" s="7">
        <f t="shared" si="77"/>
        <v>0.29913597089586175</v>
      </c>
    </row>
    <row r="113" spans="1:26" s="24" customFormat="1" hidden="1" outlineLevel="2" x14ac:dyDescent="0.25">
      <c r="A113" s="27"/>
      <c r="B113" s="11" t="str">
        <f>CONCATENATE("          ", "6285", " - ", "JANITORIAL SERVICES")</f>
        <v xml:space="preserve">          6285 - JANITORIAL SERVICES</v>
      </c>
      <c r="C113" s="11"/>
      <c r="D113" s="6">
        <v>14271.51</v>
      </c>
      <c r="E113" s="2"/>
      <c r="F113" s="7">
        <f t="shared" si="70"/>
        <v>119.45685109232444</v>
      </c>
      <c r="G113" s="2"/>
      <c r="H113" s="6">
        <v>13205</v>
      </c>
      <c r="I113" s="2"/>
      <c r="J113" s="7">
        <f t="shared" si="71"/>
        <v>3.6547866495805506E-2</v>
      </c>
      <c r="K113" s="2"/>
      <c r="L113" s="6">
        <f t="shared" si="72"/>
        <v>1066.5100000000002</v>
      </c>
      <c r="M113" s="2"/>
      <c r="N113" s="7">
        <f t="shared" si="73"/>
        <v>8.0765619083680434E-2</v>
      </c>
      <c r="O113" s="11"/>
      <c r="P113" s="6">
        <v>143481.06</v>
      </c>
      <c r="Q113" s="2"/>
      <c r="R113" s="7">
        <f t="shared" si="74"/>
        <v>2.0543455224168439E-2</v>
      </c>
      <c r="S113" s="2"/>
      <c r="T113" s="6">
        <v>160940</v>
      </c>
      <c r="U113" s="2"/>
      <c r="V113" s="7">
        <f t="shared" si="75"/>
        <v>1.4849533096872619E-2</v>
      </c>
      <c r="W113" s="2"/>
      <c r="X113" s="6">
        <f t="shared" si="76"/>
        <v>-17458.940000000002</v>
      </c>
      <c r="Y113" s="2"/>
      <c r="Z113" s="7">
        <f t="shared" si="77"/>
        <v>-0.10848104883807631</v>
      </c>
    </row>
    <row r="114" spans="1:26" s="24" customFormat="1" hidden="1" outlineLevel="2" x14ac:dyDescent="0.25">
      <c r="A114" s="27"/>
      <c r="B114" s="11" t="str">
        <f>CONCATENATE("          ", "6286", " - ", "LAUNDRY EXPENSE")</f>
        <v xml:space="preserve">          6286 - LAUNDRY EXPENSE</v>
      </c>
      <c r="C114" s="11"/>
      <c r="D114" s="6"/>
      <c r="E114" s="2"/>
      <c r="F114" s="7">
        <f t="shared" si="70"/>
        <v>0</v>
      </c>
      <c r="G114" s="2"/>
      <c r="H114" s="6">
        <v>4282</v>
      </c>
      <c r="I114" s="2"/>
      <c r="J114" s="7">
        <f t="shared" si="71"/>
        <v>1.1851417215830305E-2</v>
      </c>
      <c r="K114" s="2"/>
      <c r="L114" s="6">
        <f t="shared" si="72"/>
        <v>-4282</v>
      </c>
      <c r="M114" s="2"/>
      <c r="N114" s="7">
        <f t="shared" si="73"/>
        <v>-1</v>
      </c>
      <c r="O114" s="11"/>
      <c r="P114" s="6">
        <v>33197.78</v>
      </c>
      <c r="Q114" s="2"/>
      <c r="R114" s="7">
        <f t="shared" si="74"/>
        <v>4.7532204387937651E-3</v>
      </c>
      <c r="S114" s="2"/>
      <c r="T114" s="6">
        <v>52486</v>
      </c>
      <c r="U114" s="2"/>
      <c r="V114" s="7">
        <f t="shared" si="75"/>
        <v>4.8427525420806283E-3</v>
      </c>
      <c r="W114" s="2"/>
      <c r="X114" s="6">
        <f t="shared" si="76"/>
        <v>-19288.22</v>
      </c>
      <c r="Y114" s="2"/>
      <c r="Z114" s="7">
        <f t="shared" si="77"/>
        <v>-0.3674926647105895</v>
      </c>
    </row>
    <row r="115" spans="1:26" s="26" customFormat="1" outlineLevel="1" collapsed="1" x14ac:dyDescent="0.25">
      <c r="A115" s="25"/>
      <c r="B115" s="12" t="str">
        <f>CONCATENATE("     ","Subscriptions &amp; Dues                              ")</f>
        <v xml:space="preserve">     Subscriptions &amp; Dues                              </v>
      </c>
      <c r="C115" s="12"/>
      <c r="D115" s="1">
        <f>SUM(OSRRefD22_20x_0)</f>
        <v>0</v>
      </c>
      <c r="E115" s="1"/>
      <c r="F115" s="5">
        <f t="shared" ref="F115:F117" si="78">IF(D$12=0,0,D115/D$12)</f>
        <v>0</v>
      </c>
      <c r="G115" s="1"/>
      <c r="H115" s="1">
        <f>SUM(OSRRefH22_20x_0)</f>
        <v>574</v>
      </c>
      <c r="I115" s="1"/>
      <c r="J115" s="5">
        <f t="shared" ref="J115:J117" si="79">IF(H$12=0,0,H115/H$12)</f>
        <v>1.5886766655503492E-3</v>
      </c>
      <c r="K115" s="1"/>
      <c r="L115" s="1">
        <f t="shared" ref="L115:L117" si="80">+D115-H115</f>
        <v>-574</v>
      </c>
      <c r="M115" s="1"/>
      <c r="N115" s="5">
        <f t="shared" ref="N115:N117" si="81">IF(H115=0,0,L115/H115)</f>
        <v>-1</v>
      </c>
      <c r="O115" s="12"/>
      <c r="P115" s="1">
        <f>SUM(OSRRefP22_20x_0)</f>
        <v>8711.75</v>
      </c>
      <c r="Q115" s="1"/>
      <c r="R115" s="5">
        <f t="shared" ref="R115:R117" si="82">IF(P$12=0,0,P115/P$12)</f>
        <v>1.2473384713574697E-3</v>
      </c>
      <c r="S115" s="1"/>
      <c r="T115" s="1">
        <f>SUM(OSRRefT22_20x_0)</f>
        <v>7013</v>
      </c>
      <c r="U115" s="1"/>
      <c r="V115" s="5">
        <f t="shared" ref="V115:V117" si="83">IF(T$12=0,0,T115/T$12)</f>
        <v>6.4707204926287855E-4</v>
      </c>
      <c r="W115" s="1"/>
      <c r="X115" s="1">
        <f t="shared" ref="X115:X117" si="84">+P115-T115</f>
        <v>1698.75</v>
      </c>
      <c r="Y115" s="1"/>
      <c r="Z115" s="5">
        <f t="shared" ref="Z115:Z117" si="85">IF(T115=0,0,X115/T115)</f>
        <v>0.24222871809496649</v>
      </c>
    </row>
    <row r="116" spans="1:26" s="24" customFormat="1" hidden="1" outlineLevel="2" x14ac:dyDescent="0.25">
      <c r="A116" s="27"/>
      <c r="B116" s="11" t="str">
        <f>CONCATENATE("          ", "6258", " - ", "MEMBERSHIP DUES")</f>
        <v xml:space="preserve">          6258 - MEMBERSHIP DUES</v>
      </c>
      <c r="C116" s="11"/>
      <c r="D116" s="6"/>
      <c r="E116" s="2"/>
      <c r="F116" s="7">
        <f t="shared" si="78"/>
        <v>0</v>
      </c>
      <c r="G116" s="2"/>
      <c r="H116" s="6"/>
      <c r="I116" s="2"/>
      <c r="J116" s="7">
        <f t="shared" si="79"/>
        <v>0</v>
      </c>
      <c r="K116" s="2"/>
      <c r="L116" s="6">
        <f t="shared" si="80"/>
        <v>0</v>
      </c>
      <c r="M116" s="2"/>
      <c r="N116" s="7">
        <f t="shared" si="81"/>
        <v>0</v>
      </c>
      <c r="O116" s="11"/>
      <c r="P116" s="6">
        <v>3730</v>
      </c>
      <c r="Q116" s="2"/>
      <c r="R116" s="7">
        <f t="shared" si="82"/>
        <v>5.340571639639983E-4</v>
      </c>
      <c r="S116" s="2"/>
      <c r="T116" s="6">
        <v>300</v>
      </c>
      <c r="U116" s="2"/>
      <c r="V116" s="7">
        <f t="shared" si="83"/>
        <v>2.7680253069850787E-5</v>
      </c>
      <c r="W116" s="2"/>
      <c r="X116" s="6">
        <f t="shared" si="84"/>
        <v>3430</v>
      </c>
      <c r="Y116" s="2"/>
      <c r="Z116" s="7">
        <f t="shared" si="85"/>
        <v>11.433333333333334</v>
      </c>
    </row>
    <row r="117" spans="1:26" s="24" customFormat="1" hidden="1" outlineLevel="2" x14ac:dyDescent="0.25">
      <c r="A117" s="27"/>
      <c r="B117" s="11" t="str">
        <f>CONCATENATE("          ", "6275", " - ", "SUBSCRIPTIONS")</f>
        <v xml:space="preserve">          6275 - SUBSCRIPTIONS</v>
      </c>
      <c r="C117" s="11"/>
      <c r="D117" s="6"/>
      <c r="E117" s="2"/>
      <c r="F117" s="7">
        <f t="shared" si="78"/>
        <v>0</v>
      </c>
      <c r="G117" s="2"/>
      <c r="H117" s="6">
        <v>574</v>
      </c>
      <c r="I117" s="2"/>
      <c r="J117" s="7">
        <f t="shared" si="79"/>
        <v>1.5886766655503492E-3</v>
      </c>
      <c r="K117" s="2"/>
      <c r="L117" s="6">
        <f t="shared" si="80"/>
        <v>-574</v>
      </c>
      <c r="M117" s="2"/>
      <c r="N117" s="7">
        <f t="shared" si="81"/>
        <v>-1</v>
      </c>
      <c r="O117" s="11"/>
      <c r="P117" s="6">
        <v>4981.75</v>
      </c>
      <c r="Q117" s="2"/>
      <c r="R117" s="7">
        <f t="shared" si="82"/>
        <v>7.1328130739347143E-4</v>
      </c>
      <c r="S117" s="2"/>
      <c r="T117" s="6">
        <v>6713</v>
      </c>
      <c r="U117" s="2"/>
      <c r="V117" s="7">
        <f t="shared" si="83"/>
        <v>6.193917961930278E-4</v>
      </c>
      <c r="W117" s="2"/>
      <c r="X117" s="6">
        <f t="shared" si="84"/>
        <v>-1731.25</v>
      </c>
      <c r="Y117" s="2"/>
      <c r="Z117" s="7">
        <f t="shared" si="85"/>
        <v>-0.25789512885446148</v>
      </c>
    </row>
    <row r="118" spans="1:26" s="26" customFormat="1" outlineLevel="1" collapsed="1" x14ac:dyDescent="0.25">
      <c r="A118" s="25"/>
      <c r="B118" s="12" t="str">
        <f>CONCATENATE("     ","Supplies                                          ")</f>
        <v xml:space="preserve">     Supplies                                          </v>
      </c>
      <c r="C118" s="12"/>
      <c r="D118" s="1">
        <f>SUM(OSRRefD22_21x_0)</f>
        <v>838.73</v>
      </c>
      <c r="E118" s="1"/>
      <c r="F118" s="5">
        <f t="shared" ref="F118:F129" si="86">IF(D$12=0,0,D118/D$12)</f>
        <v>7.0204235372896964</v>
      </c>
      <c r="G118" s="1"/>
      <c r="H118" s="1">
        <f>SUM(OSRRefH22_21x_0)</f>
        <v>10898</v>
      </c>
      <c r="I118" s="1"/>
      <c r="J118" s="5">
        <f t="shared" ref="J118:J129" si="87">IF(H$12=0,0,H118/H$12)</f>
        <v>3.0162714810396698E-2</v>
      </c>
      <c r="K118" s="1"/>
      <c r="L118" s="1">
        <f t="shared" ref="L118:L129" si="88">+D118-H118</f>
        <v>-10059.27</v>
      </c>
      <c r="M118" s="1"/>
      <c r="N118" s="5">
        <f t="shared" ref="N118:N129" si="89">IF(H118=0,0,L118/H118)</f>
        <v>-0.92303817214167738</v>
      </c>
      <c r="O118" s="12"/>
      <c r="P118" s="1">
        <f>SUM(OSRRefP22_21x_0)</f>
        <v>219953.77</v>
      </c>
      <c r="Q118" s="1"/>
      <c r="R118" s="5">
        <f t="shared" ref="R118:R129" si="90">IF(P$12=0,0,P118/P$12)</f>
        <v>3.1492730994474416E-2</v>
      </c>
      <c r="S118" s="1"/>
      <c r="T118" s="1">
        <f>SUM(OSRRefT22_21x_0)</f>
        <v>210522.86</v>
      </c>
      <c r="U118" s="1"/>
      <c r="V118" s="5">
        <f t="shared" ref="V118:V129" si="91">IF(T$12=0,0,T118/T$12)</f>
        <v>1.9424420139295892E-2</v>
      </c>
      <c r="W118" s="1"/>
      <c r="X118" s="1">
        <f t="shared" ref="X118:X129" si="92">+P118-T118</f>
        <v>9430.9100000000035</v>
      </c>
      <c r="Y118" s="1"/>
      <c r="Z118" s="5">
        <f t="shared" ref="Z118:Z129" si="93">IF(T118=0,0,X118/T118)</f>
        <v>4.4797557851912161E-2</v>
      </c>
    </row>
    <row r="119" spans="1:26" s="24" customFormat="1" hidden="1" outlineLevel="2" x14ac:dyDescent="0.25">
      <c r="A119" s="27"/>
      <c r="B119" s="11" t="str">
        <f>CONCATENATE("          ", "6234", " - ", "EXPENDABLE SUPPLIES &amp; EQUIPMEN")</f>
        <v xml:space="preserve">          6234 - EXPENDABLE SUPPLIES &amp; EQUIPMEN</v>
      </c>
      <c r="C119" s="11"/>
      <c r="D119" s="6">
        <v>1048.8</v>
      </c>
      <c r="E119" s="2"/>
      <c r="F119" s="7">
        <f t="shared" si="86"/>
        <v>8.7787729137021842</v>
      </c>
      <c r="G119" s="2"/>
      <c r="H119" s="6">
        <v>100</v>
      </c>
      <c r="I119" s="2"/>
      <c r="J119" s="7">
        <f t="shared" si="87"/>
        <v>2.7677293824918977E-4</v>
      </c>
      <c r="K119" s="2"/>
      <c r="L119" s="6">
        <f t="shared" si="88"/>
        <v>948.8</v>
      </c>
      <c r="M119" s="2"/>
      <c r="N119" s="7">
        <f t="shared" si="89"/>
        <v>9.4879999999999995</v>
      </c>
      <c r="O119" s="11"/>
      <c r="P119" s="6">
        <v>16827.75</v>
      </c>
      <c r="Q119" s="2"/>
      <c r="R119" s="7">
        <f t="shared" si="90"/>
        <v>2.40937813428825E-3</v>
      </c>
      <c r="S119" s="2"/>
      <c r="T119" s="6">
        <v>10450</v>
      </c>
      <c r="U119" s="2"/>
      <c r="V119" s="7">
        <f t="shared" si="91"/>
        <v>9.6419548193313581E-4</v>
      </c>
      <c r="W119" s="2"/>
      <c r="X119" s="6">
        <f t="shared" si="92"/>
        <v>6377.75</v>
      </c>
      <c r="Y119" s="2"/>
      <c r="Z119" s="7">
        <f t="shared" si="93"/>
        <v>0.61031100478468903</v>
      </c>
    </row>
    <row r="120" spans="1:26" s="24" customFormat="1" hidden="1" outlineLevel="2" x14ac:dyDescent="0.25">
      <c r="A120" s="27"/>
      <c r="B120" s="11" t="str">
        <f>CONCATENATE("          ", "6235", " - ", "COVID-19 EXPENSES")</f>
        <v xml:space="preserve">          6235 - COVID-19 EXPENSES</v>
      </c>
      <c r="C120" s="11"/>
      <c r="D120" s="6"/>
      <c r="E120" s="2"/>
      <c r="F120" s="7">
        <f t="shared" si="86"/>
        <v>0</v>
      </c>
      <c r="G120" s="2"/>
      <c r="H120" s="6"/>
      <c r="I120" s="2"/>
      <c r="J120" s="7">
        <f t="shared" si="87"/>
        <v>0</v>
      </c>
      <c r="K120" s="2"/>
      <c r="L120" s="6">
        <f t="shared" si="88"/>
        <v>0</v>
      </c>
      <c r="M120" s="2"/>
      <c r="N120" s="7">
        <f t="shared" si="89"/>
        <v>0</v>
      </c>
      <c r="O120" s="11"/>
      <c r="P120" s="6">
        <v>1095.08</v>
      </c>
      <c r="Q120" s="2"/>
      <c r="R120" s="7">
        <f t="shared" si="90"/>
        <v>1.5679231075434188E-4</v>
      </c>
      <c r="S120" s="2"/>
      <c r="T120" s="6"/>
      <c r="U120" s="2"/>
      <c r="V120" s="7">
        <f t="shared" si="91"/>
        <v>0</v>
      </c>
      <c r="W120" s="2"/>
      <c r="X120" s="6">
        <f t="shared" si="92"/>
        <v>1095.08</v>
      </c>
      <c r="Y120" s="2"/>
      <c r="Z120" s="7">
        <f t="shared" si="93"/>
        <v>0</v>
      </c>
    </row>
    <row r="121" spans="1:26" s="24" customFormat="1" hidden="1" outlineLevel="2" x14ac:dyDescent="0.25">
      <c r="A121" s="27"/>
      <c r="B121" s="11" t="str">
        <f>CONCATENATE("          ", "6237", " - ", "JANITORIAL SUPPLIES")</f>
        <v xml:space="preserve">          6237 - JANITORIAL SUPPLIES</v>
      </c>
      <c r="C121" s="11"/>
      <c r="D121" s="6"/>
      <c r="E121" s="2"/>
      <c r="F121" s="7">
        <f t="shared" si="86"/>
        <v>0</v>
      </c>
      <c r="G121" s="2"/>
      <c r="H121" s="6">
        <v>3661</v>
      </c>
      <c r="I121" s="2"/>
      <c r="J121" s="7">
        <f t="shared" si="87"/>
        <v>1.0132657269302837E-2</v>
      </c>
      <c r="K121" s="2"/>
      <c r="L121" s="6">
        <f t="shared" si="88"/>
        <v>-3661</v>
      </c>
      <c r="M121" s="2"/>
      <c r="N121" s="7">
        <f t="shared" si="89"/>
        <v>-1</v>
      </c>
      <c r="O121" s="11"/>
      <c r="P121" s="6">
        <v>52899.67</v>
      </c>
      <c r="Q121" s="2"/>
      <c r="R121" s="7">
        <f t="shared" si="90"/>
        <v>7.5741146742175341E-3</v>
      </c>
      <c r="S121" s="2"/>
      <c r="T121" s="6">
        <v>51262</v>
      </c>
      <c r="U121" s="2"/>
      <c r="V121" s="7">
        <f t="shared" si="91"/>
        <v>4.729817109555637E-3</v>
      </c>
      <c r="W121" s="2"/>
      <c r="X121" s="6">
        <f t="shared" si="92"/>
        <v>1637.6699999999983</v>
      </c>
      <c r="Y121" s="2"/>
      <c r="Z121" s="7">
        <f t="shared" si="93"/>
        <v>3.1947056299012878E-2</v>
      </c>
    </row>
    <row r="122" spans="1:26" s="24" customFormat="1" hidden="1" outlineLevel="2" x14ac:dyDescent="0.25">
      <c r="A122" s="27"/>
      <c r="B122" s="11" t="str">
        <f>CONCATENATE("          ", "6239", " - ", "KITCHEN SUPPLIES")</f>
        <v xml:space="preserve">          6239 - KITCHEN SUPPLIES</v>
      </c>
      <c r="C122" s="11"/>
      <c r="D122" s="6"/>
      <c r="E122" s="2"/>
      <c r="F122" s="7">
        <f t="shared" si="86"/>
        <v>0</v>
      </c>
      <c r="G122" s="2"/>
      <c r="H122" s="6">
        <v>2150</v>
      </c>
      <c r="I122" s="2"/>
      <c r="J122" s="7">
        <f t="shared" si="87"/>
        <v>5.95061817235758E-3</v>
      </c>
      <c r="K122" s="2"/>
      <c r="L122" s="6">
        <f t="shared" si="88"/>
        <v>-2150</v>
      </c>
      <c r="M122" s="2"/>
      <c r="N122" s="7">
        <f t="shared" si="89"/>
        <v>-1</v>
      </c>
      <c r="O122" s="11"/>
      <c r="P122" s="6">
        <v>45966.83</v>
      </c>
      <c r="Q122" s="2"/>
      <c r="R122" s="7">
        <f t="shared" si="90"/>
        <v>6.5814785164115914E-3</v>
      </c>
      <c r="S122" s="2"/>
      <c r="T122" s="6">
        <v>32704.15</v>
      </c>
      <c r="U122" s="2"/>
      <c r="V122" s="7">
        <f t="shared" si="91"/>
        <v>3.0175304947812022E-3</v>
      </c>
      <c r="W122" s="2"/>
      <c r="X122" s="6">
        <f t="shared" si="92"/>
        <v>13262.68</v>
      </c>
      <c r="Y122" s="2"/>
      <c r="Z122" s="7">
        <f t="shared" si="93"/>
        <v>0.40553507735256838</v>
      </c>
    </row>
    <row r="123" spans="1:26" s="24" customFormat="1" hidden="1" outlineLevel="2" x14ac:dyDescent="0.25">
      <c r="A123" s="27"/>
      <c r="B123" s="11" t="str">
        <f>CONCATENATE("          ", "6241", " - ", "OFFICE EXPENSE")</f>
        <v xml:space="preserve">          6241 - OFFICE EXPENSE</v>
      </c>
      <c r="C123" s="11"/>
      <c r="D123" s="6">
        <v>-180.17</v>
      </c>
      <c r="E123" s="2"/>
      <c r="F123" s="7">
        <f t="shared" si="86"/>
        <v>-1.5080773415920314</v>
      </c>
      <c r="G123" s="2"/>
      <c r="H123" s="6">
        <v>470</v>
      </c>
      <c r="I123" s="2"/>
      <c r="J123" s="7">
        <f t="shared" si="87"/>
        <v>1.3008328097711918E-3</v>
      </c>
      <c r="K123" s="2"/>
      <c r="L123" s="6">
        <f t="shared" si="88"/>
        <v>-650.16999999999996</v>
      </c>
      <c r="M123" s="2"/>
      <c r="N123" s="7">
        <f t="shared" si="89"/>
        <v>-1.3833404255319148</v>
      </c>
      <c r="O123" s="11"/>
      <c r="P123" s="6">
        <v>19956.11</v>
      </c>
      <c r="Q123" s="2"/>
      <c r="R123" s="7">
        <f t="shared" si="90"/>
        <v>2.8572931663146343E-3</v>
      </c>
      <c r="S123" s="2"/>
      <c r="T123" s="6">
        <v>10948.82</v>
      </c>
      <c r="U123" s="2"/>
      <c r="V123" s="7">
        <f t="shared" si="91"/>
        <v>1.010220361387479E-3</v>
      </c>
      <c r="W123" s="2"/>
      <c r="X123" s="6">
        <f t="shared" si="92"/>
        <v>9007.2900000000009</v>
      </c>
      <c r="Y123" s="2"/>
      <c r="Z123" s="7">
        <f t="shared" si="93"/>
        <v>0.82267221490535059</v>
      </c>
    </row>
    <row r="124" spans="1:26" s="24" customFormat="1" hidden="1" outlineLevel="2" x14ac:dyDescent="0.25">
      <c r="A124" s="27"/>
      <c r="B124" s="11" t="str">
        <f>CONCATENATE("          ", "6243", " - ", "PAPER SUPPLIES")</f>
        <v xml:space="preserve">          6243 - PAPER SUPPLIES</v>
      </c>
      <c r="C124" s="11"/>
      <c r="D124" s="6"/>
      <c r="E124" s="2"/>
      <c r="F124" s="7">
        <f t="shared" si="86"/>
        <v>0</v>
      </c>
      <c r="G124" s="2"/>
      <c r="H124" s="6">
        <v>2750</v>
      </c>
      <c r="I124" s="2"/>
      <c r="J124" s="7">
        <f t="shared" si="87"/>
        <v>7.6112558018527178E-3</v>
      </c>
      <c r="K124" s="2"/>
      <c r="L124" s="6">
        <f t="shared" si="88"/>
        <v>-2750</v>
      </c>
      <c r="M124" s="2"/>
      <c r="N124" s="7">
        <f t="shared" si="89"/>
        <v>-1</v>
      </c>
      <c r="O124" s="11"/>
      <c r="P124" s="6">
        <v>34117.769999999997</v>
      </c>
      <c r="Q124" s="2"/>
      <c r="R124" s="7">
        <f t="shared" si="90"/>
        <v>4.8849435621919519E-3</v>
      </c>
      <c r="S124" s="2"/>
      <c r="T124" s="6">
        <v>46039.519999999997</v>
      </c>
      <c r="U124" s="2"/>
      <c r="V124" s="7">
        <f t="shared" si="91"/>
        <v>4.2479518827148559E-3</v>
      </c>
      <c r="W124" s="2"/>
      <c r="X124" s="6">
        <f t="shared" si="92"/>
        <v>-11921.75</v>
      </c>
      <c r="Y124" s="2"/>
      <c r="Z124" s="7">
        <f t="shared" si="93"/>
        <v>-0.25894600986283089</v>
      </c>
    </row>
    <row r="125" spans="1:26" s="24" customFormat="1" hidden="1" outlineLevel="2" x14ac:dyDescent="0.25">
      <c r="A125" s="27"/>
      <c r="B125" s="11" t="str">
        <f>CONCATENATE("          ", "6244", " - ", "SAFETY SUPPLY EXPENSE")</f>
        <v xml:space="preserve">          6244 - SAFETY SUPPLY EXPENSE</v>
      </c>
      <c r="C125" s="11"/>
      <c r="D125" s="6"/>
      <c r="E125" s="2"/>
      <c r="F125" s="7">
        <f t="shared" si="86"/>
        <v>0</v>
      </c>
      <c r="G125" s="2"/>
      <c r="H125" s="6">
        <v>110</v>
      </c>
      <c r="I125" s="2"/>
      <c r="J125" s="7">
        <f t="shared" si="87"/>
        <v>3.0445023207410874E-4</v>
      </c>
      <c r="K125" s="2"/>
      <c r="L125" s="6">
        <f t="shared" si="88"/>
        <v>-110</v>
      </c>
      <c r="M125" s="2"/>
      <c r="N125" s="7">
        <f t="shared" si="89"/>
        <v>-1</v>
      </c>
      <c r="O125" s="11"/>
      <c r="P125" s="6"/>
      <c r="Q125" s="2"/>
      <c r="R125" s="7">
        <f t="shared" si="90"/>
        <v>0</v>
      </c>
      <c r="S125" s="2"/>
      <c r="T125" s="6">
        <v>1350</v>
      </c>
      <c r="U125" s="2"/>
      <c r="V125" s="7">
        <f t="shared" si="91"/>
        <v>1.2456113881432855E-4</v>
      </c>
      <c r="W125" s="2"/>
      <c r="X125" s="6">
        <f t="shared" si="92"/>
        <v>-1350</v>
      </c>
      <c r="Y125" s="2"/>
      <c r="Z125" s="7">
        <f t="shared" si="93"/>
        <v>-1</v>
      </c>
    </row>
    <row r="126" spans="1:26" s="24" customFormat="1" hidden="1" outlineLevel="2" x14ac:dyDescent="0.25">
      <c r="A126" s="27"/>
      <c r="B126" s="11" t="str">
        <f>CONCATENATE("          ", "6245", " - ", "PRINTING")</f>
        <v xml:space="preserve">          6245 - PRINTING</v>
      </c>
      <c r="C126" s="11"/>
      <c r="D126" s="6"/>
      <c r="E126" s="2"/>
      <c r="F126" s="7">
        <f t="shared" si="86"/>
        <v>0</v>
      </c>
      <c r="G126" s="2"/>
      <c r="H126" s="6">
        <v>50</v>
      </c>
      <c r="I126" s="2"/>
      <c r="J126" s="7">
        <f t="shared" si="87"/>
        <v>1.3838646912459488E-4</v>
      </c>
      <c r="K126" s="2"/>
      <c r="L126" s="6">
        <f t="shared" si="88"/>
        <v>-50</v>
      </c>
      <c r="M126" s="2"/>
      <c r="N126" s="7">
        <f t="shared" si="89"/>
        <v>-1</v>
      </c>
      <c r="O126" s="11"/>
      <c r="P126" s="6">
        <v>613.02</v>
      </c>
      <c r="Q126" s="2"/>
      <c r="R126" s="7">
        <f t="shared" si="90"/>
        <v>8.777150741372929E-5</v>
      </c>
      <c r="S126" s="2"/>
      <c r="T126" s="6">
        <v>2736.82</v>
      </c>
      <c r="U126" s="2"/>
      <c r="V126" s="7">
        <f t="shared" si="91"/>
        <v>2.5251956735543015E-4</v>
      </c>
      <c r="W126" s="2"/>
      <c r="X126" s="6">
        <f t="shared" si="92"/>
        <v>-2123.8000000000002</v>
      </c>
      <c r="Y126" s="2"/>
      <c r="Z126" s="7">
        <f t="shared" si="93"/>
        <v>-0.77601011392784325</v>
      </c>
    </row>
    <row r="127" spans="1:26" s="24" customFormat="1" hidden="1" outlineLevel="2" x14ac:dyDescent="0.25">
      <c r="A127" s="27"/>
      <c r="B127" s="11" t="str">
        <f>CONCATENATE("          ", "6246", " - ", "REPLACEMENTS")</f>
        <v xml:space="preserve">          6246 - REPLACEMENTS</v>
      </c>
      <c r="C127" s="11"/>
      <c r="D127" s="6"/>
      <c r="E127" s="2"/>
      <c r="F127" s="7">
        <f t="shared" si="86"/>
        <v>0</v>
      </c>
      <c r="G127" s="2"/>
      <c r="H127" s="6"/>
      <c r="I127" s="2"/>
      <c r="J127" s="7">
        <f t="shared" si="87"/>
        <v>0</v>
      </c>
      <c r="K127" s="2"/>
      <c r="L127" s="6">
        <f t="shared" si="88"/>
        <v>0</v>
      </c>
      <c r="M127" s="2"/>
      <c r="N127" s="7">
        <f t="shared" si="89"/>
        <v>0</v>
      </c>
      <c r="O127" s="11"/>
      <c r="P127" s="6">
        <v>25.87</v>
      </c>
      <c r="Q127" s="2"/>
      <c r="R127" s="7">
        <f t="shared" si="90"/>
        <v>3.7040372203079455E-6</v>
      </c>
      <c r="S127" s="2"/>
      <c r="T127" s="6">
        <v>3400</v>
      </c>
      <c r="U127" s="2"/>
      <c r="V127" s="7">
        <f t="shared" si="91"/>
        <v>3.1370953479164225E-4</v>
      </c>
      <c r="W127" s="2"/>
      <c r="X127" s="6">
        <f t="shared" si="92"/>
        <v>-3374.13</v>
      </c>
      <c r="Y127" s="2"/>
      <c r="Z127" s="7">
        <f t="shared" si="93"/>
        <v>-0.99239117647058828</v>
      </c>
    </row>
    <row r="128" spans="1:26" s="24" customFormat="1" hidden="1" outlineLevel="2" x14ac:dyDescent="0.25">
      <c r="A128" s="27"/>
      <c r="B128" s="11" t="str">
        <f>CONCATENATE("          ", "6247", " - ", "STORE SUPPLIES")</f>
        <v xml:space="preserve">          6247 - STORE SUPPLIES</v>
      </c>
      <c r="C128" s="11"/>
      <c r="D128" s="6">
        <v>-29.9</v>
      </c>
      <c r="E128" s="2"/>
      <c r="F128" s="7">
        <f t="shared" si="86"/>
        <v>-0.25027203482045701</v>
      </c>
      <c r="G128" s="2"/>
      <c r="H128" s="6">
        <v>1607</v>
      </c>
      <c r="I128" s="2"/>
      <c r="J128" s="7">
        <f t="shared" si="87"/>
        <v>4.4477411176644796E-3</v>
      </c>
      <c r="K128" s="2"/>
      <c r="L128" s="6">
        <f t="shared" si="88"/>
        <v>-1636.9</v>
      </c>
      <c r="M128" s="2"/>
      <c r="N128" s="7">
        <f t="shared" si="89"/>
        <v>-1.0186060983198506</v>
      </c>
      <c r="O128" s="11"/>
      <c r="P128" s="6">
        <v>43533.599999999999</v>
      </c>
      <c r="Q128" s="2"/>
      <c r="R128" s="7">
        <f t="shared" si="90"/>
        <v>6.2330914083493609E-3</v>
      </c>
      <c r="S128" s="2"/>
      <c r="T128" s="6">
        <v>41481.550000000003</v>
      </c>
      <c r="U128" s="2"/>
      <c r="V128" s="7">
        <f t="shared" si="91"/>
        <v>3.827399339098897E-3</v>
      </c>
      <c r="W128" s="2"/>
      <c r="X128" s="6">
        <f t="shared" si="92"/>
        <v>2052.0499999999956</v>
      </c>
      <c r="Y128" s="2"/>
      <c r="Z128" s="7">
        <f t="shared" si="93"/>
        <v>4.9468980787844126E-2</v>
      </c>
    </row>
    <row r="129" spans="1:26" s="24" customFormat="1" hidden="1" outlineLevel="2" x14ac:dyDescent="0.25">
      <c r="A129" s="27"/>
      <c r="B129" s="11" t="str">
        <f>CONCATENATE("          ", "6248", " - ", "UNIFORMS")</f>
        <v xml:space="preserve">          6248 - UNIFORMS</v>
      </c>
      <c r="C129" s="11"/>
      <c r="D129" s="6"/>
      <c r="E129" s="2"/>
      <c r="F129" s="7">
        <f t="shared" si="86"/>
        <v>0</v>
      </c>
      <c r="G129" s="2"/>
      <c r="H129" s="6"/>
      <c r="I129" s="2"/>
      <c r="J129" s="7">
        <f t="shared" si="87"/>
        <v>0</v>
      </c>
      <c r="K129" s="2"/>
      <c r="L129" s="6">
        <f t="shared" si="88"/>
        <v>0</v>
      </c>
      <c r="M129" s="2"/>
      <c r="N129" s="7">
        <f t="shared" si="89"/>
        <v>0</v>
      </c>
      <c r="O129" s="11"/>
      <c r="P129" s="6">
        <v>4918.07</v>
      </c>
      <c r="Q129" s="2"/>
      <c r="R129" s="7">
        <f t="shared" si="90"/>
        <v>7.0416367731271335E-4</v>
      </c>
      <c r="S129" s="2"/>
      <c r="T129" s="6">
        <v>10150</v>
      </c>
      <c r="U129" s="2"/>
      <c r="V129" s="7">
        <f t="shared" si="91"/>
        <v>9.3651522886328505E-4</v>
      </c>
      <c r="W129" s="2"/>
      <c r="X129" s="6">
        <f t="shared" si="92"/>
        <v>-5231.93</v>
      </c>
      <c r="Y129" s="2"/>
      <c r="Z129" s="7">
        <f t="shared" si="93"/>
        <v>-0.51546108374384236</v>
      </c>
    </row>
    <row r="130" spans="1:26" s="26" customFormat="1" outlineLevel="1" collapsed="1" x14ac:dyDescent="0.25">
      <c r="A130" s="25"/>
      <c r="B130" s="12" t="str">
        <f>CONCATENATE("     ","Telephone/Data Lines                              ")</f>
        <v xml:space="preserve">     Telephone/Data Lines                              </v>
      </c>
      <c r="C130" s="12"/>
      <c r="D130" s="1">
        <f>SUM(OSRRefD22_22x_0)</f>
        <v>709.33</v>
      </c>
      <c r="E130" s="1"/>
      <c r="F130" s="5">
        <f t="shared" ref="F130:F132" si="94">IF(D$12=0,0,D130/D$12)</f>
        <v>5.9373064367623671</v>
      </c>
      <c r="G130" s="1"/>
      <c r="H130" s="1">
        <f>SUM(OSRRefH22_22x_0)</f>
        <v>2351</v>
      </c>
      <c r="I130" s="1"/>
      <c r="J130" s="5">
        <f t="shared" ref="J130:J132" si="95">IF(H$12=0,0,H130/H$12)</f>
        <v>6.5069317782384508E-3</v>
      </c>
      <c r="K130" s="1"/>
      <c r="L130" s="1">
        <f t="shared" ref="L130:L132" si="96">+D130-H130</f>
        <v>-1641.67</v>
      </c>
      <c r="M130" s="1"/>
      <c r="N130" s="5">
        <f t="shared" ref="N130:N132" si="97">IF(H130=0,0,L130/H130)</f>
        <v>-0.69828583581454706</v>
      </c>
      <c r="O130" s="12"/>
      <c r="P130" s="1">
        <f>SUM(OSRRefP22_22x_0)</f>
        <v>25695.17</v>
      </c>
      <c r="Q130" s="1"/>
      <c r="R130" s="5">
        <f t="shared" ref="R130:R132" si="98">IF(P$12=0,0,P130/P$12)</f>
        <v>3.6790052594565174E-3</v>
      </c>
      <c r="S130" s="1"/>
      <c r="T130" s="1">
        <f>SUM(OSRRefT22_22x_0)</f>
        <v>27493</v>
      </c>
      <c r="U130" s="1"/>
      <c r="V130" s="5">
        <f t="shared" ref="V130:V132" si="99">IF(T$12=0,0,T130/T$12)</f>
        <v>2.536710658831359E-3</v>
      </c>
      <c r="W130" s="1"/>
      <c r="X130" s="1">
        <f t="shared" ref="X130:X132" si="100">+P130-T130</f>
        <v>-1797.8300000000017</v>
      </c>
      <c r="Y130" s="1"/>
      <c r="Z130" s="5">
        <f t="shared" ref="Z130:Z132" si="101">IF(T130=0,0,X130/T130)</f>
        <v>-6.5392281671698319E-2</v>
      </c>
    </row>
    <row r="131" spans="1:26" s="24" customFormat="1" hidden="1" outlineLevel="2" x14ac:dyDescent="0.25">
      <c r="A131" s="27"/>
      <c r="B131" s="11" t="str">
        <f>CONCATENATE("          ", "6303", " - ", "DATA PHONE LINES")</f>
        <v xml:space="preserve">          6303 - DATA PHONE LINES</v>
      </c>
      <c r="C131" s="11"/>
      <c r="D131" s="6"/>
      <c r="E131" s="2"/>
      <c r="F131" s="7">
        <f t="shared" si="94"/>
        <v>0</v>
      </c>
      <c r="G131" s="2"/>
      <c r="H131" s="6">
        <v>696</v>
      </c>
      <c r="I131" s="2"/>
      <c r="J131" s="7">
        <f t="shared" si="95"/>
        <v>1.9263396502143607E-3</v>
      </c>
      <c r="K131" s="2"/>
      <c r="L131" s="6">
        <f t="shared" si="96"/>
        <v>-696</v>
      </c>
      <c r="M131" s="2"/>
      <c r="N131" s="7">
        <f t="shared" si="97"/>
        <v>-1</v>
      </c>
      <c r="O131" s="11"/>
      <c r="P131" s="6"/>
      <c r="Q131" s="2"/>
      <c r="R131" s="7">
        <f t="shared" si="98"/>
        <v>0</v>
      </c>
      <c r="S131" s="2"/>
      <c r="T131" s="6">
        <v>7558</v>
      </c>
      <c r="U131" s="2"/>
      <c r="V131" s="7">
        <f t="shared" si="99"/>
        <v>6.9735784233977422E-4</v>
      </c>
      <c r="W131" s="2"/>
      <c r="X131" s="6">
        <f t="shared" si="100"/>
        <v>-7558</v>
      </c>
      <c r="Y131" s="2"/>
      <c r="Z131" s="7">
        <f t="shared" si="101"/>
        <v>-1</v>
      </c>
    </row>
    <row r="132" spans="1:26" s="24" customFormat="1" hidden="1" outlineLevel="2" x14ac:dyDescent="0.25">
      <c r="A132" s="27"/>
      <c r="B132" s="11" t="str">
        <f>CONCATENATE("          ", "6309", " - ", "TELEPHONE")</f>
        <v xml:space="preserve">          6309 - TELEPHONE</v>
      </c>
      <c r="C132" s="11"/>
      <c r="D132" s="6">
        <v>709.33</v>
      </c>
      <c r="E132" s="2"/>
      <c r="F132" s="7">
        <f t="shared" si="94"/>
        <v>5.9373064367623671</v>
      </c>
      <c r="G132" s="2"/>
      <c r="H132" s="6">
        <v>1655</v>
      </c>
      <c r="I132" s="2"/>
      <c r="J132" s="7">
        <f t="shared" si="95"/>
        <v>4.5805921280240901E-3</v>
      </c>
      <c r="K132" s="2"/>
      <c r="L132" s="6">
        <f t="shared" si="96"/>
        <v>-945.67</v>
      </c>
      <c r="M132" s="2"/>
      <c r="N132" s="7">
        <f t="shared" si="97"/>
        <v>-0.57140181268882173</v>
      </c>
      <c r="O132" s="11"/>
      <c r="P132" s="6">
        <v>25695.17</v>
      </c>
      <c r="Q132" s="2"/>
      <c r="R132" s="7">
        <f t="shared" si="98"/>
        <v>3.6790052594565174E-3</v>
      </c>
      <c r="S132" s="2"/>
      <c r="T132" s="6">
        <v>19935</v>
      </c>
      <c r="U132" s="2"/>
      <c r="V132" s="7">
        <f t="shared" si="99"/>
        <v>1.8393528164915849E-3</v>
      </c>
      <c r="W132" s="2"/>
      <c r="X132" s="6">
        <f t="shared" si="100"/>
        <v>5760.1699999999983</v>
      </c>
      <c r="Y132" s="2"/>
      <c r="Z132" s="7">
        <f t="shared" si="101"/>
        <v>0.28894757963380979</v>
      </c>
    </row>
    <row r="133" spans="1:26" s="26" customFormat="1" outlineLevel="1" collapsed="1" x14ac:dyDescent="0.25">
      <c r="A133" s="25"/>
      <c r="B133" s="12" t="str">
        <f>CONCATENATE("     ","Training                                          ")</f>
        <v xml:space="preserve">     Training                                          </v>
      </c>
      <c r="C133" s="12"/>
      <c r="D133" s="1">
        <f>SUM(OSRRefD22_23x_0)</f>
        <v>0</v>
      </c>
      <c r="E133" s="1"/>
      <c r="F133" s="5">
        <f t="shared" ref="F133:F138" si="102">IF(D$12=0,0,D133/D$12)</f>
        <v>0</v>
      </c>
      <c r="G133" s="1"/>
      <c r="H133" s="1">
        <f>SUM(OSRRefH22_23x_0)</f>
        <v>560</v>
      </c>
      <c r="I133" s="1"/>
      <c r="J133" s="5">
        <f t="shared" ref="J133:J138" si="103">IF(H$12=0,0,H133/H$12)</f>
        <v>1.5499284541954626E-3</v>
      </c>
      <c r="K133" s="1"/>
      <c r="L133" s="1">
        <f t="shared" ref="L133:L138" si="104">+D133-H133</f>
        <v>-560</v>
      </c>
      <c r="M133" s="1"/>
      <c r="N133" s="5">
        <f t="shared" ref="N133:N138" si="105">IF(H133=0,0,L133/H133)</f>
        <v>-1</v>
      </c>
      <c r="O133" s="12"/>
      <c r="P133" s="1">
        <f>SUM(OSRRefP22_23x_0)</f>
        <v>2233.0100000000002</v>
      </c>
      <c r="Q133" s="1"/>
      <c r="R133" s="5">
        <f t="shared" ref="R133:R138" si="106">IF(P$12=0,0,P133/P$12)</f>
        <v>3.1971983584537479E-4</v>
      </c>
      <c r="S133" s="1"/>
      <c r="T133" s="1">
        <f>SUM(OSRRefT22_23x_0)</f>
        <v>11100</v>
      </c>
      <c r="U133" s="1"/>
      <c r="V133" s="5">
        <f t="shared" ref="V133:V138" si="107">IF(T$12=0,0,T133/T$12)</f>
        <v>1.0241693635844793E-3</v>
      </c>
      <c r="W133" s="1"/>
      <c r="X133" s="1">
        <f t="shared" ref="X133:X138" si="108">+P133-T133</f>
        <v>-8866.99</v>
      </c>
      <c r="Y133" s="1"/>
      <c r="Z133" s="5">
        <f t="shared" ref="Z133:Z138" si="109">IF(T133=0,0,X133/T133)</f>
        <v>-0.79882792792792789</v>
      </c>
    </row>
    <row r="134" spans="1:26" s="24" customFormat="1" hidden="1" outlineLevel="2" x14ac:dyDescent="0.25">
      <c r="A134" s="27"/>
      <c r="B134" s="11" t="str">
        <f>CONCATENATE("          ", "6376", " - ", "TRAINING")</f>
        <v xml:space="preserve">          6376 - TRAINING</v>
      </c>
      <c r="C134" s="11"/>
      <c r="D134" s="6"/>
      <c r="E134" s="2"/>
      <c r="F134" s="7">
        <f t="shared" si="102"/>
        <v>0</v>
      </c>
      <c r="G134" s="2"/>
      <c r="H134" s="6">
        <v>560</v>
      </c>
      <c r="I134" s="2"/>
      <c r="J134" s="7">
        <f t="shared" si="103"/>
        <v>1.5499284541954626E-3</v>
      </c>
      <c r="K134" s="2"/>
      <c r="L134" s="6">
        <f t="shared" si="104"/>
        <v>-560</v>
      </c>
      <c r="M134" s="2"/>
      <c r="N134" s="7">
        <f t="shared" si="105"/>
        <v>-1</v>
      </c>
      <c r="O134" s="11"/>
      <c r="P134" s="6">
        <v>2233.0100000000002</v>
      </c>
      <c r="Q134" s="2"/>
      <c r="R134" s="7">
        <f t="shared" si="106"/>
        <v>3.1971983584537479E-4</v>
      </c>
      <c r="S134" s="2"/>
      <c r="T134" s="6">
        <v>11100</v>
      </c>
      <c r="U134" s="2"/>
      <c r="V134" s="7">
        <f t="shared" si="107"/>
        <v>1.0241693635844793E-3</v>
      </c>
      <c r="W134" s="2"/>
      <c r="X134" s="6">
        <f t="shared" si="108"/>
        <v>-8866.99</v>
      </c>
      <c r="Y134" s="2"/>
      <c r="Z134" s="7">
        <f t="shared" si="109"/>
        <v>-0.79882792792792789</v>
      </c>
    </row>
    <row r="135" spans="1:26" s="26" customFormat="1" outlineLevel="1" collapsed="1" x14ac:dyDescent="0.25">
      <c r="A135" s="25"/>
      <c r="B135" s="12" t="str">
        <f>CONCATENATE("     ","Travel                                            ")</f>
        <v xml:space="preserve">     Travel                                            </v>
      </c>
      <c r="C135" s="12"/>
      <c r="D135" s="1">
        <f>SUM(OSRRefD22_24x_0)</f>
        <v>0</v>
      </c>
      <c r="E135" s="1"/>
      <c r="F135" s="5">
        <f t="shared" si="102"/>
        <v>0</v>
      </c>
      <c r="G135" s="1"/>
      <c r="H135" s="1">
        <f>SUM(OSRRefH22_24x_0)</f>
        <v>1500</v>
      </c>
      <c r="I135" s="1"/>
      <c r="J135" s="5">
        <f t="shared" si="103"/>
        <v>4.1515940737378463E-3</v>
      </c>
      <c r="K135" s="1"/>
      <c r="L135" s="1">
        <f t="shared" si="104"/>
        <v>-1500</v>
      </c>
      <c r="M135" s="1"/>
      <c r="N135" s="5">
        <f t="shared" si="105"/>
        <v>-1</v>
      </c>
      <c r="O135" s="12"/>
      <c r="P135" s="1">
        <f>SUM(OSRRefP22_24x_0)</f>
        <v>6407.32</v>
      </c>
      <c r="Q135" s="1"/>
      <c r="R135" s="5">
        <f t="shared" si="106"/>
        <v>9.1739280102139554E-4</v>
      </c>
      <c r="S135" s="1"/>
      <c r="T135" s="1">
        <f>SUM(OSRRefT22_24x_0)</f>
        <v>17020</v>
      </c>
      <c r="U135" s="1"/>
      <c r="V135" s="5">
        <f t="shared" si="107"/>
        <v>1.5703930241628681E-3</v>
      </c>
      <c r="W135" s="1"/>
      <c r="X135" s="1">
        <f t="shared" si="108"/>
        <v>-10612.68</v>
      </c>
      <c r="Y135" s="1"/>
      <c r="Z135" s="5">
        <f t="shared" si="109"/>
        <v>-0.62354171562867222</v>
      </c>
    </row>
    <row r="136" spans="1:26" s="24" customFormat="1" hidden="1" outlineLevel="2" x14ac:dyDescent="0.25">
      <c r="A136" s="27"/>
      <c r="B136" s="11" t="str">
        <f>CONCATENATE("          ", "6292", " - ", "TRAVEL/CONFERENCE")</f>
        <v xml:space="preserve">          6292 - TRAVEL/CONFERENCE</v>
      </c>
      <c r="C136" s="11"/>
      <c r="D136" s="6"/>
      <c r="E136" s="2"/>
      <c r="F136" s="7">
        <f t="shared" si="102"/>
        <v>0</v>
      </c>
      <c r="G136" s="2"/>
      <c r="H136" s="6">
        <v>1500</v>
      </c>
      <c r="I136" s="2"/>
      <c r="J136" s="7">
        <f t="shared" si="103"/>
        <v>4.1515940737378463E-3</v>
      </c>
      <c r="K136" s="2"/>
      <c r="L136" s="6">
        <f t="shared" si="104"/>
        <v>-1500</v>
      </c>
      <c r="M136" s="2"/>
      <c r="N136" s="7">
        <f t="shared" si="105"/>
        <v>-1</v>
      </c>
      <c r="O136" s="11"/>
      <c r="P136" s="6">
        <v>4995.68</v>
      </c>
      <c r="Q136" s="2"/>
      <c r="R136" s="7">
        <f t="shared" si="106"/>
        <v>7.1527578897363732E-4</v>
      </c>
      <c r="S136" s="2"/>
      <c r="T136" s="6">
        <v>16900</v>
      </c>
      <c r="U136" s="2"/>
      <c r="V136" s="7">
        <f t="shared" si="107"/>
        <v>1.5593209229349278E-3</v>
      </c>
      <c r="W136" s="2"/>
      <c r="X136" s="6">
        <f t="shared" si="108"/>
        <v>-11904.32</v>
      </c>
      <c r="Y136" s="2"/>
      <c r="Z136" s="7">
        <f t="shared" si="109"/>
        <v>-0.7043976331360946</v>
      </c>
    </row>
    <row r="137" spans="1:26" s="24" customFormat="1" hidden="1" outlineLevel="2" x14ac:dyDescent="0.25">
      <c r="A137" s="27"/>
      <c r="B137" s="11" t="str">
        <f>CONCATENATE("          ", "6294", " - ", "TRAVEL OPERATIONAL")</f>
        <v xml:space="preserve">          6294 - TRAVEL OPERATIONAL</v>
      </c>
      <c r="C137" s="11"/>
      <c r="D137" s="6"/>
      <c r="E137" s="2"/>
      <c r="F137" s="7">
        <f t="shared" si="102"/>
        <v>0</v>
      </c>
      <c r="G137" s="2"/>
      <c r="H137" s="6"/>
      <c r="I137" s="2"/>
      <c r="J137" s="7">
        <f t="shared" si="103"/>
        <v>0</v>
      </c>
      <c r="K137" s="2"/>
      <c r="L137" s="6">
        <f t="shared" si="104"/>
        <v>0</v>
      </c>
      <c r="M137" s="2"/>
      <c r="N137" s="7">
        <f t="shared" si="105"/>
        <v>0</v>
      </c>
      <c r="O137" s="11"/>
      <c r="P137" s="6">
        <v>56.99</v>
      </c>
      <c r="Q137" s="2"/>
      <c r="R137" s="7">
        <f t="shared" si="106"/>
        <v>8.1597634783668272E-6</v>
      </c>
      <c r="S137" s="2"/>
      <c r="T137" s="6">
        <v>120</v>
      </c>
      <c r="U137" s="2"/>
      <c r="V137" s="7">
        <f t="shared" si="107"/>
        <v>1.1072101227940315E-5</v>
      </c>
      <c r="W137" s="2"/>
      <c r="X137" s="6">
        <f t="shared" si="108"/>
        <v>-63.01</v>
      </c>
      <c r="Y137" s="2"/>
      <c r="Z137" s="7">
        <f t="shared" si="109"/>
        <v>-0.52508333333333335</v>
      </c>
    </row>
    <row r="138" spans="1:26" s="24" customFormat="1" hidden="1" outlineLevel="2" x14ac:dyDescent="0.25">
      <c r="A138" s="27"/>
      <c r="B138" s="11" t="str">
        <f>CONCATENATE("          ", "6298", " - ", "VEHICLE MILEAGE")</f>
        <v xml:space="preserve">          6298 - VEHICLE MILEAGE</v>
      </c>
      <c r="C138" s="11"/>
      <c r="D138" s="6"/>
      <c r="E138" s="2"/>
      <c r="F138" s="7">
        <f t="shared" si="102"/>
        <v>0</v>
      </c>
      <c r="G138" s="2"/>
      <c r="H138" s="6">
        <v>0</v>
      </c>
      <c r="I138" s="2"/>
      <c r="J138" s="7">
        <f t="shared" si="103"/>
        <v>0</v>
      </c>
      <c r="K138" s="2"/>
      <c r="L138" s="6">
        <f t="shared" si="104"/>
        <v>0</v>
      </c>
      <c r="M138" s="2"/>
      <c r="N138" s="7">
        <f t="shared" si="105"/>
        <v>0</v>
      </c>
      <c r="O138" s="11"/>
      <c r="P138" s="6">
        <v>1354.65</v>
      </c>
      <c r="Q138" s="2"/>
      <c r="R138" s="7">
        <f t="shared" si="106"/>
        <v>1.9395724856939152E-4</v>
      </c>
      <c r="S138" s="2"/>
      <c r="T138" s="6">
        <v>0</v>
      </c>
      <c r="U138" s="2"/>
      <c r="V138" s="7">
        <f t="shared" si="107"/>
        <v>0</v>
      </c>
      <c r="W138" s="2"/>
      <c r="X138" s="6">
        <f t="shared" si="108"/>
        <v>1354.65</v>
      </c>
      <c r="Y138" s="2"/>
      <c r="Z138" s="7">
        <f t="shared" si="109"/>
        <v>0</v>
      </c>
    </row>
    <row r="139" spans="1:26" s="26" customFormat="1" outlineLevel="1" collapsed="1" x14ac:dyDescent="0.25">
      <c r="A139" s="25"/>
      <c r="B139" s="12" t="str">
        <f>CONCATENATE("     ","Utilities                                         ")</f>
        <v xml:space="preserve">     Utilities                                         </v>
      </c>
      <c r="C139" s="12"/>
      <c r="D139" s="1">
        <f>SUM(OSRRefD22_25x_0)</f>
        <v>16673</v>
      </c>
      <c r="E139" s="1"/>
      <c r="F139" s="5">
        <f t="shared" ref="F139:F140" si="110">IF(D$12=0,0,D139/D$12)</f>
        <v>139.55804804553443</v>
      </c>
      <c r="G139" s="1"/>
      <c r="H139" s="1">
        <f>SUM(OSRRefH22_25x_0)</f>
        <v>18553.502668611</v>
      </c>
      <c r="I139" s="1"/>
      <c r="J139" s="5">
        <f t="shared" ref="J139:J140" si="111">IF(H$12=0,0,H139/H$12)</f>
        <v>5.1351074484056493E-2</v>
      </c>
      <c r="K139" s="1"/>
      <c r="L139" s="1">
        <f t="shared" ref="L139:L140" si="112">+D139-H139</f>
        <v>-1880.5026686109995</v>
      </c>
      <c r="M139" s="1"/>
      <c r="N139" s="5">
        <f t="shared" ref="N139:N140" si="113">IF(H139=0,0,L139/H139)</f>
        <v>-0.10135566864107297</v>
      </c>
      <c r="O139" s="12"/>
      <c r="P139" s="1">
        <f>SUM(OSRRefP22_25x_0)</f>
        <v>203078.74</v>
      </c>
      <c r="Q139" s="1"/>
      <c r="R139" s="5">
        <f t="shared" ref="R139:R140" si="114">IF(P$12=0,0,P139/P$12)</f>
        <v>2.9076583363480474E-2</v>
      </c>
      <c r="S139" s="1"/>
      <c r="T139" s="1">
        <f>SUM(OSRRefT22_25x_0)</f>
        <v>242924.50266861101</v>
      </c>
      <c r="U139" s="1"/>
      <c r="V139" s="5">
        <f t="shared" ref="V139:V140" si="115">IF(T$12=0,0,T139/T$12)</f>
        <v>2.2414039035782651E-2</v>
      </c>
      <c r="W139" s="1"/>
      <c r="X139" s="1">
        <f t="shared" ref="X139:X140" si="116">+P139-T139</f>
        <v>-39845.762668611016</v>
      </c>
      <c r="Y139" s="1"/>
      <c r="Z139" s="5">
        <f t="shared" ref="Z139:Z140" si="117">IF(T139=0,0,X139/T139)</f>
        <v>-0.16402529275923719</v>
      </c>
    </row>
    <row r="140" spans="1:26" s="24" customFormat="1" hidden="1" outlineLevel="2" x14ac:dyDescent="0.25">
      <c r="A140" s="27"/>
      <c r="B140" s="11" t="str">
        <f>CONCATENATE("          ", "6274", " - ", "UTILITIES")</f>
        <v xml:space="preserve">          6274 - UTILITIES</v>
      </c>
      <c r="C140" s="11"/>
      <c r="D140" s="6">
        <v>16673</v>
      </c>
      <c r="E140" s="2"/>
      <c r="F140" s="7">
        <f t="shared" si="110"/>
        <v>139.55804804553443</v>
      </c>
      <c r="G140" s="2"/>
      <c r="H140" s="6">
        <v>18553.502668611</v>
      </c>
      <c r="I140" s="2"/>
      <c r="J140" s="7">
        <f t="shared" si="111"/>
        <v>5.1351074484056493E-2</v>
      </c>
      <c r="K140" s="2"/>
      <c r="L140" s="6">
        <f t="shared" si="112"/>
        <v>-1880.5026686109995</v>
      </c>
      <c r="M140" s="2"/>
      <c r="N140" s="7">
        <f t="shared" si="113"/>
        <v>-0.10135566864107297</v>
      </c>
      <c r="O140" s="11"/>
      <c r="P140" s="6">
        <v>203078.74</v>
      </c>
      <c r="Q140" s="2"/>
      <c r="R140" s="7">
        <f t="shared" si="114"/>
        <v>2.9076583363480474E-2</v>
      </c>
      <c r="S140" s="2"/>
      <c r="T140" s="6">
        <v>242924.50266861101</v>
      </c>
      <c r="U140" s="2"/>
      <c r="V140" s="7">
        <f t="shared" si="115"/>
        <v>2.2414039035782651E-2</v>
      </c>
      <c r="W140" s="2"/>
      <c r="X140" s="6">
        <f t="shared" si="116"/>
        <v>-39845.762668611016</v>
      </c>
      <c r="Y140" s="2"/>
      <c r="Z140" s="7">
        <f t="shared" si="117"/>
        <v>-0.16402529275923719</v>
      </c>
    </row>
    <row r="141" spans="1:26" s="60" customFormat="1" x14ac:dyDescent="0.25">
      <c r="A141" s="36"/>
      <c r="B141" s="36"/>
      <c r="C141" s="36"/>
      <c r="D141" s="1"/>
      <c r="E141" s="1"/>
      <c r="F141" s="5"/>
      <c r="G141" s="1"/>
      <c r="H141" s="1"/>
      <c r="I141" s="1"/>
      <c r="J141" s="5"/>
      <c r="K141" s="1"/>
      <c r="L141" s="1"/>
      <c r="M141" s="1"/>
      <c r="N141" s="5"/>
      <c r="O141" s="36"/>
      <c r="P141" s="1"/>
      <c r="Q141" s="1"/>
      <c r="R141" s="5"/>
      <c r="S141" s="1"/>
      <c r="T141" s="1"/>
      <c r="U141" s="1"/>
      <c r="V141" s="5"/>
      <c r="W141" s="1"/>
      <c r="X141" s="1"/>
      <c r="Y141" s="1"/>
      <c r="Z141" s="5"/>
    </row>
    <row r="142" spans="1:26" s="23" customFormat="1" collapsed="1" x14ac:dyDescent="0.25">
      <c r="A142" s="10"/>
      <c r="B142" s="28" t="s">
        <v>0</v>
      </c>
      <c r="C142" s="10"/>
      <c r="D142" s="4">
        <f>SUM(OSRRefD25x_0)</f>
        <v>43261.639999999992</v>
      </c>
      <c r="E142" s="4"/>
      <c r="F142" s="13">
        <f t="shared" ref="F142:F146" si="118">IF(D$12=0,0,D142/D$12)</f>
        <v>362.11299907926667</v>
      </c>
      <c r="G142" s="4"/>
      <c r="H142" s="4">
        <f>SUM(OSRRefH25x_0)</f>
        <v>27800</v>
      </c>
      <c r="I142" s="4"/>
      <c r="J142" s="13">
        <f t="shared" ref="J142:J146" si="119">IF(H$12=0,0,H142/H$12)</f>
        <v>7.6942876833274748E-2</v>
      </c>
      <c r="K142" s="4"/>
      <c r="L142" s="4">
        <f t="shared" ref="L142:L146" si="120">+D142-H142</f>
        <v>15461.639999999992</v>
      </c>
      <c r="M142" s="4"/>
      <c r="N142" s="13">
        <f t="shared" ref="N142:N146" si="121">IF(H142=0,0,L142/H142)</f>
        <v>0.55617410071942419</v>
      </c>
      <c r="O142" s="10"/>
      <c r="P142" s="4">
        <f>SUM(OSRRefP25x_0)</f>
        <v>730460.52</v>
      </c>
      <c r="Q142" s="4"/>
      <c r="R142" s="13">
        <f t="shared" ref="R142:R146" si="122">IF(P$12=0,0,P142/P$12)</f>
        <v>0.10458650769406634</v>
      </c>
      <c r="S142" s="4"/>
      <c r="T142" s="4">
        <f>SUM(OSRRefT25x_0)</f>
        <v>735151</v>
      </c>
      <c r="U142" s="4"/>
      <c r="V142" s="13">
        <f t="shared" ref="V142:V146" si="123">IF(T$12=0,0,T142/T$12)</f>
        <v>6.7830552415179587E-2</v>
      </c>
      <c r="W142" s="4"/>
      <c r="X142" s="4">
        <f t="shared" ref="X142:X146" si="124">+P142-T142</f>
        <v>-4690.4799999999814</v>
      </c>
      <c r="Y142" s="4"/>
      <c r="Z142" s="13">
        <f t="shared" ref="Z142:Z146" si="125">IF(T142=0,0,X142/T142)</f>
        <v>-6.3802946605527044E-3</v>
      </c>
    </row>
    <row r="143" spans="1:26" s="24" customFormat="1" hidden="1" outlineLevel="1" x14ac:dyDescent="0.25">
      <c r="A143" s="44"/>
      <c r="B143" s="11" t="str">
        <f>CONCATENATE("          ", "9150", " - ", "MISC. INCOME")</f>
        <v xml:space="preserve">          9150 - MISC. INCOME</v>
      </c>
      <c r="C143" s="11"/>
      <c r="D143" s="2">
        <f>--16951.85</f>
        <v>16951.849999999999</v>
      </c>
      <c r="E143" s="2"/>
      <c r="F143" s="19">
        <f t="shared" si="118"/>
        <v>141.89210680505565</v>
      </c>
      <c r="G143" s="2"/>
      <c r="H143" s="2">
        <v>22141</v>
      </c>
      <c r="I143" s="2"/>
      <c r="J143" s="19">
        <f t="shared" si="119"/>
        <v>6.1280296257753102E-2</v>
      </c>
      <c r="K143" s="2"/>
      <c r="L143" s="2">
        <f t="shared" si="120"/>
        <v>-5189.1500000000015</v>
      </c>
      <c r="M143" s="2"/>
      <c r="N143" s="19">
        <f t="shared" si="121"/>
        <v>-0.23436836637911573</v>
      </c>
      <c r="O143" s="11"/>
      <c r="P143" s="2">
        <f>--330936.39</f>
        <v>330936.39</v>
      </c>
      <c r="Q143" s="2"/>
      <c r="R143" s="19">
        <f t="shared" si="122"/>
        <v>4.7383096486832088E-2</v>
      </c>
      <c r="S143" s="2"/>
      <c r="T143" s="2">
        <v>405596</v>
      </c>
      <c r="U143" s="2"/>
      <c r="V143" s="19">
        <f t="shared" si="123"/>
        <v>3.7423333080397338E-2</v>
      </c>
      <c r="W143" s="2"/>
      <c r="X143" s="2">
        <f t="shared" si="124"/>
        <v>-74659.609999999986</v>
      </c>
      <c r="Y143" s="2"/>
      <c r="Z143" s="19">
        <f t="shared" si="125"/>
        <v>-0.18407383208907382</v>
      </c>
    </row>
    <row r="144" spans="1:26" s="24" customFormat="1" hidden="1" outlineLevel="1" x14ac:dyDescent="0.25">
      <c r="A144" s="44"/>
      <c r="B144" s="11" t="str">
        <f>CONCATENATE("          ", "9151", " - ", "MISC. INCOME")</f>
        <v xml:space="preserve">          9151 - MISC. INCOME</v>
      </c>
      <c r="C144" s="11"/>
      <c r="D144" s="2">
        <f>0</f>
        <v>0</v>
      </c>
      <c r="E144" s="2"/>
      <c r="F144" s="19">
        <f t="shared" si="118"/>
        <v>0</v>
      </c>
      <c r="G144" s="2"/>
      <c r="H144" s="2">
        <v>5659</v>
      </c>
      <c r="I144" s="2"/>
      <c r="J144" s="19">
        <f t="shared" si="119"/>
        <v>1.5662580575521647E-2</v>
      </c>
      <c r="K144" s="2"/>
      <c r="L144" s="2">
        <f t="shared" si="120"/>
        <v>-5659</v>
      </c>
      <c r="M144" s="2"/>
      <c r="N144" s="19">
        <f t="shared" si="121"/>
        <v>-1</v>
      </c>
      <c r="O144" s="11"/>
      <c r="P144" s="2">
        <f>0</f>
        <v>0</v>
      </c>
      <c r="Q144" s="2"/>
      <c r="R144" s="19">
        <f t="shared" si="122"/>
        <v>0</v>
      </c>
      <c r="S144" s="2"/>
      <c r="T144" s="2">
        <v>329555</v>
      </c>
      <c r="U144" s="2"/>
      <c r="V144" s="19">
        <f t="shared" si="123"/>
        <v>3.0407219334782257E-2</v>
      </c>
      <c r="W144" s="2"/>
      <c r="X144" s="2">
        <f t="shared" si="124"/>
        <v>-329555</v>
      </c>
      <c r="Y144" s="2"/>
      <c r="Z144" s="19">
        <f t="shared" si="125"/>
        <v>-1</v>
      </c>
    </row>
    <row r="145" spans="1:26" s="24" customFormat="1" hidden="1" outlineLevel="1" x14ac:dyDescent="0.25">
      <c r="A145" s="44"/>
      <c r="B145" s="11" t="str">
        <f>CONCATENATE("          ", "9160", " - ", "MISC. INCOME")</f>
        <v xml:space="preserve">          9160 - MISC. INCOME</v>
      </c>
      <c r="C145" s="11"/>
      <c r="D145" s="2">
        <f>--25000.02</f>
        <v>25000.02</v>
      </c>
      <c r="E145" s="2"/>
      <c r="F145" s="19">
        <f t="shared" si="118"/>
        <v>209.2577216037499</v>
      </c>
      <c r="G145" s="2"/>
      <c r="H145" s="2"/>
      <c r="I145" s="2"/>
      <c r="J145" s="19">
        <f t="shared" si="119"/>
        <v>0</v>
      </c>
      <c r="K145" s="2"/>
      <c r="L145" s="2">
        <f t="shared" si="120"/>
        <v>25000.02</v>
      </c>
      <c r="M145" s="2"/>
      <c r="N145" s="19">
        <f t="shared" si="121"/>
        <v>0</v>
      </c>
      <c r="O145" s="11"/>
      <c r="P145" s="2">
        <f>--155089.34</f>
        <v>155089.34</v>
      </c>
      <c r="Q145" s="2"/>
      <c r="R145" s="19">
        <f t="shared" si="122"/>
        <v>2.2205515571433854E-2</v>
      </c>
      <c r="S145" s="2"/>
      <c r="T145" s="2"/>
      <c r="U145" s="2"/>
      <c r="V145" s="19">
        <f t="shared" si="123"/>
        <v>0</v>
      </c>
      <c r="W145" s="2"/>
      <c r="X145" s="2">
        <f t="shared" si="124"/>
        <v>155089.34</v>
      </c>
      <c r="Y145" s="2"/>
      <c r="Z145" s="19">
        <f t="shared" si="125"/>
        <v>0</v>
      </c>
    </row>
    <row r="146" spans="1:26" s="24" customFormat="1" hidden="1" outlineLevel="1" x14ac:dyDescent="0.25">
      <c r="A146" s="44"/>
      <c r="B146" s="11" t="str">
        <f>CONCATENATE("          ", "9165", " - ", "OTHER INCOME")</f>
        <v xml:space="preserve">          9165 - OTHER INCOME</v>
      </c>
      <c r="C146" s="11"/>
      <c r="D146" s="2">
        <f>--1309.77</f>
        <v>1309.77</v>
      </c>
      <c r="E146" s="2"/>
      <c r="F146" s="19">
        <f t="shared" si="118"/>
        <v>10.963170670461203</v>
      </c>
      <c r="G146" s="2"/>
      <c r="H146" s="2"/>
      <c r="I146" s="2"/>
      <c r="J146" s="19">
        <f t="shared" si="119"/>
        <v>0</v>
      </c>
      <c r="K146" s="2"/>
      <c r="L146" s="2">
        <f t="shared" si="120"/>
        <v>1309.77</v>
      </c>
      <c r="M146" s="2"/>
      <c r="N146" s="19">
        <f t="shared" si="121"/>
        <v>0</v>
      </c>
      <c r="O146" s="11"/>
      <c r="P146" s="2">
        <f>--244434.79</f>
        <v>244434.79</v>
      </c>
      <c r="Q146" s="2"/>
      <c r="R146" s="19">
        <f t="shared" si="122"/>
        <v>3.49978956358004E-2</v>
      </c>
      <c r="S146" s="2"/>
      <c r="T146" s="2"/>
      <c r="U146" s="2"/>
      <c r="V146" s="19">
        <f t="shared" si="123"/>
        <v>0</v>
      </c>
      <c r="W146" s="2"/>
      <c r="X146" s="2">
        <f t="shared" si="124"/>
        <v>244434.79</v>
      </c>
      <c r="Y146" s="2"/>
      <c r="Z146" s="19">
        <f t="shared" si="125"/>
        <v>0</v>
      </c>
    </row>
    <row r="147" spans="1:26" x14ac:dyDescent="0.25">
      <c r="A147" s="9"/>
      <c r="B147" s="10"/>
      <c r="C147" s="10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O147" s="10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x14ac:dyDescent="0.25">
      <c r="A148" s="10"/>
      <c r="B148" s="29" t="s">
        <v>3</v>
      </c>
      <c r="C148" s="29"/>
      <c r="D148" s="22">
        <f>+D38-D40+D142</f>
        <v>-182124.10999999996</v>
      </c>
      <c r="E148" s="14"/>
      <c r="F148" s="20">
        <f>IF(D$12=0,0,D148/D$12)</f>
        <v>-1524.4338327613623</v>
      </c>
      <c r="G148" s="14"/>
      <c r="H148" s="22">
        <f>+H38-H40+H142</f>
        <v>-157106.4167308202</v>
      </c>
      <c r="I148" s="14"/>
      <c r="J148" s="20">
        <f>IF(H$12=0,0,H148/H$12)</f>
        <v>-0.43482804576390771</v>
      </c>
      <c r="K148" s="15"/>
      <c r="L148" s="22">
        <f>+D148-H148</f>
        <v>-25017.693269179756</v>
      </c>
      <c r="M148" s="15"/>
      <c r="N148" s="20">
        <f>IF(H148=0,0,L148/H148)</f>
        <v>0.1592404294475385</v>
      </c>
      <c r="O148" s="28"/>
      <c r="P148" s="22">
        <f>+P38-P40+P142</f>
        <v>-1114677.4499999993</v>
      </c>
      <c r="Q148" s="14"/>
      <c r="R148" s="20">
        <f>IF(P$12=0,0,P148/P$12)</f>
        <v>-0.15959825138917455</v>
      </c>
      <c r="S148" s="14"/>
      <c r="T148" s="22">
        <f>+T38-T40+T142</f>
        <v>734039.94320355449</v>
      </c>
      <c r="U148" s="14"/>
      <c r="V148" s="20">
        <f>IF(T$12=0,0,T148/T$12)</f>
        <v>6.7728037970844285E-2</v>
      </c>
      <c r="W148" s="15"/>
      <c r="X148" s="22">
        <f>+P148-T148</f>
        <v>-1848717.3932035537</v>
      </c>
      <c r="Y148" s="15"/>
      <c r="Z148" s="20">
        <f>IF(T148=0,0,X148/T148)</f>
        <v>-2.5185514907202964</v>
      </c>
    </row>
    <row r="149" spans="1:26" x14ac:dyDescent="0.25">
      <c r="A149" s="9"/>
      <c r="B149" s="10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x14ac:dyDescent="0.25">
      <c r="A150" s="52"/>
      <c r="B150" s="10" t="s">
        <v>14</v>
      </c>
      <c r="C150" s="10"/>
      <c r="D150" s="4">
        <v>230622.05</v>
      </c>
      <c r="E150" s="4"/>
      <c r="F150" s="13">
        <f>IF(D$12=0,0,D150/D$12)</f>
        <v>1930.3762450824474</v>
      </c>
      <c r="G150" s="4"/>
      <c r="H150" s="4">
        <v>188655</v>
      </c>
      <c r="I150" s="4"/>
      <c r="J150" s="13">
        <f>IF(H$12=0,0,H150/H$12)</f>
        <v>0.52214598665400891</v>
      </c>
      <c r="K150" s="4"/>
      <c r="L150" s="4">
        <f>+D150-H150</f>
        <v>41967.049999999988</v>
      </c>
      <c r="M150" s="4"/>
      <c r="N150" s="13">
        <f>IF(H150=0,0,L150/H150)</f>
        <v>0.22245395033261767</v>
      </c>
      <c r="O150" s="10"/>
      <c r="P150" s="4">
        <v>1057689.29</v>
      </c>
      <c r="Q150" s="4"/>
      <c r="R150" s="13">
        <f>IF(P$12=0,0,P150/P$12)</f>
        <v>0.15143875135991822</v>
      </c>
      <c r="S150" s="4"/>
      <c r="T150" s="4">
        <v>1402129</v>
      </c>
      <c r="U150" s="4"/>
      <c r="V150" s="13">
        <f>IF(T$12=0,0,T150/T$12)</f>
        <v>0.12937095185525604</v>
      </c>
      <c r="W150" s="4"/>
      <c r="X150" s="4">
        <f>+P150-T150</f>
        <v>-344439.70999999996</v>
      </c>
      <c r="Y150" s="4"/>
      <c r="Z150" s="13">
        <f>IF(T150=0,0,X150/T150)</f>
        <v>-0.2456547935318362</v>
      </c>
    </row>
    <row r="151" spans="1:26" x14ac:dyDescent="0.25">
      <c r="A151" s="9"/>
      <c r="B151" s="10"/>
      <c r="C151" s="10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O151" s="10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ht="15.75" thickBot="1" x14ac:dyDescent="0.3">
      <c r="A152" s="10"/>
      <c r="B152" s="29" t="s">
        <v>4</v>
      </c>
      <c r="C152" s="29"/>
      <c r="D152" s="31">
        <f>+D148-D150</f>
        <v>-412746.15999999992</v>
      </c>
      <c r="E152" s="14"/>
      <c r="F152" s="33">
        <f>IF(D$12=0,0,D152/D$12)</f>
        <v>-3454.8100778438093</v>
      </c>
      <c r="G152" s="14"/>
      <c r="H152" s="31">
        <f>+H148-H150</f>
        <v>-345761.4167308202</v>
      </c>
      <c r="I152" s="14"/>
      <c r="J152" s="33">
        <f>IF(H$12=0,0,H152/H$12)</f>
        <v>-0.95697403241791668</v>
      </c>
      <c r="K152" s="15"/>
      <c r="L152" s="31">
        <f>D152-H152</f>
        <v>-66984.743269179715</v>
      </c>
      <c r="M152" s="15"/>
      <c r="N152" s="33">
        <f>IF(H152=0,0,L152/H152)</f>
        <v>0.19373111060951087</v>
      </c>
      <c r="O152" s="28"/>
      <c r="P152" s="31">
        <f>+P148-P150</f>
        <v>-2172366.7399999993</v>
      </c>
      <c r="Q152" s="14"/>
      <c r="R152" s="33">
        <f>IF(P$12=0,0,P152/P$12)</f>
        <v>-0.31103700274909279</v>
      </c>
      <c r="S152" s="14"/>
      <c r="T152" s="31">
        <f>+T148-T150</f>
        <v>-668089.05679644551</v>
      </c>
      <c r="U152" s="14"/>
      <c r="V152" s="33">
        <f>IF(T$12=0,0,T152/T$12)</f>
        <v>-6.164291388441176E-2</v>
      </c>
      <c r="W152" s="15"/>
      <c r="X152" s="31">
        <f>P152-T152</f>
        <v>-1504277.6832035538</v>
      </c>
      <c r="Y152" s="15"/>
      <c r="Z152" s="33">
        <f>IF(T152=0,0,X152/T152)</f>
        <v>2.2516125176734927</v>
      </c>
    </row>
    <row r="153" spans="1:26" ht="15.75" thickTop="1" x14ac:dyDescent="0.25">
      <c r="A153" s="9"/>
      <c r="B153" s="9"/>
      <c r="C153" s="9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x14ac:dyDescent="0.2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ht="15.75" thickBot="1" x14ac:dyDescent="0.3">
      <c r="A155" s="10"/>
      <c r="B155" s="29" t="s">
        <v>5</v>
      </c>
      <c r="C155" s="29"/>
      <c r="D155" s="34">
        <f>SUM(D152:D154)</f>
        <v>-412746.15999999992</v>
      </c>
      <c r="E155" s="14"/>
      <c r="F155" s="35">
        <f>IF(D$12=0,0,D155/D$12)</f>
        <v>-3454.8100778438093</v>
      </c>
      <c r="G155" s="14"/>
      <c r="H155" s="34">
        <f>SUM(H152:H154)</f>
        <v>-345761.4167308202</v>
      </c>
      <c r="I155" s="14"/>
      <c r="J155" s="35">
        <f>IF(H$12=0,0,H155/H$12)</f>
        <v>-0.95697403241791668</v>
      </c>
      <c r="K155" s="15"/>
      <c r="L155" s="34">
        <f>+D155-H155</f>
        <v>-66984.743269179715</v>
      </c>
      <c r="M155" s="15"/>
      <c r="N155" s="35">
        <f>IF(H155=0,0,L155/H155)</f>
        <v>0.19373111060951087</v>
      </c>
      <c r="O155" s="28"/>
      <c r="P155" s="34">
        <f>SUM(P152:P154)</f>
        <v>-2172366.7399999993</v>
      </c>
      <c r="Q155" s="14"/>
      <c r="R155" s="35">
        <f>IF(P$12=0,0,P155/P$12)</f>
        <v>-0.31103700274909279</v>
      </c>
      <c r="S155" s="14"/>
      <c r="T155" s="34">
        <f>SUM(T152:T154)</f>
        <v>-668089.05679644551</v>
      </c>
      <c r="U155" s="14"/>
      <c r="V155" s="35">
        <f>IF(T$12=0,0,T155/T$12)</f>
        <v>-6.164291388441176E-2</v>
      </c>
      <c r="W155" s="15"/>
      <c r="X155" s="34">
        <f>+P155-T155</f>
        <v>-1504277.6832035538</v>
      </c>
      <c r="Y155" s="15"/>
      <c r="Z155" s="35">
        <f>IF(T155=0,0,X155/T155)</f>
        <v>2.2516125176734927</v>
      </c>
    </row>
    <row r="156" spans="1:26" ht="15.75" thickTop="1" x14ac:dyDescent="0.25">
      <c r="A156" s="9"/>
      <c r="C156" s="9"/>
      <c r="D156" s="17"/>
      <c r="E156" s="17"/>
      <c r="G156" s="17"/>
      <c r="H156" s="17"/>
      <c r="I156" s="17"/>
      <c r="J156" s="43"/>
      <c r="K156" s="17"/>
      <c r="L156" s="17"/>
      <c r="M156" s="17"/>
      <c r="P156" s="17"/>
      <c r="Q156" s="17"/>
      <c r="R156" s="43"/>
      <c r="S156" s="17"/>
      <c r="T156" s="17"/>
      <c r="U156" s="17"/>
      <c r="V156" s="43"/>
      <c r="W156" s="17"/>
      <c r="X156" s="17"/>
    </row>
    <row r="157" spans="1:26" x14ac:dyDescent="0.25">
      <c r="A157" s="9"/>
      <c r="B157" s="55">
        <v>44043.473033645831</v>
      </c>
      <c r="D157" s="17"/>
      <c r="E157" s="17"/>
      <c r="G157" s="17"/>
      <c r="H157" s="17"/>
      <c r="I157" s="17"/>
      <c r="J157" s="43"/>
      <c r="K157" s="17"/>
      <c r="L157" s="17"/>
      <c r="M157" s="17"/>
      <c r="P157" s="17"/>
      <c r="Q157" s="17"/>
      <c r="R157" s="43"/>
      <c r="S157" s="17"/>
      <c r="T157" s="17"/>
      <c r="U157" s="17"/>
      <c r="V157" s="43"/>
      <c r="W157" s="17"/>
      <c r="X157" s="17"/>
    </row>
    <row r="158" spans="1:26" x14ac:dyDescent="0.25">
      <c r="A158" s="9"/>
      <c r="B158" s="62" t="s">
        <v>314</v>
      </c>
      <c r="D158" s="17"/>
      <c r="E158" s="17"/>
      <c r="G158" s="17"/>
      <c r="H158" s="17"/>
      <c r="I158" s="17"/>
      <c r="J158" s="43"/>
      <c r="K158" s="17"/>
      <c r="L158" s="17"/>
      <c r="M158" s="17"/>
      <c r="P158" s="17"/>
      <c r="Q158" s="17"/>
      <c r="R158" s="43"/>
      <c r="S158" s="17"/>
      <c r="T158" s="17"/>
      <c r="U158" s="17"/>
      <c r="V158" s="43"/>
      <c r="W158" s="17"/>
      <c r="X158" s="17"/>
    </row>
    <row r="159" spans="1:26" x14ac:dyDescent="0.25">
      <c r="A159" s="9"/>
      <c r="B159" s="63"/>
      <c r="D159" s="17"/>
      <c r="E159" s="17"/>
      <c r="G159" s="17"/>
      <c r="H159" s="17"/>
      <c r="I159" s="17"/>
      <c r="J159" s="43"/>
      <c r="K159" s="17"/>
      <c r="L159" s="17"/>
      <c r="M159" s="17"/>
      <c r="P159" s="17"/>
      <c r="Q159" s="17"/>
      <c r="R159" s="43"/>
      <c r="S159" s="17"/>
      <c r="T159" s="17"/>
      <c r="U159" s="17"/>
      <c r="V159" s="43"/>
      <c r="W159" s="17"/>
      <c r="X159" s="17"/>
    </row>
    <row r="160" spans="1:26" x14ac:dyDescent="0.25">
      <c r="D160" s="17"/>
      <c r="E160" s="17"/>
      <c r="G160" s="17"/>
      <c r="H160" s="17"/>
      <c r="I160" s="17"/>
      <c r="J160" s="43"/>
      <c r="K160" s="17"/>
      <c r="L160" s="17"/>
      <c r="M160" s="17"/>
      <c r="P160" s="17"/>
      <c r="Q160" s="17"/>
      <c r="R160" s="43"/>
      <c r="S160" s="17"/>
      <c r="T160" s="17"/>
      <c r="U160" s="17"/>
      <c r="V160" s="43"/>
      <c r="W160" s="17"/>
      <c r="X160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9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301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240350</v>
      </c>
      <c r="I12" s="4"/>
      <c r="J12" s="13"/>
      <c r="K12" s="4"/>
      <c r="L12" s="4">
        <f t="shared" ref="L12:L24" si="0">+D12-H12</f>
        <v>-240350</v>
      </c>
      <c r="M12" s="4"/>
      <c r="N12" s="13">
        <f t="shared" ref="N12:N24" si="1">IF(H12=0,0,L12/H12)</f>
        <v>-1</v>
      </c>
      <c r="O12" s="10"/>
      <c r="P12" s="4">
        <f>SUM(OSRRefP13x_0)</f>
        <v>4619542.3499999996</v>
      </c>
      <c r="Q12" s="4"/>
      <c r="R12" s="13"/>
      <c r="S12" s="4"/>
      <c r="T12" s="4">
        <f>SUM(OSRRefT13x_0)</f>
        <v>7538166</v>
      </c>
      <c r="U12" s="4"/>
      <c r="V12" s="13"/>
      <c r="W12" s="4"/>
      <c r="X12" s="4">
        <f t="shared" ref="X12:X24" si="2">+P12-T12</f>
        <v>-2918623.6500000004</v>
      </c>
      <c r="Y12" s="4"/>
      <c r="Z12" s="13">
        <f t="shared" ref="Z12:Z24" si="3">IF(T12=0,0,X12/T12)</f>
        <v>-0.38717954075301608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4" si="4">0</f>
        <v>0</v>
      </c>
      <c r="E13" s="2"/>
      <c r="F13" s="19"/>
      <c r="G13" s="2"/>
      <c r="H13" s="2">
        <v>155750</v>
      </c>
      <c r="I13" s="2"/>
      <c r="J13" s="19"/>
      <c r="K13" s="2"/>
      <c r="L13" s="2">
        <f t="shared" si="0"/>
        <v>-155750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3702341</v>
      </c>
      <c r="U13" s="2"/>
      <c r="V13" s="19"/>
      <c r="W13" s="2"/>
      <c r="X13" s="2">
        <f t="shared" si="2"/>
        <v>-3702341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--454738.68</f>
        <v>454738.68</v>
      </c>
      <c r="Q14" s="2"/>
      <c r="R14" s="19"/>
      <c r="S14" s="2"/>
      <c r="T14" s="2"/>
      <c r="U14" s="2"/>
      <c r="V14" s="19"/>
      <c r="W14" s="2"/>
      <c r="X14" s="2">
        <f t="shared" si="2"/>
        <v>454738.68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--836487.29</f>
        <v>836487.29</v>
      </c>
      <c r="Q15" s="2"/>
      <c r="R15" s="19"/>
      <c r="S15" s="2"/>
      <c r="T15" s="2"/>
      <c r="U15" s="2"/>
      <c r="V15" s="19"/>
      <c r="W15" s="2"/>
      <c r="X15" s="2">
        <f t="shared" si="2"/>
        <v>836487.29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--253270.4</f>
        <v>253270.39999999999</v>
      </c>
      <c r="Q16" s="2"/>
      <c r="R16" s="19"/>
      <c r="S16" s="2"/>
      <c r="T16" s="2"/>
      <c r="U16" s="2"/>
      <c r="V16" s="19"/>
      <c r="W16" s="2"/>
      <c r="X16" s="2">
        <f t="shared" si="2"/>
        <v>253270.39999999999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--381406.04</f>
        <v>381406.04</v>
      </c>
      <c r="Q17" s="2"/>
      <c r="R17" s="19"/>
      <c r="S17" s="2"/>
      <c r="T17" s="2"/>
      <c r="U17" s="2"/>
      <c r="V17" s="19"/>
      <c r="W17" s="2"/>
      <c r="X17" s="2">
        <f t="shared" si="2"/>
        <v>381406.04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--117077.57</f>
        <v>117077.57</v>
      </c>
      <c r="Q18" s="2"/>
      <c r="R18" s="19"/>
      <c r="S18" s="2"/>
      <c r="T18" s="2"/>
      <c r="U18" s="2"/>
      <c r="V18" s="19"/>
      <c r="W18" s="2"/>
      <c r="X18" s="2">
        <f t="shared" si="2"/>
        <v>117077.57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4"/>
        <v>0</v>
      </c>
      <c r="E19" s="2"/>
      <c r="F19" s="19"/>
      <c r="G19" s="2"/>
      <c r="H19" s="2">
        <v>84600</v>
      </c>
      <c r="I19" s="2"/>
      <c r="J19" s="19"/>
      <c r="K19" s="2"/>
      <c r="L19" s="2">
        <f t="shared" si="0"/>
        <v>-84600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3835825</v>
      </c>
      <c r="U19" s="2"/>
      <c r="V19" s="19"/>
      <c r="W19" s="2"/>
      <c r="X19" s="2">
        <f t="shared" si="2"/>
        <v>-3835825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--1363402.11</f>
        <v>1363402.11</v>
      </c>
      <c r="Q20" s="2"/>
      <c r="R20" s="19"/>
      <c r="S20" s="2"/>
      <c r="T20" s="2"/>
      <c r="U20" s="2"/>
      <c r="V20" s="19"/>
      <c r="W20" s="2"/>
      <c r="X20" s="2">
        <f t="shared" si="2"/>
        <v>1363402.11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--51415.27</f>
        <v>51415.27</v>
      </c>
      <c r="Q21" s="2"/>
      <c r="R21" s="19"/>
      <c r="S21" s="2"/>
      <c r="T21" s="2"/>
      <c r="U21" s="2"/>
      <c r="V21" s="19"/>
      <c r="W21" s="2"/>
      <c r="X21" s="2">
        <f t="shared" si="2"/>
        <v>51415.27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-498.41</f>
        <v>-498.41</v>
      </c>
      <c r="Q22" s="2"/>
      <c r="R22" s="19"/>
      <c r="S22" s="2"/>
      <c r="T22" s="2"/>
      <c r="U22" s="2"/>
      <c r="V22" s="19"/>
      <c r="W22" s="2"/>
      <c r="X22" s="2">
        <f t="shared" si="2"/>
        <v>-498.41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--687389.73</f>
        <v>687389.73</v>
      </c>
      <c r="Q23" s="2"/>
      <c r="R23" s="19"/>
      <c r="S23" s="2"/>
      <c r="T23" s="2"/>
      <c r="U23" s="2"/>
      <c r="V23" s="19"/>
      <c r="W23" s="2"/>
      <c r="X23" s="2">
        <f t="shared" si="2"/>
        <v>687389.73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--474853.67</f>
        <v>474853.67</v>
      </c>
      <c r="Q24" s="2"/>
      <c r="R24" s="19"/>
      <c r="S24" s="2"/>
      <c r="T24" s="2"/>
      <c r="U24" s="2"/>
      <c r="V24" s="19"/>
      <c r="W24" s="2"/>
      <c r="X24" s="2">
        <f t="shared" si="2"/>
        <v>474853.67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33964</v>
      </c>
      <c r="E26" s="4"/>
      <c r="F26" s="13">
        <f t="shared" ref="F26:F29" si="5">IF(D$12=0,0,D26/D$12)</f>
        <v>0</v>
      </c>
      <c r="G26" s="4"/>
      <c r="H26" s="4">
        <f>SUM(OSRRefH16x_0)</f>
        <v>69068</v>
      </c>
      <c r="I26" s="4"/>
      <c r="J26" s="13">
        <f t="shared" ref="J26:J29" si="6">IF(H$12=0,0,H26/H$12)</f>
        <v>0.28736426045350533</v>
      </c>
      <c r="K26" s="4"/>
      <c r="L26" s="4">
        <f t="shared" ref="L26:L29" si="7">+D26-H26</f>
        <v>-35104</v>
      </c>
      <c r="M26" s="4"/>
      <c r="N26" s="13">
        <f t="shared" ref="N26:N29" si="8">IF(H26=0,0,L26/H26)</f>
        <v>-0.50825273643365954</v>
      </c>
      <c r="O26" s="10"/>
      <c r="P26" s="4">
        <f>SUM(OSRRefP16x_0)</f>
        <v>1678796.26</v>
      </c>
      <c r="Q26" s="4"/>
      <c r="R26" s="13">
        <f t="shared" ref="R26:R29" si="9">IF(P$12=0,0,P26/P$12)</f>
        <v>0.36341181286063978</v>
      </c>
      <c r="S26" s="4"/>
      <c r="T26" s="4">
        <f>SUM(OSRRefT16x_0)</f>
        <v>2309643</v>
      </c>
      <c r="U26" s="4"/>
      <c r="V26" s="13">
        <f t="shared" ref="V26:V29" si="10">IF(T$12=0,0,T26/T$12)</f>
        <v>0.30639322615076398</v>
      </c>
      <c r="W26" s="4"/>
      <c r="X26" s="4">
        <f t="shared" ref="X26:X29" si="11">+P26-T26</f>
        <v>-630846.74</v>
      </c>
      <c r="Y26" s="4"/>
      <c r="Z26" s="13">
        <f t="shared" ref="Z26:Z29" si="12">IF(T26=0,0,X26/T26)</f>
        <v>-0.27313603877309178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5"/>
        <v>0</v>
      </c>
      <c r="G27" s="2"/>
      <c r="H27" s="2">
        <v>69068</v>
      </c>
      <c r="I27" s="2"/>
      <c r="J27" s="19">
        <f t="shared" si="6"/>
        <v>0.28736426045350533</v>
      </c>
      <c r="K27" s="2"/>
      <c r="L27" s="2">
        <f t="shared" si="7"/>
        <v>-69068</v>
      </c>
      <c r="M27" s="2"/>
      <c r="N27" s="19">
        <f t="shared" si="8"/>
        <v>-1</v>
      </c>
      <c r="O27" s="11"/>
      <c r="P27" s="2"/>
      <c r="Q27" s="2"/>
      <c r="R27" s="19">
        <f t="shared" si="9"/>
        <v>0</v>
      </c>
      <c r="S27" s="2"/>
      <c r="T27" s="2">
        <v>2309643</v>
      </c>
      <c r="U27" s="2"/>
      <c r="V27" s="19">
        <f t="shared" si="10"/>
        <v>0.30639322615076398</v>
      </c>
      <c r="W27" s="2"/>
      <c r="X27" s="2">
        <f t="shared" si="11"/>
        <v>-2309643</v>
      </c>
      <c r="Y27" s="2"/>
      <c r="Z27" s="19">
        <f t="shared" si="12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1754</v>
      </c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1754</v>
      </c>
      <c r="M28" s="2"/>
      <c r="N28" s="19">
        <f t="shared" si="8"/>
        <v>0</v>
      </c>
      <c r="O28" s="11"/>
      <c r="P28" s="2">
        <v>1603213.27</v>
      </c>
      <c r="Q28" s="2"/>
      <c r="R28" s="19">
        <f t="shared" si="9"/>
        <v>0.34705023756303482</v>
      </c>
      <c r="S28" s="2"/>
      <c r="T28" s="2"/>
      <c r="U28" s="2"/>
      <c r="V28" s="19">
        <f t="shared" si="10"/>
        <v>0</v>
      </c>
      <c r="W28" s="2"/>
      <c r="X28" s="2">
        <f t="shared" si="11"/>
        <v>1603213.27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32210</v>
      </c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32210</v>
      </c>
      <c r="M29" s="2"/>
      <c r="N29" s="19">
        <f t="shared" si="8"/>
        <v>0</v>
      </c>
      <c r="O29" s="11"/>
      <c r="P29" s="2">
        <v>75582.989999999991</v>
      </c>
      <c r="Q29" s="2"/>
      <c r="R29" s="19">
        <f t="shared" si="9"/>
        <v>1.6361575297604968E-2</v>
      </c>
      <c r="S29" s="2"/>
      <c r="T29" s="2"/>
      <c r="U29" s="2"/>
      <c r="V29" s="19">
        <f t="shared" si="10"/>
        <v>0</v>
      </c>
      <c r="W29" s="2"/>
      <c r="X29" s="2">
        <f t="shared" si="11"/>
        <v>75582.989999999991</v>
      </c>
      <c r="Y29" s="2"/>
      <c r="Z29" s="19">
        <f t="shared" si="12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2">
        <f>D12-D26</f>
        <v>-33964</v>
      </c>
      <c r="E31" s="14"/>
      <c r="F31" s="20">
        <f>IF(D$12=0,0,D31/D$12)</f>
        <v>0</v>
      </c>
      <c r="G31" s="14"/>
      <c r="H31" s="22">
        <f>H12-H26</f>
        <v>171282</v>
      </c>
      <c r="I31" s="14"/>
      <c r="J31" s="20">
        <f>IF(H$12=0,0,H31/H$12)</f>
        <v>0.71263573954649473</v>
      </c>
      <c r="K31" s="15"/>
      <c r="L31" s="22">
        <f>+D31-H31</f>
        <v>-205246</v>
      </c>
      <c r="M31" s="15"/>
      <c r="N31" s="20">
        <f>IF(H31=0,0,L31/H31)</f>
        <v>-1.1982928737403813</v>
      </c>
      <c r="O31" s="28"/>
      <c r="P31" s="22">
        <f>P12-P26</f>
        <v>2940746.09</v>
      </c>
      <c r="Q31" s="14"/>
      <c r="R31" s="20">
        <f>IF(P$12=0,0,P31/P$12)</f>
        <v>0.63658818713936027</v>
      </c>
      <c r="S31" s="14"/>
      <c r="T31" s="22">
        <f>T12-T26</f>
        <v>5228523</v>
      </c>
      <c r="U31" s="14"/>
      <c r="V31" s="20">
        <f>IF(T$12=0,0,T31/T$12)</f>
        <v>0.69360677384923597</v>
      </c>
      <c r="W31" s="15"/>
      <c r="X31" s="22">
        <f>+P31-T31</f>
        <v>-2287776.91</v>
      </c>
      <c r="Y31" s="15"/>
      <c r="Z31" s="20">
        <f>IF(T31=0,0,X31/T31)</f>
        <v>-0.43755701371113798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1">
        <f>SUM(OSRRefD22x_0)</f>
        <v>145555.24</v>
      </c>
      <c r="E33" s="21"/>
      <c r="F33" s="32">
        <f t="shared" ref="F33:F44" si="13">IF(D$12=0,0,D33/D$12)</f>
        <v>0</v>
      </c>
      <c r="G33" s="21"/>
      <c r="H33" s="21">
        <f>SUM(OSRRefH22x_0)</f>
        <v>352011.23322066158</v>
      </c>
      <c r="I33" s="21"/>
      <c r="J33" s="32">
        <f t="shared" ref="J33:J44" si="14">IF(H$12=0,0,H33/H$12)</f>
        <v>1.4645776293765824</v>
      </c>
      <c r="K33" s="4"/>
      <c r="L33" s="21">
        <f t="shared" ref="L33:L44" si="15">+D33-H33</f>
        <v>-206455.99322066159</v>
      </c>
      <c r="M33" s="4"/>
      <c r="N33" s="32">
        <f t="shared" ref="N33:N44" si="16">IF(H33=0,0,L33/H33)</f>
        <v>-0.58650399117019847</v>
      </c>
      <c r="O33" s="10"/>
      <c r="P33" s="21">
        <f>SUM(OSRRefP22x_0)</f>
        <v>4840617.6500000004</v>
      </c>
      <c r="Q33" s="21"/>
      <c r="R33" s="32">
        <f t="shared" ref="R33:R44" si="17">IF(P$12=0,0,P33/P$12)</f>
        <v>1.0478565371307833</v>
      </c>
      <c r="S33" s="21"/>
      <c r="T33" s="21">
        <f>SUM(OSRRefT22x_0)</f>
        <v>5676667.5810777741</v>
      </c>
      <c r="U33" s="21"/>
      <c r="V33" s="32">
        <f t="shared" ref="V33:V44" si="18">IF(T$12=0,0,T33/T$12)</f>
        <v>0.75305685508620723</v>
      </c>
      <c r="W33" s="4"/>
      <c r="X33" s="21">
        <f t="shared" ref="X33:X44" si="19">+P33-T33</f>
        <v>-836049.93107777368</v>
      </c>
      <c r="Y33" s="4"/>
      <c r="Z33" s="32">
        <f t="shared" ref="Z33:Z44" si="20">IF(T33=0,0,X33/T33)</f>
        <v>-0.14727829648940638</v>
      </c>
    </row>
    <row r="34" spans="1:26" s="26" customFormat="1" outlineLevel="1" collapsed="1" x14ac:dyDescent="0.25">
      <c r="A34" s="25"/>
      <c r="B34" s="12" t="str">
        <f>CONCATENATE("     ","*Benefits                                         ")</f>
        <v xml:space="preserve">     *Benefits                                         </v>
      </c>
      <c r="C34" s="12"/>
      <c r="D34" s="1">
        <f>SUM(OSRRefD22_0x_0)</f>
        <v>18939.369999999995</v>
      </c>
      <c r="E34" s="1"/>
      <c r="F34" s="5">
        <f t="shared" si="13"/>
        <v>0</v>
      </c>
      <c r="G34" s="1"/>
      <c r="H34" s="1">
        <f>SUM(OSRRefH22_0x_0)</f>
        <v>55711.272112969236</v>
      </c>
      <c r="I34" s="1"/>
      <c r="J34" s="5">
        <f t="shared" si="14"/>
        <v>0.23179227007684308</v>
      </c>
      <c r="K34" s="1"/>
      <c r="L34" s="1">
        <f t="shared" si="15"/>
        <v>-36771.902112969241</v>
      </c>
      <c r="M34" s="1"/>
      <c r="N34" s="5">
        <f t="shared" si="16"/>
        <v>-0.66004420143924469</v>
      </c>
      <c r="O34" s="12"/>
      <c r="P34" s="1">
        <f>SUM(OSRRefP22_0x_0)</f>
        <v>637018.51</v>
      </c>
      <c r="Q34" s="1"/>
      <c r="R34" s="5">
        <f t="shared" si="17"/>
        <v>0.1378964541801419</v>
      </c>
      <c r="S34" s="1"/>
      <c r="T34" s="1">
        <f>SUM(OSRRefT22_0x_0)</f>
        <v>795301.13454315893</v>
      </c>
      <c r="U34" s="1"/>
      <c r="V34" s="5">
        <f t="shared" si="18"/>
        <v>0.10550326625112248</v>
      </c>
      <c r="W34" s="1"/>
      <c r="X34" s="1">
        <f t="shared" si="19"/>
        <v>-158282.62454315892</v>
      </c>
      <c r="Y34" s="1"/>
      <c r="Z34" s="5">
        <f t="shared" si="20"/>
        <v>-0.19902225417304409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6">
        <v>2746.16</v>
      </c>
      <c r="E35" s="2"/>
      <c r="F35" s="7">
        <f t="shared" si="13"/>
        <v>0</v>
      </c>
      <c r="G35" s="2"/>
      <c r="H35" s="6">
        <v>10399.029562200001</v>
      </c>
      <c r="I35" s="2"/>
      <c r="J35" s="7">
        <f t="shared" si="14"/>
        <v>4.326619331058873E-2</v>
      </c>
      <c r="K35" s="2"/>
      <c r="L35" s="6">
        <f t="shared" si="15"/>
        <v>-7652.8695622000014</v>
      </c>
      <c r="M35" s="2"/>
      <c r="N35" s="7">
        <f t="shared" si="16"/>
        <v>-0.73592151233205771</v>
      </c>
      <c r="O35" s="11"/>
      <c r="P35" s="6">
        <v>137065.68</v>
      </c>
      <c r="Q35" s="2"/>
      <c r="R35" s="7">
        <f t="shared" si="17"/>
        <v>2.9670835250595766E-2</v>
      </c>
      <c r="S35" s="2"/>
      <c r="T35" s="6">
        <v>132962.6703058265</v>
      </c>
      <c r="U35" s="2"/>
      <c r="V35" s="7">
        <f t="shared" si="18"/>
        <v>1.7638596749637313E-2</v>
      </c>
      <c r="W35" s="2"/>
      <c r="X35" s="6">
        <f t="shared" si="19"/>
        <v>4103.0096941734955</v>
      </c>
      <c r="Y35" s="2"/>
      <c r="Z35" s="7">
        <f t="shared" si="20"/>
        <v>3.0858358099579316E-2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783.34</v>
      </c>
      <c r="E36" s="2"/>
      <c r="F36" s="7">
        <f t="shared" si="13"/>
        <v>0</v>
      </c>
      <c r="G36" s="2"/>
      <c r="H36" s="6">
        <v>5712.2767398461501</v>
      </c>
      <c r="I36" s="2"/>
      <c r="J36" s="7">
        <f t="shared" si="14"/>
        <v>2.3766493612840233E-2</v>
      </c>
      <c r="K36" s="2"/>
      <c r="L36" s="6">
        <f t="shared" si="15"/>
        <v>-4928.93673984615</v>
      </c>
      <c r="M36" s="2"/>
      <c r="N36" s="7">
        <f t="shared" si="16"/>
        <v>-0.86286728818024705</v>
      </c>
      <c r="O36" s="11"/>
      <c r="P36" s="6">
        <v>71894.930000000008</v>
      </c>
      <c r="Q36" s="2"/>
      <c r="R36" s="7">
        <f t="shared" si="17"/>
        <v>1.5563214827979663E-2</v>
      </c>
      <c r="S36" s="2"/>
      <c r="T36" s="6">
        <v>100547.95558457229</v>
      </c>
      <c r="U36" s="2"/>
      <c r="V36" s="7">
        <f t="shared" si="18"/>
        <v>1.3338517032468149E-2</v>
      </c>
      <c r="W36" s="2"/>
      <c r="X36" s="6">
        <f t="shared" si="19"/>
        <v>-28653.025584572286</v>
      </c>
      <c r="Y36" s="2"/>
      <c r="Z36" s="7">
        <f t="shared" si="20"/>
        <v>-0.28496875364583446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6">
        <v>13618.53</v>
      </c>
      <c r="E37" s="2"/>
      <c r="F37" s="7">
        <f t="shared" si="13"/>
        <v>0</v>
      </c>
      <c r="G37" s="2"/>
      <c r="H37" s="6">
        <v>20629.340384615389</v>
      </c>
      <c r="I37" s="2"/>
      <c r="J37" s="7">
        <f t="shared" si="14"/>
        <v>8.5830415579843514E-2</v>
      </c>
      <c r="K37" s="2"/>
      <c r="L37" s="6">
        <f t="shared" si="15"/>
        <v>-7010.8103846153881</v>
      </c>
      <c r="M37" s="2"/>
      <c r="N37" s="7">
        <f t="shared" si="16"/>
        <v>-0.33984656096148352</v>
      </c>
      <c r="O37" s="11"/>
      <c r="P37" s="6">
        <v>249331.83000000002</v>
      </c>
      <c r="Q37" s="2"/>
      <c r="R37" s="7">
        <f t="shared" si="17"/>
        <v>5.3973275079943803E-2</v>
      </c>
      <c r="S37" s="2"/>
      <c r="T37" s="6">
        <v>265418.44615384622</v>
      </c>
      <c r="U37" s="2"/>
      <c r="V37" s="7">
        <f t="shared" si="18"/>
        <v>3.520994976149984E-2</v>
      </c>
      <c r="W37" s="2"/>
      <c r="X37" s="6">
        <f t="shared" si="19"/>
        <v>-16086.616153846204</v>
      </c>
      <c r="Y37" s="2"/>
      <c r="Z37" s="7">
        <f t="shared" si="20"/>
        <v>-6.0608508515349435E-2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-6145.79</v>
      </c>
      <c r="E38" s="2"/>
      <c r="F38" s="7">
        <f t="shared" si="13"/>
        <v>0</v>
      </c>
      <c r="G38" s="2"/>
      <c r="H38" s="6">
        <v>428.46541400000001</v>
      </c>
      <c r="I38" s="2"/>
      <c r="J38" s="7">
        <f t="shared" si="14"/>
        <v>1.7826728271271063E-3</v>
      </c>
      <c r="K38" s="2"/>
      <c r="L38" s="6">
        <f t="shared" si="15"/>
        <v>-6574.2554140000002</v>
      </c>
      <c r="M38" s="2"/>
      <c r="N38" s="7">
        <f t="shared" si="16"/>
        <v>-15.343724835629324</v>
      </c>
      <c r="O38" s="11"/>
      <c r="P38" s="6">
        <v>0</v>
      </c>
      <c r="Q38" s="2"/>
      <c r="R38" s="7">
        <f t="shared" si="17"/>
        <v>0</v>
      </c>
      <c r="S38" s="2"/>
      <c r="T38" s="6">
        <v>7287.6578947600001</v>
      </c>
      <c r="U38" s="2"/>
      <c r="V38" s="7">
        <f t="shared" si="18"/>
        <v>9.6676803014950855E-4</v>
      </c>
      <c r="W38" s="2"/>
      <c r="X38" s="6">
        <f t="shared" si="19"/>
        <v>-7287.6578947600001</v>
      </c>
      <c r="Y38" s="2"/>
      <c r="Z38" s="7">
        <f t="shared" si="20"/>
        <v>-1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6">
        <v>3064.65</v>
      </c>
      <c r="E39" s="2"/>
      <c r="F39" s="7">
        <f t="shared" si="13"/>
        <v>0</v>
      </c>
      <c r="G39" s="2"/>
      <c r="H39" s="6">
        <v>6449.7394200000062</v>
      </c>
      <c r="I39" s="2"/>
      <c r="J39" s="7">
        <f t="shared" si="14"/>
        <v>2.6834780195548184E-2</v>
      </c>
      <c r="K39" s="2"/>
      <c r="L39" s="6">
        <f t="shared" si="15"/>
        <v>-3385.0894200000062</v>
      </c>
      <c r="M39" s="2"/>
      <c r="N39" s="7">
        <f t="shared" si="16"/>
        <v>-0.52484126870353509</v>
      </c>
      <c r="O39" s="11"/>
      <c r="P39" s="6">
        <v>78997.83</v>
      </c>
      <c r="Q39" s="2"/>
      <c r="R39" s="7">
        <f t="shared" si="17"/>
        <v>1.7100791380340957E-2</v>
      </c>
      <c r="S39" s="2"/>
      <c r="T39" s="6">
        <v>87934.92015230775</v>
      </c>
      <c r="U39" s="2"/>
      <c r="V39" s="7">
        <f t="shared" si="18"/>
        <v>1.1665293673860161E-2</v>
      </c>
      <c r="W39" s="2"/>
      <c r="X39" s="6">
        <f t="shared" si="19"/>
        <v>-8937.0901523077482</v>
      </c>
      <c r="Y39" s="2"/>
      <c r="Z39" s="7">
        <f t="shared" si="20"/>
        <v>-0.10163300469060817</v>
      </c>
    </row>
    <row r="40" spans="1:26" s="24" customFormat="1" hidden="1" outlineLevel="2" x14ac:dyDescent="0.25">
      <c r="A40" s="27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3"/>
        <v>0</v>
      </c>
      <c r="G40" s="2"/>
      <c r="H40" s="6">
        <v>0</v>
      </c>
      <c r="I40" s="2"/>
      <c r="J40" s="7">
        <f t="shared" si="14"/>
        <v>0</v>
      </c>
      <c r="K40" s="2"/>
      <c r="L40" s="6">
        <f t="shared" si="15"/>
        <v>0</v>
      </c>
      <c r="M40" s="2"/>
      <c r="N40" s="7">
        <f t="shared" si="16"/>
        <v>0</v>
      </c>
      <c r="O40" s="11"/>
      <c r="P40" s="6"/>
      <c r="Q40" s="2"/>
      <c r="R40" s="7">
        <f t="shared" si="17"/>
        <v>0</v>
      </c>
      <c r="S40" s="2"/>
      <c r="T40" s="6">
        <v>24000</v>
      </c>
      <c r="U40" s="2"/>
      <c r="V40" s="7">
        <f t="shared" si="18"/>
        <v>3.1837982872757113E-3</v>
      </c>
      <c r="W40" s="2"/>
      <c r="X40" s="6">
        <f t="shared" si="19"/>
        <v>-24000</v>
      </c>
      <c r="Y40" s="2"/>
      <c r="Z40" s="7">
        <f t="shared" si="20"/>
        <v>-1</v>
      </c>
    </row>
    <row r="41" spans="1:26" s="24" customFormat="1" hidden="1" outlineLevel="2" x14ac:dyDescent="0.25">
      <c r="A41" s="27"/>
      <c r="B41" s="11" t="str">
        <f>CONCATENATE("          ", "6117", " - ", "RETIREMENT STAFF HOURLY")</f>
        <v xml:space="preserve">          6117 - RETIREMENT STAFF HOURLY</v>
      </c>
      <c r="C41" s="11"/>
      <c r="D41" s="6"/>
      <c r="E41" s="2"/>
      <c r="F41" s="7">
        <f t="shared" si="13"/>
        <v>0</v>
      </c>
      <c r="G41" s="2"/>
      <c r="H41" s="6"/>
      <c r="I41" s="2"/>
      <c r="J41" s="7">
        <f t="shared" si="14"/>
        <v>0</v>
      </c>
      <c r="K41" s="2"/>
      <c r="L41" s="6">
        <f t="shared" si="15"/>
        <v>0</v>
      </c>
      <c r="M41" s="2"/>
      <c r="N41" s="7">
        <f t="shared" si="16"/>
        <v>0</v>
      </c>
      <c r="O41" s="11"/>
      <c r="P41" s="6">
        <v>1352.45</v>
      </c>
      <c r="Q41" s="2"/>
      <c r="R41" s="7">
        <f t="shared" si="17"/>
        <v>2.9276709629039339E-4</v>
      </c>
      <c r="S41" s="2"/>
      <c r="T41" s="6"/>
      <c r="U41" s="2"/>
      <c r="V41" s="7">
        <f t="shared" si="18"/>
        <v>0</v>
      </c>
      <c r="W41" s="2"/>
      <c r="X41" s="6">
        <f t="shared" si="19"/>
        <v>1352.45</v>
      </c>
      <c r="Y41" s="2"/>
      <c r="Z41" s="7">
        <f t="shared" si="20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6">
        <v>2558.84</v>
      </c>
      <c r="E42" s="2"/>
      <c r="F42" s="7">
        <f t="shared" si="13"/>
        <v>0</v>
      </c>
      <c r="G42" s="2"/>
      <c r="H42" s="6">
        <v>5101.5949846153826</v>
      </c>
      <c r="I42" s="2"/>
      <c r="J42" s="7">
        <f t="shared" si="14"/>
        <v>2.1225691635595519E-2</v>
      </c>
      <c r="K42" s="2"/>
      <c r="L42" s="6">
        <f t="shared" si="15"/>
        <v>-2542.7549846153825</v>
      </c>
      <c r="M42" s="2"/>
      <c r="N42" s="7">
        <f t="shared" si="16"/>
        <v>-0.49842353073566947</v>
      </c>
      <c r="O42" s="11"/>
      <c r="P42" s="6">
        <v>78006.8</v>
      </c>
      <c r="Q42" s="2"/>
      <c r="R42" s="7">
        <f t="shared" si="17"/>
        <v>1.6886261471333847E-2</v>
      </c>
      <c r="S42" s="2"/>
      <c r="T42" s="6">
        <v>67724.437176923035</v>
      </c>
      <c r="U42" s="2"/>
      <c r="V42" s="7">
        <f t="shared" si="18"/>
        <v>8.984206128774961E-3</v>
      </c>
      <c r="W42" s="2"/>
      <c r="X42" s="6">
        <f t="shared" si="19"/>
        <v>10282.362823076968</v>
      </c>
      <c r="Y42" s="2"/>
      <c r="Z42" s="7">
        <f t="shared" si="20"/>
        <v>0.15182647876741104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6">
        <v>1655.82</v>
      </c>
      <c r="E43" s="2"/>
      <c r="F43" s="7">
        <f t="shared" si="13"/>
        <v>0</v>
      </c>
      <c r="G43" s="2"/>
      <c r="H43" s="6">
        <v>5265.8256076923099</v>
      </c>
      <c r="I43" s="2"/>
      <c r="J43" s="7">
        <f t="shared" si="14"/>
        <v>2.1908989422476845E-2</v>
      </c>
      <c r="K43" s="2"/>
      <c r="L43" s="6">
        <f t="shared" si="15"/>
        <v>-3610.0056076923102</v>
      </c>
      <c r="M43" s="2"/>
      <c r="N43" s="7">
        <f t="shared" si="16"/>
        <v>-0.68555358202877426</v>
      </c>
      <c r="O43" s="11"/>
      <c r="P43" s="6">
        <v>-6285.35</v>
      </c>
      <c r="Q43" s="2"/>
      <c r="R43" s="7">
        <f t="shared" si="17"/>
        <v>-1.3606001468955038E-3</v>
      </c>
      <c r="S43" s="2"/>
      <c r="T43" s="6">
        <v>88725.047274923054</v>
      </c>
      <c r="U43" s="2"/>
      <c r="V43" s="7">
        <f t="shared" si="18"/>
        <v>1.1770110564681522E-2</v>
      </c>
      <c r="W43" s="2"/>
      <c r="X43" s="6">
        <f t="shared" si="19"/>
        <v>-95010.39727492306</v>
      </c>
      <c r="Y43" s="2"/>
      <c r="Z43" s="7">
        <f t="shared" si="20"/>
        <v>-1.0708407624796665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6">
        <v>657.82</v>
      </c>
      <c r="E44" s="2"/>
      <c r="F44" s="7">
        <f t="shared" si="13"/>
        <v>0</v>
      </c>
      <c r="G44" s="2"/>
      <c r="H44" s="6">
        <v>1725</v>
      </c>
      <c r="I44" s="2"/>
      <c r="J44" s="7">
        <f t="shared" si="14"/>
        <v>7.1770334928229667E-3</v>
      </c>
      <c r="K44" s="2"/>
      <c r="L44" s="6">
        <f t="shared" si="15"/>
        <v>-1067.1799999999998</v>
      </c>
      <c r="M44" s="2"/>
      <c r="N44" s="7">
        <f t="shared" si="16"/>
        <v>-0.61865507246376805</v>
      </c>
      <c r="O44" s="11"/>
      <c r="P44" s="6">
        <v>26654.34</v>
      </c>
      <c r="Q44" s="2"/>
      <c r="R44" s="7">
        <f t="shared" si="17"/>
        <v>5.7699092205529849E-3</v>
      </c>
      <c r="S44" s="2"/>
      <c r="T44" s="6">
        <v>20700</v>
      </c>
      <c r="U44" s="2"/>
      <c r="V44" s="7">
        <f t="shared" si="18"/>
        <v>2.7460260227753011E-3</v>
      </c>
      <c r="W44" s="2"/>
      <c r="X44" s="6">
        <f t="shared" si="19"/>
        <v>5954.34</v>
      </c>
      <c r="Y44" s="2"/>
      <c r="Z44" s="7">
        <f t="shared" si="20"/>
        <v>0.28764927536231882</v>
      </c>
    </row>
    <row r="45" spans="1:26" s="26" customFormat="1" outlineLevel="1" collapsed="1" x14ac:dyDescent="0.25">
      <c r="A45" s="25"/>
      <c r="B45" s="12" t="str">
        <f>CONCATENATE("     ","*Payroll                                          ")</f>
        <v xml:space="preserve">     *Payroll                                          </v>
      </c>
      <c r="C45" s="12"/>
      <c r="D45" s="1">
        <f>SUM(OSRRefD22_1x_0)</f>
        <v>30621.22</v>
      </c>
      <c r="E45" s="1"/>
      <c r="F45" s="5">
        <f t="shared" ref="F45:F55" si="21">IF(D$12=0,0,D45/D$12)</f>
        <v>0</v>
      </c>
      <c r="G45" s="1"/>
      <c r="H45" s="1">
        <f>SUM(OSRRefH22_1x_0)</f>
        <v>150388.96110769233</v>
      </c>
      <c r="I45" s="1"/>
      <c r="J45" s="5">
        <f t="shared" ref="J45:J55" si="22">IF(H$12=0,0,H45/H$12)</f>
        <v>0.62570818018594687</v>
      </c>
      <c r="K45" s="1"/>
      <c r="L45" s="1">
        <f t="shared" ref="L45:L55" si="23">+D45-H45</f>
        <v>-119767.74110769233</v>
      </c>
      <c r="M45" s="1"/>
      <c r="N45" s="5">
        <f t="shared" ref="N45:N55" si="24">IF(H45=0,0,L45/H45)</f>
        <v>-0.79638651816955908</v>
      </c>
      <c r="O45" s="12"/>
      <c r="P45" s="1">
        <f>SUM(OSRRefP22_1x_0)</f>
        <v>2164366.9900000002</v>
      </c>
      <c r="Q45" s="1"/>
      <c r="R45" s="5">
        <f t="shared" ref="R45:R55" si="25">IF(P$12=0,0,P45/P$12)</f>
        <v>0.46852411473184141</v>
      </c>
      <c r="S45" s="1"/>
      <c r="T45" s="1">
        <f>SUM(OSRRefT22_1x_0)</f>
        <v>2607703.5865346151</v>
      </c>
      <c r="U45" s="1"/>
      <c r="V45" s="5">
        <f t="shared" ref="V45:V55" si="26">IF(T$12=0,0,T45/T$12)</f>
        <v>0.34593342552215156</v>
      </c>
      <c r="W45" s="1"/>
      <c r="X45" s="1">
        <f t="shared" ref="X45:X55" si="27">+P45-T45</f>
        <v>-443336.59653461492</v>
      </c>
      <c r="Y45" s="1"/>
      <c r="Z45" s="5">
        <f t="shared" ref="Z45:Z55" si="28">IF(T45=0,0,X45/T45)</f>
        <v>-0.17001034888469291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>
        <v>7748.5</v>
      </c>
      <c r="E46" s="2"/>
      <c r="F46" s="7">
        <f t="shared" si="21"/>
        <v>0</v>
      </c>
      <c r="G46" s="2"/>
      <c r="H46" s="6">
        <v>20213.021076923069</v>
      </c>
      <c r="I46" s="2"/>
      <c r="J46" s="7">
        <f t="shared" si="22"/>
        <v>8.4098277832007781E-2</v>
      </c>
      <c r="K46" s="2"/>
      <c r="L46" s="6">
        <f t="shared" si="23"/>
        <v>-12464.521076923069</v>
      </c>
      <c r="M46" s="2"/>
      <c r="N46" s="7">
        <f t="shared" si="24"/>
        <v>-0.61665799632265972</v>
      </c>
      <c r="O46" s="11"/>
      <c r="P46" s="6">
        <v>187186.24</v>
      </c>
      <c r="Q46" s="2"/>
      <c r="R46" s="7">
        <f t="shared" si="25"/>
        <v>4.0520516063674579E-2</v>
      </c>
      <c r="S46" s="2"/>
      <c r="T46" s="6">
        <v>262769.27399999992</v>
      </c>
      <c r="U46" s="2"/>
      <c r="V46" s="7">
        <f t="shared" si="26"/>
        <v>3.4858515187911741E-2</v>
      </c>
      <c r="W46" s="2"/>
      <c r="X46" s="6">
        <f t="shared" si="27"/>
        <v>-75583.033999999927</v>
      </c>
      <c r="Y46" s="2"/>
      <c r="Z46" s="7">
        <f t="shared" si="28"/>
        <v>-0.28764030455098016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6">
        <v>22872.720000000001</v>
      </c>
      <c r="E47" s="2"/>
      <c r="F47" s="7">
        <f t="shared" si="21"/>
        <v>0</v>
      </c>
      <c r="G47" s="2"/>
      <c r="H47" s="6">
        <v>47802.417030769262</v>
      </c>
      <c r="I47" s="2"/>
      <c r="J47" s="7">
        <f t="shared" si="22"/>
        <v>0.19888669453201274</v>
      </c>
      <c r="K47" s="2"/>
      <c r="L47" s="6">
        <f t="shared" si="23"/>
        <v>-24929.697030769261</v>
      </c>
      <c r="M47" s="2"/>
      <c r="N47" s="7">
        <f t="shared" si="24"/>
        <v>-0.52151540820043929</v>
      </c>
      <c r="O47" s="11"/>
      <c r="P47" s="6">
        <v>626772.43999999994</v>
      </c>
      <c r="Q47" s="2"/>
      <c r="R47" s="7">
        <f t="shared" si="25"/>
        <v>0.13567847040086126</v>
      </c>
      <c r="S47" s="2"/>
      <c r="T47" s="6">
        <v>664216.03678461548</v>
      </c>
      <c r="U47" s="2"/>
      <c r="V47" s="7">
        <f t="shared" si="26"/>
        <v>8.8113745012329991E-2</v>
      </c>
      <c r="W47" s="2"/>
      <c r="X47" s="6">
        <f t="shared" si="27"/>
        <v>-37443.59678461554</v>
      </c>
      <c r="Y47" s="2"/>
      <c r="Z47" s="7">
        <f t="shared" si="28"/>
        <v>-5.6372617809523511E-2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6"/>
      <c r="E49" s="2"/>
      <c r="F49" s="7">
        <f t="shared" si="21"/>
        <v>0</v>
      </c>
      <c r="G49" s="2"/>
      <c r="H49" s="6">
        <v>46313.022000000004</v>
      </c>
      <c r="I49" s="2"/>
      <c r="J49" s="7">
        <f t="shared" si="22"/>
        <v>0.19268991886831704</v>
      </c>
      <c r="K49" s="2"/>
      <c r="L49" s="6">
        <f t="shared" si="23"/>
        <v>-46313.022000000004</v>
      </c>
      <c r="M49" s="2"/>
      <c r="N49" s="7">
        <f t="shared" si="24"/>
        <v>-1</v>
      </c>
      <c r="O49" s="11"/>
      <c r="P49" s="6">
        <v>221154.82</v>
      </c>
      <c r="Q49" s="2"/>
      <c r="R49" s="7">
        <f t="shared" si="25"/>
        <v>4.7873750957170037E-2</v>
      </c>
      <c r="S49" s="2"/>
      <c r="T49" s="6">
        <v>625072.73725000001</v>
      </c>
      <c r="U49" s="2"/>
      <c r="V49" s="7">
        <f t="shared" si="26"/>
        <v>8.2921062928303785E-2</v>
      </c>
      <c r="W49" s="2"/>
      <c r="X49" s="6">
        <f t="shared" si="27"/>
        <v>-403917.91725</v>
      </c>
      <c r="Y49" s="2"/>
      <c r="Z49" s="7">
        <f t="shared" si="28"/>
        <v>-0.64619346386315302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6"/>
      <c r="E50" s="2"/>
      <c r="F50" s="7">
        <f t="shared" si="21"/>
        <v>0</v>
      </c>
      <c r="G50" s="2"/>
      <c r="H50" s="6">
        <v>14637.61</v>
      </c>
      <c r="I50" s="2"/>
      <c r="J50" s="7">
        <f t="shared" si="22"/>
        <v>6.0901227376742251E-2</v>
      </c>
      <c r="K50" s="2"/>
      <c r="L50" s="6">
        <f t="shared" si="23"/>
        <v>-14637.61</v>
      </c>
      <c r="M50" s="2"/>
      <c r="N50" s="7">
        <f t="shared" si="24"/>
        <v>-1</v>
      </c>
      <c r="O50" s="11"/>
      <c r="P50" s="6">
        <v>437740.4</v>
      </c>
      <c r="Q50" s="2"/>
      <c r="R50" s="7">
        <f t="shared" si="25"/>
        <v>9.4758390947536186E-2</v>
      </c>
      <c r="S50" s="2"/>
      <c r="T50" s="6">
        <v>333394.359</v>
      </c>
      <c r="U50" s="2"/>
      <c r="V50" s="7">
        <f t="shared" si="26"/>
        <v>4.4227516215482654E-2</v>
      </c>
      <c r="W50" s="2"/>
      <c r="X50" s="6">
        <f t="shared" si="27"/>
        <v>104346.04100000003</v>
      </c>
      <c r="Y50" s="2"/>
      <c r="Z50" s="7">
        <f t="shared" si="28"/>
        <v>0.31298082340979266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1"/>
        <v>0</v>
      </c>
      <c r="G51" s="2"/>
      <c r="H51" s="6">
        <v>0</v>
      </c>
      <c r="I51" s="2"/>
      <c r="J51" s="7">
        <f t="shared" si="22"/>
        <v>0</v>
      </c>
      <c r="K51" s="2"/>
      <c r="L51" s="6">
        <f t="shared" si="23"/>
        <v>0</v>
      </c>
      <c r="M51" s="2"/>
      <c r="N51" s="7">
        <f t="shared" si="24"/>
        <v>0</v>
      </c>
      <c r="O51" s="11"/>
      <c r="P51" s="6">
        <v>11826.56</v>
      </c>
      <c r="Q51" s="2"/>
      <c r="R51" s="7">
        <f t="shared" si="25"/>
        <v>2.5601150728708009E-3</v>
      </c>
      <c r="S51" s="2"/>
      <c r="T51" s="6">
        <v>0</v>
      </c>
      <c r="U51" s="2"/>
      <c r="V51" s="7">
        <f t="shared" si="26"/>
        <v>0</v>
      </c>
      <c r="W51" s="2"/>
      <c r="X51" s="6">
        <f t="shared" si="27"/>
        <v>11826.56</v>
      </c>
      <c r="Y51" s="2"/>
      <c r="Z51" s="7">
        <f t="shared" si="28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6"/>
      <c r="E52" s="2"/>
      <c r="F52" s="7">
        <f t="shared" si="21"/>
        <v>0</v>
      </c>
      <c r="G52" s="2"/>
      <c r="H52" s="6">
        <v>10045.991</v>
      </c>
      <c r="I52" s="2"/>
      <c r="J52" s="7">
        <f t="shared" si="22"/>
        <v>4.1797341377158313E-2</v>
      </c>
      <c r="K52" s="2"/>
      <c r="L52" s="6">
        <f t="shared" si="23"/>
        <v>-10045.991</v>
      </c>
      <c r="M52" s="2"/>
      <c r="N52" s="7">
        <f t="shared" si="24"/>
        <v>-1</v>
      </c>
      <c r="O52" s="11"/>
      <c r="P52" s="6">
        <v>643229.24</v>
      </c>
      <c r="Q52" s="2"/>
      <c r="R52" s="7">
        <f t="shared" si="25"/>
        <v>0.13924090121178348</v>
      </c>
      <c r="S52" s="2"/>
      <c r="T52" s="6">
        <v>65941.290999999997</v>
      </c>
      <c r="U52" s="2"/>
      <c r="V52" s="7">
        <f t="shared" si="26"/>
        <v>8.7476570561062193E-3</v>
      </c>
      <c r="W52" s="2"/>
      <c r="X52" s="6">
        <f t="shared" si="27"/>
        <v>577287.94900000002</v>
      </c>
      <c r="Y52" s="2"/>
      <c r="Z52" s="7">
        <f t="shared" si="28"/>
        <v>8.754574565426692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21"/>
        <v>0</v>
      </c>
      <c r="G53" s="2"/>
      <c r="H53" s="6">
        <v>11376.9</v>
      </c>
      <c r="I53" s="2"/>
      <c r="J53" s="7">
        <f t="shared" si="22"/>
        <v>4.7334720199708753E-2</v>
      </c>
      <c r="K53" s="2"/>
      <c r="L53" s="6">
        <f t="shared" si="23"/>
        <v>-11376.9</v>
      </c>
      <c r="M53" s="2"/>
      <c r="N53" s="7">
        <f t="shared" si="24"/>
        <v>-1</v>
      </c>
      <c r="O53" s="11"/>
      <c r="P53" s="6">
        <v>36457.29</v>
      </c>
      <c r="Q53" s="2"/>
      <c r="R53" s="7">
        <f t="shared" si="25"/>
        <v>7.89197007794506E-3</v>
      </c>
      <c r="S53" s="2"/>
      <c r="T53" s="6">
        <v>656309.8885</v>
      </c>
      <c r="U53" s="2"/>
      <c r="V53" s="7">
        <f t="shared" si="26"/>
        <v>8.7064929122017215E-2</v>
      </c>
      <c r="W53" s="2"/>
      <c r="X53" s="6">
        <f t="shared" si="27"/>
        <v>-619852.59849999996</v>
      </c>
      <c r="Y53" s="2"/>
      <c r="Z53" s="7">
        <f t="shared" si="28"/>
        <v>-0.94445110360393414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1"/>
        <v>0</v>
      </c>
      <c r="G54" s="2"/>
      <c r="H54" s="6">
        <v>0</v>
      </c>
      <c r="I54" s="2"/>
      <c r="J54" s="7">
        <f t="shared" si="22"/>
        <v>0</v>
      </c>
      <c r="K54" s="2"/>
      <c r="L54" s="6">
        <f t="shared" si="23"/>
        <v>0</v>
      </c>
      <c r="M54" s="2"/>
      <c r="N54" s="7">
        <f t="shared" si="24"/>
        <v>0</v>
      </c>
      <c r="O54" s="11"/>
      <c r="P54" s="6"/>
      <c r="Q54" s="2"/>
      <c r="R54" s="7">
        <f t="shared" si="25"/>
        <v>0</v>
      </c>
      <c r="S54" s="2"/>
      <c r="T54" s="6">
        <v>0</v>
      </c>
      <c r="U54" s="2"/>
      <c r="V54" s="7">
        <f t="shared" si="26"/>
        <v>0</v>
      </c>
      <c r="W54" s="2"/>
      <c r="X54" s="6">
        <f t="shared" si="27"/>
        <v>0</v>
      </c>
      <c r="Y54" s="2"/>
      <c r="Z54" s="7">
        <f t="shared" si="28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1"/>
        <v>0</v>
      </c>
      <c r="G55" s="2"/>
      <c r="H55" s="6">
        <v>0</v>
      </c>
      <c r="I55" s="2"/>
      <c r="J55" s="7">
        <f t="shared" si="22"/>
        <v>0</v>
      </c>
      <c r="K55" s="2"/>
      <c r="L55" s="6">
        <f t="shared" si="23"/>
        <v>0</v>
      </c>
      <c r="M55" s="2"/>
      <c r="N55" s="7">
        <f t="shared" si="24"/>
        <v>0</v>
      </c>
      <c r="O55" s="11"/>
      <c r="P55" s="6"/>
      <c r="Q55" s="2"/>
      <c r="R55" s="7">
        <f t="shared" si="25"/>
        <v>0</v>
      </c>
      <c r="S55" s="2"/>
      <c r="T55" s="6">
        <v>0</v>
      </c>
      <c r="U55" s="2"/>
      <c r="V55" s="7">
        <f t="shared" si="26"/>
        <v>0</v>
      </c>
      <c r="W55" s="2"/>
      <c r="X55" s="6">
        <f t="shared" si="27"/>
        <v>0</v>
      </c>
      <c r="Y55" s="2"/>
      <c r="Z55" s="7">
        <f t="shared" si="28"/>
        <v>0</v>
      </c>
    </row>
    <row r="56" spans="1:26" s="26" customFormat="1" outlineLevel="1" collapsed="1" x14ac:dyDescent="0.25">
      <c r="A56" s="25"/>
      <c r="B56" s="12" t="str">
        <f>CONCATENATE("     ","Advertising/Promo                                 ")</f>
        <v xml:space="preserve">     Advertising/Promo                                 </v>
      </c>
      <c r="C56" s="12"/>
      <c r="D56" s="1">
        <f>SUM(OSRRefD22_2x_0)</f>
        <v>0</v>
      </c>
      <c r="E56" s="1"/>
      <c r="F56" s="5">
        <f t="shared" ref="F56:F66" si="29">IF(D$12=0,0,D56/D$12)</f>
        <v>0</v>
      </c>
      <c r="G56" s="1"/>
      <c r="H56" s="1">
        <f>SUM(OSRRefH22_2x_0)</f>
        <v>1200</v>
      </c>
      <c r="I56" s="1"/>
      <c r="J56" s="5">
        <f t="shared" ref="J56:J66" si="30">IF(H$12=0,0,H56/H$12)</f>
        <v>4.9927189515290198E-3</v>
      </c>
      <c r="K56" s="1"/>
      <c r="L56" s="1">
        <f t="shared" ref="L56:L66" si="31">+D56-H56</f>
        <v>-1200</v>
      </c>
      <c r="M56" s="1"/>
      <c r="N56" s="5">
        <f t="shared" ref="N56:N66" si="32">IF(H56=0,0,L56/H56)</f>
        <v>-1</v>
      </c>
      <c r="O56" s="12"/>
      <c r="P56" s="1">
        <f>SUM(OSRRefP22_2x_0)</f>
        <v>28503.73</v>
      </c>
      <c r="Q56" s="1"/>
      <c r="R56" s="5">
        <f t="shared" ref="R56:R66" si="33">IF(P$12=0,0,P56/P$12)</f>
        <v>6.1702497434621426E-3</v>
      </c>
      <c r="S56" s="1"/>
      <c r="T56" s="1">
        <f>SUM(OSRRefT22_2x_0)</f>
        <v>25460</v>
      </c>
      <c r="U56" s="1"/>
      <c r="V56" s="5">
        <f t="shared" ref="V56:V66" si="34">IF(T$12=0,0,T56/T$12)</f>
        <v>3.3774793497516505E-3</v>
      </c>
      <c r="W56" s="1"/>
      <c r="X56" s="1">
        <f t="shared" ref="X56:X66" si="35">+P56-T56</f>
        <v>3043.7299999999996</v>
      </c>
      <c r="Y56" s="1"/>
      <c r="Z56" s="5">
        <f t="shared" ref="Z56:Z66" si="36">IF(T56=0,0,X56/T56)</f>
        <v>0.1195494893951296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6"/>
      <c r="E57" s="2"/>
      <c r="F57" s="7">
        <f t="shared" si="29"/>
        <v>0</v>
      </c>
      <c r="G57" s="2"/>
      <c r="H57" s="6">
        <v>1200</v>
      </c>
      <c r="I57" s="2"/>
      <c r="J57" s="7">
        <f t="shared" si="30"/>
        <v>4.9927189515290198E-3</v>
      </c>
      <c r="K57" s="2"/>
      <c r="L57" s="6">
        <f t="shared" si="31"/>
        <v>-1200</v>
      </c>
      <c r="M57" s="2"/>
      <c r="N57" s="7">
        <f t="shared" si="32"/>
        <v>-1</v>
      </c>
      <c r="O57" s="11"/>
      <c r="P57" s="6">
        <v>28503.73</v>
      </c>
      <c r="Q57" s="2"/>
      <c r="R57" s="7">
        <f t="shared" si="33"/>
        <v>6.1702497434621426E-3</v>
      </c>
      <c r="S57" s="2"/>
      <c r="T57" s="6">
        <v>25460</v>
      </c>
      <c r="U57" s="2"/>
      <c r="V57" s="7">
        <f t="shared" si="34"/>
        <v>3.3774793497516505E-3</v>
      </c>
      <c r="W57" s="2"/>
      <c r="X57" s="6">
        <f t="shared" si="35"/>
        <v>3043.7299999999996</v>
      </c>
      <c r="Y57" s="2"/>
      <c r="Z57" s="7">
        <f t="shared" si="36"/>
        <v>0.1195494893951296</v>
      </c>
    </row>
    <row r="58" spans="1:26" s="26" customFormat="1" outlineLevel="1" collapsed="1" x14ac:dyDescent="0.25">
      <c r="A58" s="25"/>
      <c r="B58" s="12" t="str">
        <f>CONCATENATE("     ","Bad Debts/Over/Short                              ")</f>
        <v xml:space="preserve">     Bad Debts/Over/Short                              </v>
      </c>
      <c r="C58" s="12"/>
      <c r="D58" s="1">
        <f>SUM(OSRRefD22_3x_0)</f>
        <v>0</v>
      </c>
      <c r="E58" s="1"/>
      <c r="F58" s="5">
        <f t="shared" si="29"/>
        <v>0</v>
      </c>
      <c r="G58" s="1"/>
      <c r="H58" s="1">
        <f>SUM(OSRRefH22_3x_0)</f>
        <v>144</v>
      </c>
      <c r="I58" s="1"/>
      <c r="J58" s="5">
        <f t="shared" si="30"/>
        <v>5.9912627418348241E-4</v>
      </c>
      <c r="K58" s="1"/>
      <c r="L58" s="1">
        <f t="shared" si="31"/>
        <v>-144</v>
      </c>
      <c r="M58" s="1"/>
      <c r="N58" s="5">
        <f t="shared" si="32"/>
        <v>-1</v>
      </c>
      <c r="O58" s="12"/>
      <c r="P58" s="1">
        <f>SUM(OSRRefP22_3x_0)</f>
        <v>-260.64999999999998</v>
      </c>
      <c r="Q58" s="1"/>
      <c r="R58" s="5">
        <f t="shared" si="33"/>
        <v>-5.6423338125691175E-5</v>
      </c>
      <c r="S58" s="1"/>
      <c r="T58" s="1">
        <f>SUM(OSRRefT22_3x_0)</f>
        <v>1808</v>
      </c>
      <c r="U58" s="1"/>
      <c r="V58" s="5">
        <f t="shared" si="34"/>
        <v>2.3984613764143692E-4</v>
      </c>
      <c r="W58" s="1"/>
      <c r="X58" s="1">
        <f t="shared" si="35"/>
        <v>-2068.65</v>
      </c>
      <c r="Y58" s="1"/>
      <c r="Z58" s="5">
        <f t="shared" si="36"/>
        <v>-1.1441648230088497</v>
      </c>
    </row>
    <row r="59" spans="1:26" s="24" customFormat="1" hidden="1" outlineLevel="2" x14ac:dyDescent="0.25">
      <c r="A59" s="27"/>
      <c r="B59" s="11" t="str">
        <f>CONCATENATE("          ", "6272", " - ", "CASH (OVER/SHORT)")</f>
        <v xml:space="preserve">          6272 - CASH (OVER/SHORT)</v>
      </c>
      <c r="C59" s="11"/>
      <c r="D59" s="6"/>
      <c r="E59" s="2"/>
      <c r="F59" s="7">
        <f t="shared" si="29"/>
        <v>0</v>
      </c>
      <c r="G59" s="2"/>
      <c r="H59" s="6">
        <v>144</v>
      </c>
      <c r="I59" s="2"/>
      <c r="J59" s="7">
        <f t="shared" si="30"/>
        <v>5.9912627418348241E-4</v>
      </c>
      <c r="K59" s="2"/>
      <c r="L59" s="6">
        <f t="shared" si="31"/>
        <v>-144</v>
      </c>
      <c r="M59" s="2"/>
      <c r="N59" s="7">
        <f t="shared" si="32"/>
        <v>-1</v>
      </c>
      <c r="O59" s="11"/>
      <c r="P59" s="6">
        <v>-260.64999999999998</v>
      </c>
      <c r="Q59" s="2"/>
      <c r="R59" s="7">
        <f t="shared" si="33"/>
        <v>-5.6423338125691175E-5</v>
      </c>
      <c r="S59" s="2"/>
      <c r="T59" s="6">
        <v>1808</v>
      </c>
      <c r="U59" s="2"/>
      <c r="V59" s="7">
        <f t="shared" si="34"/>
        <v>2.3984613764143692E-4</v>
      </c>
      <c r="W59" s="2"/>
      <c r="X59" s="6">
        <f t="shared" si="35"/>
        <v>-2068.65</v>
      </c>
      <c r="Y59" s="2"/>
      <c r="Z59" s="7">
        <f t="shared" si="36"/>
        <v>-1.1441648230088497</v>
      </c>
    </row>
    <row r="60" spans="1:26" s="26" customFormat="1" outlineLevel="1" collapsed="1" x14ac:dyDescent="0.25">
      <c r="A60" s="25"/>
      <c r="B60" s="12" t="str">
        <f>CONCATENATE("     ","Bank/card Fees                                    ")</f>
        <v xml:space="preserve">     Bank/card Fees                                    </v>
      </c>
      <c r="C60" s="12"/>
      <c r="D60" s="1">
        <f>SUM(OSRRefD22_4x_0)</f>
        <v>279.08999999999997</v>
      </c>
      <c r="E60" s="1"/>
      <c r="F60" s="5">
        <f t="shared" si="29"/>
        <v>0</v>
      </c>
      <c r="G60" s="1"/>
      <c r="H60" s="1">
        <f>SUM(OSRRefH22_4x_0)</f>
        <v>3530</v>
      </c>
      <c r="I60" s="1"/>
      <c r="J60" s="5">
        <f t="shared" si="30"/>
        <v>1.4686914915747867E-2</v>
      </c>
      <c r="K60" s="1"/>
      <c r="L60" s="1">
        <f t="shared" si="31"/>
        <v>-3250.91</v>
      </c>
      <c r="M60" s="1"/>
      <c r="N60" s="5">
        <f t="shared" si="32"/>
        <v>-0.92093767705382434</v>
      </c>
      <c r="O60" s="12"/>
      <c r="P60" s="1">
        <f>SUM(OSRRefP22_4x_0)</f>
        <v>149623.62</v>
      </c>
      <c r="Q60" s="1"/>
      <c r="R60" s="5">
        <f t="shared" si="33"/>
        <v>3.2389273366007783E-2</v>
      </c>
      <c r="S60" s="1"/>
      <c r="T60" s="1">
        <f>SUM(OSRRefT22_4x_0)</f>
        <v>115788</v>
      </c>
      <c r="U60" s="1"/>
      <c r="V60" s="5">
        <f t="shared" si="34"/>
        <v>1.5360234836961669E-2</v>
      </c>
      <c r="W60" s="1"/>
      <c r="X60" s="1">
        <f t="shared" si="35"/>
        <v>33835.619999999995</v>
      </c>
      <c r="Y60" s="1"/>
      <c r="Z60" s="5">
        <f t="shared" si="36"/>
        <v>0.29222043735102077</v>
      </c>
    </row>
    <row r="61" spans="1:26" s="24" customFormat="1" hidden="1" outlineLevel="2" x14ac:dyDescent="0.25">
      <c r="A61" s="27"/>
      <c r="B61" s="11" t="str">
        <f>CONCATENATE("          ", "6381", " - ", "BANK/CREDIT CARD FEES")</f>
        <v xml:space="preserve">          6381 - BANK/CREDIT CARD FEES</v>
      </c>
      <c r="C61" s="11"/>
      <c r="D61" s="6">
        <v>279.08999999999997</v>
      </c>
      <c r="E61" s="2"/>
      <c r="F61" s="7">
        <f t="shared" si="29"/>
        <v>0</v>
      </c>
      <c r="G61" s="2"/>
      <c r="H61" s="6">
        <v>3530</v>
      </c>
      <c r="I61" s="2"/>
      <c r="J61" s="7">
        <f t="shared" si="30"/>
        <v>1.4686914915747867E-2</v>
      </c>
      <c r="K61" s="2"/>
      <c r="L61" s="6">
        <f t="shared" si="31"/>
        <v>-3250.91</v>
      </c>
      <c r="M61" s="2"/>
      <c r="N61" s="7">
        <f t="shared" si="32"/>
        <v>-0.92093767705382434</v>
      </c>
      <c r="O61" s="11"/>
      <c r="P61" s="6">
        <v>149623.62</v>
      </c>
      <c r="Q61" s="2"/>
      <c r="R61" s="7">
        <f t="shared" si="33"/>
        <v>3.2389273366007783E-2</v>
      </c>
      <c r="S61" s="2"/>
      <c r="T61" s="6">
        <v>115788</v>
      </c>
      <c r="U61" s="2"/>
      <c r="V61" s="7">
        <f t="shared" si="34"/>
        <v>1.5360234836961669E-2</v>
      </c>
      <c r="W61" s="2"/>
      <c r="X61" s="6">
        <f t="shared" si="35"/>
        <v>33835.619999999995</v>
      </c>
      <c r="Y61" s="2"/>
      <c r="Z61" s="7">
        <f t="shared" si="36"/>
        <v>0.29222043735102077</v>
      </c>
    </row>
    <row r="62" spans="1:26" s="26" customFormat="1" outlineLevel="1" collapsed="1" x14ac:dyDescent="0.25">
      <c r="A62" s="25"/>
      <c r="B62" s="12" t="str">
        <f>CONCATENATE("     ","Depreciation                                      ")</f>
        <v xml:space="preserve">     Depreciation                                      </v>
      </c>
      <c r="C62" s="12"/>
      <c r="D62" s="1">
        <f>SUM(OSRRefD22_5x_0)</f>
        <v>37737.599999999999</v>
      </c>
      <c r="E62" s="1"/>
      <c r="F62" s="5">
        <f t="shared" si="29"/>
        <v>0</v>
      </c>
      <c r="G62" s="1"/>
      <c r="H62" s="1">
        <f>SUM(OSRRefH22_5x_0)</f>
        <v>44988</v>
      </c>
      <c r="I62" s="1"/>
      <c r="J62" s="5">
        <f t="shared" si="30"/>
        <v>0.18717703349282297</v>
      </c>
      <c r="K62" s="1"/>
      <c r="L62" s="1">
        <f t="shared" si="31"/>
        <v>-7250.4000000000015</v>
      </c>
      <c r="M62" s="1"/>
      <c r="N62" s="5">
        <f t="shared" si="32"/>
        <v>-0.16116297679381172</v>
      </c>
      <c r="O62" s="12"/>
      <c r="P62" s="1">
        <f>SUM(OSRRefP22_5x_0)</f>
        <v>477347.9</v>
      </c>
      <c r="Q62" s="1"/>
      <c r="R62" s="5">
        <f t="shared" si="33"/>
        <v>0.10333229221288556</v>
      </c>
      <c r="S62" s="1"/>
      <c r="T62" s="1">
        <f>SUM(OSRRefT22_5x_0)</f>
        <v>521654</v>
      </c>
      <c r="U62" s="1"/>
      <c r="V62" s="5">
        <f t="shared" si="34"/>
        <v>6.920171298960516E-2</v>
      </c>
      <c r="W62" s="1"/>
      <c r="X62" s="1">
        <f t="shared" si="35"/>
        <v>-44306.099999999977</v>
      </c>
      <c r="Y62" s="1"/>
      <c r="Z62" s="5">
        <f t="shared" si="36"/>
        <v>-8.49338833786379E-2</v>
      </c>
    </row>
    <row r="63" spans="1:26" s="24" customFormat="1" hidden="1" outlineLevel="2" x14ac:dyDescent="0.25">
      <c r="A63" s="27"/>
      <c r="B63" s="11" t="str">
        <f>CONCATENATE("          ", "6321", " - ", "BUILDING DEPRECIATION")</f>
        <v xml:space="preserve">          6321 - BUILDING DEPRECIATION</v>
      </c>
      <c r="C63" s="11"/>
      <c r="D63" s="6">
        <v>24027.89</v>
      </c>
      <c r="E63" s="2"/>
      <c r="F63" s="7">
        <f t="shared" si="29"/>
        <v>0</v>
      </c>
      <c r="G63" s="2"/>
      <c r="H63" s="6">
        <v>23037</v>
      </c>
      <c r="I63" s="2"/>
      <c r="J63" s="7">
        <f t="shared" si="30"/>
        <v>9.5847722071978364E-2</v>
      </c>
      <c r="K63" s="2"/>
      <c r="L63" s="6">
        <f t="shared" si="31"/>
        <v>990.88999999999942</v>
      </c>
      <c r="M63" s="2"/>
      <c r="N63" s="7">
        <f t="shared" si="32"/>
        <v>4.3012979120545185E-2</v>
      </c>
      <c r="O63" s="11"/>
      <c r="P63" s="6">
        <v>288500.45</v>
      </c>
      <c r="Q63" s="2"/>
      <c r="R63" s="7">
        <f t="shared" si="33"/>
        <v>6.245217126324213E-2</v>
      </c>
      <c r="S63" s="2"/>
      <c r="T63" s="6">
        <v>276690</v>
      </c>
      <c r="U63" s="2"/>
      <c r="V63" s="7">
        <f t="shared" si="34"/>
        <v>3.6705214504429859E-2</v>
      </c>
      <c r="W63" s="2"/>
      <c r="X63" s="6">
        <f t="shared" si="35"/>
        <v>11810.450000000012</v>
      </c>
      <c r="Y63" s="2"/>
      <c r="Z63" s="7">
        <f t="shared" si="36"/>
        <v>4.2684773573313135E-2</v>
      </c>
    </row>
    <row r="64" spans="1:26" s="24" customFormat="1" hidden="1" outlineLevel="2" x14ac:dyDescent="0.25">
      <c r="A64" s="27"/>
      <c r="B64" s="11" t="str">
        <f>CONCATENATE("          ", "6322", " - ", "EQUIPMENT DEPRECIATION EXPENSE")</f>
        <v xml:space="preserve">          6322 - EQUIPMENT DEPRECIATION EXPENSE</v>
      </c>
      <c r="C64" s="11"/>
      <c r="D64" s="6">
        <v>13709.71</v>
      </c>
      <c r="E64" s="2"/>
      <c r="F64" s="7">
        <f t="shared" si="29"/>
        <v>0</v>
      </c>
      <c r="G64" s="2"/>
      <c r="H64" s="6">
        <v>15301</v>
      </c>
      <c r="I64" s="2"/>
      <c r="J64" s="7">
        <f t="shared" si="30"/>
        <v>6.3661327231121279E-2</v>
      </c>
      <c r="K64" s="2"/>
      <c r="L64" s="6">
        <f t="shared" si="31"/>
        <v>-1591.2900000000009</v>
      </c>
      <c r="M64" s="2"/>
      <c r="N64" s="7">
        <f t="shared" si="32"/>
        <v>-0.10399908502712246</v>
      </c>
      <c r="O64" s="11"/>
      <c r="P64" s="6">
        <v>184604.97</v>
      </c>
      <c r="Q64" s="2"/>
      <c r="R64" s="7">
        <f t="shared" si="33"/>
        <v>3.9961744262394308E-2</v>
      </c>
      <c r="S64" s="2"/>
      <c r="T64" s="6">
        <v>183612</v>
      </c>
      <c r="U64" s="2"/>
      <c r="V64" s="7">
        <f t="shared" si="34"/>
        <v>2.4357648796802831E-2</v>
      </c>
      <c r="W64" s="2"/>
      <c r="X64" s="6">
        <f t="shared" si="35"/>
        <v>992.97000000000116</v>
      </c>
      <c r="Y64" s="2"/>
      <c r="Z64" s="7">
        <f t="shared" si="36"/>
        <v>5.4079798705966992E-3</v>
      </c>
    </row>
    <row r="65" spans="1:26" s="24" customFormat="1" hidden="1" outlineLevel="2" x14ac:dyDescent="0.25">
      <c r="A65" s="27"/>
      <c r="B65" s="11" t="str">
        <f>CONCATENATE("          ", "6324", " - ", "FURNITURE + FIXT DEPRECIATION")</f>
        <v xml:space="preserve">          6324 - FURNITURE + FIXT DEPRECIATION</v>
      </c>
      <c r="C65" s="11"/>
      <c r="D65" s="6"/>
      <c r="E65" s="2"/>
      <c r="F65" s="7">
        <f t="shared" si="29"/>
        <v>0</v>
      </c>
      <c r="G65" s="2"/>
      <c r="H65" s="6">
        <v>4476</v>
      </c>
      <c r="I65" s="2"/>
      <c r="J65" s="7">
        <f t="shared" si="30"/>
        <v>1.8622841689203244E-2</v>
      </c>
      <c r="K65" s="2"/>
      <c r="L65" s="6">
        <f t="shared" si="31"/>
        <v>-4476</v>
      </c>
      <c r="M65" s="2"/>
      <c r="N65" s="7">
        <f t="shared" si="32"/>
        <v>-1</v>
      </c>
      <c r="O65" s="11"/>
      <c r="P65" s="6"/>
      <c r="Q65" s="2"/>
      <c r="R65" s="7">
        <f t="shared" si="33"/>
        <v>0</v>
      </c>
      <c r="S65" s="2"/>
      <c r="T65" s="6">
        <v>40514</v>
      </c>
      <c r="U65" s="2"/>
      <c r="V65" s="7">
        <f t="shared" si="34"/>
        <v>5.3745168254453407E-3</v>
      </c>
      <c r="W65" s="2"/>
      <c r="X65" s="6">
        <f t="shared" si="35"/>
        <v>-40514</v>
      </c>
      <c r="Y65" s="2"/>
      <c r="Z65" s="7">
        <f t="shared" si="36"/>
        <v>-1</v>
      </c>
    </row>
    <row r="66" spans="1:26" s="24" customFormat="1" hidden="1" outlineLevel="2" x14ac:dyDescent="0.25">
      <c r="A66" s="27"/>
      <c r="B66" s="11" t="str">
        <f>CONCATENATE("          ", "6326", " - ", "VEHICLES DEPRECIATION EXPENSE")</f>
        <v xml:space="preserve">          6326 - VEHICLES DEPRECIATION EXPENSE</v>
      </c>
      <c r="C66" s="11"/>
      <c r="D66" s="6"/>
      <c r="E66" s="2"/>
      <c r="F66" s="7">
        <f t="shared" si="29"/>
        <v>0</v>
      </c>
      <c r="G66" s="2"/>
      <c r="H66" s="6">
        <v>2174</v>
      </c>
      <c r="I66" s="2"/>
      <c r="J66" s="7">
        <f t="shared" si="30"/>
        <v>9.0451425005200741E-3</v>
      </c>
      <c r="K66" s="2"/>
      <c r="L66" s="6">
        <f t="shared" si="31"/>
        <v>-2174</v>
      </c>
      <c r="M66" s="2"/>
      <c r="N66" s="7">
        <f t="shared" si="32"/>
        <v>-1</v>
      </c>
      <c r="O66" s="11"/>
      <c r="P66" s="6">
        <v>4242.4799999999996</v>
      </c>
      <c r="Q66" s="2"/>
      <c r="R66" s="7">
        <f t="shared" si="33"/>
        <v>9.1837668724911682E-4</v>
      </c>
      <c r="S66" s="2"/>
      <c r="T66" s="6">
        <v>20838</v>
      </c>
      <c r="U66" s="2"/>
      <c r="V66" s="7">
        <f t="shared" si="34"/>
        <v>2.7643328629271364E-3</v>
      </c>
      <c r="W66" s="2"/>
      <c r="X66" s="6">
        <f t="shared" si="35"/>
        <v>-16595.52</v>
      </c>
      <c r="Y66" s="2"/>
      <c r="Z66" s="7">
        <f t="shared" si="36"/>
        <v>-0.79640656492945583</v>
      </c>
    </row>
    <row r="67" spans="1:26" s="26" customFormat="1" outlineLevel="1" collapsed="1" x14ac:dyDescent="0.25">
      <c r="A67" s="25"/>
      <c r="B67" s="12" t="str">
        <f>CONCATENATE("     ","Discounts and Markdowns                           ")</f>
        <v xml:space="preserve">     Discounts and Markdowns                           </v>
      </c>
      <c r="C67" s="12"/>
      <c r="D67" s="1">
        <f>SUM(OSRRefD22_6x_0)</f>
        <v>0</v>
      </c>
      <c r="E67" s="1"/>
      <c r="F67" s="5">
        <f t="shared" ref="F67:F79" si="37">IF(D$12=0,0,D67/D$12)</f>
        <v>0</v>
      </c>
      <c r="G67" s="1"/>
      <c r="H67" s="1">
        <f>SUM(OSRRefH22_6x_0)</f>
        <v>0</v>
      </c>
      <c r="I67" s="1"/>
      <c r="J67" s="5">
        <f t="shared" ref="J67:J79" si="38">IF(H$12=0,0,H67/H$12)</f>
        <v>0</v>
      </c>
      <c r="K67" s="1"/>
      <c r="L67" s="1">
        <f t="shared" ref="L67:L79" si="39">+D67-H67</f>
        <v>0</v>
      </c>
      <c r="M67" s="1"/>
      <c r="N67" s="5">
        <f t="shared" ref="N67:N79" si="40">IF(H67=0,0,L67/H67)</f>
        <v>0</v>
      </c>
      <c r="O67" s="12"/>
      <c r="P67" s="1">
        <f>SUM(OSRRefP22_6x_0)</f>
        <v>0.09</v>
      </c>
      <c r="Q67" s="1"/>
      <c r="R67" s="5">
        <f t="shared" ref="R67:R79" si="41">IF(P$12=0,0,P67/P$12)</f>
        <v>1.9482449381592965E-8</v>
      </c>
      <c r="S67" s="1"/>
      <c r="T67" s="1">
        <f>SUM(OSRRefT22_6x_0)</f>
        <v>0</v>
      </c>
      <c r="U67" s="1"/>
      <c r="V67" s="5">
        <f t="shared" ref="V67:V79" si="42">IF(T$12=0,0,T67/T$12)</f>
        <v>0</v>
      </c>
      <c r="W67" s="1"/>
      <c r="X67" s="1">
        <f t="shared" ref="X67:X79" si="43">+P67-T67</f>
        <v>0.09</v>
      </c>
      <c r="Y67" s="1"/>
      <c r="Z67" s="5">
        <f t="shared" ref="Z67:Z79" si="44">IF(T67=0,0,X67/T67)</f>
        <v>0</v>
      </c>
    </row>
    <row r="68" spans="1:26" s="24" customFormat="1" hidden="1" outlineLevel="2" x14ac:dyDescent="0.25">
      <c r="A68" s="27"/>
      <c r="B68" s="11" t="str">
        <f>CONCATENATE("          ", "6382", " - ", "DISCOUNTS/MARK DOWNS")</f>
        <v xml:space="preserve">          6382 - DISCOUNTS/MARK DOWNS</v>
      </c>
      <c r="C68" s="11"/>
      <c r="D68" s="6"/>
      <c r="E68" s="2"/>
      <c r="F68" s="7">
        <f t="shared" si="37"/>
        <v>0</v>
      </c>
      <c r="G68" s="2"/>
      <c r="H68" s="6"/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>
        <v>0.09</v>
      </c>
      <c r="Q68" s="2"/>
      <c r="R68" s="7">
        <f t="shared" si="41"/>
        <v>1.9482449381592965E-8</v>
      </c>
      <c r="S68" s="2"/>
      <c r="T68" s="6"/>
      <c r="U68" s="2"/>
      <c r="V68" s="7">
        <f t="shared" si="42"/>
        <v>0</v>
      </c>
      <c r="W68" s="2"/>
      <c r="X68" s="6">
        <f t="shared" si="43"/>
        <v>0.09</v>
      </c>
      <c r="Y68" s="2"/>
      <c r="Z68" s="7">
        <f t="shared" si="44"/>
        <v>0</v>
      </c>
    </row>
    <row r="69" spans="1:26" s="26" customFormat="1" outlineLevel="1" collapsed="1" x14ac:dyDescent="0.25">
      <c r="A69" s="25"/>
      <c r="B69" s="12" t="str">
        <f>CONCATENATE("     ","Donations                                         ")</f>
        <v xml:space="preserve">     Donations                                         </v>
      </c>
      <c r="C69" s="12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2"/>
      <c r="P69" s="1">
        <f>SUM(OSRRefP22_7x_0)</f>
        <v>236.68</v>
      </c>
      <c r="Q69" s="1"/>
      <c r="R69" s="5">
        <f t="shared" si="41"/>
        <v>5.123451244039359E-5</v>
      </c>
      <c r="S69" s="1"/>
      <c r="T69" s="1">
        <f>SUM(OSRRefT22_7x_0)</f>
        <v>4700</v>
      </c>
      <c r="U69" s="1"/>
      <c r="V69" s="5">
        <f t="shared" si="42"/>
        <v>6.234938312581601E-4</v>
      </c>
      <c r="W69" s="1"/>
      <c r="X69" s="1">
        <f t="shared" si="43"/>
        <v>-4463.32</v>
      </c>
      <c r="Y69" s="1"/>
      <c r="Z69" s="5">
        <f t="shared" si="44"/>
        <v>-0.94964255319148927</v>
      </c>
    </row>
    <row r="70" spans="1:26" s="24" customFormat="1" hidden="1" outlineLevel="2" x14ac:dyDescent="0.25">
      <c r="A70" s="27"/>
      <c r="B70" s="11" t="str">
        <f>CONCATENATE("          ", "6399", " - ", "DONATION-ON CAMPUS")</f>
        <v xml:space="preserve">          6399 - DONATION-ON CAMPUS</v>
      </c>
      <c r="C70" s="11"/>
      <c r="D70" s="6"/>
      <c r="E70" s="2"/>
      <c r="F70" s="7">
        <f t="shared" si="37"/>
        <v>0</v>
      </c>
      <c r="G70" s="2"/>
      <c r="H70" s="6"/>
      <c r="I70" s="2"/>
      <c r="J70" s="7">
        <f t="shared" si="38"/>
        <v>0</v>
      </c>
      <c r="K70" s="2"/>
      <c r="L70" s="6">
        <f t="shared" si="39"/>
        <v>0</v>
      </c>
      <c r="M70" s="2"/>
      <c r="N70" s="7">
        <f t="shared" si="40"/>
        <v>0</v>
      </c>
      <c r="O70" s="11"/>
      <c r="P70" s="6">
        <v>236.68</v>
      </c>
      <c r="Q70" s="2"/>
      <c r="R70" s="7">
        <f t="shared" si="41"/>
        <v>5.123451244039359E-5</v>
      </c>
      <c r="S70" s="2"/>
      <c r="T70" s="6">
        <v>4700</v>
      </c>
      <c r="U70" s="2"/>
      <c r="V70" s="7">
        <f t="shared" si="42"/>
        <v>6.234938312581601E-4</v>
      </c>
      <c r="W70" s="2"/>
      <c r="X70" s="6">
        <f t="shared" si="43"/>
        <v>-4463.32</v>
      </c>
      <c r="Y70" s="2"/>
      <c r="Z70" s="7">
        <f t="shared" si="44"/>
        <v>-0.94964255319148927</v>
      </c>
    </row>
    <row r="71" spans="1:26" s="26" customFormat="1" outlineLevel="1" collapsed="1" x14ac:dyDescent="0.25">
      <c r="A71" s="25"/>
      <c r="B71" s="12" t="str">
        <f>CONCATENATE("     ","Employees' Appreciation                           ")</f>
        <v xml:space="preserve">     Employees' Appreciation                           </v>
      </c>
      <c r="C71" s="12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200</v>
      </c>
      <c r="I71" s="1"/>
      <c r="J71" s="5">
        <f t="shared" si="38"/>
        <v>8.3211982525483667E-4</v>
      </c>
      <c r="K71" s="1"/>
      <c r="L71" s="1">
        <f t="shared" si="39"/>
        <v>-200</v>
      </c>
      <c r="M71" s="1"/>
      <c r="N71" s="5">
        <f t="shared" si="40"/>
        <v>-1</v>
      </c>
      <c r="O71" s="12"/>
      <c r="P71" s="1">
        <f>SUM(OSRRefP22_8x_0)</f>
        <v>1672.81</v>
      </c>
      <c r="Q71" s="1"/>
      <c r="R71" s="5">
        <f t="shared" si="41"/>
        <v>3.6211595722247249E-4</v>
      </c>
      <c r="S71" s="1"/>
      <c r="T71" s="1">
        <f>SUM(OSRRefT22_8x_0)</f>
        <v>6225</v>
      </c>
      <c r="U71" s="1"/>
      <c r="V71" s="5">
        <f t="shared" si="42"/>
        <v>8.257976807621376E-4</v>
      </c>
      <c r="W71" s="1"/>
      <c r="X71" s="1">
        <f t="shared" si="43"/>
        <v>-4552.1900000000005</v>
      </c>
      <c r="Y71" s="1"/>
      <c r="Z71" s="5">
        <f t="shared" si="44"/>
        <v>-0.73127550200803226</v>
      </c>
    </row>
    <row r="72" spans="1:26" s="24" customFormat="1" hidden="1" outlineLevel="2" x14ac:dyDescent="0.25">
      <c r="A72" s="27"/>
      <c r="B72" s="11" t="str">
        <f>CONCATENATE("          ", "6277", " - ", "EMPLOYEE APPRECIATION")</f>
        <v xml:space="preserve">          6277 - EMPLOYEE APPRECIATION</v>
      </c>
      <c r="C72" s="11"/>
      <c r="D72" s="6"/>
      <c r="E72" s="2"/>
      <c r="F72" s="7">
        <f t="shared" si="37"/>
        <v>0</v>
      </c>
      <c r="G72" s="2"/>
      <c r="H72" s="6">
        <v>200</v>
      </c>
      <c r="I72" s="2"/>
      <c r="J72" s="7">
        <f t="shared" si="38"/>
        <v>8.3211982525483667E-4</v>
      </c>
      <c r="K72" s="2"/>
      <c r="L72" s="6">
        <f t="shared" si="39"/>
        <v>-200</v>
      </c>
      <c r="M72" s="2"/>
      <c r="N72" s="7">
        <f t="shared" si="40"/>
        <v>-1</v>
      </c>
      <c r="O72" s="11"/>
      <c r="P72" s="6">
        <v>1672.81</v>
      </c>
      <c r="Q72" s="2"/>
      <c r="R72" s="7">
        <f t="shared" si="41"/>
        <v>3.6211595722247249E-4</v>
      </c>
      <c r="S72" s="2"/>
      <c r="T72" s="6">
        <v>6225</v>
      </c>
      <c r="U72" s="2"/>
      <c r="V72" s="7">
        <f t="shared" si="42"/>
        <v>8.257976807621376E-4</v>
      </c>
      <c r="W72" s="2"/>
      <c r="X72" s="6">
        <f t="shared" si="43"/>
        <v>-4552.1900000000005</v>
      </c>
      <c r="Y72" s="2"/>
      <c r="Z72" s="7">
        <f t="shared" si="44"/>
        <v>-0.73127550200803226</v>
      </c>
    </row>
    <row r="73" spans="1:26" s="26" customFormat="1" outlineLevel="1" collapsed="1" x14ac:dyDescent="0.25">
      <c r="A73" s="25"/>
      <c r="B73" s="12" t="str">
        <f>CONCATENATE("     ","Equipment Rental                                  ")</f>
        <v xml:space="preserve">     Equipment Rental                                  </v>
      </c>
      <c r="C73" s="12"/>
      <c r="D73" s="1">
        <f>SUM(OSRRefD22_9x_0)</f>
        <v>1792.99</v>
      </c>
      <c r="E73" s="1"/>
      <c r="F73" s="5">
        <f t="shared" si="37"/>
        <v>0</v>
      </c>
      <c r="G73" s="1"/>
      <c r="H73" s="1">
        <f>SUM(OSRRefH22_9x_0)</f>
        <v>1315</v>
      </c>
      <c r="I73" s="1"/>
      <c r="J73" s="5">
        <f t="shared" si="38"/>
        <v>5.471187851050551E-3</v>
      </c>
      <c r="K73" s="1"/>
      <c r="L73" s="1">
        <f t="shared" si="39"/>
        <v>477.99</v>
      </c>
      <c r="M73" s="1"/>
      <c r="N73" s="5">
        <f t="shared" si="40"/>
        <v>0.36349049429657793</v>
      </c>
      <c r="O73" s="12"/>
      <c r="P73" s="1">
        <f>SUM(OSRRefP22_9x_0)</f>
        <v>28337.550000000003</v>
      </c>
      <c r="Q73" s="1"/>
      <c r="R73" s="5">
        <f t="shared" si="41"/>
        <v>6.1342764830373308E-3</v>
      </c>
      <c r="S73" s="1"/>
      <c r="T73" s="1">
        <f>SUM(OSRRefT22_9x_0)</f>
        <v>18611</v>
      </c>
      <c r="U73" s="1"/>
      <c r="V73" s="5">
        <f t="shared" si="42"/>
        <v>2.4689029135203443E-3</v>
      </c>
      <c r="W73" s="1"/>
      <c r="X73" s="1">
        <f t="shared" si="43"/>
        <v>9726.5500000000029</v>
      </c>
      <c r="Y73" s="1"/>
      <c r="Z73" s="5">
        <f t="shared" si="44"/>
        <v>0.52262371715652045</v>
      </c>
    </row>
    <row r="74" spans="1:26" s="24" customFormat="1" hidden="1" outlineLevel="2" x14ac:dyDescent="0.25">
      <c r="A74" s="27"/>
      <c r="B74" s="11" t="str">
        <f>CONCATENATE("          ", "6351", " - ", "EQUIPMENT RENTAL")</f>
        <v xml:space="preserve">          6351 - EQUIPMENT RENTAL</v>
      </c>
      <c r="C74" s="11"/>
      <c r="D74" s="6">
        <v>1792.99</v>
      </c>
      <c r="E74" s="2"/>
      <c r="F74" s="7">
        <f t="shared" si="37"/>
        <v>0</v>
      </c>
      <c r="G74" s="2"/>
      <c r="H74" s="6">
        <v>1315</v>
      </c>
      <c r="I74" s="2"/>
      <c r="J74" s="7">
        <f t="shared" si="38"/>
        <v>5.471187851050551E-3</v>
      </c>
      <c r="K74" s="2"/>
      <c r="L74" s="6">
        <f t="shared" si="39"/>
        <v>477.99</v>
      </c>
      <c r="M74" s="2"/>
      <c r="N74" s="7">
        <f t="shared" si="40"/>
        <v>0.36349049429657793</v>
      </c>
      <c r="O74" s="11"/>
      <c r="P74" s="6">
        <v>28337.550000000003</v>
      </c>
      <c r="Q74" s="2"/>
      <c r="R74" s="7">
        <f t="shared" si="41"/>
        <v>6.1342764830373308E-3</v>
      </c>
      <c r="S74" s="2"/>
      <c r="T74" s="6">
        <v>18611</v>
      </c>
      <c r="U74" s="2"/>
      <c r="V74" s="7">
        <f t="shared" si="42"/>
        <v>2.4689029135203443E-3</v>
      </c>
      <c r="W74" s="2"/>
      <c r="X74" s="6">
        <f t="shared" si="43"/>
        <v>9726.5500000000029</v>
      </c>
      <c r="Y74" s="2"/>
      <c r="Z74" s="7">
        <f t="shared" si="44"/>
        <v>0.52262371715652045</v>
      </c>
    </row>
    <row r="75" spans="1:26" s="26" customFormat="1" outlineLevel="1" collapsed="1" x14ac:dyDescent="0.25">
      <c r="A75" s="25"/>
      <c r="B75" s="12" t="str">
        <f>CONCATENATE("     ","Freight out/Postage                               ")</f>
        <v xml:space="preserve">     Freight out/Postage                               </v>
      </c>
      <c r="C75" s="12"/>
      <c r="D75" s="1">
        <f>SUM(OSRRefD22_10x_0)</f>
        <v>0</v>
      </c>
      <c r="E75" s="1"/>
      <c r="F75" s="5">
        <f t="shared" si="37"/>
        <v>0</v>
      </c>
      <c r="G75" s="1"/>
      <c r="H75" s="1">
        <f>SUM(OSRRefH22_10x_0)</f>
        <v>0</v>
      </c>
      <c r="I75" s="1"/>
      <c r="J75" s="5">
        <f t="shared" si="38"/>
        <v>0</v>
      </c>
      <c r="K75" s="1"/>
      <c r="L75" s="1">
        <f t="shared" si="39"/>
        <v>0</v>
      </c>
      <c r="M75" s="1"/>
      <c r="N75" s="5">
        <f t="shared" si="40"/>
        <v>0</v>
      </c>
      <c r="O75" s="12"/>
      <c r="P75" s="1">
        <f>SUM(OSRRefP22_10x_0)</f>
        <v>0.57999999999999996</v>
      </c>
      <c r="Q75" s="1"/>
      <c r="R75" s="5">
        <f t="shared" si="41"/>
        <v>1.2555356268137687E-7</v>
      </c>
      <c r="S75" s="1"/>
      <c r="T75" s="1">
        <f>SUM(OSRRefT22_10x_0)</f>
        <v>0</v>
      </c>
      <c r="U75" s="1"/>
      <c r="V75" s="5">
        <f t="shared" si="42"/>
        <v>0</v>
      </c>
      <c r="W75" s="1"/>
      <c r="X75" s="1">
        <f t="shared" si="43"/>
        <v>0.57999999999999996</v>
      </c>
      <c r="Y75" s="1"/>
      <c r="Z75" s="5">
        <f t="shared" si="44"/>
        <v>0</v>
      </c>
    </row>
    <row r="76" spans="1:26" s="24" customFormat="1" hidden="1" outlineLevel="2" x14ac:dyDescent="0.25">
      <c r="A76" s="27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37"/>
        <v>0</v>
      </c>
      <c r="G76" s="2"/>
      <c r="H76" s="6"/>
      <c r="I76" s="2"/>
      <c r="J76" s="7">
        <f t="shared" si="38"/>
        <v>0</v>
      </c>
      <c r="K76" s="2"/>
      <c r="L76" s="6">
        <f t="shared" si="39"/>
        <v>0</v>
      </c>
      <c r="M76" s="2"/>
      <c r="N76" s="7">
        <f t="shared" si="40"/>
        <v>0</v>
      </c>
      <c r="O76" s="11"/>
      <c r="P76" s="6">
        <v>0.57999999999999996</v>
      </c>
      <c r="Q76" s="2"/>
      <c r="R76" s="7">
        <f t="shared" si="41"/>
        <v>1.2555356268137687E-7</v>
      </c>
      <c r="S76" s="2"/>
      <c r="T76" s="6"/>
      <c r="U76" s="2"/>
      <c r="V76" s="7">
        <f t="shared" si="42"/>
        <v>0</v>
      </c>
      <c r="W76" s="2"/>
      <c r="X76" s="6">
        <f t="shared" si="43"/>
        <v>0.57999999999999996</v>
      </c>
      <c r="Y76" s="2"/>
      <c r="Z76" s="7">
        <f t="shared" si="44"/>
        <v>0</v>
      </c>
    </row>
    <row r="77" spans="1:26" s="26" customFormat="1" outlineLevel="1" collapsed="1" x14ac:dyDescent="0.25">
      <c r="A77" s="25"/>
      <c r="B77" s="12" t="str">
        <f>CONCATENATE("     ","General                                           ")</f>
        <v xml:space="preserve">     General                                           </v>
      </c>
      <c r="C77" s="12"/>
      <c r="D77" s="1">
        <f>SUM(OSRRefD22_11x_0)</f>
        <v>4574.0600000000004</v>
      </c>
      <c r="E77" s="1"/>
      <c r="F77" s="5">
        <f t="shared" si="37"/>
        <v>0</v>
      </c>
      <c r="G77" s="1"/>
      <c r="H77" s="1">
        <f>SUM(OSRRefH22_11x_0)</f>
        <v>1350</v>
      </c>
      <c r="I77" s="1"/>
      <c r="J77" s="5">
        <f t="shared" si="38"/>
        <v>5.6168088204701476E-3</v>
      </c>
      <c r="K77" s="1"/>
      <c r="L77" s="1">
        <f t="shared" si="39"/>
        <v>3224.0600000000004</v>
      </c>
      <c r="M77" s="1"/>
      <c r="N77" s="5">
        <f t="shared" si="40"/>
        <v>2.3881925925925929</v>
      </c>
      <c r="O77" s="12"/>
      <c r="P77" s="1">
        <f>SUM(OSRRefP22_11x_0)</f>
        <v>88161.41</v>
      </c>
      <c r="Q77" s="1"/>
      <c r="R77" s="5">
        <f t="shared" si="41"/>
        <v>1.9084446752609598E-2</v>
      </c>
      <c r="S77" s="1"/>
      <c r="T77" s="1">
        <f>SUM(OSRRefT22_11x_0)</f>
        <v>47975</v>
      </c>
      <c r="U77" s="1"/>
      <c r="V77" s="5">
        <f t="shared" si="42"/>
        <v>6.3642801180021774E-3</v>
      </c>
      <c r="W77" s="1"/>
      <c r="X77" s="1">
        <f t="shared" si="43"/>
        <v>40186.410000000003</v>
      </c>
      <c r="Y77" s="1"/>
      <c r="Z77" s="5">
        <f t="shared" si="44"/>
        <v>0.83765315268368945</v>
      </c>
    </row>
    <row r="78" spans="1:26" s="24" customFormat="1" hidden="1" outlineLevel="2" x14ac:dyDescent="0.25">
      <c r="A78" s="27"/>
      <c r="B78" s="11" t="str">
        <f>CONCATENATE("          ", "6269", " - ", "ENTERTAINMENT")</f>
        <v xml:space="preserve">          6269 - ENTERTAINMENT</v>
      </c>
      <c r="C78" s="11"/>
      <c r="D78" s="6"/>
      <c r="E78" s="2"/>
      <c r="F78" s="7">
        <f t="shared" si="37"/>
        <v>0</v>
      </c>
      <c r="G78" s="2"/>
      <c r="H78" s="6">
        <v>0</v>
      </c>
      <c r="I78" s="2"/>
      <c r="J78" s="7">
        <f t="shared" si="38"/>
        <v>0</v>
      </c>
      <c r="K78" s="2"/>
      <c r="L78" s="6">
        <f t="shared" si="39"/>
        <v>0</v>
      </c>
      <c r="M78" s="2"/>
      <c r="N78" s="7">
        <f t="shared" si="40"/>
        <v>0</v>
      </c>
      <c r="O78" s="11"/>
      <c r="P78" s="6">
        <v>10050</v>
      </c>
      <c r="Q78" s="2"/>
      <c r="R78" s="7">
        <f t="shared" si="41"/>
        <v>2.1755401809445477E-3</v>
      </c>
      <c r="S78" s="2"/>
      <c r="T78" s="6">
        <v>7250</v>
      </c>
      <c r="U78" s="2"/>
      <c r="V78" s="7">
        <f t="shared" si="42"/>
        <v>9.6177239928120451E-4</v>
      </c>
      <c r="W78" s="2"/>
      <c r="X78" s="6">
        <f t="shared" si="43"/>
        <v>2800</v>
      </c>
      <c r="Y78" s="2"/>
      <c r="Z78" s="7">
        <f t="shared" si="44"/>
        <v>0.38620689655172413</v>
      </c>
    </row>
    <row r="79" spans="1:26" s="24" customFormat="1" hidden="1" outlineLevel="2" x14ac:dyDescent="0.25">
      <c r="A79" s="27"/>
      <c r="B79" s="11" t="str">
        <f>CONCATENATE("          ", "6279", " - ", "GENERAL EXPENSE")</f>
        <v xml:space="preserve">          6279 - GENERAL EXPENSE</v>
      </c>
      <c r="C79" s="11"/>
      <c r="D79" s="6">
        <v>4574.0600000000004</v>
      </c>
      <c r="E79" s="2"/>
      <c r="F79" s="7">
        <f t="shared" si="37"/>
        <v>0</v>
      </c>
      <c r="G79" s="2"/>
      <c r="H79" s="6">
        <v>1350</v>
      </c>
      <c r="I79" s="2"/>
      <c r="J79" s="7">
        <f t="shared" si="38"/>
        <v>5.6168088204701476E-3</v>
      </c>
      <c r="K79" s="2"/>
      <c r="L79" s="6">
        <f t="shared" si="39"/>
        <v>3224.0600000000004</v>
      </c>
      <c r="M79" s="2"/>
      <c r="N79" s="7">
        <f t="shared" si="40"/>
        <v>2.3881925925925929</v>
      </c>
      <c r="O79" s="11"/>
      <c r="P79" s="6">
        <v>78111.41</v>
      </c>
      <c r="Q79" s="2"/>
      <c r="R79" s="7">
        <f t="shared" si="41"/>
        <v>1.690890657166505E-2</v>
      </c>
      <c r="S79" s="2"/>
      <c r="T79" s="6">
        <v>40725</v>
      </c>
      <c r="U79" s="2"/>
      <c r="V79" s="7">
        <f t="shared" si="42"/>
        <v>5.4025077187209725E-3</v>
      </c>
      <c r="W79" s="2"/>
      <c r="X79" s="6">
        <f t="shared" si="43"/>
        <v>37386.410000000003</v>
      </c>
      <c r="Y79" s="2"/>
      <c r="Z79" s="7">
        <f t="shared" si="44"/>
        <v>0.91802111724984659</v>
      </c>
    </row>
    <row r="80" spans="1:26" s="26" customFormat="1" outlineLevel="1" collapsed="1" x14ac:dyDescent="0.25">
      <c r="A80" s="25"/>
      <c r="B80" s="12" t="str">
        <f>CONCATENATE("     ","Insurance                                         ")</f>
        <v xml:space="preserve">     Insurance                                         </v>
      </c>
      <c r="C80" s="12"/>
      <c r="D80" s="1">
        <f>SUM(OSRRefD22_12x_0)</f>
        <v>4240.13</v>
      </c>
      <c r="E80" s="1"/>
      <c r="F80" s="5">
        <f t="shared" ref="F80:F92" si="45">IF(D$12=0,0,D80/D$12)</f>
        <v>0</v>
      </c>
      <c r="G80" s="1"/>
      <c r="H80" s="1">
        <f>SUM(OSRRefH22_12x_0)</f>
        <v>4004</v>
      </c>
      <c r="I80" s="1"/>
      <c r="J80" s="5">
        <f t="shared" ref="J80:J92" si="46">IF(H$12=0,0,H80/H$12)</f>
        <v>1.6659038901601829E-2</v>
      </c>
      <c r="K80" s="1"/>
      <c r="L80" s="1">
        <f t="shared" ref="L80:L92" si="47">+D80-H80</f>
        <v>236.13000000000011</v>
      </c>
      <c r="M80" s="1"/>
      <c r="N80" s="5">
        <f t="shared" ref="N80:N92" si="48">IF(H80=0,0,L80/H80)</f>
        <v>5.8973526473526501E-2</v>
      </c>
      <c r="O80" s="12"/>
      <c r="P80" s="1">
        <f>SUM(OSRRefP22_12x_0)</f>
        <v>56642.559999999998</v>
      </c>
      <c r="Q80" s="1"/>
      <c r="R80" s="5">
        <f t="shared" ref="R80:R92" si="49">IF(P$12=0,0,P80/P$12)</f>
        <v>1.2261508978264914E-2</v>
      </c>
      <c r="S80" s="1"/>
      <c r="T80" s="1">
        <f>SUM(OSRRefT22_12x_0)</f>
        <v>48048</v>
      </c>
      <c r="U80" s="1"/>
      <c r="V80" s="5">
        <f t="shared" ref="V80:V92" si="50">IF(T$12=0,0,T80/T$12)</f>
        <v>6.3739641711259738E-3</v>
      </c>
      <c r="W80" s="1"/>
      <c r="X80" s="1">
        <f t="shared" ref="X80:X92" si="51">+P80-T80</f>
        <v>8594.5599999999977</v>
      </c>
      <c r="Y80" s="1"/>
      <c r="Z80" s="5">
        <f t="shared" ref="Z80:Z92" si="52">IF(T80=0,0,X80/T80)</f>
        <v>0.17887445887445882</v>
      </c>
    </row>
    <row r="81" spans="1:26" s="24" customFormat="1" hidden="1" outlineLevel="2" x14ac:dyDescent="0.25">
      <c r="A81" s="27"/>
      <c r="B81" s="11" t="str">
        <f>CONCATENATE("          ", "6314", " - ", "LIABILITY INSURANCE")</f>
        <v xml:space="preserve">          6314 - LIABILITY INSURANCE</v>
      </c>
      <c r="C81" s="11"/>
      <c r="D81" s="6">
        <v>4240.13</v>
      </c>
      <c r="E81" s="2"/>
      <c r="F81" s="7">
        <f t="shared" si="45"/>
        <v>0</v>
      </c>
      <c r="G81" s="2"/>
      <c r="H81" s="6">
        <v>4004</v>
      </c>
      <c r="I81" s="2"/>
      <c r="J81" s="7">
        <f t="shared" si="46"/>
        <v>1.6659038901601829E-2</v>
      </c>
      <c r="K81" s="2"/>
      <c r="L81" s="6">
        <f t="shared" si="47"/>
        <v>236.13000000000011</v>
      </c>
      <c r="M81" s="2"/>
      <c r="N81" s="7">
        <f t="shared" si="48"/>
        <v>5.8973526473526501E-2</v>
      </c>
      <c r="O81" s="11"/>
      <c r="P81" s="6">
        <v>56642.559999999998</v>
      </c>
      <c r="Q81" s="2"/>
      <c r="R81" s="7">
        <f t="shared" si="49"/>
        <v>1.2261508978264914E-2</v>
      </c>
      <c r="S81" s="2"/>
      <c r="T81" s="6">
        <v>48048</v>
      </c>
      <c r="U81" s="2"/>
      <c r="V81" s="7">
        <f t="shared" si="50"/>
        <v>6.3739641711259738E-3</v>
      </c>
      <c r="W81" s="2"/>
      <c r="X81" s="6">
        <f t="shared" si="51"/>
        <v>8594.5599999999977</v>
      </c>
      <c r="Y81" s="2"/>
      <c r="Z81" s="7">
        <f t="shared" si="52"/>
        <v>0.17887445887445882</v>
      </c>
    </row>
    <row r="82" spans="1:26" s="26" customFormat="1" outlineLevel="1" collapsed="1" x14ac:dyDescent="0.25">
      <c r="A82" s="25"/>
      <c r="B82" s="12" t="str">
        <f>CONCATENATE("     ","Interest                                          ")</f>
        <v xml:space="preserve">     Interest                                          </v>
      </c>
      <c r="C82" s="12"/>
      <c r="D82" s="1">
        <f>SUM(OSRRefD22_13x_0)</f>
        <v>7754</v>
      </c>
      <c r="E82" s="1"/>
      <c r="F82" s="5">
        <f t="shared" si="45"/>
        <v>0</v>
      </c>
      <c r="G82" s="1"/>
      <c r="H82" s="1">
        <f>SUM(OSRRefH22_13x_0)</f>
        <v>7510</v>
      </c>
      <c r="I82" s="1"/>
      <c r="J82" s="5">
        <f t="shared" si="46"/>
        <v>3.1246099438319117E-2</v>
      </c>
      <c r="K82" s="1"/>
      <c r="L82" s="1">
        <f t="shared" si="47"/>
        <v>244</v>
      </c>
      <c r="M82" s="1"/>
      <c r="N82" s="5">
        <f t="shared" si="48"/>
        <v>3.2490013315579228E-2</v>
      </c>
      <c r="O82" s="12"/>
      <c r="P82" s="1">
        <f>SUM(OSRRefP22_13x_0)</f>
        <v>90704.280000000013</v>
      </c>
      <c r="Q82" s="1"/>
      <c r="R82" s="5">
        <f t="shared" si="49"/>
        <v>1.9634906042153726E-2</v>
      </c>
      <c r="S82" s="1"/>
      <c r="T82" s="1">
        <f>SUM(OSRRefT22_13x_0)</f>
        <v>92560</v>
      </c>
      <c r="U82" s="1"/>
      <c r="V82" s="5">
        <f t="shared" si="50"/>
        <v>1.227884872792666E-2</v>
      </c>
      <c r="W82" s="1"/>
      <c r="X82" s="1">
        <f t="shared" si="51"/>
        <v>-1855.7199999999866</v>
      </c>
      <c r="Y82" s="1"/>
      <c r="Z82" s="5">
        <f t="shared" si="52"/>
        <v>-2.0048833189282484E-2</v>
      </c>
    </row>
    <row r="83" spans="1:26" s="24" customFormat="1" hidden="1" outlineLevel="2" x14ac:dyDescent="0.25">
      <c r="A83" s="27"/>
      <c r="B83" s="11" t="str">
        <f>CONCATENATE("          ", "6401", " - ", "INTEREST EXPENSE")</f>
        <v xml:space="preserve">          6401 - INTEREST EXPENSE</v>
      </c>
      <c r="C83" s="11"/>
      <c r="D83" s="6">
        <v>7754</v>
      </c>
      <c r="E83" s="2"/>
      <c r="F83" s="7">
        <f t="shared" si="45"/>
        <v>0</v>
      </c>
      <c r="G83" s="2"/>
      <c r="H83" s="6">
        <v>7510</v>
      </c>
      <c r="I83" s="2"/>
      <c r="J83" s="7">
        <f t="shared" si="46"/>
        <v>3.1246099438319117E-2</v>
      </c>
      <c r="K83" s="2"/>
      <c r="L83" s="6">
        <f t="shared" si="47"/>
        <v>244</v>
      </c>
      <c r="M83" s="2"/>
      <c r="N83" s="7">
        <f t="shared" si="48"/>
        <v>3.2490013315579228E-2</v>
      </c>
      <c r="O83" s="11"/>
      <c r="P83" s="6">
        <v>90704.280000000013</v>
      </c>
      <c r="Q83" s="2"/>
      <c r="R83" s="7">
        <f t="shared" si="49"/>
        <v>1.9634906042153726E-2</v>
      </c>
      <c r="S83" s="2"/>
      <c r="T83" s="6">
        <v>92560</v>
      </c>
      <c r="U83" s="2"/>
      <c r="V83" s="7">
        <f t="shared" si="50"/>
        <v>1.227884872792666E-2</v>
      </c>
      <c r="W83" s="2"/>
      <c r="X83" s="6">
        <f t="shared" si="51"/>
        <v>-1855.7199999999866</v>
      </c>
      <c r="Y83" s="2"/>
      <c r="Z83" s="7">
        <f t="shared" si="52"/>
        <v>-2.0048833189282484E-2</v>
      </c>
    </row>
    <row r="84" spans="1:26" s="26" customFormat="1" outlineLevel="1" collapsed="1" x14ac:dyDescent="0.25">
      <c r="A84" s="25"/>
      <c r="B84" s="12" t="str">
        <f>CONCATENATE("     ","Professional Services                             ")</f>
        <v xml:space="preserve">     Professional Services                             </v>
      </c>
      <c r="C84" s="12"/>
      <c r="D84" s="1">
        <f>SUM(OSRRefD22_14x_0)</f>
        <v>0</v>
      </c>
      <c r="E84" s="1"/>
      <c r="F84" s="5">
        <f t="shared" si="45"/>
        <v>0</v>
      </c>
      <c r="G84" s="1"/>
      <c r="H84" s="1">
        <f>SUM(OSRRefH22_14x_0)</f>
        <v>0</v>
      </c>
      <c r="I84" s="1"/>
      <c r="J84" s="5">
        <f t="shared" si="46"/>
        <v>0</v>
      </c>
      <c r="K84" s="1"/>
      <c r="L84" s="1">
        <f t="shared" si="47"/>
        <v>0</v>
      </c>
      <c r="M84" s="1"/>
      <c r="N84" s="5">
        <f t="shared" si="48"/>
        <v>0</v>
      </c>
      <c r="O84" s="12"/>
      <c r="P84" s="1">
        <f>SUM(OSRRefP22_14x_0)</f>
        <v>125</v>
      </c>
      <c r="Q84" s="1"/>
      <c r="R84" s="5">
        <f t="shared" si="49"/>
        <v>2.7058957474434672E-5</v>
      </c>
      <c r="S84" s="1"/>
      <c r="T84" s="1">
        <f>SUM(OSRRefT22_14x_0)</f>
        <v>0</v>
      </c>
      <c r="U84" s="1"/>
      <c r="V84" s="5">
        <f t="shared" si="50"/>
        <v>0</v>
      </c>
      <c r="W84" s="1"/>
      <c r="X84" s="1">
        <f t="shared" si="51"/>
        <v>125</v>
      </c>
      <c r="Y84" s="1"/>
      <c r="Z84" s="5">
        <f t="shared" si="52"/>
        <v>0</v>
      </c>
    </row>
    <row r="85" spans="1:26" s="24" customFormat="1" hidden="1" outlineLevel="2" x14ac:dyDescent="0.25">
      <c r="A85" s="27"/>
      <c r="B85" s="11" t="str">
        <f>CONCATENATE("          ", "6336", " - ", "PROFESSIONAL SERVICES")</f>
        <v xml:space="preserve">          6336 - PROFESSIONAL SERVICES</v>
      </c>
      <c r="C85" s="11"/>
      <c r="D85" s="6"/>
      <c r="E85" s="2"/>
      <c r="F85" s="7">
        <f t="shared" si="45"/>
        <v>0</v>
      </c>
      <c r="G85" s="2"/>
      <c r="H85" s="6"/>
      <c r="I85" s="2"/>
      <c r="J85" s="7">
        <f t="shared" si="46"/>
        <v>0</v>
      </c>
      <c r="K85" s="2"/>
      <c r="L85" s="6">
        <f t="shared" si="47"/>
        <v>0</v>
      </c>
      <c r="M85" s="2"/>
      <c r="N85" s="7">
        <f t="shared" si="48"/>
        <v>0</v>
      </c>
      <c r="O85" s="11"/>
      <c r="P85" s="6">
        <v>125</v>
      </c>
      <c r="Q85" s="2"/>
      <c r="R85" s="7">
        <f t="shared" si="49"/>
        <v>2.7058957474434672E-5</v>
      </c>
      <c r="S85" s="2"/>
      <c r="T85" s="6"/>
      <c r="U85" s="2"/>
      <c r="V85" s="7">
        <f t="shared" si="50"/>
        <v>0</v>
      </c>
      <c r="W85" s="2"/>
      <c r="X85" s="6">
        <f t="shared" si="51"/>
        <v>125</v>
      </c>
      <c r="Y85" s="2"/>
      <c r="Z85" s="7">
        <f t="shared" si="52"/>
        <v>0</v>
      </c>
    </row>
    <row r="86" spans="1:26" s="26" customFormat="1" outlineLevel="1" collapsed="1" x14ac:dyDescent="0.25">
      <c r="A86" s="25"/>
      <c r="B86" s="12" t="str">
        <f>CONCATENATE("     ","Rent                                              ")</f>
        <v xml:space="preserve">     Rent                                              </v>
      </c>
      <c r="C86" s="12"/>
      <c r="D86" s="1">
        <f>SUM(OSRRefD22_15x_0)</f>
        <v>1850</v>
      </c>
      <c r="E86" s="1"/>
      <c r="F86" s="5">
        <f t="shared" si="45"/>
        <v>0</v>
      </c>
      <c r="G86" s="1"/>
      <c r="H86" s="1">
        <f>SUM(OSRRefH22_15x_0)</f>
        <v>1850</v>
      </c>
      <c r="I86" s="1"/>
      <c r="J86" s="5">
        <f t="shared" si="46"/>
        <v>7.6971083836072391E-3</v>
      </c>
      <c r="K86" s="1"/>
      <c r="L86" s="1">
        <f t="shared" si="47"/>
        <v>0</v>
      </c>
      <c r="M86" s="1"/>
      <c r="N86" s="5">
        <f t="shared" si="48"/>
        <v>0</v>
      </c>
      <c r="O86" s="12"/>
      <c r="P86" s="1">
        <f>SUM(OSRRefP22_15x_0)</f>
        <v>22200</v>
      </c>
      <c r="Q86" s="1"/>
      <c r="R86" s="5">
        <f t="shared" si="49"/>
        <v>4.8056708474595979E-3</v>
      </c>
      <c r="S86" s="1"/>
      <c r="T86" s="1">
        <f>SUM(OSRRefT22_15x_0)</f>
        <v>22200</v>
      </c>
      <c r="U86" s="1"/>
      <c r="V86" s="5">
        <f t="shared" si="50"/>
        <v>2.9450134157300331E-3</v>
      </c>
      <c r="W86" s="1"/>
      <c r="X86" s="1">
        <f t="shared" si="51"/>
        <v>0</v>
      </c>
      <c r="Y86" s="1"/>
      <c r="Z86" s="5">
        <f t="shared" si="52"/>
        <v>0</v>
      </c>
    </row>
    <row r="87" spans="1:26" s="24" customFormat="1" hidden="1" outlineLevel="2" x14ac:dyDescent="0.25">
      <c r="A87" s="27"/>
      <c r="B87" s="11" t="str">
        <f>CONCATENATE("          ", "6273", " - ", "RENT")</f>
        <v xml:space="preserve">          6273 - RENT</v>
      </c>
      <c r="C87" s="11"/>
      <c r="D87" s="6">
        <v>1850</v>
      </c>
      <c r="E87" s="2"/>
      <c r="F87" s="7">
        <f t="shared" si="45"/>
        <v>0</v>
      </c>
      <c r="G87" s="2"/>
      <c r="H87" s="6">
        <v>1850</v>
      </c>
      <c r="I87" s="2"/>
      <c r="J87" s="7">
        <f t="shared" si="46"/>
        <v>7.6971083836072391E-3</v>
      </c>
      <c r="K87" s="2"/>
      <c r="L87" s="6">
        <f t="shared" si="47"/>
        <v>0</v>
      </c>
      <c r="M87" s="2"/>
      <c r="N87" s="7">
        <f t="shared" si="48"/>
        <v>0</v>
      </c>
      <c r="O87" s="11"/>
      <c r="P87" s="6">
        <v>22200</v>
      </c>
      <c r="Q87" s="2"/>
      <c r="R87" s="7">
        <f t="shared" si="49"/>
        <v>4.8056708474595979E-3</v>
      </c>
      <c r="S87" s="2"/>
      <c r="T87" s="6">
        <v>22200</v>
      </c>
      <c r="U87" s="2"/>
      <c r="V87" s="7">
        <f t="shared" si="50"/>
        <v>2.9450134157300331E-3</v>
      </c>
      <c r="W87" s="2"/>
      <c r="X87" s="6">
        <f t="shared" si="51"/>
        <v>0</v>
      </c>
      <c r="Y87" s="2"/>
      <c r="Z87" s="7">
        <f t="shared" si="52"/>
        <v>0</v>
      </c>
    </row>
    <row r="88" spans="1:26" s="26" customFormat="1" outlineLevel="1" collapsed="1" x14ac:dyDescent="0.25">
      <c r="A88" s="25"/>
      <c r="B88" s="12" t="str">
        <f>CONCATENATE("     ","Repair and Maintenance                            ")</f>
        <v xml:space="preserve">     Repair and Maintenance                            </v>
      </c>
      <c r="C88" s="12"/>
      <c r="D88" s="1">
        <f>SUM(OSRRefD22_16x_0)</f>
        <v>7691.29</v>
      </c>
      <c r="E88" s="1"/>
      <c r="F88" s="5">
        <f t="shared" si="45"/>
        <v>0</v>
      </c>
      <c r="G88" s="1"/>
      <c r="H88" s="1">
        <f>SUM(OSRRefH22_16x_0)</f>
        <v>15398</v>
      </c>
      <c r="I88" s="1"/>
      <c r="J88" s="5">
        <f t="shared" si="46"/>
        <v>6.4064905346369883E-2</v>
      </c>
      <c r="K88" s="1"/>
      <c r="L88" s="1">
        <f t="shared" si="47"/>
        <v>-7706.71</v>
      </c>
      <c r="M88" s="1"/>
      <c r="N88" s="5">
        <f t="shared" si="48"/>
        <v>-0.50050071437849075</v>
      </c>
      <c r="O88" s="12"/>
      <c r="P88" s="1">
        <f>SUM(OSRRefP22_16x_0)</f>
        <v>234062.56</v>
      </c>
      <c r="Q88" s="1"/>
      <c r="R88" s="5">
        <f t="shared" si="49"/>
        <v>5.066791085917851E-2</v>
      </c>
      <c r="S88" s="1"/>
      <c r="T88" s="1">
        <f>SUM(OSRRefT22_16x_0)</f>
        <v>257742</v>
      </c>
      <c r="U88" s="1"/>
      <c r="V88" s="5">
        <f t="shared" si="50"/>
        <v>3.4191605756625686E-2</v>
      </c>
      <c r="W88" s="1"/>
      <c r="X88" s="1">
        <f t="shared" si="51"/>
        <v>-23679.440000000002</v>
      </c>
      <c r="Y88" s="1"/>
      <c r="Z88" s="5">
        <f t="shared" si="52"/>
        <v>-9.1872647841640093E-2</v>
      </c>
    </row>
    <row r="89" spans="1:26" s="24" customFormat="1" hidden="1" outlineLevel="2" x14ac:dyDescent="0.25">
      <c r="A89" s="27"/>
      <c r="B89" s="11" t="str">
        <f>CONCATENATE("          ", "6371", " - ", "COMPUTER SOFTWARE MAINTENANCE")</f>
        <v xml:space="preserve">          6371 - COMPUTER SOFTWARE MAINTENANCE</v>
      </c>
      <c r="C89" s="11"/>
      <c r="D89" s="6"/>
      <c r="E89" s="2"/>
      <c r="F89" s="7">
        <f t="shared" si="45"/>
        <v>0</v>
      </c>
      <c r="G89" s="2"/>
      <c r="H89" s="6">
        <v>550</v>
      </c>
      <c r="I89" s="2"/>
      <c r="J89" s="7">
        <f t="shared" si="46"/>
        <v>2.2883295194508009E-3</v>
      </c>
      <c r="K89" s="2"/>
      <c r="L89" s="6">
        <f t="shared" si="47"/>
        <v>-550</v>
      </c>
      <c r="M89" s="2"/>
      <c r="N89" s="7">
        <f t="shared" si="48"/>
        <v>-1</v>
      </c>
      <c r="O89" s="11"/>
      <c r="P89" s="6">
        <v>10932.69</v>
      </c>
      <c r="Q89" s="2"/>
      <c r="R89" s="7">
        <f t="shared" si="49"/>
        <v>2.3666175503294176E-3</v>
      </c>
      <c r="S89" s="2"/>
      <c r="T89" s="6">
        <v>3050</v>
      </c>
      <c r="U89" s="2"/>
      <c r="V89" s="7">
        <f t="shared" si="50"/>
        <v>4.04607699007955E-4</v>
      </c>
      <c r="W89" s="2"/>
      <c r="X89" s="6">
        <f t="shared" si="51"/>
        <v>7882.6900000000005</v>
      </c>
      <c r="Y89" s="2"/>
      <c r="Z89" s="7">
        <f t="shared" si="52"/>
        <v>2.5844885245901641</v>
      </c>
    </row>
    <row r="90" spans="1:26" s="24" customFormat="1" hidden="1" outlineLevel="2" x14ac:dyDescent="0.25">
      <c r="A90" s="27"/>
      <c r="B90" s="11" t="str">
        <f>CONCATENATE("          ", "6372", " - ", "COMPUTER HARDWARE MAINTENANCE")</f>
        <v xml:space="preserve">          6372 - COMPUTER HARDWARE MAINTENANCE</v>
      </c>
      <c r="C90" s="11"/>
      <c r="D90" s="6"/>
      <c r="E90" s="2"/>
      <c r="F90" s="7">
        <f t="shared" si="45"/>
        <v>0</v>
      </c>
      <c r="G90" s="2"/>
      <c r="H90" s="6"/>
      <c r="I90" s="2"/>
      <c r="J90" s="7">
        <f t="shared" si="46"/>
        <v>0</v>
      </c>
      <c r="K90" s="2"/>
      <c r="L90" s="6">
        <f t="shared" si="47"/>
        <v>0</v>
      </c>
      <c r="M90" s="2"/>
      <c r="N90" s="7">
        <f t="shared" si="48"/>
        <v>0</v>
      </c>
      <c r="O90" s="11"/>
      <c r="P90" s="6">
        <v>8142.87</v>
      </c>
      <c r="Q90" s="2"/>
      <c r="R90" s="7">
        <f t="shared" si="49"/>
        <v>1.7627005843987987E-3</v>
      </c>
      <c r="S90" s="2"/>
      <c r="T90" s="6">
        <v>200</v>
      </c>
      <c r="U90" s="2"/>
      <c r="V90" s="7">
        <f t="shared" si="50"/>
        <v>2.6531652393964261E-5</v>
      </c>
      <c r="W90" s="2"/>
      <c r="X90" s="6">
        <f t="shared" si="51"/>
        <v>7942.87</v>
      </c>
      <c r="Y90" s="2"/>
      <c r="Z90" s="7">
        <f t="shared" si="52"/>
        <v>39.714349999999996</v>
      </c>
    </row>
    <row r="91" spans="1:26" s="24" customFormat="1" hidden="1" outlineLevel="2" x14ac:dyDescent="0.25">
      <c r="A91" s="27"/>
      <c r="B91" s="11" t="str">
        <f>CONCATENATE("          ", "6373", " - ", "MAINTENANCE CONTRACTS")</f>
        <v xml:space="preserve">          6373 - MAINTENANCE CONTRACTS</v>
      </c>
      <c r="C91" s="11"/>
      <c r="D91" s="6">
        <v>7691.29</v>
      </c>
      <c r="E91" s="2"/>
      <c r="F91" s="7">
        <f t="shared" si="45"/>
        <v>0</v>
      </c>
      <c r="G91" s="2"/>
      <c r="H91" s="6">
        <v>2448</v>
      </c>
      <c r="I91" s="2"/>
      <c r="J91" s="7">
        <f t="shared" si="46"/>
        <v>1.0185146661119202E-2</v>
      </c>
      <c r="K91" s="2"/>
      <c r="L91" s="6">
        <f t="shared" si="47"/>
        <v>5243.29</v>
      </c>
      <c r="M91" s="2"/>
      <c r="N91" s="7">
        <f t="shared" si="48"/>
        <v>2.1418668300653594</v>
      </c>
      <c r="O91" s="11"/>
      <c r="P91" s="6">
        <v>100948.53</v>
      </c>
      <c r="Q91" s="2"/>
      <c r="R91" s="7">
        <f t="shared" si="49"/>
        <v>2.185249584301354E-2</v>
      </c>
      <c r="S91" s="2"/>
      <c r="T91" s="6">
        <v>27892</v>
      </c>
      <c r="U91" s="2"/>
      <c r="V91" s="7">
        <f t="shared" si="50"/>
        <v>3.700104242862256E-3</v>
      </c>
      <c r="W91" s="2"/>
      <c r="X91" s="6">
        <f t="shared" si="51"/>
        <v>73056.53</v>
      </c>
      <c r="Y91" s="2"/>
      <c r="Z91" s="7">
        <f t="shared" si="52"/>
        <v>2.6192646637028538</v>
      </c>
    </row>
    <row r="92" spans="1:26" s="24" customFormat="1" hidden="1" outlineLevel="2" x14ac:dyDescent="0.25">
      <c r="A92" s="27"/>
      <c r="B92" s="11" t="str">
        <f>CONCATENATE("          ", "6375", " - ", "OUTSIDE REPAIRS &amp; MAINTENANCE")</f>
        <v xml:space="preserve">          6375 - OUTSIDE REPAIRS &amp; MAINTENANCE</v>
      </c>
      <c r="C92" s="11"/>
      <c r="D92" s="6"/>
      <c r="E92" s="2"/>
      <c r="F92" s="7">
        <f t="shared" si="45"/>
        <v>0</v>
      </c>
      <c r="G92" s="2"/>
      <c r="H92" s="6">
        <v>12400</v>
      </c>
      <c r="I92" s="2"/>
      <c r="J92" s="7">
        <f t="shared" si="46"/>
        <v>5.1591429165799875E-2</v>
      </c>
      <c r="K92" s="2"/>
      <c r="L92" s="6">
        <f t="shared" si="47"/>
        <v>-12400</v>
      </c>
      <c r="M92" s="2"/>
      <c r="N92" s="7">
        <f t="shared" si="48"/>
        <v>-1</v>
      </c>
      <c r="O92" s="11"/>
      <c r="P92" s="6">
        <v>114038.47</v>
      </c>
      <c r="Q92" s="2"/>
      <c r="R92" s="7">
        <f t="shared" si="49"/>
        <v>2.4686096881436755E-2</v>
      </c>
      <c r="S92" s="2"/>
      <c r="T92" s="6">
        <v>226600</v>
      </c>
      <c r="U92" s="2"/>
      <c r="V92" s="7">
        <f t="shared" si="50"/>
        <v>3.0060362162361506E-2</v>
      </c>
      <c r="W92" s="2"/>
      <c r="X92" s="6">
        <f t="shared" si="51"/>
        <v>-112561.53</v>
      </c>
      <c r="Y92" s="2"/>
      <c r="Z92" s="7">
        <f t="shared" si="52"/>
        <v>-0.49674108561341568</v>
      </c>
    </row>
    <row r="93" spans="1:26" s="26" customFormat="1" outlineLevel="1" collapsed="1" x14ac:dyDescent="0.25">
      <c r="A93" s="25"/>
      <c r="B93" s="12" t="str">
        <f>CONCATENATE("     ","Royalty &amp; Commissions                             ")</f>
        <v xml:space="preserve">     Royalty &amp; Commissions                             </v>
      </c>
      <c r="C93" s="12"/>
      <c r="D93" s="1">
        <f>SUM(OSRRefD22_17x_0)</f>
        <v>0</v>
      </c>
      <c r="E93" s="1"/>
      <c r="F93" s="5">
        <f t="shared" ref="F93:F97" si="53">IF(D$12=0,0,D93/D$12)</f>
        <v>0</v>
      </c>
      <c r="G93" s="1"/>
      <c r="H93" s="1">
        <f>SUM(OSRRefH22_17x_0)</f>
        <v>10600</v>
      </c>
      <c r="I93" s="1"/>
      <c r="J93" s="5">
        <f t="shared" ref="J93:J97" si="54">IF(H$12=0,0,H93/H$12)</f>
        <v>4.4102350738506345E-2</v>
      </c>
      <c r="K93" s="1"/>
      <c r="L93" s="1">
        <f t="shared" ref="L93:L97" si="55">+D93-H93</f>
        <v>-10600</v>
      </c>
      <c r="M93" s="1"/>
      <c r="N93" s="5">
        <f t="shared" ref="N93:N97" si="56">IF(H93=0,0,L93/H93)</f>
        <v>-1</v>
      </c>
      <c r="O93" s="12"/>
      <c r="P93" s="1">
        <f>SUM(OSRRefP22_17x_0)</f>
        <v>233763.46999999997</v>
      </c>
      <c r="Q93" s="1"/>
      <c r="R93" s="5">
        <f t="shared" ref="R93:R97" si="57">IF(P$12=0,0,P93/P$12)</f>
        <v>5.0603166350450278E-2</v>
      </c>
      <c r="S93" s="1"/>
      <c r="T93" s="1">
        <f>SUM(OSRRefT22_17x_0)</f>
        <v>388541</v>
      </c>
      <c r="U93" s="1"/>
      <c r="V93" s="5">
        <f t="shared" ref="V93:V97" si="58">IF(T$12=0,0,T93/T$12)</f>
        <v>5.1543173764016341E-2</v>
      </c>
      <c r="W93" s="1"/>
      <c r="X93" s="1">
        <f t="shared" ref="X93:X97" si="59">+P93-T93</f>
        <v>-154777.53000000003</v>
      </c>
      <c r="Y93" s="1"/>
      <c r="Z93" s="5">
        <f t="shared" ref="Z93:Z97" si="60">IF(T93=0,0,X93/T93)</f>
        <v>-0.39835572050311302</v>
      </c>
    </row>
    <row r="94" spans="1:26" s="24" customFormat="1" hidden="1" outlineLevel="2" x14ac:dyDescent="0.25">
      <c r="A94" s="27"/>
      <c r="B94" s="11" t="str">
        <f>CONCATENATE("          ", "6252", " - ", "ROYALTY DUE CSTV")</f>
        <v xml:space="preserve">          6252 - ROYALTY DUE CSTV</v>
      </c>
      <c r="C94" s="11"/>
      <c r="D94" s="6"/>
      <c r="E94" s="2"/>
      <c r="F94" s="7">
        <f t="shared" si="53"/>
        <v>0</v>
      </c>
      <c r="G94" s="2"/>
      <c r="H94" s="6"/>
      <c r="I94" s="2"/>
      <c r="J94" s="7">
        <f t="shared" si="54"/>
        <v>0</v>
      </c>
      <c r="K94" s="2"/>
      <c r="L94" s="6">
        <f t="shared" si="55"/>
        <v>0</v>
      </c>
      <c r="M94" s="2"/>
      <c r="N94" s="7">
        <f t="shared" si="56"/>
        <v>0</v>
      </c>
      <c r="O94" s="11"/>
      <c r="P94" s="6"/>
      <c r="Q94" s="2"/>
      <c r="R94" s="7">
        <f t="shared" si="57"/>
        <v>0</v>
      </c>
      <c r="S94" s="2"/>
      <c r="T94" s="6">
        <v>46000</v>
      </c>
      <c r="U94" s="2"/>
      <c r="V94" s="7">
        <f t="shared" si="58"/>
        <v>6.1022800506117802E-3</v>
      </c>
      <c r="W94" s="2"/>
      <c r="X94" s="6">
        <f t="shared" si="59"/>
        <v>-46000</v>
      </c>
      <c r="Y94" s="2"/>
      <c r="Z94" s="7">
        <f t="shared" si="60"/>
        <v>-1</v>
      </c>
    </row>
    <row r="95" spans="1:26" s="24" customFormat="1" hidden="1" outlineLevel="2" x14ac:dyDescent="0.25">
      <c r="A95" s="27"/>
      <c r="B95" s="11" t="str">
        <f>CONCATENATE("          ", "6253", " - ", "ROYALTY DUE ATHLETICS-LRG")</f>
        <v xml:space="preserve">          6253 - ROYALTY DUE ATHLETICS-LRG</v>
      </c>
      <c r="C95" s="11"/>
      <c r="D95" s="6"/>
      <c r="E95" s="2"/>
      <c r="F95" s="7">
        <f t="shared" si="53"/>
        <v>0</v>
      </c>
      <c r="G95" s="2"/>
      <c r="H95" s="6">
        <v>6000</v>
      </c>
      <c r="I95" s="2"/>
      <c r="J95" s="7">
        <f t="shared" si="54"/>
        <v>2.4963594757645102E-2</v>
      </c>
      <c r="K95" s="2"/>
      <c r="L95" s="6">
        <f t="shared" si="55"/>
        <v>-6000</v>
      </c>
      <c r="M95" s="2"/>
      <c r="N95" s="7">
        <f t="shared" si="56"/>
        <v>-1</v>
      </c>
      <c r="O95" s="11"/>
      <c r="P95" s="6"/>
      <c r="Q95" s="2"/>
      <c r="R95" s="7">
        <f t="shared" si="57"/>
        <v>0</v>
      </c>
      <c r="S95" s="2"/>
      <c r="T95" s="6">
        <v>173000</v>
      </c>
      <c r="U95" s="2"/>
      <c r="V95" s="7">
        <f t="shared" si="58"/>
        <v>2.2949879320779087E-2</v>
      </c>
      <c r="W95" s="2"/>
      <c r="X95" s="6">
        <f t="shared" si="59"/>
        <v>-173000</v>
      </c>
      <c r="Y95" s="2"/>
      <c r="Z95" s="7">
        <f t="shared" si="60"/>
        <v>-1</v>
      </c>
    </row>
    <row r="96" spans="1:26" s="24" customFormat="1" hidden="1" outlineLevel="2" x14ac:dyDescent="0.25">
      <c r="A96" s="27"/>
      <c r="B96" s="11" t="str">
        <f>CONCATENATE("          ", "6254", " - ", "ROYALTY &amp; COMMISSIONS")</f>
        <v xml:space="preserve">          6254 - ROYALTY &amp; COMMISSIONS</v>
      </c>
      <c r="C96" s="11"/>
      <c r="D96" s="6"/>
      <c r="E96" s="2"/>
      <c r="F96" s="7">
        <f t="shared" si="53"/>
        <v>0</v>
      </c>
      <c r="G96" s="2"/>
      <c r="H96" s="6">
        <v>1000</v>
      </c>
      <c r="I96" s="2"/>
      <c r="J96" s="7">
        <f t="shared" si="54"/>
        <v>4.1605991262741839E-3</v>
      </c>
      <c r="K96" s="2"/>
      <c r="L96" s="6">
        <f t="shared" si="55"/>
        <v>-1000</v>
      </c>
      <c r="M96" s="2"/>
      <c r="N96" s="7">
        <f t="shared" si="56"/>
        <v>-1</v>
      </c>
      <c r="O96" s="11"/>
      <c r="P96" s="6">
        <v>129093.51</v>
      </c>
      <c r="Q96" s="2"/>
      <c r="R96" s="7">
        <f t="shared" si="57"/>
        <v>2.7945086378524057E-2</v>
      </c>
      <c r="S96" s="2"/>
      <c r="T96" s="6">
        <v>7117</v>
      </c>
      <c r="U96" s="2"/>
      <c r="V96" s="7">
        <f t="shared" si="58"/>
        <v>9.441288504392182E-4</v>
      </c>
      <c r="W96" s="2"/>
      <c r="X96" s="6">
        <f t="shared" si="59"/>
        <v>121976.51</v>
      </c>
      <c r="Y96" s="2"/>
      <c r="Z96" s="7">
        <f t="shared" si="60"/>
        <v>17.138753688351834</v>
      </c>
    </row>
    <row r="97" spans="1:26" s="24" customFormat="1" hidden="1" outlineLevel="2" x14ac:dyDescent="0.25">
      <c r="A97" s="27"/>
      <c r="B97" s="11" t="str">
        <f>CONCATENATE("          ", "6259", " - ", "ROYALTY &amp; COMMISSIONS")</f>
        <v xml:space="preserve">          6259 - ROYALTY &amp; COMMISSIONS</v>
      </c>
      <c r="C97" s="11"/>
      <c r="D97" s="6"/>
      <c r="E97" s="2"/>
      <c r="F97" s="7">
        <f t="shared" si="53"/>
        <v>0</v>
      </c>
      <c r="G97" s="2"/>
      <c r="H97" s="6">
        <v>3600</v>
      </c>
      <c r="I97" s="2"/>
      <c r="J97" s="7">
        <f t="shared" si="54"/>
        <v>1.497815685458706E-2</v>
      </c>
      <c r="K97" s="2"/>
      <c r="L97" s="6">
        <f t="shared" si="55"/>
        <v>-3600</v>
      </c>
      <c r="M97" s="2"/>
      <c r="N97" s="7">
        <f t="shared" si="56"/>
        <v>-1</v>
      </c>
      <c r="O97" s="11"/>
      <c r="P97" s="6">
        <v>104669.95999999999</v>
      </c>
      <c r="Q97" s="2"/>
      <c r="R97" s="7">
        <f t="shared" si="57"/>
        <v>2.2658079971926225E-2</v>
      </c>
      <c r="S97" s="2"/>
      <c r="T97" s="6">
        <v>162424</v>
      </c>
      <c r="U97" s="2"/>
      <c r="V97" s="7">
        <f t="shared" si="58"/>
        <v>2.1546885542186256E-2</v>
      </c>
      <c r="W97" s="2"/>
      <c r="X97" s="6">
        <f t="shared" si="59"/>
        <v>-57754.040000000008</v>
      </c>
      <c r="Y97" s="2"/>
      <c r="Z97" s="7">
        <f t="shared" si="60"/>
        <v>-0.35557577697877168</v>
      </c>
    </row>
    <row r="98" spans="1:26" s="26" customFormat="1" outlineLevel="1" collapsed="1" x14ac:dyDescent="0.25">
      <c r="A98" s="25"/>
      <c r="B98" s="12" t="str">
        <f>CONCATENATE("     ","Services                                          ")</f>
        <v xml:space="preserve">     Services                                          </v>
      </c>
      <c r="C98" s="12"/>
      <c r="D98" s="1">
        <f>SUM(OSRRefD22_18x_0)</f>
        <v>13264.94</v>
      </c>
      <c r="E98" s="1"/>
      <c r="F98" s="5">
        <f t="shared" ref="F98:F103" si="61">IF(D$12=0,0,D98/D$12)</f>
        <v>0</v>
      </c>
      <c r="G98" s="1"/>
      <c r="H98" s="1">
        <f>SUM(OSRRefH22_18x_0)</f>
        <v>22466</v>
      </c>
      <c r="I98" s="1"/>
      <c r="J98" s="5">
        <f t="shared" ref="J98:J103" si="62">IF(H$12=0,0,H98/H$12)</f>
        <v>9.34720199708758E-2</v>
      </c>
      <c r="K98" s="1"/>
      <c r="L98" s="1">
        <f t="shared" ref="L98:L103" si="63">+D98-H98</f>
        <v>-9201.06</v>
      </c>
      <c r="M98" s="1"/>
      <c r="N98" s="5">
        <f t="shared" ref="N98:N103" si="64">IF(H98=0,0,L98/H98)</f>
        <v>-0.40955488293421166</v>
      </c>
      <c r="O98" s="12"/>
      <c r="P98" s="1">
        <f>SUM(OSRRefP22_18x_0)</f>
        <v>231180.97999999998</v>
      </c>
      <c r="Q98" s="1"/>
      <c r="R98" s="5">
        <f t="shared" ref="R98:R103" si="65">IF(P$12=0,0,P98/P$12)</f>
        <v>5.0044130453745055E-2</v>
      </c>
      <c r="S98" s="1"/>
      <c r="T98" s="1">
        <f>SUM(OSRRefT22_18x_0)</f>
        <v>270982</v>
      </c>
      <c r="U98" s="1"/>
      <c r="V98" s="5">
        <f t="shared" ref="V98:V103" si="66">IF(T$12=0,0,T98/T$12)</f>
        <v>3.5948001145106115E-2</v>
      </c>
      <c r="W98" s="1"/>
      <c r="X98" s="1">
        <f t="shared" ref="X98:X103" si="67">+P98-T98</f>
        <v>-39801.020000000019</v>
      </c>
      <c r="Y98" s="1"/>
      <c r="Z98" s="5">
        <f t="shared" ref="Z98:Z103" si="68">IF(T98=0,0,X98/T98)</f>
        <v>-0.14687698813943367</v>
      </c>
    </row>
    <row r="99" spans="1:26" s="24" customFormat="1" hidden="1" outlineLevel="2" x14ac:dyDescent="0.25">
      <c r="A99" s="27"/>
      <c r="B99" s="11" t="str">
        <f>CONCATENATE("          ", "6282", " - ", "JANITORIAL/EXTERMINATOR EXPENS")</f>
        <v xml:space="preserve">          6282 - JANITORIAL/EXTERMINATOR EXPENS</v>
      </c>
      <c r="C99" s="11"/>
      <c r="D99" s="6">
        <v>1909.6</v>
      </c>
      <c r="E99" s="2"/>
      <c r="F99" s="7">
        <f t="shared" si="61"/>
        <v>0</v>
      </c>
      <c r="G99" s="2"/>
      <c r="H99" s="6">
        <v>1345</v>
      </c>
      <c r="I99" s="2"/>
      <c r="J99" s="7">
        <f t="shared" si="62"/>
        <v>5.5960058248387765E-3</v>
      </c>
      <c r="K99" s="2"/>
      <c r="L99" s="6">
        <f t="shared" si="63"/>
        <v>564.59999999999991</v>
      </c>
      <c r="M99" s="2"/>
      <c r="N99" s="7">
        <f t="shared" si="64"/>
        <v>0.41977695167286239</v>
      </c>
      <c r="O99" s="11"/>
      <c r="P99" s="6">
        <v>14588.34</v>
      </c>
      <c r="Q99" s="2"/>
      <c r="R99" s="7">
        <f t="shared" si="65"/>
        <v>3.1579621734607543E-3</v>
      </c>
      <c r="S99" s="2"/>
      <c r="T99" s="6">
        <v>16035</v>
      </c>
      <c r="U99" s="2"/>
      <c r="V99" s="7">
        <f t="shared" si="66"/>
        <v>2.1271752306860846E-3</v>
      </c>
      <c r="W99" s="2"/>
      <c r="X99" s="6">
        <f t="shared" si="67"/>
        <v>-1446.6599999999999</v>
      </c>
      <c r="Y99" s="2"/>
      <c r="Z99" s="7">
        <f t="shared" si="68"/>
        <v>-9.0218896164639836E-2</v>
      </c>
    </row>
    <row r="100" spans="1:26" s="24" customFormat="1" hidden="1" outlineLevel="2" x14ac:dyDescent="0.25">
      <c r="A100" s="27"/>
      <c r="B100" s="11" t="str">
        <f>CONCATENATE("          ", "6283", " - ", "PLANT SERVICE")</f>
        <v xml:space="preserve">          6283 - PLANT SERVICE</v>
      </c>
      <c r="C100" s="11"/>
      <c r="D100" s="6"/>
      <c r="E100" s="2"/>
      <c r="F100" s="7">
        <f t="shared" si="61"/>
        <v>0</v>
      </c>
      <c r="G100" s="2"/>
      <c r="H100" s="6">
        <v>185</v>
      </c>
      <c r="I100" s="2"/>
      <c r="J100" s="7">
        <f t="shared" si="62"/>
        <v>7.69710838360724E-4</v>
      </c>
      <c r="K100" s="2"/>
      <c r="L100" s="6">
        <f t="shared" si="63"/>
        <v>-185</v>
      </c>
      <c r="M100" s="2"/>
      <c r="N100" s="7">
        <f t="shared" si="64"/>
        <v>-1</v>
      </c>
      <c r="O100" s="11"/>
      <c r="P100" s="6">
        <v>1798.02</v>
      </c>
      <c r="Q100" s="2"/>
      <c r="R100" s="7">
        <f t="shared" si="65"/>
        <v>3.8922037374546423E-4</v>
      </c>
      <c r="S100" s="2"/>
      <c r="T100" s="6">
        <v>2185</v>
      </c>
      <c r="U100" s="2"/>
      <c r="V100" s="7">
        <f t="shared" si="66"/>
        <v>2.8985830240405957E-4</v>
      </c>
      <c r="W100" s="2"/>
      <c r="X100" s="6">
        <f t="shared" si="67"/>
        <v>-386.98</v>
      </c>
      <c r="Y100" s="2"/>
      <c r="Z100" s="7">
        <f t="shared" si="68"/>
        <v>-0.17710755148741419</v>
      </c>
    </row>
    <row r="101" spans="1:26" s="24" customFormat="1" hidden="1" outlineLevel="2" x14ac:dyDescent="0.25">
      <c r="A101" s="27"/>
      <c r="B101" s="11" t="str">
        <f>CONCATENATE("          ", "6284", " - ", "TRASH REMOVAL EXPENSE")</f>
        <v xml:space="preserve">          6284 - TRASH REMOVAL EXPENSE</v>
      </c>
      <c r="C101" s="11"/>
      <c r="D101" s="6">
        <v>5128</v>
      </c>
      <c r="E101" s="2"/>
      <c r="F101" s="7">
        <f t="shared" si="61"/>
        <v>0</v>
      </c>
      <c r="G101" s="2"/>
      <c r="H101" s="6">
        <v>3515</v>
      </c>
      <c r="I101" s="2"/>
      <c r="J101" s="7">
        <f t="shared" si="62"/>
        <v>1.4624505928853756E-2</v>
      </c>
      <c r="K101" s="2"/>
      <c r="L101" s="6">
        <f t="shared" si="63"/>
        <v>1613</v>
      </c>
      <c r="M101" s="2"/>
      <c r="N101" s="7">
        <f t="shared" si="64"/>
        <v>0.45889046941678518</v>
      </c>
      <c r="O101" s="11"/>
      <c r="P101" s="6">
        <v>53669</v>
      </c>
      <c r="Q101" s="2"/>
      <c r="R101" s="7">
        <f t="shared" si="65"/>
        <v>1.1617817509563476E-2</v>
      </c>
      <c r="S101" s="2"/>
      <c r="T101" s="6">
        <v>42180</v>
      </c>
      <c r="U101" s="2"/>
      <c r="V101" s="7">
        <f t="shared" si="66"/>
        <v>5.5955254898870628E-3</v>
      </c>
      <c r="W101" s="2"/>
      <c r="X101" s="6">
        <f t="shared" si="67"/>
        <v>11489</v>
      </c>
      <c r="Y101" s="2"/>
      <c r="Z101" s="7">
        <f t="shared" si="68"/>
        <v>0.27238027501185397</v>
      </c>
    </row>
    <row r="102" spans="1:26" s="24" customFormat="1" hidden="1" outlineLevel="2" x14ac:dyDescent="0.25">
      <c r="A102" s="27"/>
      <c r="B102" s="11" t="str">
        <f>CONCATENATE("          ", "6285", " - ", "JANITORIAL SERVICES")</f>
        <v xml:space="preserve">          6285 - JANITORIAL SERVICES</v>
      </c>
      <c r="C102" s="11"/>
      <c r="D102" s="6">
        <v>6227.34</v>
      </c>
      <c r="E102" s="2"/>
      <c r="F102" s="7">
        <f t="shared" si="61"/>
        <v>0</v>
      </c>
      <c r="G102" s="2"/>
      <c r="H102" s="6">
        <v>13184</v>
      </c>
      <c r="I102" s="2"/>
      <c r="J102" s="7">
        <f t="shared" si="62"/>
        <v>5.4853338880798838E-2</v>
      </c>
      <c r="K102" s="2"/>
      <c r="L102" s="6">
        <f t="shared" si="63"/>
        <v>-6956.66</v>
      </c>
      <c r="M102" s="2"/>
      <c r="N102" s="7">
        <f t="shared" si="64"/>
        <v>-0.52765928398058248</v>
      </c>
      <c r="O102" s="11"/>
      <c r="P102" s="6">
        <v>134115.00999999998</v>
      </c>
      <c r="Q102" s="2"/>
      <c r="R102" s="7">
        <f t="shared" si="65"/>
        <v>2.9032098818187042E-2</v>
      </c>
      <c r="S102" s="2"/>
      <c r="T102" s="6">
        <v>158996</v>
      </c>
      <c r="U102" s="2"/>
      <c r="V102" s="7">
        <f t="shared" si="66"/>
        <v>2.1092133020153708E-2</v>
      </c>
      <c r="W102" s="2"/>
      <c r="X102" s="6">
        <f t="shared" si="67"/>
        <v>-24880.99000000002</v>
      </c>
      <c r="Y102" s="2"/>
      <c r="Z102" s="7">
        <f t="shared" si="68"/>
        <v>-0.15648815064529939</v>
      </c>
    </row>
    <row r="103" spans="1:26" s="24" customFormat="1" hidden="1" outlineLevel="2" x14ac:dyDescent="0.25">
      <c r="A103" s="27"/>
      <c r="B103" s="11" t="str">
        <f>CONCATENATE("          ", "6286", " - ", "LAUNDRY EXPENSE")</f>
        <v xml:space="preserve">          6286 - LAUNDRY EXPENSE</v>
      </c>
      <c r="C103" s="11"/>
      <c r="D103" s="6"/>
      <c r="E103" s="2"/>
      <c r="F103" s="7">
        <f t="shared" si="61"/>
        <v>0</v>
      </c>
      <c r="G103" s="2"/>
      <c r="H103" s="6">
        <v>4237</v>
      </c>
      <c r="I103" s="2"/>
      <c r="J103" s="7">
        <f t="shared" si="62"/>
        <v>1.7628458498023716E-2</v>
      </c>
      <c r="K103" s="2"/>
      <c r="L103" s="6">
        <f t="shared" si="63"/>
        <v>-4237</v>
      </c>
      <c r="M103" s="2"/>
      <c r="N103" s="7">
        <f t="shared" si="64"/>
        <v>-1</v>
      </c>
      <c r="O103" s="11"/>
      <c r="P103" s="6">
        <v>27010.609999999997</v>
      </c>
      <c r="Q103" s="2"/>
      <c r="R103" s="7">
        <f t="shared" si="65"/>
        <v>5.8470315787883184E-3</v>
      </c>
      <c r="S103" s="2"/>
      <c r="T103" s="6">
        <v>51586</v>
      </c>
      <c r="U103" s="2"/>
      <c r="V103" s="7">
        <f t="shared" si="66"/>
        <v>6.8433091019752023E-3</v>
      </c>
      <c r="W103" s="2"/>
      <c r="X103" s="6">
        <f t="shared" si="67"/>
        <v>-24575.390000000003</v>
      </c>
      <c r="Y103" s="2"/>
      <c r="Z103" s="7">
        <f t="shared" si="68"/>
        <v>-0.47639650292715086</v>
      </c>
    </row>
    <row r="104" spans="1:26" s="26" customFormat="1" outlineLevel="1" collapsed="1" x14ac:dyDescent="0.25">
      <c r="A104" s="25"/>
      <c r="B104" s="12" t="str">
        <f>CONCATENATE("     ","Subscriptions &amp; Dues                              ")</f>
        <v xml:space="preserve">     Subscriptions &amp; Dues                              </v>
      </c>
      <c r="C104" s="12"/>
      <c r="D104" s="1">
        <f>SUM(OSRRefD22_19x_0)</f>
        <v>0</v>
      </c>
      <c r="E104" s="1"/>
      <c r="F104" s="5">
        <f t="shared" ref="F104:F106" si="69">IF(D$12=0,0,D104/D$12)</f>
        <v>0</v>
      </c>
      <c r="G104" s="1"/>
      <c r="H104" s="1">
        <f>SUM(OSRRefH22_19x_0)</f>
        <v>394</v>
      </c>
      <c r="I104" s="1"/>
      <c r="J104" s="5">
        <f t="shared" ref="J104:J106" si="70">IF(H$12=0,0,H104/H$12)</f>
        <v>1.6392760557520283E-3</v>
      </c>
      <c r="K104" s="1"/>
      <c r="L104" s="1">
        <f t="shared" ref="L104:L106" si="71">+D104-H104</f>
        <v>-394</v>
      </c>
      <c r="M104" s="1"/>
      <c r="N104" s="5">
        <f t="shared" ref="N104:N106" si="72">IF(H104=0,0,L104/H104)</f>
        <v>-1</v>
      </c>
      <c r="O104" s="12"/>
      <c r="P104" s="1">
        <f>SUM(OSRRefP22_19x_0)</f>
        <v>7300.55</v>
      </c>
      <c r="Q104" s="1"/>
      <c r="R104" s="5">
        <f t="shared" ref="R104:R106" si="73">IF(P$12=0,0,P104/P$12)</f>
        <v>1.5803621759198725E-3</v>
      </c>
      <c r="S104" s="1"/>
      <c r="T104" s="1">
        <f>SUM(OSRRefT22_19x_0)</f>
        <v>4853</v>
      </c>
      <c r="U104" s="1"/>
      <c r="V104" s="5">
        <f t="shared" ref="V104:V106" si="74">IF(T$12=0,0,T104/T$12)</f>
        <v>6.4379054533954282E-4</v>
      </c>
      <c r="W104" s="1"/>
      <c r="X104" s="1">
        <f t="shared" ref="X104:X106" si="75">+P104-T104</f>
        <v>2447.5500000000002</v>
      </c>
      <c r="Y104" s="1"/>
      <c r="Z104" s="5">
        <f t="shared" ref="Z104:Z106" si="76">IF(T104=0,0,X104/T104)</f>
        <v>0.50433752318153724</v>
      </c>
    </row>
    <row r="105" spans="1:26" s="24" customFormat="1" hidden="1" outlineLevel="2" x14ac:dyDescent="0.25">
      <c r="A105" s="27"/>
      <c r="B105" s="11" t="str">
        <f>CONCATENATE("          ", "6258", " - ", "MEMBERSHIP DUES")</f>
        <v xml:space="preserve">          6258 - MEMBERSHIP DUES</v>
      </c>
      <c r="C105" s="11"/>
      <c r="D105" s="6"/>
      <c r="E105" s="2"/>
      <c r="F105" s="7">
        <f t="shared" si="69"/>
        <v>0</v>
      </c>
      <c r="G105" s="2"/>
      <c r="H105" s="6"/>
      <c r="I105" s="2"/>
      <c r="J105" s="7">
        <f t="shared" si="70"/>
        <v>0</v>
      </c>
      <c r="K105" s="2"/>
      <c r="L105" s="6">
        <f t="shared" si="71"/>
        <v>0</v>
      </c>
      <c r="M105" s="2"/>
      <c r="N105" s="7">
        <f t="shared" si="72"/>
        <v>0</v>
      </c>
      <c r="O105" s="11"/>
      <c r="P105" s="6">
        <v>3730</v>
      </c>
      <c r="Q105" s="2"/>
      <c r="R105" s="7">
        <f t="shared" si="73"/>
        <v>8.0743929103713067E-4</v>
      </c>
      <c r="S105" s="2"/>
      <c r="T105" s="6">
        <v>300</v>
      </c>
      <c r="U105" s="2"/>
      <c r="V105" s="7">
        <f t="shared" si="74"/>
        <v>3.9797478590946393E-5</v>
      </c>
      <c r="W105" s="2"/>
      <c r="X105" s="6">
        <f t="shared" si="75"/>
        <v>3430</v>
      </c>
      <c r="Y105" s="2"/>
      <c r="Z105" s="7">
        <f t="shared" si="76"/>
        <v>11.433333333333334</v>
      </c>
    </row>
    <row r="106" spans="1:26" s="24" customFormat="1" hidden="1" outlineLevel="2" x14ac:dyDescent="0.25">
      <c r="A106" s="27"/>
      <c r="B106" s="11" t="str">
        <f>CONCATENATE("          ", "6275", " - ", "SUBSCRIPTIONS")</f>
        <v xml:space="preserve">          6275 - SUBSCRIPTIONS</v>
      </c>
      <c r="C106" s="11"/>
      <c r="D106" s="6"/>
      <c r="E106" s="2"/>
      <c r="F106" s="7">
        <f t="shared" si="69"/>
        <v>0</v>
      </c>
      <c r="G106" s="2"/>
      <c r="H106" s="6">
        <v>394</v>
      </c>
      <c r="I106" s="2"/>
      <c r="J106" s="7">
        <f t="shared" si="70"/>
        <v>1.6392760557520283E-3</v>
      </c>
      <c r="K106" s="2"/>
      <c r="L106" s="6">
        <f t="shared" si="71"/>
        <v>-394</v>
      </c>
      <c r="M106" s="2"/>
      <c r="N106" s="7">
        <f t="shared" si="72"/>
        <v>-1</v>
      </c>
      <c r="O106" s="11"/>
      <c r="P106" s="6">
        <v>3570.55</v>
      </c>
      <c r="Q106" s="2"/>
      <c r="R106" s="7">
        <f t="shared" si="73"/>
        <v>7.7292288488274184E-4</v>
      </c>
      <c r="S106" s="2"/>
      <c r="T106" s="6">
        <v>4553</v>
      </c>
      <c r="U106" s="2"/>
      <c r="V106" s="7">
        <f t="shared" si="74"/>
        <v>6.0399306674859638E-4</v>
      </c>
      <c r="W106" s="2"/>
      <c r="X106" s="6">
        <f t="shared" si="75"/>
        <v>-982.44999999999982</v>
      </c>
      <c r="Y106" s="2"/>
      <c r="Z106" s="7">
        <f t="shared" si="76"/>
        <v>-0.2157808038655831</v>
      </c>
    </row>
    <row r="107" spans="1:26" s="26" customFormat="1" outlineLevel="1" collapsed="1" x14ac:dyDescent="0.25">
      <c r="A107" s="25"/>
      <c r="B107" s="12" t="str">
        <f>CONCATENATE("     ","Supplies                                          ")</f>
        <v xml:space="preserve">     Supplies                                          </v>
      </c>
      <c r="C107" s="12"/>
      <c r="D107" s="1">
        <f>SUM(OSRRefD22_20x_0)</f>
        <v>868.63</v>
      </c>
      <c r="E107" s="1"/>
      <c r="F107" s="5">
        <f t="shared" ref="F107:F118" si="77">IF(D$12=0,0,D107/D$12)</f>
        <v>0</v>
      </c>
      <c r="G107" s="1"/>
      <c r="H107" s="1">
        <f>SUM(OSRRefH22_20x_0)</f>
        <v>9441</v>
      </c>
      <c r="I107" s="1"/>
      <c r="J107" s="5">
        <f t="shared" ref="J107:J118" si="78">IF(H$12=0,0,H107/H$12)</f>
        <v>3.9280216351154564E-2</v>
      </c>
      <c r="K107" s="1"/>
      <c r="L107" s="1">
        <f t="shared" ref="L107:L118" si="79">+D107-H107</f>
        <v>-8572.3700000000008</v>
      </c>
      <c r="M107" s="1"/>
      <c r="N107" s="5">
        <f t="shared" ref="N107:N118" si="80">IF(H107=0,0,L107/H107)</f>
        <v>-0.90799385658298915</v>
      </c>
      <c r="O107" s="12"/>
      <c r="P107" s="1">
        <f>SUM(OSRRefP22_20x_0)</f>
        <v>169811.61000000002</v>
      </c>
      <c r="Q107" s="1"/>
      <c r="R107" s="5">
        <f t="shared" ref="R107:R118" si="81">IF(P$12=0,0,P107/P$12)</f>
        <v>3.675940106924229E-2</v>
      </c>
      <c r="S107" s="1"/>
      <c r="T107" s="1">
        <f>SUM(OSRRefT22_20x_0)</f>
        <v>168782.86</v>
      </c>
      <c r="U107" s="1"/>
      <c r="V107" s="5">
        <f t="shared" ref="V107:V118" si="82">IF(T$12=0,0,T107/T$12)</f>
        <v>2.2390440857895672E-2</v>
      </c>
      <c r="W107" s="1"/>
      <c r="X107" s="1">
        <f t="shared" ref="X107:X118" si="83">+P107-T107</f>
        <v>1028.7500000000291</v>
      </c>
      <c r="Y107" s="1"/>
      <c r="Z107" s="5">
        <f t="shared" ref="Z107:Z118" si="84">IF(T107=0,0,X107/T107)</f>
        <v>6.0951094204709485E-3</v>
      </c>
    </row>
    <row r="108" spans="1:26" s="24" customFormat="1" hidden="1" outlineLevel="2" x14ac:dyDescent="0.25">
      <c r="A108" s="27"/>
      <c r="B108" s="11" t="str">
        <f>CONCATENATE("          ", "6234", " - ", "EXPENDABLE SUPPLIES &amp; EQUIPMEN")</f>
        <v xml:space="preserve">          6234 - EXPENDABLE SUPPLIES &amp; EQUIPMEN</v>
      </c>
      <c r="C108" s="11"/>
      <c r="D108" s="6">
        <v>1048.8</v>
      </c>
      <c r="E108" s="2"/>
      <c r="F108" s="7">
        <f t="shared" si="77"/>
        <v>0</v>
      </c>
      <c r="G108" s="2"/>
      <c r="H108" s="6">
        <v>100</v>
      </c>
      <c r="I108" s="2"/>
      <c r="J108" s="7">
        <f t="shared" si="78"/>
        <v>4.1605991262741833E-4</v>
      </c>
      <c r="K108" s="2"/>
      <c r="L108" s="6">
        <f t="shared" si="79"/>
        <v>948.8</v>
      </c>
      <c r="M108" s="2"/>
      <c r="N108" s="7">
        <f t="shared" si="80"/>
        <v>9.4879999999999995</v>
      </c>
      <c r="O108" s="11"/>
      <c r="P108" s="6">
        <v>15735.289999999999</v>
      </c>
      <c r="Q108" s="2"/>
      <c r="R108" s="7">
        <f t="shared" si="81"/>
        <v>3.406244343663177E-3</v>
      </c>
      <c r="S108" s="2"/>
      <c r="T108" s="6">
        <v>7450</v>
      </c>
      <c r="U108" s="2"/>
      <c r="V108" s="7">
        <f t="shared" si="82"/>
        <v>9.8830405167516866E-4</v>
      </c>
      <c r="W108" s="2"/>
      <c r="X108" s="6">
        <f t="shared" si="83"/>
        <v>8285.2899999999991</v>
      </c>
      <c r="Y108" s="2"/>
      <c r="Z108" s="7">
        <f t="shared" si="84"/>
        <v>1.1121194630872482</v>
      </c>
    </row>
    <row r="109" spans="1:26" s="24" customFormat="1" hidden="1" outlineLevel="2" x14ac:dyDescent="0.25">
      <c r="A109" s="27"/>
      <c r="B109" s="11" t="str">
        <f>CONCATENATE("          ", "6235", " - ", "COVID-19 EXPENSES")</f>
        <v xml:space="preserve">          6235 - COVID-19 EXPENSES</v>
      </c>
      <c r="C109" s="11"/>
      <c r="D109" s="6"/>
      <c r="E109" s="2"/>
      <c r="F109" s="7">
        <f t="shared" si="77"/>
        <v>0</v>
      </c>
      <c r="G109" s="2"/>
      <c r="H109" s="6"/>
      <c r="I109" s="2"/>
      <c r="J109" s="7">
        <f t="shared" si="78"/>
        <v>0</v>
      </c>
      <c r="K109" s="2"/>
      <c r="L109" s="6">
        <f t="shared" si="79"/>
        <v>0</v>
      </c>
      <c r="M109" s="2"/>
      <c r="N109" s="7">
        <f t="shared" si="80"/>
        <v>0</v>
      </c>
      <c r="O109" s="11"/>
      <c r="P109" s="6">
        <v>1095.08</v>
      </c>
      <c r="Q109" s="2"/>
      <c r="R109" s="7">
        <f t="shared" si="81"/>
        <v>2.3705378520883134E-4</v>
      </c>
      <c r="S109" s="2"/>
      <c r="T109" s="6"/>
      <c r="U109" s="2"/>
      <c r="V109" s="7">
        <f t="shared" si="82"/>
        <v>0</v>
      </c>
      <c r="W109" s="2"/>
      <c r="X109" s="6">
        <f t="shared" si="83"/>
        <v>1095.08</v>
      </c>
      <c r="Y109" s="2"/>
      <c r="Z109" s="7">
        <f t="shared" si="84"/>
        <v>0</v>
      </c>
    </row>
    <row r="110" spans="1:26" s="24" customFormat="1" hidden="1" outlineLevel="2" x14ac:dyDescent="0.25">
      <c r="A110" s="27"/>
      <c r="B110" s="11" t="str">
        <f>CONCATENATE("          ", "6237", " - ", "JANITORIAL SUPPLIES")</f>
        <v xml:space="preserve">          6237 - JANITORIAL SUPPLIES</v>
      </c>
      <c r="C110" s="11"/>
      <c r="D110" s="6"/>
      <c r="E110" s="2"/>
      <c r="F110" s="7">
        <f t="shared" si="77"/>
        <v>0</v>
      </c>
      <c r="G110" s="2"/>
      <c r="H110" s="6">
        <v>3561</v>
      </c>
      <c r="I110" s="2"/>
      <c r="J110" s="7">
        <f t="shared" si="78"/>
        <v>1.4815893488662368E-2</v>
      </c>
      <c r="K110" s="2"/>
      <c r="L110" s="6">
        <f t="shared" si="79"/>
        <v>-3561</v>
      </c>
      <c r="M110" s="2"/>
      <c r="N110" s="7">
        <f t="shared" si="80"/>
        <v>-1</v>
      </c>
      <c r="O110" s="11"/>
      <c r="P110" s="6">
        <v>48480.700000000004</v>
      </c>
      <c r="Q110" s="2"/>
      <c r="R110" s="7">
        <f t="shared" si="81"/>
        <v>1.04946975970466E-2</v>
      </c>
      <c r="S110" s="2"/>
      <c r="T110" s="6">
        <v>49662</v>
      </c>
      <c r="U110" s="2"/>
      <c r="V110" s="7">
        <f t="shared" si="82"/>
        <v>6.5880746059452655E-3</v>
      </c>
      <c r="W110" s="2"/>
      <c r="X110" s="6">
        <f t="shared" si="83"/>
        <v>-1181.2999999999956</v>
      </c>
      <c r="Y110" s="2"/>
      <c r="Z110" s="7">
        <f t="shared" si="84"/>
        <v>-2.3786798759614911E-2</v>
      </c>
    </row>
    <row r="111" spans="1:26" s="24" customFormat="1" hidden="1" outlineLevel="2" x14ac:dyDescent="0.25">
      <c r="A111" s="27"/>
      <c r="B111" s="11" t="str">
        <f>CONCATENATE("          ", "6239", " - ", "KITCHEN SUPPLIES")</f>
        <v xml:space="preserve">          6239 - KITCHEN SUPPLIES</v>
      </c>
      <c r="C111" s="11"/>
      <c r="D111" s="6"/>
      <c r="E111" s="2"/>
      <c r="F111" s="7">
        <f t="shared" si="77"/>
        <v>0</v>
      </c>
      <c r="G111" s="2"/>
      <c r="H111" s="6">
        <v>2150</v>
      </c>
      <c r="I111" s="2"/>
      <c r="J111" s="7">
        <f t="shared" si="78"/>
        <v>8.9452881214894947E-3</v>
      </c>
      <c r="K111" s="2"/>
      <c r="L111" s="6">
        <f t="shared" si="79"/>
        <v>-2150</v>
      </c>
      <c r="M111" s="2"/>
      <c r="N111" s="7">
        <f t="shared" si="80"/>
        <v>-1</v>
      </c>
      <c r="O111" s="11"/>
      <c r="P111" s="6">
        <v>45525.630000000005</v>
      </c>
      <c r="Q111" s="2"/>
      <c r="R111" s="7">
        <f t="shared" si="81"/>
        <v>9.8550086893347804E-3</v>
      </c>
      <c r="S111" s="2"/>
      <c r="T111" s="6">
        <v>32704.15</v>
      </c>
      <c r="U111" s="2"/>
      <c r="V111" s="7">
        <f t="shared" si="82"/>
        <v>4.3384756982003314E-3</v>
      </c>
      <c r="W111" s="2"/>
      <c r="X111" s="6">
        <f t="shared" si="83"/>
        <v>12821.480000000003</v>
      </c>
      <c r="Y111" s="2"/>
      <c r="Z111" s="7">
        <f t="shared" si="84"/>
        <v>0.39204443472770284</v>
      </c>
    </row>
    <row r="112" spans="1:26" s="24" customFormat="1" hidden="1" outlineLevel="2" x14ac:dyDescent="0.25">
      <c r="A112" s="27"/>
      <c r="B112" s="11" t="str">
        <f>CONCATENATE("          ", "6241", " - ", "OFFICE EXPENSE")</f>
        <v xml:space="preserve">          6241 - OFFICE EXPENSE</v>
      </c>
      <c r="C112" s="11"/>
      <c r="D112" s="6">
        <v>-180.17</v>
      </c>
      <c r="E112" s="2"/>
      <c r="F112" s="7">
        <f t="shared" si="77"/>
        <v>0</v>
      </c>
      <c r="G112" s="2"/>
      <c r="H112" s="6">
        <v>470</v>
      </c>
      <c r="I112" s="2"/>
      <c r="J112" s="7">
        <f t="shared" si="78"/>
        <v>1.9554815893488664E-3</v>
      </c>
      <c r="K112" s="2"/>
      <c r="L112" s="6">
        <f t="shared" si="79"/>
        <v>-650.16999999999996</v>
      </c>
      <c r="M112" s="2"/>
      <c r="N112" s="7">
        <f t="shared" si="80"/>
        <v>-1.3833404255319148</v>
      </c>
      <c r="O112" s="11"/>
      <c r="P112" s="6">
        <v>17578.900000000001</v>
      </c>
      <c r="Q112" s="2"/>
      <c r="R112" s="7">
        <f t="shared" si="81"/>
        <v>3.8053336603787176E-3</v>
      </c>
      <c r="S112" s="2"/>
      <c r="T112" s="6">
        <v>10468.82</v>
      </c>
      <c r="U112" s="2"/>
      <c r="V112" s="7">
        <f t="shared" si="82"/>
        <v>1.3887754660749047E-3</v>
      </c>
      <c r="W112" s="2"/>
      <c r="X112" s="6">
        <f t="shared" si="83"/>
        <v>7110.0800000000017</v>
      </c>
      <c r="Y112" s="2"/>
      <c r="Z112" s="7">
        <f t="shared" si="84"/>
        <v>0.6791672795978918</v>
      </c>
    </row>
    <row r="113" spans="1:26" s="24" customFormat="1" hidden="1" outlineLevel="2" x14ac:dyDescent="0.25">
      <c r="A113" s="27"/>
      <c r="B113" s="11" t="str">
        <f>CONCATENATE("          ", "6243", " - ", "PAPER SUPPLIES")</f>
        <v xml:space="preserve">          6243 - PAPER SUPPLIES</v>
      </c>
      <c r="C113" s="11"/>
      <c r="D113" s="6"/>
      <c r="E113" s="2"/>
      <c r="F113" s="7">
        <f t="shared" si="77"/>
        <v>0</v>
      </c>
      <c r="G113" s="2"/>
      <c r="H113" s="6">
        <v>2750</v>
      </c>
      <c r="I113" s="2"/>
      <c r="J113" s="7">
        <f t="shared" si="78"/>
        <v>1.1441647597254004E-2</v>
      </c>
      <c r="K113" s="2"/>
      <c r="L113" s="6">
        <f t="shared" si="79"/>
        <v>-2750</v>
      </c>
      <c r="M113" s="2"/>
      <c r="N113" s="7">
        <f t="shared" si="80"/>
        <v>-1</v>
      </c>
      <c r="O113" s="11"/>
      <c r="P113" s="6">
        <v>29152.85</v>
      </c>
      <c r="Q113" s="2"/>
      <c r="R113" s="7">
        <f t="shared" si="81"/>
        <v>6.3107658272685821E-3</v>
      </c>
      <c r="S113" s="2"/>
      <c r="T113" s="6">
        <v>46039.519999999997</v>
      </c>
      <c r="U113" s="2"/>
      <c r="V113" s="7">
        <f t="shared" si="82"/>
        <v>6.1075227051248272E-3</v>
      </c>
      <c r="W113" s="2"/>
      <c r="X113" s="6">
        <f t="shared" si="83"/>
        <v>-16886.669999999998</v>
      </c>
      <c r="Y113" s="2"/>
      <c r="Z113" s="7">
        <f t="shared" si="84"/>
        <v>-0.36678640437606647</v>
      </c>
    </row>
    <row r="114" spans="1:26" s="24" customFormat="1" hidden="1" outlineLevel="2" x14ac:dyDescent="0.25">
      <c r="A114" s="27"/>
      <c r="B114" s="11" t="str">
        <f>CONCATENATE("          ", "6244", " - ", "SAFETY SUPPLY EXPENSE")</f>
        <v xml:space="preserve">          6244 - SAFETY SUPPLY EXPENSE</v>
      </c>
      <c r="C114" s="11"/>
      <c r="D114" s="6"/>
      <c r="E114" s="2"/>
      <c r="F114" s="7">
        <f t="shared" si="77"/>
        <v>0</v>
      </c>
      <c r="G114" s="2"/>
      <c r="H114" s="6">
        <v>110</v>
      </c>
      <c r="I114" s="2"/>
      <c r="J114" s="7">
        <f t="shared" si="78"/>
        <v>4.5766590389016021E-4</v>
      </c>
      <c r="K114" s="2"/>
      <c r="L114" s="6">
        <f t="shared" si="79"/>
        <v>-110</v>
      </c>
      <c r="M114" s="2"/>
      <c r="N114" s="7">
        <f t="shared" si="80"/>
        <v>-1</v>
      </c>
      <c r="O114" s="11"/>
      <c r="P114" s="6"/>
      <c r="Q114" s="2"/>
      <c r="R114" s="7">
        <f t="shared" si="81"/>
        <v>0</v>
      </c>
      <c r="S114" s="2"/>
      <c r="T114" s="6">
        <v>1320</v>
      </c>
      <c r="U114" s="2"/>
      <c r="V114" s="7">
        <f t="shared" si="82"/>
        <v>1.7510890580016411E-4</v>
      </c>
      <c r="W114" s="2"/>
      <c r="X114" s="6">
        <f t="shared" si="83"/>
        <v>-1320</v>
      </c>
      <c r="Y114" s="2"/>
      <c r="Z114" s="7">
        <f t="shared" si="84"/>
        <v>-1</v>
      </c>
    </row>
    <row r="115" spans="1:26" s="24" customFormat="1" hidden="1" outlineLevel="2" x14ac:dyDescent="0.25">
      <c r="A115" s="27"/>
      <c r="B115" s="11" t="str">
        <f>CONCATENATE("          ", "6245", " - ", "PRINTING")</f>
        <v xml:space="preserve">          6245 - PRINTING</v>
      </c>
      <c r="C115" s="11"/>
      <c r="D115" s="6"/>
      <c r="E115" s="2"/>
      <c r="F115" s="7">
        <f t="shared" si="77"/>
        <v>0</v>
      </c>
      <c r="G115" s="2"/>
      <c r="H115" s="6">
        <v>50</v>
      </c>
      <c r="I115" s="2"/>
      <c r="J115" s="7">
        <f t="shared" si="78"/>
        <v>2.0802995631370917E-4</v>
      </c>
      <c r="K115" s="2"/>
      <c r="L115" s="6">
        <f t="shared" si="79"/>
        <v>-50</v>
      </c>
      <c r="M115" s="2"/>
      <c r="N115" s="7">
        <f t="shared" si="80"/>
        <v>-1</v>
      </c>
      <c r="O115" s="11"/>
      <c r="P115" s="6">
        <v>531.28</v>
      </c>
      <c r="Q115" s="2"/>
      <c r="R115" s="7">
        <f t="shared" si="81"/>
        <v>1.1500706341614121E-4</v>
      </c>
      <c r="S115" s="2"/>
      <c r="T115" s="6">
        <v>2736.82</v>
      </c>
      <c r="U115" s="2"/>
      <c r="V115" s="7">
        <f t="shared" si="82"/>
        <v>3.6306178452424637E-4</v>
      </c>
      <c r="W115" s="2"/>
      <c r="X115" s="6">
        <f t="shared" si="83"/>
        <v>-2205.54</v>
      </c>
      <c r="Y115" s="2"/>
      <c r="Z115" s="7">
        <f t="shared" si="84"/>
        <v>-0.80587689362106385</v>
      </c>
    </row>
    <row r="116" spans="1:26" s="24" customFormat="1" hidden="1" outlineLevel="2" x14ac:dyDescent="0.25">
      <c r="A116" s="27"/>
      <c r="B116" s="11" t="str">
        <f>CONCATENATE("          ", "6246", " - ", "REPLACEMENTS")</f>
        <v xml:space="preserve">          6246 - REPLACEMENTS</v>
      </c>
      <c r="C116" s="11"/>
      <c r="D116" s="6"/>
      <c r="E116" s="2"/>
      <c r="F116" s="7">
        <f t="shared" si="77"/>
        <v>0</v>
      </c>
      <c r="G116" s="2"/>
      <c r="H116" s="6"/>
      <c r="I116" s="2"/>
      <c r="J116" s="7">
        <f t="shared" si="78"/>
        <v>0</v>
      </c>
      <c r="K116" s="2"/>
      <c r="L116" s="6">
        <f t="shared" si="79"/>
        <v>0</v>
      </c>
      <c r="M116" s="2"/>
      <c r="N116" s="7">
        <f t="shared" si="80"/>
        <v>0</v>
      </c>
      <c r="O116" s="11"/>
      <c r="P116" s="6">
        <v>25.87</v>
      </c>
      <c r="Q116" s="2"/>
      <c r="R116" s="7">
        <f t="shared" si="81"/>
        <v>5.600121838909E-6</v>
      </c>
      <c r="S116" s="2"/>
      <c r="T116" s="6">
        <v>3400</v>
      </c>
      <c r="U116" s="2"/>
      <c r="V116" s="7">
        <f t="shared" si="82"/>
        <v>4.5103809069739243E-4</v>
      </c>
      <c r="W116" s="2"/>
      <c r="X116" s="6">
        <f t="shared" si="83"/>
        <v>-3374.13</v>
      </c>
      <c r="Y116" s="2"/>
      <c r="Z116" s="7">
        <f t="shared" si="84"/>
        <v>-0.99239117647058828</v>
      </c>
    </row>
    <row r="117" spans="1:26" s="24" customFormat="1" hidden="1" outlineLevel="2" x14ac:dyDescent="0.25">
      <c r="A117" s="27"/>
      <c r="B117" s="11" t="str">
        <f>CONCATENATE("          ", "6247", " - ", "STORE SUPPLIES")</f>
        <v xml:space="preserve">          6247 - STORE SUPPLIES</v>
      </c>
      <c r="C117" s="11"/>
      <c r="D117" s="6"/>
      <c r="E117" s="2"/>
      <c r="F117" s="7">
        <f t="shared" si="77"/>
        <v>0</v>
      </c>
      <c r="G117" s="2"/>
      <c r="H117" s="6">
        <v>250</v>
      </c>
      <c r="I117" s="2"/>
      <c r="J117" s="7">
        <f t="shared" si="78"/>
        <v>1.040149781568546E-3</v>
      </c>
      <c r="K117" s="2"/>
      <c r="L117" s="6">
        <f t="shared" si="79"/>
        <v>-250</v>
      </c>
      <c r="M117" s="2"/>
      <c r="N117" s="7">
        <f t="shared" si="80"/>
        <v>-1</v>
      </c>
      <c r="O117" s="11"/>
      <c r="P117" s="6">
        <v>6962.12</v>
      </c>
      <c r="Q117" s="2"/>
      <c r="R117" s="7">
        <f t="shared" si="81"/>
        <v>1.507101672095289E-3</v>
      </c>
      <c r="S117" s="2"/>
      <c r="T117" s="6">
        <v>5451.55</v>
      </c>
      <c r="U117" s="2"/>
      <c r="V117" s="7">
        <f t="shared" si="82"/>
        <v>7.2319314804157933E-4</v>
      </c>
      <c r="W117" s="2"/>
      <c r="X117" s="6">
        <f t="shared" si="83"/>
        <v>1510.5699999999997</v>
      </c>
      <c r="Y117" s="2"/>
      <c r="Z117" s="7">
        <f t="shared" si="84"/>
        <v>0.27709000192605765</v>
      </c>
    </row>
    <row r="118" spans="1:26" s="24" customFormat="1" hidden="1" outlineLevel="2" x14ac:dyDescent="0.25">
      <c r="A118" s="27"/>
      <c r="B118" s="11" t="str">
        <f>CONCATENATE("          ", "6248", " - ", "UNIFORMS")</f>
        <v xml:space="preserve">          6248 - UNIFORMS</v>
      </c>
      <c r="C118" s="11"/>
      <c r="D118" s="6"/>
      <c r="E118" s="2"/>
      <c r="F118" s="7">
        <f t="shared" si="77"/>
        <v>0</v>
      </c>
      <c r="G118" s="2"/>
      <c r="H118" s="6"/>
      <c r="I118" s="2"/>
      <c r="J118" s="7">
        <f t="shared" si="78"/>
        <v>0</v>
      </c>
      <c r="K118" s="2"/>
      <c r="L118" s="6">
        <f t="shared" si="79"/>
        <v>0</v>
      </c>
      <c r="M118" s="2"/>
      <c r="N118" s="7">
        <f t="shared" si="80"/>
        <v>0</v>
      </c>
      <c r="O118" s="11"/>
      <c r="P118" s="6">
        <v>4723.8900000000003</v>
      </c>
      <c r="Q118" s="2"/>
      <c r="R118" s="7">
        <f t="shared" si="81"/>
        <v>1.0225883089912578E-3</v>
      </c>
      <c r="S118" s="2"/>
      <c r="T118" s="6">
        <v>9550</v>
      </c>
      <c r="U118" s="2"/>
      <c r="V118" s="7">
        <f t="shared" si="82"/>
        <v>1.2668864018117935E-3</v>
      </c>
      <c r="W118" s="2"/>
      <c r="X118" s="6">
        <f t="shared" si="83"/>
        <v>-4826.1099999999997</v>
      </c>
      <c r="Y118" s="2"/>
      <c r="Z118" s="7">
        <f t="shared" si="84"/>
        <v>-0.5053518324607329</v>
      </c>
    </row>
    <row r="119" spans="1:26" s="26" customFormat="1" outlineLevel="1" collapsed="1" x14ac:dyDescent="0.25">
      <c r="A119" s="25"/>
      <c r="B119" s="12" t="str">
        <f>CONCATENATE("     ","Telephone/Data Lines                              ")</f>
        <v xml:space="preserve">     Telephone/Data Lines                              </v>
      </c>
      <c r="C119" s="12"/>
      <c r="D119" s="1">
        <f>SUM(OSRRefD22_21x_0)</f>
        <v>358.92</v>
      </c>
      <c r="E119" s="1"/>
      <c r="F119" s="5">
        <f t="shared" ref="F119:F121" si="85">IF(D$12=0,0,D119/D$12)</f>
        <v>0</v>
      </c>
      <c r="G119" s="1"/>
      <c r="H119" s="1">
        <f>SUM(OSRRefH22_21x_0)</f>
        <v>2011</v>
      </c>
      <c r="I119" s="1"/>
      <c r="J119" s="5">
        <f t="shared" ref="J119:J121" si="86">IF(H$12=0,0,H119/H$12)</f>
        <v>8.3669648429373824E-3</v>
      </c>
      <c r="K119" s="1"/>
      <c r="L119" s="1">
        <f t="shared" ref="L119:L121" si="87">+D119-H119</f>
        <v>-1652.08</v>
      </c>
      <c r="M119" s="1"/>
      <c r="N119" s="5">
        <f t="shared" ref="N119:N121" si="88">IF(H119=0,0,L119/H119)</f>
        <v>-0.82152163102933862</v>
      </c>
      <c r="O119" s="12"/>
      <c r="P119" s="1">
        <f>SUM(OSRRefP22_21x_0)</f>
        <v>20968.09</v>
      </c>
      <c r="Q119" s="1"/>
      <c r="R119" s="5">
        <f t="shared" ref="R119:R121" si="89">IF(P$12=0,0,P119/P$12)</f>
        <v>4.5389972450409514E-3</v>
      </c>
      <c r="S119" s="1"/>
      <c r="T119" s="1">
        <f>SUM(OSRRefT22_21x_0)</f>
        <v>23413</v>
      </c>
      <c r="U119" s="1"/>
      <c r="V119" s="5">
        <f t="shared" ref="V119:V121" si="90">IF(T$12=0,0,T119/T$12)</f>
        <v>3.1059278874994265E-3</v>
      </c>
      <c r="W119" s="1"/>
      <c r="X119" s="1">
        <f t="shared" ref="X119:X121" si="91">+P119-T119</f>
        <v>-2444.91</v>
      </c>
      <c r="Y119" s="1"/>
      <c r="Z119" s="5">
        <f t="shared" ref="Z119:Z121" si="92">IF(T119=0,0,X119/T119)</f>
        <v>-0.10442531926707384</v>
      </c>
    </row>
    <row r="120" spans="1:26" s="24" customFormat="1" hidden="1" outlineLevel="2" x14ac:dyDescent="0.25">
      <c r="A120" s="27"/>
      <c r="B120" s="11" t="str">
        <f>CONCATENATE("          ", "6303", " - ", "DATA PHONE LINES")</f>
        <v xml:space="preserve">          6303 - DATA PHONE LINES</v>
      </c>
      <c r="C120" s="11"/>
      <c r="D120" s="6"/>
      <c r="E120" s="2"/>
      <c r="F120" s="7">
        <f t="shared" si="85"/>
        <v>0</v>
      </c>
      <c r="G120" s="2"/>
      <c r="H120" s="6">
        <v>696</v>
      </c>
      <c r="I120" s="2"/>
      <c r="J120" s="7">
        <f t="shared" si="86"/>
        <v>2.8957769918868319E-3</v>
      </c>
      <c r="K120" s="2"/>
      <c r="L120" s="6">
        <f t="shared" si="87"/>
        <v>-696</v>
      </c>
      <c r="M120" s="2"/>
      <c r="N120" s="7">
        <f t="shared" si="88"/>
        <v>-1</v>
      </c>
      <c r="O120" s="11"/>
      <c r="P120" s="6"/>
      <c r="Q120" s="2"/>
      <c r="R120" s="7">
        <f t="shared" si="89"/>
        <v>0</v>
      </c>
      <c r="S120" s="2"/>
      <c r="T120" s="6">
        <v>7558</v>
      </c>
      <c r="U120" s="2"/>
      <c r="V120" s="7">
        <f t="shared" si="90"/>
        <v>1.0026311439679093E-3</v>
      </c>
      <c r="W120" s="2"/>
      <c r="X120" s="6">
        <f t="shared" si="91"/>
        <v>-7558</v>
      </c>
      <c r="Y120" s="2"/>
      <c r="Z120" s="7">
        <f t="shared" si="92"/>
        <v>-1</v>
      </c>
    </row>
    <row r="121" spans="1:26" s="24" customFormat="1" hidden="1" outlineLevel="2" x14ac:dyDescent="0.25">
      <c r="A121" s="27"/>
      <c r="B121" s="11" t="str">
        <f>CONCATENATE("          ", "6309", " - ", "TELEPHONE")</f>
        <v xml:space="preserve">          6309 - TELEPHONE</v>
      </c>
      <c r="C121" s="11"/>
      <c r="D121" s="6">
        <v>358.92</v>
      </c>
      <c r="E121" s="2"/>
      <c r="F121" s="7">
        <f t="shared" si="85"/>
        <v>0</v>
      </c>
      <c r="G121" s="2"/>
      <c r="H121" s="6">
        <v>1315</v>
      </c>
      <c r="I121" s="2"/>
      <c r="J121" s="7">
        <f t="shared" si="86"/>
        <v>5.471187851050551E-3</v>
      </c>
      <c r="K121" s="2"/>
      <c r="L121" s="6">
        <f t="shared" si="87"/>
        <v>-956.07999999999993</v>
      </c>
      <c r="M121" s="2"/>
      <c r="N121" s="7">
        <f t="shared" si="88"/>
        <v>-0.72705703422053225</v>
      </c>
      <c r="O121" s="11"/>
      <c r="P121" s="6">
        <v>20968.09</v>
      </c>
      <c r="Q121" s="2"/>
      <c r="R121" s="7">
        <f t="shared" si="89"/>
        <v>4.5389972450409514E-3</v>
      </c>
      <c r="S121" s="2"/>
      <c r="T121" s="6">
        <v>15855</v>
      </c>
      <c r="U121" s="2"/>
      <c r="V121" s="7">
        <f t="shared" si="90"/>
        <v>2.1032967435315169E-3</v>
      </c>
      <c r="W121" s="2"/>
      <c r="X121" s="6">
        <f t="shared" si="91"/>
        <v>5113.09</v>
      </c>
      <c r="Y121" s="2"/>
      <c r="Z121" s="7">
        <f t="shared" si="92"/>
        <v>0.32249069694102805</v>
      </c>
    </row>
    <row r="122" spans="1:26" s="26" customFormat="1" outlineLevel="1" collapsed="1" x14ac:dyDescent="0.25">
      <c r="A122" s="25"/>
      <c r="B122" s="12" t="str">
        <f>CONCATENATE("     ","Training                                          ")</f>
        <v xml:space="preserve">     Training                                          </v>
      </c>
      <c r="C122" s="12"/>
      <c r="D122" s="1">
        <f>SUM(OSRRefD22_22x_0)</f>
        <v>0</v>
      </c>
      <c r="E122" s="1"/>
      <c r="F122" s="5">
        <f t="shared" ref="F122:F127" si="93">IF(D$12=0,0,D122/D$12)</f>
        <v>0</v>
      </c>
      <c r="G122" s="1"/>
      <c r="H122" s="1">
        <f>SUM(OSRRefH22_22x_0)</f>
        <v>560</v>
      </c>
      <c r="I122" s="1"/>
      <c r="J122" s="5">
        <f t="shared" ref="J122:J127" si="94">IF(H$12=0,0,H122/H$12)</f>
        <v>2.3299355107135426E-3</v>
      </c>
      <c r="K122" s="1"/>
      <c r="L122" s="1">
        <f t="shared" ref="L122:L127" si="95">+D122-H122</f>
        <v>-560</v>
      </c>
      <c r="M122" s="1"/>
      <c r="N122" s="5">
        <f t="shared" ref="N122:N127" si="96">IF(H122=0,0,L122/H122)</f>
        <v>-1</v>
      </c>
      <c r="O122" s="12"/>
      <c r="P122" s="1">
        <f>SUM(OSRRefP22_22x_0)</f>
        <v>2123.0100000000002</v>
      </c>
      <c r="Q122" s="1"/>
      <c r="R122" s="5">
        <f t="shared" ref="R122:R127" si="97">IF(P$12=0,0,P122/P$12)</f>
        <v>4.5957149846239645E-4</v>
      </c>
      <c r="S122" s="1"/>
      <c r="T122" s="1">
        <f>SUM(OSRRefT22_22x_0)</f>
        <v>8900</v>
      </c>
      <c r="U122" s="1"/>
      <c r="V122" s="5">
        <f t="shared" ref="V122:V127" si="98">IF(T$12=0,0,T122/T$12)</f>
        <v>1.1806585315314096E-3</v>
      </c>
      <c r="W122" s="1"/>
      <c r="X122" s="1">
        <f t="shared" ref="X122:X127" si="99">+P122-T122</f>
        <v>-6776.99</v>
      </c>
      <c r="Y122" s="1"/>
      <c r="Z122" s="5">
        <f t="shared" ref="Z122:Z127" si="100">IF(T122=0,0,X122/T122)</f>
        <v>-0.7614595505617977</v>
      </c>
    </row>
    <row r="123" spans="1:26" s="24" customFormat="1" hidden="1" outlineLevel="2" x14ac:dyDescent="0.25">
      <c r="A123" s="27"/>
      <c r="B123" s="11" t="str">
        <f>CONCATENATE("          ", "6376", " - ", "TRAINING")</f>
        <v xml:space="preserve">          6376 - TRAINING</v>
      </c>
      <c r="C123" s="11"/>
      <c r="D123" s="6"/>
      <c r="E123" s="2"/>
      <c r="F123" s="7">
        <f t="shared" si="93"/>
        <v>0</v>
      </c>
      <c r="G123" s="2"/>
      <c r="H123" s="6">
        <v>560</v>
      </c>
      <c r="I123" s="2"/>
      <c r="J123" s="7">
        <f t="shared" si="94"/>
        <v>2.3299355107135426E-3</v>
      </c>
      <c r="K123" s="2"/>
      <c r="L123" s="6">
        <f t="shared" si="95"/>
        <v>-560</v>
      </c>
      <c r="M123" s="2"/>
      <c r="N123" s="7">
        <f t="shared" si="96"/>
        <v>-1</v>
      </c>
      <c r="O123" s="11"/>
      <c r="P123" s="6">
        <v>2123.0100000000002</v>
      </c>
      <c r="Q123" s="2"/>
      <c r="R123" s="7">
        <f t="shared" si="97"/>
        <v>4.5957149846239645E-4</v>
      </c>
      <c r="S123" s="2"/>
      <c r="T123" s="6">
        <v>8900</v>
      </c>
      <c r="U123" s="2"/>
      <c r="V123" s="7">
        <f t="shared" si="98"/>
        <v>1.1806585315314096E-3</v>
      </c>
      <c r="W123" s="2"/>
      <c r="X123" s="6">
        <f t="shared" si="99"/>
        <v>-6776.99</v>
      </c>
      <c r="Y123" s="2"/>
      <c r="Z123" s="7">
        <f t="shared" si="100"/>
        <v>-0.7614595505617977</v>
      </c>
    </row>
    <row r="124" spans="1:26" s="26" customFormat="1" outlineLevel="1" collapsed="1" x14ac:dyDescent="0.25">
      <c r="A124" s="25"/>
      <c r="B124" s="12" t="str">
        <f>CONCATENATE("     ","Travel                                            ")</f>
        <v xml:space="preserve">     Travel                                            </v>
      </c>
      <c r="C124" s="12"/>
      <c r="D124" s="1">
        <f>SUM(OSRRefD22_23x_0)</f>
        <v>0</v>
      </c>
      <c r="E124" s="1"/>
      <c r="F124" s="5">
        <f t="shared" si="93"/>
        <v>0</v>
      </c>
      <c r="G124" s="1"/>
      <c r="H124" s="1">
        <f>SUM(OSRRefH22_23x_0)</f>
        <v>1500</v>
      </c>
      <c r="I124" s="1"/>
      <c r="J124" s="5">
        <f t="shared" si="94"/>
        <v>6.2408986894112754E-3</v>
      </c>
      <c r="K124" s="1"/>
      <c r="L124" s="1">
        <f t="shared" si="95"/>
        <v>-1500</v>
      </c>
      <c r="M124" s="1"/>
      <c r="N124" s="5">
        <f t="shared" si="96"/>
        <v>-1</v>
      </c>
      <c r="O124" s="12"/>
      <c r="P124" s="1">
        <f>SUM(OSRRefP22_23x_0)</f>
        <v>6341.32</v>
      </c>
      <c r="Q124" s="1"/>
      <c r="R124" s="5">
        <f t="shared" si="97"/>
        <v>1.3727160656942566E-3</v>
      </c>
      <c r="S124" s="1"/>
      <c r="T124" s="1">
        <f>SUM(OSRRefT22_23x_0)</f>
        <v>16020</v>
      </c>
      <c r="U124" s="1"/>
      <c r="V124" s="5">
        <f t="shared" si="98"/>
        <v>2.1251853567565374E-3</v>
      </c>
      <c r="W124" s="1"/>
      <c r="X124" s="1">
        <f t="shared" si="99"/>
        <v>-9678.68</v>
      </c>
      <c r="Y124" s="1"/>
      <c r="Z124" s="5">
        <f t="shared" si="100"/>
        <v>-0.60416229712858927</v>
      </c>
    </row>
    <row r="125" spans="1:26" s="24" customFormat="1" hidden="1" outlineLevel="2" x14ac:dyDescent="0.25">
      <c r="A125" s="27"/>
      <c r="B125" s="11" t="str">
        <f>CONCATENATE("          ", "6292", " - ", "TRAVEL/CONFERENCE")</f>
        <v xml:space="preserve">          6292 - TRAVEL/CONFERENCE</v>
      </c>
      <c r="C125" s="11"/>
      <c r="D125" s="6"/>
      <c r="E125" s="2"/>
      <c r="F125" s="7">
        <f t="shared" si="93"/>
        <v>0</v>
      </c>
      <c r="G125" s="2"/>
      <c r="H125" s="6">
        <v>1500</v>
      </c>
      <c r="I125" s="2"/>
      <c r="J125" s="7">
        <f t="shared" si="94"/>
        <v>6.2408986894112754E-3</v>
      </c>
      <c r="K125" s="2"/>
      <c r="L125" s="6">
        <f t="shared" si="95"/>
        <v>-1500</v>
      </c>
      <c r="M125" s="2"/>
      <c r="N125" s="7">
        <f t="shared" si="96"/>
        <v>-1</v>
      </c>
      <c r="O125" s="11"/>
      <c r="P125" s="6">
        <v>4995.68</v>
      </c>
      <c r="Q125" s="2"/>
      <c r="R125" s="7">
        <f t="shared" si="97"/>
        <v>1.0814231414070705E-3</v>
      </c>
      <c r="S125" s="2"/>
      <c r="T125" s="6">
        <v>15900</v>
      </c>
      <c r="U125" s="2"/>
      <c r="V125" s="7">
        <f t="shared" si="98"/>
        <v>2.1092663653201589E-3</v>
      </c>
      <c r="W125" s="2"/>
      <c r="X125" s="6">
        <f t="shared" si="99"/>
        <v>-10904.32</v>
      </c>
      <c r="Y125" s="2"/>
      <c r="Z125" s="7">
        <f t="shared" si="100"/>
        <v>-0.68580628930817611</v>
      </c>
    </row>
    <row r="126" spans="1:26" s="24" customFormat="1" hidden="1" outlineLevel="2" x14ac:dyDescent="0.25">
      <c r="A126" s="27"/>
      <c r="B126" s="11" t="str">
        <f>CONCATENATE("          ", "6294", " - ", "TRAVEL OPERATIONAL")</f>
        <v xml:space="preserve">          6294 - TRAVEL OPERATIONAL</v>
      </c>
      <c r="C126" s="11"/>
      <c r="D126" s="6"/>
      <c r="E126" s="2"/>
      <c r="F126" s="7">
        <f t="shared" si="93"/>
        <v>0</v>
      </c>
      <c r="G126" s="2"/>
      <c r="H126" s="6"/>
      <c r="I126" s="2"/>
      <c r="J126" s="7">
        <f t="shared" si="94"/>
        <v>0</v>
      </c>
      <c r="K126" s="2"/>
      <c r="L126" s="6">
        <f t="shared" si="95"/>
        <v>0</v>
      </c>
      <c r="M126" s="2"/>
      <c r="N126" s="7">
        <f t="shared" si="96"/>
        <v>0</v>
      </c>
      <c r="O126" s="11"/>
      <c r="P126" s="6">
        <v>56.99</v>
      </c>
      <c r="Q126" s="2"/>
      <c r="R126" s="7">
        <f t="shared" si="97"/>
        <v>1.2336719891744256E-5</v>
      </c>
      <c r="S126" s="2"/>
      <c r="T126" s="6">
        <v>120</v>
      </c>
      <c r="U126" s="2"/>
      <c r="V126" s="7">
        <f t="shared" si="98"/>
        <v>1.5918991436378557E-5</v>
      </c>
      <c r="W126" s="2"/>
      <c r="X126" s="6">
        <f t="shared" si="99"/>
        <v>-63.01</v>
      </c>
      <c r="Y126" s="2"/>
      <c r="Z126" s="7">
        <f t="shared" si="100"/>
        <v>-0.52508333333333335</v>
      </c>
    </row>
    <row r="127" spans="1:26" s="24" customFormat="1" hidden="1" outlineLevel="2" x14ac:dyDescent="0.25">
      <c r="A127" s="27"/>
      <c r="B127" s="11" t="str">
        <f>CONCATENATE("          ", "6298", " - ", "VEHICLE MILEAGE")</f>
        <v xml:space="preserve">          6298 - VEHICLE MILEAGE</v>
      </c>
      <c r="C127" s="11"/>
      <c r="D127" s="6"/>
      <c r="E127" s="2"/>
      <c r="F127" s="7">
        <f t="shared" si="93"/>
        <v>0</v>
      </c>
      <c r="G127" s="2"/>
      <c r="H127" s="6">
        <v>0</v>
      </c>
      <c r="I127" s="2"/>
      <c r="J127" s="7">
        <f t="shared" si="94"/>
        <v>0</v>
      </c>
      <c r="K127" s="2"/>
      <c r="L127" s="6">
        <f t="shared" si="95"/>
        <v>0</v>
      </c>
      <c r="M127" s="2"/>
      <c r="N127" s="7">
        <f t="shared" si="96"/>
        <v>0</v>
      </c>
      <c r="O127" s="11"/>
      <c r="P127" s="6">
        <v>1288.6500000000001</v>
      </c>
      <c r="Q127" s="2"/>
      <c r="R127" s="7">
        <f t="shared" si="97"/>
        <v>2.7895620439544194E-4</v>
      </c>
      <c r="S127" s="2"/>
      <c r="T127" s="6">
        <v>0</v>
      </c>
      <c r="U127" s="2"/>
      <c r="V127" s="7">
        <f t="shared" si="98"/>
        <v>0</v>
      </c>
      <c r="W127" s="2"/>
      <c r="X127" s="6">
        <f t="shared" si="99"/>
        <v>1288.6500000000001</v>
      </c>
      <c r="Y127" s="2"/>
      <c r="Z127" s="7">
        <f t="shared" si="100"/>
        <v>0</v>
      </c>
    </row>
    <row r="128" spans="1:26" s="26" customFormat="1" outlineLevel="1" collapsed="1" x14ac:dyDescent="0.25">
      <c r="A128" s="25"/>
      <c r="B128" s="12" t="str">
        <f>CONCATENATE("     ","Utilities                                         ")</f>
        <v xml:space="preserve">     Utilities                                         </v>
      </c>
      <c r="C128" s="12"/>
      <c r="D128" s="1">
        <f>SUM(OSRRefD22_24x_0)</f>
        <v>15583</v>
      </c>
      <c r="E128" s="1"/>
      <c r="F128" s="5">
        <f t="shared" ref="F128:F129" si="101">IF(D$12=0,0,D128/D$12)</f>
        <v>0</v>
      </c>
      <c r="G128" s="1"/>
      <c r="H128" s="1">
        <f>SUM(OSRRefH22_24x_0)</f>
        <v>17450</v>
      </c>
      <c r="I128" s="1"/>
      <c r="J128" s="5">
        <f t="shared" ref="J128:J129" si="102">IF(H$12=0,0,H128/H$12)</f>
        <v>7.2602454753484508E-2</v>
      </c>
      <c r="K128" s="1"/>
      <c r="L128" s="1">
        <f t="shared" ref="L128:L129" si="103">+D128-H128</f>
        <v>-1867</v>
      </c>
      <c r="M128" s="1"/>
      <c r="N128" s="5">
        <f t="shared" ref="N128:N129" si="104">IF(H128=0,0,L128/H128)</f>
        <v>-0.10699140401146132</v>
      </c>
      <c r="O128" s="12"/>
      <c r="P128" s="1">
        <f>SUM(OSRRefP22_24x_0)</f>
        <v>190385</v>
      </c>
      <c r="Q128" s="1"/>
      <c r="R128" s="5">
        <f t="shared" ref="R128:R129" si="105">IF(P$12=0,0,P128/P$12)</f>
        <v>4.1212956950161958E-2</v>
      </c>
      <c r="S128" s="1"/>
      <c r="T128" s="1">
        <f>SUM(OSRRefT22_24x_0)</f>
        <v>229400</v>
      </c>
      <c r="U128" s="1"/>
      <c r="V128" s="5">
        <f t="shared" ref="V128:V129" si="106">IF(T$12=0,0,T128/T$12)</f>
        <v>3.0431805295877006E-2</v>
      </c>
      <c r="W128" s="1"/>
      <c r="X128" s="1">
        <f t="shared" ref="X128:X129" si="107">+P128-T128</f>
        <v>-39015</v>
      </c>
      <c r="Y128" s="1"/>
      <c r="Z128" s="5">
        <f t="shared" ref="Z128:Z129" si="108">IF(T128=0,0,X128/T128)</f>
        <v>-0.17007410636442893</v>
      </c>
    </row>
    <row r="129" spans="1:26" s="24" customFormat="1" hidden="1" outlineLevel="2" x14ac:dyDescent="0.25">
      <c r="A129" s="27"/>
      <c r="B129" s="11" t="str">
        <f>CONCATENATE("          ", "6274", " - ", "UTILITIES")</f>
        <v xml:space="preserve">          6274 - UTILITIES</v>
      </c>
      <c r="C129" s="11"/>
      <c r="D129" s="6">
        <v>15583</v>
      </c>
      <c r="E129" s="2"/>
      <c r="F129" s="7">
        <f t="shared" si="101"/>
        <v>0</v>
      </c>
      <c r="G129" s="2"/>
      <c r="H129" s="6">
        <v>17450</v>
      </c>
      <c r="I129" s="2"/>
      <c r="J129" s="7">
        <f t="shared" si="102"/>
        <v>7.2602454753484508E-2</v>
      </c>
      <c r="K129" s="2"/>
      <c r="L129" s="6">
        <f t="shared" si="103"/>
        <v>-1867</v>
      </c>
      <c r="M129" s="2"/>
      <c r="N129" s="7">
        <f t="shared" si="104"/>
        <v>-0.10699140401146132</v>
      </c>
      <c r="O129" s="11"/>
      <c r="P129" s="6">
        <v>190385</v>
      </c>
      <c r="Q129" s="2"/>
      <c r="R129" s="7">
        <f t="shared" si="105"/>
        <v>4.1212956950161958E-2</v>
      </c>
      <c r="S129" s="2"/>
      <c r="T129" s="6">
        <v>229400</v>
      </c>
      <c r="U129" s="2"/>
      <c r="V129" s="7">
        <f t="shared" si="106"/>
        <v>3.0431805295877006E-2</v>
      </c>
      <c r="W129" s="2"/>
      <c r="X129" s="6">
        <f t="shared" si="107"/>
        <v>-39015</v>
      </c>
      <c r="Y129" s="2"/>
      <c r="Z129" s="7">
        <f t="shared" si="108"/>
        <v>-0.17007410636442893</v>
      </c>
    </row>
    <row r="130" spans="1:26" s="60" customFormat="1" x14ac:dyDescent="0.25">
      <c r="A130" s="36"/>
      <c r="B130" s="36"/>
      <c r="C130" s="36"/>
      <c r="D130" s="1"/>
      <c r="E130" s="1"/>
      <c r="F130" s="5"/>
      <c r="G130" s="1"/>
      <c r="H130" s="1"/>
      <c r="I130" s="1"/>
      <c r="J130" s="5"/>
      <c r="K130" s="1"/>
      <c r="L130" s="1"/>
      <c r="M130" s="1"/>
      <c r="N130" s="5"/>
      <c r="O130" s="36"/>
      <c r="P130" s="1"/>
      <c r="Q130" s="1"/>
      <c r="R130" s="5"/>
      <c r="S130" s="1"/>
      <c r="T130" s="1"/>
      <c r="U130" s="1"/>
      <c r="V130" s="5"/>
      <c r="W130" s="1"/>
      <c r="X130" s="1"/>
      <c r="Y130" s="1"/>
      <c r="Z130" s="5"/>
    </row>
    <row r="131" spans="1:26" s="23" customFormat="1" collapsed="1" x14ac:dyDescent="0.25">
      <c r="A131" s="10"/>
      <c r="B131" s="28" t="s">
        <v>0</v>
      </c>
      <c r="C131" s="10"/>
      <c r="D131" s="4">
        <f>SUM(OSRRefD25x_0)</f>
        <v>43261.639999999992</v>
      </c>
      <c r="E131" s="4"/>
      <c r="F131" s="13">
        <f t="shared" ref="F131:F135" si="109">IF(D$12=0,0,D131/D$12)</f>
        <v>0</v>
      </c>
      <c r="G131" s="4"/>
      <c r="H131" s="4">
        <f>SUM(OSRRefH25x_0)</f>
        <v>27800</v>
      </c>
      <c r="I131" s="4"/>
      <c r="J131" s="13">
        <f t="shared" ref="J131:J135" si="110">IF(H$12=0,0,H131/H$12)</f>
        <v>0.1156646557104223</v>
      </c>
      <c r="K131" s="4"/>
      <c r="L131" s="4">
        <f t="shared" ref="L131:L135" si="111">+D131-H131</f>
        <v>15461.639999999992</v>
      </c>
      <c r="M131" s="4"/>
      <c r="N131" s="13">
        <f t="shared" ref="N131:N135" si="112">IF(H131=0,0,L131/H131)</f>
        <v>0.55617410071942419</v>
      </c>
      <c r="O131" s="10"/>
      <c r="P131" s="4">
        <f>SUM(OSRRefP25x_0)</f>
        <v>730460.52</v>
      </c>
      <c r="Q131" s="4"/>
      <c r="R131" s="13">
        <f t="shared" ref="R131:R135" si="113">IF(P$12=0,0,P131/P$12)</f>
        <v>0.15812400117946751</v>
      </c>
      <c r="S131" s="4"/>
      <c r="T131" s="4">
        <f>SUM(OSRRefT25x_0)</f>
        <v>735151</v>
      </c>
      <c r="U131" s="4"/>
      <c r="V131" s="13">
        <f t="shared" ref="V131:V135" si="114">IF(T$12=0,0,T131/T$12)</f>
        <v>9.7523853945376104E-2</v>
      </c>
      <c r="W131" s="4"/>
      <c r="X131" s="4">
        <f t="shared" ref="X131:X135" si="115">+P131-T131</f>
        <v>-4690.4799999999814</v>
      </c>
      <c r="Y131" s="4"/>
      <c r="Z131" s="13">
        <f t="shared" ref="Z131:Z135" si="116">IF(T131=0,0,X131/T131)</f>
        <v>-6.3802946605527044E-3</v>
      </c>
    </row>
    <row r="132" spans="1:26" s="24" customFormat="1" hidden="1" outlineLevel="1" x14ac:dyDescent="0.25">
      <c r="A132" s="44"/>
      <c r="B132" s="11" t="str">
        <f>CONCATENATE("          ", "9150", " - ", "MISC. INCOME")</f>
        <v xml:space="preserve">          9150 - MISC. INCOME</v>
      </c>
      <c r="C132" s="11"/>
      <c r="D132" s="2">
        <f>--16951.85</f>
        <v>16951.849999999999</v>
      </c>
      <c r="E132" s="2"/>
      <c r="F132" s="19">
        <f t="shared" si="109"/>
        <v>0</v>
      </c>
      <c r="G132" s="2"/>
      <c r="H132" s="2">
        <v>22141</v>
      </c>
      <c r="I132" s="2"/>
      <c r="J132" s="19">
        <f t="shared" si="110"/>
        <v>9.2119825254836696E-2</v>
      </c>
      <c r="K132" s="2"/>
      <c r="L132" s="2">
        <f t="shared" si="111"/>
        <v>-5189.1500000000015</v>
      </c>
      <c r="M132" s="2"/>
      <c r="N132" s="19">
        <f t="shared" si="112"/>
        <v>-0.23436836637911573</v>
      </c>
      <c r="O132" s="11"/>
      <c r="P132" s="2">
        <f>--330936.39</f>
        <v>330936.39</v>
      </c>
      <c r="Q132" s="2"/>
      <c r="R132" s="19">
        <f t="shared" si="113"/>
        <v>7.1638349630023426E-2</v>
      </c>
      <c r="S132" s="2"/>
      <c r="T132" s="2">
        <v>405596</v>
      </c>
      <c r="U132" s="2"/>
      <c r="V132" s="19">
        <f t="shared" si="114"/>
        <v>5.3805660421911643E-2</v>
      </c>
      <c r="W132" s="2"/>
      <c r="X132" s="2">
        <f t="shared" si="115"/>
        <v>-74659.609999999986</v>
      </c>
      <c r="Y132" s="2"/>
      <c r="Z132" s="19">
        <f t="shared" si="116"/>
        <v>-0.18407383208907382</v>
      </c>
    </row>
    <row r="133" spans="1:26" s="24" customFormat="1" hidden="1" outlineLevel="1" x14ac:dyDescent="0.25">
      <c r="A133" s="44"/>
      <c r="B133" s="11" t="str">
        <f>CONCATENATE("          ", "9151", " - ", "MISC. INCOME")</f>
        <v xml:space="preserve">          9151 - MISC. INCOME</v>
      </c>
      <c r="C133" s="11"/>
      <c r="D133" s="2">
        <f>0</f>
        <v>0</v>
      </c>
      <c r="E133" s="2"/>
      <c r="F133" s="19">
        <f t="shared" si="109"/>
        <v>0</v>
      </c>
      <c r="G133" s="2"/>
      <c r="H133" s="2">
        <v>5659</v>
      </c>
      <c r="I133" s="2"/>
      <c r="J133" s="19">
        <f t="shared" si="110"/>
        <v>2.3544830455585603E-2</v>
      </c>
      <c r="K133" s="2"/>
      <c r="L133" s="2">
        <f t="shared" si="111"/>
        <v>-5659</v>
      </c>
      <c r="M133" s="2"/>
      <c r="N133" s="19">
        <f t="shared" si="112"/>
        <v>-1</v>
      </c>
      <c r="O133" s="11"/>
      <c r="P133" s="2">
        <f>0</f>
        <v>0</v>
      </c>
      <c r="Q133" s="2"/>
      <c r="R133" s="19">
        <f t="shared" si="113"/>
        <v>0</v>
      </c>
      <c r="S133" s="2"/>
      <c r="T133" s="2">
        <v>329555</v>
      </c>
      <c r="U133" s="2"/>
      <c r="V133" s="19">
        <f t="shared" si="114"/>
        <v>4.3718193523464462E-2</v>
      </c>
      <c r="W133" s="2"/>
      <c r="X133" s="2">
        <f t="shared" si="115"/>
        <v>-329555</v>
      </c>
      <c r="Y133" s="2"/>
      <c r="Z133" s="19">
        <f t="shared" si="116"/>
        <v>-1</v>
      </c>
    </row>
    <row r="134" spans="1:26" s="24" customFormat="1" hidden="1" outlineLevel="1" x14ac:dyDescent="0.25">
      <c r="A134" s="44"/>
      <c r="B134" s="11" t="str">
        <f>CONCATENATE("          ", "9160", " - ", "MISC. INCOME")</f>
        <v xml:space="preserve">          9160 - MISC. INCOME</v>
      </c>
      <c r="C134" s="11"/>
      <c r="D134" s="2">
        <f>--25000.02</f>
        <v>25000.02</v>
      </c>
      <c r="E134" s="2"/>
      <c r="F134" s="19">
        <f t="shared" si="109"/>
        <v>0</v>
      </c>
      <c r="G134" s="2"/>
      <c r="H134" s="2"/>
      <c r="I134" s="2"/>
      <c r="J134" s="19">
        <f t="shared" si="110"/>
        <v>0</v>
      </c>
      <c r="K134" s="2"/>
      <c r="L134" s="2">
        <f t="shared" si="111"/>
        <v>25000.02</v>
      </c>
      <c r="M134" s="2"/>
      <c r="N134" s="19">
        <f t="shared" si="112"/>
        <v>0</v>
      </c>
      <c r="O134" s="11"/>
      <c r="P134" s="2">
        <f>--155089.34</f>
        <v>155089.34</v>
      </c>
      <c r="Q134" s="2"/>
      <c r="R134" s="19">
        <f t="shared" si="113"/>
        <v>3.3572446846385121E-2</v>
      </c>
      <c r="S134" s="2"/>
      <c r="T134" s="2"/>
      <c r="U134" s="2"/>
      <c r="V134" s="19">
        <f t="shared" si="114"/>
        <v>0</v>
      </c>
      <c r="W134" s="2"/>
      <c r="X134" s="2">
        <f t="shared" si="115"/>
        <v>155089.34</v>
      </c>
      <c r="Y134" s="2"/>
      <c r="Z134" s="19">
        <f t="shared" si="116"/>
        <v>0</v>
      </c>
    </row>
    <row r="135" spans="1:26" s="24" customFormat="1" hidden="1" outlineLevel="1" x14ac:dyDescent="0.25">
      <c r="A135" s="44"/>
      <c r="B135" s="11" t="str">
        <f>CONCATENATE("          ", "9165", " - ", "OTHER INCOME")</f>
        <v xml:space="preserve">          9165 - OTHER INCOME</v>
      </c>
      <c r="C135" s="11"/>
      <c r="D135" s="2">
        <f>--1309.77</f>
        <v>1309.77</v>
      </c>
      <c r="E135" s="2"/>
      <c r="F135" s="19">
        <f t="shared" si="109"/>
        <v>0</v>
      </c>
      <c r="G135" s="2"/>
      <c r="H135" s="2"/>
      <c r="I135" s="2"/>
      <c r="J135" s="19">
        <f t="shared" si="110"/>
        <v>0</v>
      </c>
      <c r="K135" s="2"/>
      <c r="L135" s="2">
        <f t="shared" si="111"/>
        <v>1309.77</v>
      </c>
      <c r="M135" s="2"/>
      <c r="N135" s="19">
        <f t="shared" si="112"/>
        <v>0</v>
      </c>
      <c r="O135" s="11"/>
      <c r="P135" s="2">
        <f>--244434.79</f>
        <v>244434.79</v>
      </c>
      <c r="Q135" s="2"/>
      <c r="R135" s="19">
        <f t="shared" si="113"/>
        <v>5.2913204703058957E-2</v>
      </c>
      <c r="S135" s="2"/>
      <c r="T135" s="2"/>
      <c r="U135" s="2"/>
      <c r="V135" s="19">
        <f t="shared" si="114"/>
        <v>0</v>
      </c>
      <c r="W135" s="2"/>
      <c r="X135" s="2">
        <f t="shared" si="115"/>
        <v>244434.79</v>
      </c>
      <c r="Y135" s="2"/>
      <c r="Z135" s="19">
        <f t="shared" si="116"/>
        <v>0</v>
      </c>
    </row>
    <row r="136" spans="1:26" x14ac:dyDescent="0.25">
      <c r="A136" s="9"/>
      <c r="B136" s="10"/>
      <c r="C136" s="10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0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x14ac:dyDescent="0.25">
      <c r="A137" s="10"/>
      <c r="B137" s="29" t="s">
        <v>3</v>
      </c>
      <c r="C137" s="29"/>
      <c r="D137" s="22">
        <f>+D31-D33+D131</f>
        <v>-136257.60000000001</v>
      </c>
      <c r="E137" s="14"/>
      <c r="F137" s="20">
        <f>IF(D$12=0,0,D137/D$12)</f>
        <v>0</v>
      </c>
      <c r="G137" s="14"/>
      <c r="H137" s="22">
        <f>+H31-H33+H131</f>
        <v>-152929.23322066158</v>
      </c>
      <c r="I137" s="14"/>
      <c r="J137" s="20">
        <f>IF(H$12=0,0,H137/H$12)</f>
        <v>-0.63627723411966541</v>
      </c>
      <c r="K137" s="15"/>
      <c r="L137" s="22">
        <f>+D137-H137</f>
        <v>16671.633220661577</v>
      </c>
      <c r="M137" s="15"/>
      <c r="N137" s="20">
        <f>IF(H137=0,0,L137/H137)</f>
        <v>-0.10901534565733471</v>
      </c>
      <c r="O137" s="28"/>
      <c r="P137" s="22">
        <f>+P31-P33+P131</f>
        <v>-1169411.0400000005</v>
      </c>
      <c r="Q137" s="14"/>
      <c r="R137" s="20">
        <f>IF(P$12=0,0,P137/P$12)</f>
        <v>-0.25314434881195552</v>
      </c>
      <c r="S137" s="14"/>
      <c r="T137" s="22">
        <f>+T31-T33+T131</f>
        <v>287006.41892222594</v>
      </c>
      <c r="U137" s="14"/>
      <c r="V137" s="20">
        <f>IF(T$12=0,0,T137/T$12)</f>
        <v>3.8073772708404931E-2</v>
      </c>
      <c r="W137" s="15"/>
      <c r="X137" s="22">
        <f>+P137-T137</f>
        <v>-1456417.4589222264</v>
      </c>
      <c r="Y137" s="15"/>
      <c r="Z137" s="20">
        <f>IF(T137=0,0,X137/T137)</f>
        <v>-5.0745117979988166</v>
      </c>
    </row>
    <row r="138" spans="1:26" x14ac:dyDescent="0.25">
      <c r="A138" s="9"/>
      <c r="B138" s="10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52"/>
      <c r="B139" s="10" t="s">
        <v>14</v>
      </c>
      <c r="C139" s="10"/>
      <c r="D139" s="4">
        <v>152528.87</v>
      </c>
      <c r="E139" s="4"/>
      <c r="F139" s="13">
        <f>IF(D$12=0,0,D139/D$12)</f>
        <v>0</v>
      </c>
      <c r="G139" s="4"/>
      <c r="H139" s="4">
        <v>129945</v>
      </c>
      <c r="I139" s="4"/>
      <c r="J139" s="13">
        <f>IF(H$12=0,0,H139/H$12)</f>
        <v>0.54064905346369874</v>
      </c>
      <c r="K139" s="4"/>
      <c r="L139" s="4">
        <f>+D139-H139</f>
        <v>22583.869999999995</v>
      </c>
      <c r="M139" s="4"/>
      <c r="N139" s="13">
        <f>IF(H139=0,0,L139/H139)</f>
        <v>0.17379560583323711</v>
      </c>
      <c r="O139" s="10"/>
      <c r="P139" s="4">
        <v>699577.73</v>
      </c>
      <c r="Q139" s="4"/>
      <c r="R139" s="13">
        <f>IF(P$12=0,0,P139/P$12)</f>
        <v>0.15143875236905233</v>
      </c>
      <c r="S139" s="4"/>
      <c r="T139" s="4">
        <v>975220.00000000012</v>
      </c>
      <c r="U139" s="4"/>
      <c r="V139" s="13">
        <f>IF(T$12=0,0,T139/T$12)</f>
        <v>0.12937099023820914</v>
      </c>
      <c r="W139" s="4"/>
      <c r="X139" s="4">
        <f>+P139-T139</f>
        <v>-275642.27000000014</v>
      </c>
      <c r="Y139" s="4"/>
      <c r="Z139" s="13">
        <f>IF(T139=0,0,X139/T139)</f>
        <v>-0.28264624392444793</v>
      </c>
    </row>
    <row r="140" spans="1:26" x14ac:dyDescent="0.25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9" t="s">
        <v>4</v>
      </c>
      <c r="C141" s="29"/>
      <c r="D141" s="31">
        <f>+D137-D139</f>
        <v>-288786.46999999997</v>
      </c>
      <c r="E141" s="14"/>
      <c r="F141" s="33">
        <f>IF(D$12=0,0,D141/D$12)</f>
        <v>0</v>
      </c>
      <c r="G141" s="14"/>
      <c r="H141" s="31">
        <f>+H137-H139</f>
        <v>-282874.23322066158</v>
      </c>
      <c r="I141" s="14"/>
      <c r="J141" s="33">
        <f>IF(H$12=0,0,H141/H$12)</f>
        <v>-1.1769262875833642</v>
      </c>
      <c r="K141" s="15"/>
      <c r="L141" s="31">
        <f>D141-H141</f>
        <v>-5912.2367793383892</v>
      </c>
      <c r="M141" s="15"/>
      <c r="N141" s="33">
        <f>IF(H141=0,0,L141/H141)</f>
        <v>2.0900584376401767E-2</v>
      </c>
      <c r="O141" s="28"/>
      <c r="P141" s="31">
        <f>+P137-P139</f>
        <v>-1868988.7700000005</v>
      </c>
      <c r="Q141" s="14"/>
      <c r="R141" s="33">
        <f>IF(P$12=0,0,P141/P$12)</f>
        <v>-0.40458310118100782</v>
      </c>
      <c r="S141" s="14"/>
      <c r="T141" s="31">
        <f>+T137-T139</f>
        <v>-688213.58107777417</v>
      </c>
      <c r="U141" s="14"/>
      <c r="V141" s="33">
        <f>IF(T$12=0,0,T141/T$12)</f>
        <v>-9.1297217529804228E-2</v>
      </c>
      <c r="W141" s="15"/>
      <c r="X141" s="31">
        <f>P141-T141</f>
        <v>-1180775.1889222264</v>
      </c>
      <c r="Y141" s="15"/>
      <c r="Z141" s="33">
        <f>IF(T141=0,0,X141/T141)</f>
        <v>1.7157103861174581</v>
      </c>
    </row>
    <row r="142" spans="1:26" ht="15.75" thickTop="1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x14ac:dyDescent="0.25">
      <c r="A143" s="9"/>
      <c r="B143" s="9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ht="15.75" thickBot="1" x14ac:dyDescent="0.3">
      <c r="A144" s="10"/>
      <c r="B144" s="29" t="s">
        <v>5</v>
      </c>
      <c r="C144" s="29"/>
      <c r="D144" s="34">
        <f>SUM(D141:D143)</f>
        <v>-288786.46999999997</v>
      </c>
      <c r="E144" s="14"/>
      <c r="F144" s="35">
        <f>IF(D$12=0,0,D144/D$12)</f>
        <v>0</v>
      </c>
      <c r="G144" s="14"/>
      <c r="H144" s="34">
        <f>SUM(H141:H143)</f>
        <v>-282874.23322066158</v>
      </c>
      <c r="I144" s="14"/>
      <c r="J144" s="35">
        <f>IF(H$12=0,0,H144/H$12)</f>
        <v>-1.1769262875833642</v>
      </c>
      <c r="K144" s="15"/>
      <c r="L144" s="34">
        <f>+D144-H144</f>
        <v>-5912.2367793383892</v>
      </c>
      <c r="M144" s="15"/>
      <c r="N144" s="35">
        <f>IF(H144=0,0,L144/H144)</f>
        <v>2.0900584376401767E-2</v>
      </c>
      <c r="O144" s="28"/>
      <c r="P144" s="34">
        <f>SUM(P141:P143)</f>
        <v>-1868988.7700000005</v>
      </c>
      <c r="Q144" s="14"/>
      <c r="R144" s="35">
        <f>IF(P$12=0,0,P144/P$12)</f>
        <v>-0.40458310118100782</v>
      </c>
      <c r="S144" s="14"/>
      <c r="T144" s="34">
        <f>SUM(T141:T143)</f>
        <v>-688213.58107777417</v>
      </c>
      <c r="U144" s="14"/>
      <c r="V144" s="35">
        <f>IF(T$12=0,0,T144/T$12)</f>
        <v>-9.1297217529804228E-2</v>
      </c>
      <c r="W144" s="15"/>
      <c r="X144" s="34">
        <f>+P144-T144</f>
        <v>-1180775.1889222264</v>
      </c>
      <c r="Y144" s="15"/>
      <c r="Z144" s="35">
        <f>IF(T144=0,0,X144/T144)</f>
        <v>1.7157103861174581</v>
      </c>
    </row>
    <row r="145" spans="1:24" ht="15.75" thickTop="1" x14ac:dyDescent="0.25">
      <c r="A145" s="9"/>
      <c r="C145" s="9"/>
      <c r="D145" s="17"/>
      <c r="E145" s="17"/>
      <c r="G145" s="17"/>
      <c r="H145" s="17"/>
      <c r="I145" s="17"/>
      <c r="J145" s="43"/>
      <c r="K145" s="17"/>
      <c r="L145" s="17"/>
      <c r="M145" s="17"/>
      <c r="P145" s="17"/>
      <c r="Q145" s="17"/>
      <c r="R145" s="43"/>
      <c r="S145" s="17"/>
      <c r="T145" s="17"/>
      <c r="U145" s="17"/>
      <c r="V145" s="43"/>
      <c r="W145" s="17"/>
      <c r="X145" s="17"/>
    </row>
    <row r="146" spans="1:24" x14ac:dyDescent="0.25">
      <c r="A146" s="9"/>
      <c r="B146" s="55">
        <v>44043.473058449075</v>
      </c>
      <c r="D146" s="17"/>
      <c r="E146" s="17"/>
      <c r="G146" s="17"/>
      <c r="H146" s="17"/>
      <c r="I146" s="17"/>
      <c r="J146" s="43"/>
      <c r="K146" s="17"/>
      <c r="L146" s="17"/>
      <c r="M146" s="17"/>
      <c r="P146" s="17"/>
      <c r="Q146" s="17"/>
      <c r="R146" s="43"/>
      <c r="S146" s="17"/>
      <c r="T146" s="17"/>
      <c r="U146" s="17"/>
      <c r="V146" s="43"/>
      <c r="W146" s="17"/>
      <c r="X146" s="17"/>
    </row>
    <row r="147" spans="1:24" x14ac:dyDescent="0.25">
      <c r="A147" s="9"/>
      <c r="B147" s="62" t="s">
        <v>314</v>
      </c>
      <c r="D147" s="17"/>
      <c r="E147" s="17"/>
      <c r="G147" s="17"/>
      <c r="H147" s="17"/>
      <c r="I147" s="17"/>
      <c r="J147" s="43"/>
      <c r="K147" s="17"/>
      <c r="L147" s="17"/>
      <c r="M147" s="17"/>
      <c r="P147" s="17"/>
      <c r="Q147" s="17"/>
      <c r="R147" s="43"/>
      <c r="S147" s="17"/>
      <c r="T147" s="17"/>
      <c r="U147" s="17"/>
      <c r="V147" s="43"/>
      <c r="W147" s="17"/>
      <c r="X147" s="17"/>
    </row>
    <row r="148" spans="1:24" x14ac:dyDescent="0.25">
      <c r="A148" s="9"/>
      <c r="B148" s="63"/>
      <c r="D148" s="17"/>
      <c r="E148" s="17"/>
      <c r="G148" s="17"/>
      <c r="H148" s="17"/>
      <c r="I148" s="17"/>
      <c r="J148" s="43"/>
      <c r="K148" s="17"/>
      <c r="L148" s="17"/>
      <c r="M148" s="17"/>
      <c r="P148" s="17"/>
      <c r="Q148" s="17"/>
      <c r="R148" s="43"/>
      <c r="S148" s="17"/>
      <c r="T148" s="17"/>
      <c r="U148" s="17"/>
      <c r="V148" s="43"/>
      <c r="W148" s="17"/>
      <c r="X148" s="17"/>
    </row>
    <row r="149" spans="1:24" x14ac:dyDescent="0.25">
      <c r="D149" s="17"/>
      <c r="E149" s="17"/>
      <c r="G149" s="17"/>
      <c r="H149" s="17"/>
      <c r="I149" s="17"/>
      <c r="J149" s="43"/>
      <c r="K149" s="17"/>
      <c r="L149" s="17"/>
      <c r="M149" s="17"/>
      <c r="P149" s="17"/>
      <c r="Q149" s="17"/>
      <c r="R149" s="43"/>
      <c r="S149" s="17"/>
      <c r="T149" s="17"/>
      <c r="U149" s="17"/>
      <c r="V149" s="43"/>
      <c r="W149" s="17"/>
      <c r="X149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","405", " - ", "Library Starbucks")</f>
        <v>Department 405 - Library Starbucks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22000</v>
      </c>
      <c r="I12" s="4"/>
      <c r="J12" s="13"/>
      <c r="K12" s="4"/>
      <c r="L12" s="4">
        <f t="shared" ref="L12:L15" si="0">+D12-H12</f>
        <v>-22000</v>
      </c>
      <c r="M12" s="4"/>
      <c r="N12" s="13">
        <f t="shared" ref="N12:N15" si="1">IF(H12=0,0,L12/H12)</f>
        <v>-1</v>
      </c>
      <c r="O12" s="10"/>
      <c r="P12" s="4">
        <f>SUM(OSRRefP13x_0)</f>
        <v>721341.64</v>
      </c>
      <c r="Q12" s="4"/>
      <c r="R12" s="13"/>
      <c r="S12" s="4"/>
      <c r="T12" s="4">
        <f>SUM(OSRRefT13x_0)</f>
        <v>1168300</v>
      </c>
      <c r="U12" s="4"/>
      <c r="V12" s="13"/>
      <c r="W12" s="4"/>
      <c r="X12" s="4">
        <f t="shared" ref="X12:X15" si="2">+P12-T12</f>
        <v>-446958.36</v>
      </c>
      <c r="Y12" s="4"/>
      <c r="Z12" s="13">
        <f t="shared" ref="Z12:Z15" si="3">IF(T12=0,0,X12/T12)</f>
        <v>-0.38257156552255411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22000</v>
      </c>
      <c r="I13" s="2"/>
      <c r="J13" s="19"/>
      <c r="K13" s="2"/>
      <c r="L13" s="2">
        <f t="shared" si="0"/>
        <v>-22000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1168300</v>
      </c>
      <c r="U13" s="2"/>
      <c r="V13" s="19"/>
      <c r="W13" s="2"/>
      <c r="X13" s="2">
        <f t="shared" si="2"/>
        <v>-1168300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--149614.63</f>
        <v>149614.63</v>
      </c>
      <c r="Q14" s="2"/>
      <c r="R14" s="19"/>
      <c r="S14" s="2"/>
      <c r="T14" s="2"/>
      <c r="U14" s="2"/>
      <c r="V14" s="19"/>
      <c r="W14" s="2"/>
      <c r="X14" s="2">
        <f t="shared" si="2"/>
        <v>149614.63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--571727.01</f>
        <v>571727.01</v>
      </c>
      <c r="Q15" s="2"/>
      <c r="R15" s="19"/>
      <c r="S15" s="2"/>
      <c r="T15" s="2"/>
      <c r="U15" s="2"/>
      <c r="V15" s="19"/>
      <c r="W15" s="2"/>
      <c r="X15" s="2">
        <f t="shared" si="2"/>
        <v>571727.01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8120</v>
      </c>
      <c r="E17" s="4"/>
      <c r="F17" s="13">
        <f t="shared" ref="F17:F20" si="5">IF(D$12=0,0,D17/D$12)</f>
        <v>0</v>
      </c>
      <c r="G17" s="4"/>
      <c r="H17" s="4">
        <f>SUM(OSRRefH16x_0)</f>
        <v>7040</v>
      </c>
      <c r="I17" s="4"/>
      <c r="J17" s="13">
        <f t="shared" ref="J17:J20" si="6">IF(H$12=0,0,H17/H$12)</f>
        <v>0.32</v>
      </c>
      <c r="K17" s="4"/>
      <c r="L17" s="4">
        <f t="shared" ref="L17:L20" si="7">+D17-H17</f>
        <v>1080</v>
      </c>
      <c r="M17" s="4"/>
      <c r="N17" s="13">
        <f t="shared" ref="N17:N20" si="8">IF(H17=0,0,L17/H17)</f>
        <v>0.15340909090909091</v>
      </c>
      <c r="O17" s="10"/>
      <c r="P17" s="4">
        <f>SUM(OSRRefP16x_0)</f>
        <v>302808.14</v>
      </c>
      <c r="Q17" s="4"/>
      <c r="R17" s="13">
        <f t="shared" ref="R17:R20" si="9">IF(P$12=0,0,P17/P$12)</f>
        <v>0.41978463907892521</v>
      </c>
      <c r="S17" s="4"/>
      <c r="T17" s="4">
        <f>SUM(OSRRefT16x_0)</f>
        <v>373856</v>
      </c>
      <c r="U17" s="4"/>
      <c r="V17" s="13">
        <f t="shared" ref="V17:V20" si="10">IF(T$12=0,0,T17/T$12)</f>
        <v>0.32</v>
      </c>
      <c r="W17" s="4"/>
      <c r="X17" s="4">
        <f t="shared" ref="X17:X20" si="11">+P17-T17</f>
        <v>-71047.859999999986</v>
      </c>
      <c r="Y17" s="4"/>
      <c r="Z17" s="13">
        <f t="shared" ref="Z17:Z20" si="12">IF(T17=0,0,X17/T17)</f>
        <v>-0.19004071086193611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7040</v>
      </c>
      <c r="I18" s="2"/>
      <c r="J18" s="19">
        <f t="shared" si="6"/>
        <v>0.32</v>
      </c>
      <c r="K18" s="2"/>
      <c r="L18" s="2">
        <f t="shared" si="7"/>
        <v>-7040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373856</v>
      </c>
      <c r="U18" s="2"/>
      <c r="V18" s="19">
        <f t="shared" si="10"/>
        <v>0.32</v>
      </c>
      <c r="W18" s="2"/>
      <c r="X18" s="2">
        <f t="shared" si="11"/>
        <v>-373856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288904.14</v>
      </c>
      <c r="Q19" s="2"/>
      <c r="R19" s="19">
        <f t="shared" si="9"/>
        <v>0.40050944515001241</v>
      </c>
      <c r="S19" s="2"/>
      <c r="T19" s="2"/>
      <c r="U19" s="2"/>
      <c r="V19" s="19">
        <f t="shared" si="10"/>
        <v>0</v>
      </c>
      <c r="W19" s="2"/>
      <c r="X19" s="2">
        <f t="shared" si="11"/>
        <v>288904.14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8120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8120</v>
      </c>
      <c r="M20" s="2"/>
      <c r="N20" s="19">
        <f t="shared" si="8"/>
        <v>0</v>
      </c>
      <c r="O20" s="11"/>
      <c r="P20" s="2">
        <v>13904</v>
      </c>
      <c r="Q20" s="2"/>
      <c r="R20" s="19">
        <f t="shared" si="9"/>
        <v>1.9275193928912797E-2</v>
      </c>
      <c r="S20" s="2"/>
      <c r="T20" s="2"/>
      <c r="U20" s="2"/>
      <c r="V20" s="19">
        <f t="shared" si="10"/>
        <v>0</v>
      </c>
      <c r="W20" s="2"/>
      <c r="X20" s="2">
        <f t="shared" si="11"/>
        <v>13904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-8120</v>
      </c>
      <c r="E22" s="14"/>
      <c r="F22" s="20">
        <f>IF(D$12=0,0,D22/D$12)</f>
        <v>0</v>
      </c>
      <c r="G22" s="14"/>
      <c r="H22" s="22">
        <f>H12-H17</f>
        <v>14960</v>
      </c>
      <c r="I22" s="14"/>
      <c r="J22" s="20">
        <f>IF(H$12=0,0,H22/H$12)</f>
        <v>0.68</v>
      </c>
      <c r="K22" s="15"/>
      <c r="L22" s="22">
        <f>+D22-H22</f>
        <v>-23080</v>
      </c>
      <c r="M22" s="15"/>
      <c r="N22" s="20">
        <f>IF(H22=0,0,L22/H22)</f>
        <v>-1.5427807486631016</v>
      </c>
      <c r="O22" s="28"/>
      <c r="P22" s="22">
        <f>P12-P17</f>
        <v>418533.5</v>
      </c>
      <c r="Q22" s="14"/>
      <c r="R22" s="20">
        <f>IF(P$12=0,0,P22/P$12)</f>
        <v>0.58021536092107473</v>
      </c>
      <c r="S22" s="14"/>
      <c r="T22" s="22">
        <f>T12-T17</f>
        <v>794444</v>
      </c>
      <c r="U22" s="14"/>
      <c r="V22" s="20">
        <f>IF(T$12=0,0,T22/T$12)</f>
        <v>0.68</v>
      </c>
      <c r="W22" s="15"/>
      <c r="X22" s="22">
        <f>+P22-T22</f>
        <v>-375910.5</v>
      </c>
      <c r="Y22" s="15"/>
      <c r="Z22" s="20">
        <f>IF(T22=0,0,X22/T22)</f>
        <v>-0.47317432065696263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8809.9399999999987</v>
      </c>
      <c r="E24" s="21"/>
      <c r="F24" s="32">
        <f t="shared" ref="F24:F34" si="13">IF(D$12=0,0,D24/D$12)</f>
        <v>0</v>
      </c>
      <c r="G24" s="21"/>
      <c r="H24" s="21">
        <f>SUM(OSRRefH22x_0)</f>
        <v>29773.505908000006</v>
      </c>
      <c r="I24" s="21"/>
      <c r="J24" s="32">
        <f t="shared" ref="J24:J34" si="14">IF(H$12=0,0,H24/H$12)</f>
        <v>1.353341177636364</v>
      </c>
      <c r="K24" s="4"/>
      <c r="L24" s="21">
        <f t="shared" ref="L24:L34" si="15">+D24-H24</f>
        <v>-20963.565908000008</v>
      </c>
      <c r="M24" s="4"/>
      <c r="N24" s="32">
        <f t="shared" ref="N24:N34" si="16">IF(H24=0,0,L24/H24)</f>
        <v>-0.70410135684985597</v>
      </c>
      <c r="O24" s="10"/>
      <c r="P24" s="21">
        <f>SUM(OSRRefP22x_0)</f>
        <v>534594.79999999993</v>
      </c>
      <c r="Q24" s="21"/>
      <c r="R24" s="32">
        <f t="shared" ref="R24:R34" si="17">IF(P$12=0,0,P24/P$12)</f>
        <v>0.74111179828742446</v>
      </c>
      <c r="S24" s="21"/>
      <c r="T24" s="21">
        <f>SUM(OSRRefT22x_0)</f>
        <v>642497.99357040005</v>
      </c>
      <c r="U24" s="21"/>
      <c r="V24" s="32">
        <f t="shared" ref="V24:V34" si="18">IF(T$12=0,0,T24/T$12)</f>
        <v>0.54994264621278788</v>
      </c>
      <c r="W24" s="4"/>
      <c r="X24" s="21">
        <f t="shared" ref="X24:X34" si="19">+P24-T24</f>
        <v>-107903.19357040012</v>
      </c>
      <c r="Y24" s="4"/>
      <c r="Z24" s="32">
        <f t="shared" ref="Z24:Z34" si="20">IF(T24=0,0,X24/T24)</f>
        <v>-0.16794323818939197</v>
      </c>
    </row>
    <row r="25" spans="1:26" s="26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-699.48</v>
      </c>
      <c r="E25" s="1"/>
      <c r="F25" s="5">
        <f t="shared" si="13"/>
        <v>0</v>
      </c>
      <c r="G25" s="1"/>
      <c r="H25" s="1">
        <f>SUM(OSRRefH22_0x_0)</f>
        <v>4298.4752618461544</v>
      </c>
      <c r="I25" s="1"/>
      <c r="J25" s="5">
        <f t="shared" si="14"/>
        <v>0.1953852391748252</v>
      </c>
      <c r="K25" s="1"/>
      <c r="L25" s="1">
        <f t="shared" si="15"/>
        <v>-4997.9552618461548</v>
      </c>
      <c r="M25" s="1"/>
      <c r="N25" s="5">
        <f t="shared" si="16"/>
        <v>-1.1627274690187657</v>
      </c>
      <c r="O25" s="12"/>
      <c r="P25" s="1">
        <f>SUM(OSRRefP22_0x_0)</f>
        <v>43327.49</v>
      </c>
      <c r="Q25" s="1"/>
      <c r="R25" s="5">
        <f t="shared" si="17"/>
        <v>6.0065144721161527E-2</v>
      </c>
      <c r="S25" s="1"/>
      <c r="T25" s="1">
        <f>SUM(OSRRefT22_0x_0)</f>
        <v>87873.107170400035</v>
      </c>
      <c r="U25" s="1"/>
      <c r="V25" s="5">
        <f t="shared" si="18"/>
        <v>7.5214505837884138E-2</v>
      </c>
      <c r="W25" s="1"/>
      <c r="X25" s="1">
        <f t="shared" si="19"/>
        <v>-44545.617170400037</v>
      </c>
      <c r="Y25" s="1"/>
      <c r="Z25" s="5">
        <f t="shared" si="20"/>
        <v>-0.5069311716042878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3"/>
        <v>0</v>
      </c>
      <c r="G26" s="2"/>
      <c r="H26" s="6">
        <v>969.63980953846215</v>
      </c>
      <c r="I26" s="2"/>
      <c r="J26" s="7">
        <f t="shared" si="14"/>
        <v>4.4074536797202822E-2</v>
      </c>
      <c r="K26" s="2"/>
      <c r="L26" s="6">
        <f t="shared" si="15"/>
        <v>-969.63980953846215</v>
      </c>
      <c r="M26" s="2"/>
      <c r="N26" s="7">
        <f t="shared" si="16"/>
        <v>-1</v>
      </c>
      <c r="O26" s="11"/>
      <c r="P26" s="6">
        <v>9200.35</v>
      </c>
      <c r="Q26" s="2"/>
      <c r="R26" s="7">
        <f t="shared" si="17"/>
        <v>1.2754497300336079E-2</v>
      </c>
      <c r="S26" s="2"/>
      <c r="T26" s="6">
        <v>11102.684647200002</v>
      </c>
      <c r="U26" s="2"/>
      <c r="V26" s="7">
        <f t="shared" si="18"/>
        <v>9.5032822453137052E-3</v>
      </c>
      <c r="W26" s="2"/>
      <c r="X26" s="6">
        <f t="shared" si="19"/>
        <v>-1902.3346472000012</v>
      </c>
      <c r="Y26" s="2"/>
      <c r="Z26" s="7">
        <f t="shared" si="20"/>
        <v>-0.17134005942245267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3"/>
        <v>0</v>
      </c>
      <c r="G27" s="2"/>
      <c r="H27" s="6">
        <v>491.59838769230799</v>
      </c>
      <c r="I27" s="2"/>
      <c r="J27" s="7">
        <f t="shared" si="14"/>
        <v>2.2345381258741272E-2</v>
      </c>
      <c r="K27" s="2"/>
      <c r="L27" s="6">
        <f t="shared" si="15"/>
        <v>-491.59838769230799</v>
      </c>
      <c r="M27" s="2"/>
      <c r="N27" s="7">
        <f t="shared" si="16"/>
        <v>-1</v>
      </c>
      <c r="O27" s="11"/>
      <c r="P27" s="6">
        <v>8884.57</v>
      </c>
      <c r="Q27" s="2"/>
      <c r="R27" s="7">
        <f t="shared" si="17"/>
        <v>1.2316729698288316E-2</v>
      </c>
      <c r="S27" s="2"/>
      <c r="T27" s="6">
        <v>12271.403574400007</v>
      </c>
      <c r="U27" s="2"/>
      <c r="V27" s="7">
        <f t="shared" si="18"/>
        <v>1.0503640823761026E-2</v>
      </c>
      <c r="W27" s="2"/>
      <c r="X27" s="6">
        <f t="shared" si="19"/>
        <v>-3386.8335744000069</v>
      </c>
      <c r="Y27" s="2"/>
      <c r="Z27" s="7">
        <f t="shared" si="20"/>
        <v>-0.2759939850291821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3"/>
        <v>0</v>
      </c>
      <c r="G28" s="2"/>
      <c r="H28" s="6">
        <v>1326</v>
      </c>
      <c r="I28" s="2"/>
      <c r="J28" s="7">
        <f t="shared" si="14"/>
        <v>6.0272727272727269E-2</v>
      </c>
      <c r="K28" s="2"/>
      <c r="L28" s="6">
        <f t="shared" si="15"/>
        <v>-1326</v>
      </c>
      <c r="M28" s="2"/>
      <c r="N28" s="7">
        <f t="shared" si="16"/>
        <v>-1</v>
      </c>
      <c r="O28" s="11"/>
      <c r="P28" s="6">
        <v>12146.21</v>
      </c>
      <c r="Q28" s="2"/>
      <c r="R28" s="7">
        <f t="shared" si="17"/>
        <v>1.6838359698741361E-2</v>
      </c>
      <c r="S28" s="2"/>
      <c r="T28" s="6">
        <v>15912</v>
      </c>
      <c r="U28" s="2"/>
      <c r="V28" s="7">
        <f t="shared" si="18"/>
        <v>1.361978943764444E-2</v>
      </c>
      <c r="W28" s="2"/>
      <c r="X28" s="6">
        <f t="shared" si="19"/>
        <v>-3765.7900000000009</v>
      </c>
      <c r="Y28" s="2"/>
      <c r="Z28" s="7">
        <f t="shared" si="20"/>
        <v>-0.23666352438411267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-699.48</v>
      </c>
      <c r="E29" s="2"/>
      <c r="F29" s="7">
        <f t="shared" si="13"/>
        <v>0</v>
      </c>
      <c r="G29" s="2"/>
      <c r="H29" s="6">
        <v>32.942160000000001</v>
      </c>
      <c r="I29" s="2"/>
      <c r="J29" s="7">
        <f t="shared" si="14"/>
        <v>1.4973709090909091E-3</v>
      </c>
      <c r="K29" s="2"/>
      <c r="L29" s="6">
        <f t="shared" si="15"/>
        <v>-732.42216000000008</v>
      </c>
      <c r="M29" s="2"/>
      <c r="N29" s="7">
        <f t="shared" si="16"/>
        <v>-22.233580311673553</v>
      </c>
      <c r="O29" s="11"/>
      <c r="P29" s="6">
        <v>0</v>
      </c>
      <c r="Q29" s="2"/>
      <c r="R29" s="7">
        <f t="shared" si="17"/>
        <v>0</v>
      </c>
      <c r="S29" s="2"/>
      <c r="T29" s="6">
        <v>822.31054879999999</v>
      </c>
      <c r="U29" s="2"/>
      <c r="V29" s="7">
        <f t="shared" si="18"/>
        <v>7.0385222014893438E-4</v>
      </c>
      <c r="W29" s="2"/>
      <c r="X29" s="6">
        <f t="shared" si="19"/>
        <v>-822.31054879999999</v>
      </c>
      <c r="Y29" s="2"/>
      <c r="Z29" s="7">
        <f t="shared" si="20"/>
        <v>-1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3"/>
        <v>0</v>
      </c>
      <c r="G30" s="2"/>
      <c r="H30" s="6">
        <v>814.17761230769202</v>
      </c>
      <c r="I30" s="2"/>
      <c r="J30" s="7">
        <f t="shared" si="14"/>
        <v>3.7008073286713274E-2</v>
      </c>
      <c r="K30" s="2"/>
      <c r="L30" s="6">
        <f t="shared" si="15"/>
        <v>-814.17761230769202</v>
      </c>
      <c r="M30" s="2"/>
      <c r="N30" s="7">
        <f t="shared" si="16"/>
        <v>-1</v>
      </c>
      <c r="O30" s="11"/>
      <c r="P30" s="6">
        <v>6335.08</v>
      </c>
      <c r="Q30" s="2"/>
      <c r="R30" s="7">
        <f t="shared" si="17"/>
        <v>8.7823572752572555E-3</v>
      </c>
      <c r="S30" s="2"/>
      <c r="T30" s="6">
        <v>10584.308960000017</v>
      </c>
      <c r="U30" s="2"/>
      <c r="V30" s="7">
        <f t="shared" si="18"/>
        <v>9.0595814088847183E-3</v>
      </c>
      <c r="W30" s="2"/>
      <c r="X30" s="6">
        <f t="shared" si="19"/>
        <v>-4249.2289600000167</v>
      </c>
      <c r="Y30" s="2"/>
      <c r="Z30" s="7">
        <f t="shared" si="20"/>
        <v>-0.40146493985187015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24000</v>
      </c>
      <c r="U31" s="2"/>
      <c r="V31" s="7">
        <f t="shared" si="18"/>
        <v>2.0542668835059487E-2</v>
      </c>
      <c r="W31" s="2"/>
      <c r="X31" s="6">
        <f t="shared" si="19"/>
        <v>-24000</v>
      </c>
      <c r="Y31" s="2"/>
      <c r="Z31" s="7">
        <f t="shared" si="20"/>
        <v>-1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3"/>
        <v>0</v>
      </c>
      <c r="G32" s="2"/>
      <c r="H32" s="6">
        <v>284.01544615384603</v>
      </c>
      <c r="I32" s="2"/>
      <c r="J32" s="7">
        <f t="shared" si="14"/>
        <v>1.2909793006993001E-2</v>
      </c>
      <c r="K32" s="2"/>
      <c r="L32" s="6">
        <f t="shared" si="15"/>
        <v>-284.01544615384603</v>
      </c>
      <c r="M32" s="2"/>
      <c r="N32" s="7">
        <f t="shared" si="16"/>
        <v>-1</v>
      </c>
      <c r="O32" s="11"/>
      <c r="P32" s="6">
        <v>3696.18</v>
      </c>
      <c r="Q32" s="2"/>
      <c r="R32" s="7">
        <f t="shared" si="17"/>
        <v>5.1240352629580623E-3</v>
      </c>
      <c r="S32" s="2"/>
      <c r="T32" s="6">
        <v>3692.2008000000001</v>
      </c>
      <c r="U32" s="2"/>
      <c r="V32" s="7">
        <f t="shared" si="18"/>
        <v>3.1603190961225712E-3</v>
      </c>
      <c r="W32" s="2"/>
      <c r="X32" s="6">
        <f t="shared" si="19"/>
        <v>3.9791999999997643</v>
      </c>
      <c r="Y32" s="2"/>
      <c r="Z32" s="7">
        <f t="shared" si="20"/>
        <v>1.0777312003181854E-3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3"/>
        <v>0</v>
      </c>
      <c r="G33" s="2"/>
      <c r="H33" s="6">
        <v>380.101846153846</v>
      </c>
      <c r="I33" s="2"/>
      <c r="J33" s="7">
        <f t="shared" si="14"/>
        <v>1.7277356643356636E-2</v>
      </c>
      <c r="K33" s="2"/>
      <c r="L33" s="6">
        <f t="shared" si="15"/>
        <v>-380.101846153846</v>
      </c>
      <c r="M33" s="2"/>
      <c r="N33" s="7">
        <f t="shared" si="16"/>
        <v>-1</v>
      </c>
      <c r="O33" s="11"/>
      <c r="P33" s="6">
        <v>508.77</v>
      </c>
      <c r="Q33" s="2"/>
      <c r="R33" s="7">
        <f t="shared" si="17"/>
        <v>7.0531073181911411E-4</v>
      </c>
      <c r="S33" s="2"/>
      <c r="T33" s="6">
        <v>9488.1986400000023</v>
      </c>
      <c r="U33" s="2"/>
      <c r="V33" s="7">
        <f t="shared" si="18"/>
        <v>8.1213717709492442E-3</v>
      </c>
      <c r="W33" s="2"/>
      <c r="X33" s="6">
        <f t="shared" si="19"/>
        <v>-8979.4286400000019</v>
      </c>
      <c r="Y33" s="2"/>
      <c r="Z33" s="7">
        <f t="shared" si="20"/>
        <v>-0.94637865212315997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3"/>
        <v>0</v>
      </c>
      <c r="G34" s="2"/>
      <c r="H34" s="6"/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>
        <v>2556.33</v>
      </c>
      <c r="Q34" s="2"/>
      <c r="R34" s="7">
        <f t="shared" si="17"/>
        <v>3.5438547537613384E-3</v>
      </c>
      <c r="S34" s="2"/>
      <c r="T34" s="6"/>
      <c r="U34" s="2"/>
      <c r="V34" s="7">
        <f t="shared" si="18"/>
        <v>0</v>
      </c>
      <c r="W34" s="2"/>
      <c r="X34" s="6">
        <f t="shared" si="19"/>
        <v>2556.33</v>
      </c>
      <c r="Y34" s="2"/>
      <c r="Z34" s="7">
        <f t="shared" si="20"/>
        <v>0</v>
      </c>
    </row>
    <row r="35" spans="1:26" s="26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12102.030646153849</v>
      </c>
      <c r="I35" s="1"/>
      <c r="J35" s="5">
        <f t="shared" ref="J35:J45" si="22">IF(H$12=0,0,H35/H$12)</f>
        <v>0.55009230209790227</v>
      </c>
      <c r="K35" s="1"/>
      <c r="L35" s="1">
        <f t="shared" ref="L35:L45" si="23">+D35-H35</f>
        <v>-12102.030646153849</v>
      </c>
      <c r="M35" s="1"/>
      <c r="N35" s="5">
        <f t="shared" ref="N35:N45" si="24">IF(H35=0,0,L35/H35)</f>
        <v>-1</v>
      </c>
      <c r="O35" s="12"/>
      <c r="P35" s="1">
        <f>SUM(OSRRefP22_1x_0)</f>
        <v>247791.51</v>
      </c>
      <c r="Q35" s="1"/>
      <c r="R35" s="5">
        <f t="shared" ref="R35:R45" si="25">IF(P$12=0,0,P35/P$12)</f>
        <v>0.34351477338809944</v>
      </c>
      <c r="S35" s="1"/>
      <c r="T35" s="1">
        <f>SUM(OSRRefT22_1x_0)</f>
        <v>308888.88640000002</v>
      </c>
      <c r="U35" s="1"/>
      <c r="V35" s="5">
        <f t="shared" ref="V35:V45" si="26">IF(T$12=0,0,T35/T$12)</f>
        <v>0.26439175417272964</v>
      </c>
      <c r="W35" s="1"/>
      <c r="X35" s="1">
        <f t="shared" ref="X35:X45" si="27">+P35-T35</f>
        <v>-61097.376400000008</v>
      </c>
      <c r="Y35" s="1"/>
      <c r="Z35" s="5">
        <f t="shared" ref="Z35:Z45" si="28">IF(T35=0,0,X35/T35)</f>
        <v>-0.19779726332038083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8899.1506461538502</v>
      </c>
      <c r="I37" s="2"/>
      <c r="J37" s="7">
        <f t="shared" si="22"/>
        <v>0.40450684755244776</v>
      </c>
      <c r="K37" s="2"/>
      <c r="L37" s="6">
        <f t="shared" si="23"/>
        <v>-8899.1506461538502</v>
      </c>
      <c r="M37" s="2"/>
      <c r="N37" s="7">
        <f t="shared" si="24"/>
        <v>-1</v>
      </c>
      <c r="O37" s="11"/>
      <c r="P37" s="6">
        <v>97485.84</v>
      </c>
      <c r="Q37" s="2"/>
      <c r="R37" s="7">
        <f t="shared" si="25"/>
        <v>0.13514517198813034</v>
      </c>
      <c r="S37" s="2"/>
      <c r="T37" s="6">
        <v>115688.9584</v>
      </c>
      <c r="U37" s="2"/>
      <c r="V37" s="7">
        <f t="shared" si="26"/>
        <v>9.9023331678507229E-2</v>
      </c>
      <c r="W37" s="2"/>
      <c r="X37" s="6">
        <f t="shared" si="27"/>
        <v>-18203.118400000007</v>
      </c>
      <c r="Y37" s="2"/>
      <c r="Z37" s="7">
        <f t="shared" si="28"/>
        <v>-0.15734533919012281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45.5</v>
      </c>
      <c r="Q40" s="2"/>
      <c r="R40" s="7">
        <f t="shared" si="25"/>
        <v>6.3076907635610771E-5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45.5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3202.88</v>
      </c>
      <c r="I42" s="2"/>
      <c r="J42" s="7">
        <f t="shared" si="22"/>
        <v>0.14558545454545455</v>
      </c>
      <c r="K42" s="2"/>
      <c r="L42" s="6">
        <f t="shared" si="23"/>
        <v>-3202.88</v>
      </c>
      <c r="M42" s="2"/>
      <c r="N42" s="7">
        <f t="shared" si="24"/>
        <v>-1</v>
      </c>
      <c r="O42" s="11"/>
      <c r="P42" s="6">
        <v>142995.32</v>
      </c>
      <c r="Q42" s="2"/>
      <c r="R42" s="7">
        <f t="shared" si="25"/>
        <v>0.19823522180141992</v>
      </c>
      <c r="S42" s="2"/>
      <c r="T42" s="6">
        <v>22002.880000000001</v>
      </c>
      <c r="U42" s="2"/>
      <c r="V42" s="7">
        <f t="shared" si="26"/>
        <v>1.8833244885731404E-2</v>
      </c>
      <c r="W42" s="2"/>
      <c r="X42" s="6">
        <f t="shared" si="27"/>
        <v>120992.44</v>
      </c>
      <c r="Y42" s="2"/>
      <c r="Z42" s="7">
        <f t="shared" si="28"/>
        <v>5.4989365028578074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7264.85</v>
      </c>
      <c r="Q43" s="2"/>
      <c r="R43" s="7">
        <f t="shared" si="25"/>
        <v>1.007130269091356E-2</v>
      </c>
      <c r="S43" s="2"/>
      <c r="T43" s="6">
        <v>171197.04800000001</v>
      </c>
      <c r="U43" s="2"/>
      <c r="V43" s="7">
        <f t="shared" si="26"/>
        <v>0.14653517760849097</v>
      </c>
      <c r="W43" s="2"/>
      <c r="X43" s="6">
        <f t="shared" si="27"/>
        <v>-163932.198</v>
      </c>
      <c r="Y43" s="2"/>
      <c r="Z43" s="7">
        <f t="shared" si="28"/>
        <v>-0.95756439678796323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6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55" si="29">IF(D$12=0,0,D46/D$12)</f>
        <v>0</v>
      </c>
      <c r="G46" s="1"/>
      <c r="H46" s="1">
        <f>SUM(OSRRefH22_2x_0)</f>
        <v>150</v>
      </c>
      <c r="I46" s="1"/>
      <c r="J46" s="5">
        <f t="shared" ref="J46:J55" si="30">IF(H$12=0,0,H46/H$12)</f>
        <v>6.8181818181818179E-3</v>
      </c>
      <c r="K46" s="1"/>
      <c r="L46" s="1">
        <f t="shared" ref="L46:L55" si="31">+D46-H46</f>
        <v>-150</v>
      </c>
      <c r="M46" s="1"/>
      <c r="N46" s="5">
        <f t="shared" ref="N46:N55" si="32">IF(H46=0,0,L46/H46)</f>
        <v>-1</v>
      </c>
      <c r="O46" s="12"/>
      <c r="P46" s="1">
        <f>SUM(OSRRefP22_2x_0)</f>
        <v>1426.98</v>
      </c>
      <c r="Q46" s="1"/>
      <c r="R46" s="5">
        <f t="shared" ref="R46:R55" si="33">IF(P$12=0,0,P46/P$12)</f>
        <v>1.9782304540189861E-3</v>
      </c>
      <c r="S46" s="1"/>
      <c r="T46" s="1">
        <f>SUM(OSRRefT22_2x_0)</f>
        <v>1800</v>
      </c>
      <c r="U46" s="1"/>
      <c r="V46" s="5">
        <f t="shared" ref="V46:V55" si="34">IF(T$12=0,0,T46/T$12)</f>
        <v>1.5407001626294616E-3</v>
      </c>
      <c r="W46" s="1"/>
      <c r="X46" s="1">
        <f t="shared" ref="X46:X55" si="35">+P46-T46</f>
        <v>-373.02</v>
      </c>
      <c r="Y46" s="1"/>
      <c r="Z46" s="5">
        <f t="shared" ref="Z46:Z55" si="36">IF(T46=0,0,X46/T46)</f>
        <v>-0.20723333333333332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150</v>
      </c>
      <c r="I47" s="2"/>
      <c r="J47" s="7">
        <f t="shared" si="30"/>
        <v>6.8181818181818179E-3</v>
      </c>
      <c r="K47" s="2"/>
      <c r="L47" s="6">
        <f t="shared" si="31"/>
        <v>-150</v>
      </c>
      <c r="M47" s="2"/>
      <c r="N47" s="7">
        <f t="shared" si="32"/>
        <v>-1</v>
      </c>
      <c r="O47" s="11"/>
      <c r="P47" s="6">
        <v>1426.98</v>
      </c>
      <c r="Q47" s="2"/>
      <c r="R47" s="7">
        <f t="shared" si="33"/>
        <v>1.9782304540189861E-3</v>
      </c>
      <c r="S47" s="2"/>
      <c r="T47" s="6">
        <v>1800</v>
      </c>
      <c r="U47" s="2"/>
      <c r="V47" s="7">
        <f t="shared" si="34"/>
        <v>1.5407001626294616E-3</v>
      </c>
      <c r="W47" s="2"/>
      <c r="X47" s="6">
        <f t="shared" si="35"/>
        <v>-373.02</v>
      </c>
      <c r="Y47" s="2"/>
      <c r="Z47" s="7">
        <f t="shared" si="36"/>
        <v>-0.20723333333333332</v>
      </c>
    </row>
    <row r="48" spans="1:26" s="26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20</v>
      </c>
      <c r="I48" s="1"/>
      <c r="J48" s="5">
        <f t="shared" si="30"/>
        <v>9.0909090909090909E-4</v>
      </c>
      <c r="K48" s="1"/>
      <c r="L48" s="1">
        <f t="shared" si="31"/>
        <v>-20</v>
      </c>
      <c r="M48" s="1"/>
      <c r="N48" s="5">
        <f t="shared" si="32"/>
        <v>-1</v>
      </c>
      <c r="O48" s="12"/>
      <c r="P48" s="1">
        <f>SUM(OSRRefP22_3x_0)</f>
        <v>195.92</v>
      </c>
      <c r="Q48" s="1"/>
      <c r="R48" s="5">
        <f t="shared" si="33"/>
        <v>2.7160500536195303E-4</v>
      </c>
      <c r="S48" s="1"/>
      <c r="T48" s="1">
        <f>SUM(OSRRefT22_3x_0)</f>
        <v>240</v>
      </c>
      <c r="U48" s="1"/>
      <c r="V48" s="5">
        <f t="shared" si="34"/>
        <v>2.0542668835059488E-4</v>
      </c>
      <c r="W48" s="1"/>
      <c r="X48" s="1">
        <f t="shared" si="35"/>
        <v>-44.080000000000013</v>
      </c>
      <c r="Y48" s="1"/>
      <c r="Z48" s="5">
        <f t="shared" si="36"/>
        <v>-0.18366666666666673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20</v>
      </c>
      <c r="I49" s="2"/>
      <c r="J49" s="7">
        <f t="shared" si="30"/>
        <v>9.0909090909090909E-4</v>
      </c>
      <c r="K49" s="2"/>
      <c r="L49" s="6">
        <f t="shared" si="31"/>
        <v>-20</v>
      </c>
      <c r="M49" s="2"/>
      <c r="N49" s="7">
        <f t="shared" si="32"/>
        <v>-1</v>
      </c>
      <c r="O49" s="11"/>
      <c r="P49" s="6">
        <v>195.92</v>
      </c>
      <c r="Q49" s="2"/>
      <c r="R49" s="7">
        <f t="shared" si="33"/>
        <v>2.7160500536195303E-4</v>
      </c>
      <c r="S49" s="2"/>
      <c r="T49" s="6">
        <v>240</v>
      </c>
      <c r="U49" s="2"/>
      <c r="V49" s="7">
        <f t="shared" si="34"/>
        <v>2.0542668835059488E-4</v>
      </c>
      <c r="W49" s="2"/>
      <c r="X49" s="6">
        <f t="shared" si="35"/>
        <v>-44.080000000000013</v>
      </c>
      <c r="Y49" s="2"/>
      <c r="Z49" s="7">
        <f t="shared" si="36"/>
        <v>-0.18366666666666673</v>
      </c>
    </row>
    <row r="50" spans="1:26" s="26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2"/>
      <c r="P50" s="1">
        <f>SUM(OSRRefP22_4x_0)</f>
        <v>25022.129999999997</v>
      </c>
      <c r="Q50" s="1"/>
      <c r="R50" s="5">
        <f t="shared" si="33"/>
        <v>3.4688320502335064E-2</v>
      </c>
      <c r="S50" s="1"/>
      <c r="T50" s="1">
        <f>SUM(OSRRefT22_4x_0)</f>
        <v>0</v>
      </c>
      <c r="U50" s="1"/>
      <c r="V50" s="5">
        <f t="shared" si="34"/>
        <v>0</v>
      </c>
      <c r="W50" s="1"/>
      <c r="X50" s="1">
        <f t="shared" si="35"/>
        <v>25022.129999999997</v>
      </c>
      <c r="Y50" s="1"/>
      <c r="Z50" s="5">
        <f t="shared" si="36"/>
        <v>0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25022.129999999997</v>
      </c>
      <c r="Q51" s="2"/>
      <c r="R51" s="7">
        <f t="shared" si="33"/>
        <v>3.4688320502335064E-2</v>
      </c>
      <c r="S51" s="2"/>
      <c r="T51" s="6"/>
      <c r="U51" s="2"/>
      <c r="V51" s="7">
        <f t="shared" si="34"/>
        <v>0</v>
      </c>
      <c r="W51" s="2"/>
      <c r="X51" s="6">
        <f t="shared" si="35"/>
        <v>25022.129999999997</v>
      </c>
      <c r="Y51" s="2"/>
      <c r="Z51" s="7">
        <f t="shared" si="36"/>
        <v>0</v>
      </c>
    </row>
    <row r="52" spans="1:26" s="26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5330.02</v>
      </c>
      <c r="E52" s="1"/>
      <c r="F52" s="5">
        <f t="shared" si="29"/>
        <v>0</v>
      </c>
      <c r="G52" s="1"/>
      <c r="H52" s="1">
        <f>SUM(OSRRefH22_5x_0)</f>
        <v>6318</v>
      </c>
      <c r="I52" s="1"/>
      <c r="J52" s="5">
        <f t="shared" si="30"/>
        <v>0.2871818181818182</v>
      </c>
      <c r="K52" s="1"/>
      <c r="L52" s="1">
        <f t="shared" si="31"/>
        <v>-987.97999999999956</v>
      </c>
      <c r="M52" s="1"/>
      <c r="N52" s="5">
        <f t="shared" si="32"/>
        <v>-0.1563754352643241</v>
      </c>
      <c r="O52" s="12"/>
      <c r="P52" s="1">
        <f>SUM(OSRRefP22_5x_0)</f>
        <v>66609.78</v>
      </c>
      <c r="Q52" s="1"/>
      <c r="R52" s="5">
        <f t="shared" si="33"/>
        <v>9.2341515179963821E-2</v>
      </c>
      <c r="S52" s="1"/>
      <c r="T52" s="1">
        <f>SUM(OSRRefT22_5x_0)</f>
        <v>74482</v>
      </c>
      <c r="U52" s="1"/>
      <c r="V52" s="5">
        <f t="shared" si="34"/>
        <v>6.3752460840537539E-2</v>
      </c>
      <c r="W52" s="1"/>
      <c r="X52" s="1">
        <f t="shared" si="35"/>
        <v>-7872.2200000000012</v>
      </c>
      <c r="Y52" s="1"/>
      <c r="Z52" s="5">
        <f t="shared" si="36"/>
        <v>-0.10569291909454635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4626.5</v>
      </c>
      <c r="E53" s="2"/>
      <c r="F53" s="7">
        <f t="shared" si="29"/>
        <v>0</v>
      </c>
      <c r="G53" s="2"/>
      <c r="H53" s="6">
        <v>5165</v>
      </c>
      <c r="I53" s="2"/>
      <c r="J53" s="7">
        <f t="shared" si="30"/>
        <v>0.23477272727272727</v>
      </c>
      <c r="K53" s="2"/>
      <c r="L53" s="6">
        <f t="shared" si="31"/>
        <v>-538.5</v>
      </c>
      <c r="M53" s="2"/>
      <c r="N53" s="7">
        <f t="shared" si="32"/>
        <v>-0.1042594385285576</v>
      </c>
      <c r="O53" s="11"/>
      <c r="P53" s="6">
        <v>55518</v>
      </c>
      <c r="Q53" s="2"/>
      <c r="R53" s="7">
        <f t="shared" si="33"/>
        <v>7.6964917760743712E-2</v>
      </c>
      <c r="S53" s="2"/>
      <c r="T53" s="6">
        <v>61980</v>
      </c>
      <c r="U53" s="2"/>
      <c r="V53" s="7">
        <f t="shared" si="34"/>
        <v>5.3051442266541127E-2</v>
      </c>
      <c r="W53" s="2"/>
      <c r="X53" s="6">
        <f t="shared" si="35"/>
        <v>-6462</v>
      </c>
      <c r="Y53" s="2"/>
      <c r="Z53" s="7">
        <f t="shared" si="36"/>
        <v>-0.1042594385285576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703.52</v>
      </c>
      <c r="E54" s="2"/>
      <c r="F54" s="7">
        <f t="shared" si="29"/>
        <v>0</v>
      </c>
      <c r="G54" s="2"/>
      <c r="H54" s="6">
        <v>486</v>
      </c>
      <c r="I54" s="2"/>
      <c r="J54" s="7">
        <f t="shared" si="30"/>
        <v>2.2090909090909092E-2</v>
      </c>
      <c r="K54" s="2"/>
      <c r="L54" s="6">
        <f t="shared" si="31"/>
        <v>217.51999999999998</v>
      </c>
      <c r="M54" s="2"/>
      <c r="N54" s="7">
        <f t="shared" si="32"/>
        <v>0.44757201646090533</v>
      </c>
      <c r="O54" s="11"/>
      <c r="P54" s="6">
        <v>11091.78</v>
      </c>
      <c r="Q54" s="2"/>
      <c r="R54" s="7">
        <f t="shared" si="33"/>
        <v>1.5376597419220109E-2</v>
      </c>
      <c r="S54" s="2"/>
      <c r="T54" s="6">
        <v>5832</v>
      </c>
      <c r="U54" s="2"/>
      <c r="V54" s="7">
        <f t="shared" si="34"/>
        <v>4.991868526919456E-3</v>
      </c>
      <c r="W54" s="2"/>
      <c r="X54" s="6">
        <f t="shared" si="35"/>
        <v>5259.7800000000007</v>
      </c>
      <c r="Y54" s="2"/>
      <c r="Z54" s="7">
        <f t="shared" si="36"/>
        <v>0.90188271604938286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667</v>
      </c>
      <c r="I55" s="2"/>
      <c r="J55" s="7">
        <f t="shared" si="30"/>
        <v>3.0318181818181817E-2</v>
      </c>
      <c r="K55" s="2"/>
      <c r="L55" s="6">
        <f t="shared" si="31"/>
        <v>-667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6670</v>
      </c>
      <c r="U55" s="2"/>
      <c r="V55" s="7">
        <f t="shared" si="34"/>
        <v>5.7091500470769496E-3</v>
      </c>
      <c r="W55" s="2"/>
      <c r="X55" s="6">
        <f t="shared" si="35"/>
        <v>-6670</v>
      </c>
      <c r="Y55" s="2"/>
      <c r="Z55" s="7">
        <f t="shared" si="36"/>
        <v>-1</v>
      </c>
    </row>
    <row r="56" spans="1:26" s="26" customFormat="1" outlineLevel="1" collapsed="1" x14ac:dyDescent="0.25">
      <c r="A56" s="25"/>
      <c r="B56" s="12" t="str">
        <f>CONCATENATE("     ","Donations                                         ")</f>
        <v xml:space="preserve">     Donations                                         </v>
      </c>
      <c r="C56" s="12"/>
      <c r="D56" s="1">
        <f>SUM(OSRRefD22_6x_0)</f>
        <v>0</v>
      </c>
      <c r="E56" s="1"/>
      <c r="F56" s="5">
        <f t="shared" ref="F56:F69" si="37">IF(D$12=0,0,D56/D$12)</f>
        <v>0</v>
      </c>
      <c r="G56" s="1"/>
      <c r="H56" s="1">
        <f>SUM(OSRRefH22_6x_0)</f>
        <v>0</v>
      </c>
      <c r="I56" s="1"/>
      <c r="J56" s="5">
        <f t="shared" ref="J56:J69" si="38">IF(H$12=0,0,H56/H$12)</f>
        <v>0</v>
      </c>
      <c r="K56" s="1"/>
      <c r="L56" s="1">
        <f t="shared" ref="L56:L69" si="39">+D56-H56</f>
        <v>0</v>
      </c>
      <c r="M56" s="1"/>
      <c r="N56" s="5">
        <f t="shared" ref="N56:N69" si="40">IF(H56=0,0,L56/H56)</f>
        <v>0</v>
      </c>
      <c r="O56" s="12"/>
      <c r="P56" s="1">
        <f>SUM(OSRRefP22_6x_0)</f>
        <v>0</v>
      </c>
      <c r="Q56" s="1"/>
      <c r="R56" s="5">
        <f t="shared" ref="R56:R69" si="41">IF(P$12=0,0,P56/P$12)</f>
        <v>0</v>
      </c>
      <c r="S56" s="1"/>
      <c r="T56" s="1">
        <f>SUM(OSRRefT22_6x_0)</f>
        <v>2000</v>
      </c>
      <c r="U56" s="1"/>
      <c r="V56" s="5">
        <f t="shared" ref="V56:V69" si="42">IF(T$12=0,0,T56/T$12)</f>
        <v>1.7118890695882907E-3</v>
      </c>
      <c r="W56" s="1"/>
      <c r="X56" s="1">
        <f t="shared" ref="X56:X69" si="43">+P56-T56</f>
        <v>-2000</v>
      </c>
      <c r="Y56" s="1"/>
      <c r="Z56" s="5">
        <f t="shared" ref="Z56:Z69" si="44">IF(T56=0,0,X56/T56)</f>
        <v>-1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37"/>
        <v>0</v>
      </c>
      <c r="G57" s="2"/>
      <c r="H57" s="6"/>
      <c r="I57" s="2"/>
      <c r="J57" s="7">
        <f t="shared" si="38"/>
        <v>0</v>
      </c>
      <c r="K57" s="2"/>
      <c r="L57" s="6">
        <f t="shared" si="39"/>
        <v>0</v>
      </c>
      <c r="M57" s="2"/>
      <c r="N57" s="7">
        <f t="shared" si="40"/>
        <v>0</v>
      </c>
      <c r="O57" s="11"/>
      <c r="P57" s="6"/>
      <c r="Q57" s="2"/>
      <c r="R57" s="7">
        <f t="shared" si="41"/>
        <v>0</v>
      </c>
      <c r="S57" s="2"/>
      <c r="T57" s="6">
        <v>2000</v>
      </c>
      <c r="U57" s="2"/>
      <c r="V57" s="7">
        <f t="shared" si="42"/>
        <v>1.7118890695882907E-3</v>
      </c>
      <c r="W57" s="2"/>
      <c r="X57" s="6">
        <f t="shared" si="43"/>
        <v>-2000</v>
      </c>
      <c r="Y57" s="2"/>
      <c r="Z57" s="7">
        <f t="shared" si="44"/>
        <v>-1</v>
      </c>
    </row>
    <row r="58" spans="1:26" s="26" customFormat="1" outlineLevel="1" collapsed="1" x14ac:dyDescent="0.25">
      <c r="A58" s="25"/>
      <c r="B58" s="12" t="str">
        <f>CONCATENATE("     ","Employees' Appreciation                           ")</f>
        <v xml:space="preserve">     Employees' Appreciation                           </v>
      </c>
      <c r="C58" s="12"/>
      <c r="D58" s="1">
        <f>SUM(OSRRefD22_7x_0)</f>
        <v>0</v>
      </c>
      <c r="E58" s="1"/>
      <c r="F58" s="5">
        <f t="shared" si="37"/>
        <v>0</v>
      </c>
      <c r="G58" s="1"/>
      <c r="H58" s="1">
        <f>SUM(OSRRefH22_7x_0)</f>
        <v>50</v>
      </c>
      <c r="I58" s="1"/>
      <c r="J58" s="5">
        <f t="shared" si="38"/>
        <v>2.2727272727272726E-3</v>
      </c>
      <c r="K58" s="1"/>
      <c r="L58" s="1">
        <f t="shared" si="39"/>
        <v>-50</v>
      </c>
      <c r="M58" s="1"/>
      <c r="N58" s="5">
        <f t="shared" si="40"/>
        <v>-1</v>
      </c>
      <c r="O58" s="12"/>
      <c r="P58" s="1">
        <f>SUM(OSRRefP22_7x_0)</f>
        <v>186.48</v>
      </c>
      <c r="Q58" s="1"/>
      <c r="R58" s="5">
        <f t="shared" si="41"/>
        <v>2.585182799096417E-4</v>
      </c>
      <c r="S58" s="1"/>
      <c r="T58" s="1">
        <f>SUM(OSRRefT22_7x_0)</f>
        <v>950</v>
      </c>
      <c r="U58" s="1"/>
      <c r="V58" s="5">
        <f t="shared" si="42"/>
        <v>8.1314730805443804E-4</v>
      </c>
      <c r="W58" s="1"/>
      <c r="X58" s="1">
        <f t="shared" si="43"/>
        <v>-763.52</v>
      </c>
      <c r="Y58" s="1"/>
      <c r="Z58" s="5">
        <f t="shared" si="44"/>
        <v>-0.8037052631578947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37"/>
        <v>0</v>
      </c>
      <c r="G59" s="2"/>
      <c r="H59" s="6">
        <v>50</v>
      </c>
      <c r="I59" s="2"/>
      <c r="J59" s="7">
        <f t="shared" si="38"/>
        <v>2.2727272727272726E-3</v>
      </c>
      <c r="K59" s="2"/>
      <c r="L59" s="6">
        <f t="shared" si="39"/>
        <v>-50</v>
      </c>
      <c r="M59" s="2"/>
      <c r="N59" s="7">
        <f t="shared" si="40"/>
        <v>-1</v>
      </c>
      <c r="O59" s="11"/>
      <c r="P59" s="6">
        <v>186.48</v>
      </c>
      <c r="Q59" s="2"/>
      <c r="R59" s="7">
        <f t="shared" si="41"/>
        <v>2.585182799096417E-4</v>
      </c>
      <c r="S59" s="2"/>
      <c r="T59" s="6">
        <v>950</v>
      </c>
      <c r="U59" s="2"/>
      <c r="V59" s="7">
        <f t="shared" si="42"/>
        <v>8.1314730805443804E-4</v>
      </c>
      <c r="W59" s="2"/>
      <c r="X59" s="6">
        <f t="shared" si="43"/>
        <v>-763.52</v>
      </c>
      <c r="Y59" s="2"/>
      <c r="Z59" s="7">
        <f t="shared" si="44"/>
        <v>-0.8037052631578947</v>
      </c>
    </row>
    <row r="60" spans="1:26" s="26" customFormat="1" outlineLevel="1" collapsed="1" x14ac:dyDescent="0.25">
      <c r="A60" s="25"/>
      <c r="B60" s="12" t="str">
        <f>CONCATENATE("     ","Equipment Rental                                  ")</f>
        <v xml:space="preserve">     Equipment Rental                                  </v>
      </c>
      <c r="C60" s="12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115</v>
      </c>
      <c r="I60" s="1"/>
      <c r="J60" s="5">
        <f t="shared" si="38"/>
        <v>5.2272727272727271E-3</v>
      </c>
      <c r="K60" s="1"/>
      <c r="L60" s="1">
        <f t="shared" si="39"/>
        <v>-115</v>
      </c>
      <c r="M60" s="1"/>
      <c r="N60" s="5">
        <f t="shared" si="40"/>
        <v>-1</v>
      </c>
      <c r="O60" s="12"/>
      <c r="P60" s="1">
        <f>SUM(OSRRefP22_8x_0)</f>
        <v>3521.32</v>
      </c>
      <c r="Q60" s="1"/>
      <c r="R60" s="5">
        <f t="shared" si="41"/>
        <v>4.8816258548445924E-3</v>
      </c>
      <c r="S60" s="1"/>
      <c r="T60" s="1">
        <f>SUM(OSRRefT22_8x_0)</f>
        <v>1380</v>
      </c>
      <c r="U60" s="1"/>
      <c r="V60" s="5">
        <f t="shared" si="42"/>
        <v>1.1812034580159206E-3</v>
      </c>
      <c r="W60" s="1"/>
      <c r="X60" s="1">
        <f t="shared" si="43"/>
        <v>2141.3200000000002</v>
      </c>
      <c r="Y60" s="1"/>
      <c r="Z60" s="5">
        <f t="shared" si="44"/>
        <v>1.5516811594202899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6"/>
      <c r="E61" s="2"/>
      <c r="F61" s="7">
        <f t="shared" si="37"/>
        <v>0</v>
      </c>
      <c r="G61" s="2"/>
      <c r="H61" s="6">
        <v>115</v>
      </c>
      <c r="I61" s="2"/>
      <c r="J61" s="7">
        <f t="shared" si="38"/>
        <v>5.2272727272727271E-3</v>
      </c>
      <c r="K61" s="2"/>
      <c r="L61" s="6">
        <f t="shared" si="39"/>
        <v>-115</v>
      </c>
      <c r="M61" s="2"/>
      <c r="N61" s="7">
        <f t="shared" si="40"/>
        <v>-1</v>
      </c>
      <c r="O61" s="11"/>
      <c r="P61" s="6">
        <v>3521.32</v>
      </c>
      <c r="Q61" s="2"/>
      <c r="R61" s="7">
        <f t="shared" si="41"/>
        <v>4.8816258548445924E-3</v>
      </c>
      <c r="S61" s="2"/>
      <c r="T61" s="6">
        <v>1380</v>
      </c>
      <c r="U61" s="2"/>
      <c r="V61" s="7">
        <f t="shared" si="42"/>
        <v>1.1812034580159206E-3</v>
      </c>
      <c r="W61" s="2"/>
      <c r="X61" s="6">
        <f t="shared" si="43"/>
        <v>2141.3200000000002</v>
      </c>
      <c r="Y61" s="2"/>
      <c r="Z61" s="7">
        <f t="shared" si="44"/>
        <v>1.5516811594202899</v>
      </c>
    </row>
    <row r="62" spans="1:26" s="26" customFormat="1" outlineLevel="1" collapsed="1" x14ac:dyDescent="0.25">
      <c r="A62" s="25"/>
      <c r="B62" s="12" t="str">
        <f>CONCATENATE("     ","General                                           ")</f>
        <v xml:space="preserve">     General                                           </v>
      </c>
      <c r="C62" s="12"/>
      <c r="D62" s="1">
        <f>SUM(OSRRefD22_9x_0)</f>
        <v>0</v>
      </c>
      <c r="E62" s="1"/>
      <c r="F62" s="5">
        <f t="shared" si="37"/>
        <v>0</v>
      </c>
      <c r="G62" s="1"/>
      <c r="H62" s="1">
        <f>SUM(OSRRefH22_9x_0)</f>
        <v>1000</v>
      </c>
      <c r="I62" s="1"/>
      <c r="J62" s="5">
        <f t="shared" si="38"/>
        <v>4.5454545454545456E-2</v>
      </c>
      <c r="K62" s="1"/>
      <c r="L62" s="1">
        <f t="shared" si="39"/>
        <v>-1000</v>
      </c>
      <c r="M62" s="1"/>
      <c r="N62" s="5">
        <f t="shared" si="40"/>
        <v>-1</v>
      </c>
      <c r="O62" s="12"/>
      <c r="P62" s="1">
        <f>SUM(OSRRefP22_9x_0)</f>
        <v>9308.4599999999991</v>
      </c>
      <c r="Q62" s="1"/>
      <c r="R62" s="5">
        <f t="shared" si="41"/>
        <v>1.2904370805489614E-2</v>
      </c>
      <c r="S62" s="1"/>
      <c r="T62" s="1">
        <f>SUM(OSRRefT22_9x_0)</f>
        <v>12000</v>
      </c>
      <c r="U62" s="1"/>
      <c r="V62" s="5">
        <f t="shared" si="42"/>
        <v>1.0271334417529743E-2</v>
      </c>
      <c r="W62" s="1"/>
      <c r="X62" s="1">
        <f t="shared" si="43"/>
        <v>-2691.5400000000009</v>
      </c>
      <c r="Y62" s="1"/>
      <c r="Z62" s="5">
        <f t="shared" si="44"/>
        <v>-0.22429500000000008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37"/>
        <v>0</v>
      </c>
      <c r="G63" s="2"/>
      <c r="H63" s="6">
        <v>1000</v>
      </c>
      <c r="I63" s="2"/>
      <c r="J63" s="7">
        <f t="shared" si="38"/>
        <v>4.5454545454545456E-2</v>
      </c>
      <c r="K63" s="2"/>
      <c r="L63" s="6">
        <f t="shared" si="39"/>
        <v>-1000</v>
      </c>
      <c r="M63" s="2"/>
      <c r="N63" s="7">
        <f t="shared" si="40"/>
        <v>-1</v>
      </c>
      <c r="O63" s="11"/>
      <c r="P63" s="6">
        <v>9308.4599999999991</v>
      </c>
      <c r="Q63" s="2"/>
      <c r="R63" s="7">
        <f t="shared" si="41"/>
        <v>1.2904370805489614E-2</v>
      </c>
      <c r="S63" s="2"/>
      <c r="T63" s="6">
        <v>12000</v>
      </c>
      <c r="U63" s="2"/>
      <c r="V63" s="7">
        <f t="shared" si="42"/>
        <v>1.0271334417529743E-2</v>
      </c>
      <c r="W63" s="2"/>
      <c r="X63" s="6">
        <f t="shared" si="43"/>
        <v>-2691.5400000000009</v>
      </c>
      <c r="Y63" s="2"/>
      <c r="Z63" s="7">
        <f t="shared" si="44"/>
        <v>-0.22429500000000008</v>
      </c>
    </row>
    <row r="64" spans="1:26" s="26" customFormat="1" outlineLevel="1" collapsed="1" x14ac:dyDescent="0.25">
      <c r="A64" s="25"/>
      <c r="B64" s="12" t="str">
        <f>CONCATENATE("     ","Rent                                              ")</f>
        <v xml:space="preserve">     Rent                                              </v>
      </c>
      <c r="C64" s="12"/>
      <c r="D64" s="1">
        <f>SUM(OSRRefD22_10x_0)</f>
        <v>1850</v>
      </c>
      <c r="E64" s="1"/>
      <c r="F64" s="5">
        <f t="shared" si="37"/>
        <v>0</v>
      </c>
      <c r="G64" s="1"/>
      <c r="H64" s="1">
        <f>SUM(OSRRefH22_10x_0)</f>
        <v>1850</v>
      </c>
      <c r="I64" s="1"/>
      <c r="J64" s="5">
        <f t="shared" si="38"/>
        <v>8.4090909090909091E-2</v>
      </c>
      <c r="K64" s="1"/>
      <c r="L64" s="1">
        <f t="shared" si="39"/>
        <v>0</v>
      </c>
      <c r="M64" s="1"/>
      <c r="N64" s="5">
        <f t="shared" si="40"/>
        <v>0</v>
      </c>
      <c r="O64" s="12"/>
      <c r="P64" s="1">
        <f>SUM(OSRRefP22_10x_0)</f>
        <v>22200</v>
      </c>
      <c r="Q64" s="1"/>
      <c r="R64" s="5">
        <f t="shared" si="41"/>
        <v>3.0775985703528772E-2</v>
      </c>
      <c r="S64" s="1"/>
      <c r="T64" s="1">
        <f>SUM(OSRRefT22_10x_0)</f>
        <v>22200</v>
      </c>
      <c r="U64" s="1"/>
      <c r="V64" s="5">
        <f t="shared" si="42"/>
        <v>1.9001968672430026E-2</v>
      </c>
      <c r="W64" s="1"/>
      <c r="X64" s="1">
        <f t="shared" si="43"/>
        <v>0</v>
      </c>
      <c r="Y64" s="1"/>
      <c r="Z64" s="5">
        <f t="shared" si="44"/>
        <v>0</v>
      </c>
    </row>
    <row r="65" spans="1:26" s="24" customFormat="1" hidden="1" outlineLevel="2" x14ac:dyDescent="0.25">
      <c r="A65" s="27"/>
      <c r="B65" s="11" t="str">
        <f>CONCATENATE("          ", "6273", " - ", "RENT")</f>
        <v xml:space="preserve">          6273 - RENT</v>
      </c>
      <c r="C65" s="11"/>
      <c r="D65" s="6">
        <v>1850</v>
      </c>
      <c r="E65" s="2"/>
      <c r="F65" s="7">
        <f t="shared" si="37"/>
        <v>0</v>
      </c>
      <c r="G65" s="2"/>
      <c r="H65" s="6">
        <v>1850</v>
      </c>
      <c r="I65" s="2"/>
      <c r="J65" s="7">
        <f t="shared" si="38"/>
        <v>8.4090909090909091E-2</v>
      </c>
      <c r="K65" s="2"/>
      <c r="L65" s="6">
        <f t="shared" si="39"/>
        <v>0</v>
      </c>
      <c r="M65" s="2"/>
      <c r="N65" s="7">
        <f t="shared" si="40"/>
        <v>0</v>
      </c>
      <c r="O65" s="11"/>
      <c r="P65" s="6">
        <v>22200</v>
      </c>
      <c r="Q65" s="2"/>
      <c r="R65" s="7">
        <f t="shared" si="41"/>
        <v>3.0775985703528772E-2</v>
      </c>
      <c r="S65" s="2"/>
      <c r="T65" s="6">
        <v>22200</v>
      </c>
      <c r="U65" s="2"/>
      <c r="V65" s="7">
        <f t="shared" si="42"/>
        <v>1.9001968672430026E-2</v>
      </c>
      <c r="W65" s="2"/>
      <c r="X65" s="6">
        <f t="shared" si="43"/>
        <v>0</v>
      </c>
      <c r="Y65" s="2"/>
      <c r="Z65" s="7">
        <f t="shared" si="44"/>
        <v>0</v>
      </c>
    </row>
    <row r="66" spans="1:26" s="26" customFormat="1" outlineLevel="1" collapsed="1" x14ac:dyDescent="0.25">
      <c r="A66" s="25"/>
      <c r="B66" s="12" t="str">
        <f>CONCATENATE("     ","Repair and Maintenance                            ")</f>
        <v xml:space="preserve">     Repair and Maintenance                            </v>
      </c>
      <c r="C66" s="12"/>
      <c r="D66" s="1">
        <f>SUM(OSRRefD22_11x_0)</f>
        <v>1870.35</v>
      </c>
      <c r="E66" s="1"/>
      <c r="F66" s="5">
        <f t="shared" si="37"/>
        <v>0</v>
      </c>
      <c r="G66" s="1"/>
      <c r="H66" s="1">
        <f>SUM(OSRRefH22_11x_0)</f>
        <v>1000</v>
      </c>
      <c r="I66" s="1"/>
      <c r="J66" s="5">
        <f t="shared" si="38"/>
        <v>4.5454545454545456E-2</v>
      </c>
      <c r="K66" s="1"/>
      <c r="L66" s="1">
        <f t="shared" si="39"/>
        <v>870.34999999999991</v>
      </c>
      <c r="M66" s="1"/>
      <c r="N66" s="5">
        <f t="shared" si="40"/>
        <v>0.87034999999999996</v>
      </c>
      <c r="O66" s="12"/>
      <c r="P66" s="1">
        <f>SUM(OSRRefP22_11x_0)</f>
        <v>31084.47</v>
      </c>
      <c r="Q66" s="1"/>
      <c r="R66" s="5">
        <f t="shared" si="41"/>
        <v>4.3092576771250862E-2</v>
      </c>
      <c r="S66" s="1"/>
      <c r="T66" s="1">
        <f>SUM(OSRRefT22_11x_0)</f>
        <v>14000</v>
      </c>
      <c r="U66" s="1"/>
      <c r="V66" s="5">
        <f t="shared" si="42"/>
        <v>1.1983223487118035E-2</v>
      </c>
      <c r="W66" s="1"/>
      <c r="X66" s="1">
        <f t="shared" si="43"/>
        <v>17084.47</v>
      </c>
      <c r="Y66" s="1"/>
      <c r="Z66" s="5">
        <f t="shared" si="44"/>
        <v>1.2203192857142857</v>
      </c>
    </row>
    <row r="67" spans="1:26" s="24" customFormat="1" hidden="1" outlineLevel="2" x14ac:dyDescent="0.25">
      <c r="A67" s="27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/>
      <c r="Q67" s="2"/>
      <c r="R67" s="7">
        <f t="shared" si="41"/>
        <v>0</v>
      </c>
      <c r="S67" s="2"/>
      <c r="T67" s="6">
        <v>200</v>
      </c>
      <c r="U67" s="2"/>
      <c r="V67" s="7">
        <f t="shared" si="42"/>
        <v>1.7118890695882907E-4</v>
      </c>
      <c r="W67" s="2"/>
      <c r="X67" s="6">
        <f t="shared" si="43"/>
        <v>-200</v>
      </c>
      <c r="Y67" s="2"/>
      <c r="Z67" s="7">
        <f t="shared" si="44"/>
        <v>-1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1870.35</v>
      </c>
      <c r="E68" s="2"/>
      <c r="F68" s="7">
        <f t="shared" si="37"/>
        <v>0</v>
      </c>
      <c r="G68" s="2"/>
      <c r="H68" s="6">
        <v>1000</v>
      </c>
      <c r="I68" s="2"/>
      <c r="J68" s="7">
        <f t="shared" si="38"/>
        <v>4.5454545454545456E-2</v>
      </c>
      <c r="K68" s="2"/>
      <c r="L68" s="6">
        <f t="shared" si="39"/>
        <v>870.34999999999991</v>
      </c>
      <c r="M68" s="2"/>
      <c r="N68" s="7">
        <f t="shared" si="40"/>
        <v>0.87034999999999996</v>
      </c>
      <c r="O68" s="11"/>
      <c r="P68" s="6">
        <v>21857.11</v>
      </c>
      <c r="Q68" s="2"/>
      <c r="R68" s="7">
        <f t="shared" si="41"/>
        <v>3.0300635354975486E-2</v>
      </c>
      <c r="S68" s="2"/>
      <c r="T68" s="6">
        <v>12000</v>
      </c>
      <c r="U68" s="2"/>
      <c r="V68" s="7">
        <f t="shared" si="42"/>
        <v>1.0271334417529743E-2</v>
      </c>
      <c r="W68" s="2"/>
      <c r="X68" s="6">
        <f t="shared" si="43"/>
        <v>9857.11</v>
      </c>
      <c r="Y68" s="2"/>
      <c r="Z68" s="7">
        <f t="shared" si="44"/>
        <v>0.82142583333333341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7"/>
        <v>0</v>
      </c>
      <c r="G69" s="2"/>
      <c r="H69" s="6"/>
      <c r="I69" s="2"/>
      <c r="J69" s="7">
        <f t="shared" si="38"/>
        <v>0</v>
      </c>
      <c r="K69" s="2"/>
      <c r="L69" s="6">
        <f t="shared" si="39"/>
        <v>0</v>
      </c>
      <c r="M69" s="2"/>
      <c r="N69" s="7">
        <f t="shared" si="40"/>
        <v>0</v>
      </c>
      <c r="O69" s="11"/>
      <c r="P69" s="6">
        <v>9227.36</v>
      </c>
      <c r="Q69" s="2"/>
      <c r="R69" s="7">
        <f t="shared" si="41"/>
        <v>1.2791941416275373E-2</v>
      </c>
      <c r="S69" s="2"/>
      <c r="T69" s="6">
        <v>1800</v>
      </c>
      <c r="U69" s="2"/>
      <c r="V69" s="7">
        <f t="shared" si="42"/>
        <v>1.5407001626294616E-3</v>
      </c>
      <c r="W69" s="2"/>
      <c r="X69" s="6">
        <f t="shared" si="43"/>
        <v>7427.3600000000006</v>
      </c>
      <c r="Y69" s="2"/>
      <c r="Z69" s="7">
        <f t="shared" si="44"/>
        <v>4.1263111111111117</v>
      </c>
    </row>
    <row r="70" spans="1:26" s="26" customFormat="1" outlineLevel="1" collapsed="1" x14ac:dyDescent="0.25">
      <c r="A70" s="25"/>
      <c r="B70" s="12" t="str">
        <f>CONCATENATE("     ","Royalty &amp; Commissions                             ")</f>
        <v xml:space="preserve">     Royalty &amp; Commissions                             </v>
      </c>
      <c r="C70" s="12"/>
      <c r="D70" s="1">
        <f>SUM(OSRRefD22_12x_0)</f>
        <v>0</v>
      </c>
      <c r="E70" s="1"/>
      <c r="F70" s="5">
        <f t="shared" ref="F70:F75" si="45">IF(D$12=0,0,D70/D$12)</f>
        <v>0</v>
      </c>
      <c r="G70" s="1"/>
      <c r="H70" s="1">
        <f>SUM(OSRRefH22_12x_0)</f>
        <v>1760</v>
      </c>
      <c r="I70" s="1"/>
      <c r="J70" s="5">
        <f t="shared" ref="J70:J75" si="46">IF(H$12=0,0,H70/H$12)</f>
        <v>0.08</v>
      </c>
      <c r="K70" s="1"/>
      <c r="L70" s="1">
        <f t="shared" ref="L70:L75" si="47">+D70-H70</f>
        <v>-1760</v>
      </c>
      <c r="M70" s="1"/>
      <c r="N70" s="5">
        <f t="shared" ref="N70:N75" si="48">IF(H70=0,0,L70/H70)</f>
        <v>-1</v>
      </c>
      <c r="O70" s="12"/>
      <c r="P70" s="1">
        <f>SUM(OSRRefP22_12x_0)</f>
        <v>60535.320000000007</v>
      </c>
      <c r="Q70" s="1"/>
      <c r="R70" s="5">
        <f t="shared" ref="R70:R75" si="49">IF(P$12=0,0,P70/P$12)</f>
        <v>8.3920456886420705E-2</v>
      </c>
      <c r="S70" s="1"/>
      <c r="T70" s="1">
        <f>SUM(OSRRefT22_12x_0)</f>
        <v>93464</v>
      </c>
      <c r="U70" s="1"/>
      <c r="V70" s="5">
        <f t="shared" ref="V70:V75" si="50">IF(T$12=0,0,T70/T$12)</f>
        <v>0.08</v>
      </c>
      <c r="W70" s="1"/>
      <c r="X70" s="1">
        <f t="shared" ref="X70:X75" si="51">+P70-T70</f>
        <v>-32928.679999999993</v>
      </c>
      <c r="Y70" s="1"/>
      <c r="Z70" s="5">
        <f t="shared" ref="Z70:Z75" si="52">IF(T70=0,0,X70/T70)</f>
        <v>-0.35231404604981592</v>
      </c>
    </row>
    <row r="71" spans="1:26" s="24" customFormat="1" hidden="1" outlineLevel="2" x14ac:dyDescent="0.25">
      <c r="A71" s="27"/>
      <c r="B71" s="11" t="str">
        <f>CONCATENATE("          ", "6259", " - ", "ROYALTY &amp; COMMISSIONS")</f>
        <v xml:space="preserve">          6259 - ROYALTY &amp; COMMISSIONS</v>
      </c>
      <c r="C71" s="11"/>
      <c r="D71" s="6"/>
      <c r="E71" s="2"/>
      <c r="F71" s="7">
        <f t="shared" si="45"/>
        <v>0</v>
      </c>
      <c r="G71" s="2"/>
      <c r="H71" s="6">
        <v>1760</v>
      </c>
      <c r="I71" s="2"/>
      <c r="J71" s="7">
        <f t="shared" si="46"/>
        <v>0.08</v>
      </c>
      <c r="K71" s="2"/>
      <c r="L71" s="6">
        <f t="shared" si="47"/>
        <v>-1760</v>
      </c>
      <c r="M71" s="2"/>
      <c r="N71" s="7">
        <f t="shared" si="48"/>
        <v>-1</v>
      </c>
      <c r="O71" s="11"/>
      <c r="P71" s="6">
        <v>60535.320000000007</v>
      </c>
      <c r="Q71" s="2"/>
      <c r="R71" s="7">
        <f t="shared" si="49"/>
        <v>8.3920456886420705E-2</v>
      </c>
      <c r="S71" s="2"/>
      <c r="T71" s="6">
        <v>93464</v>
      </c>
      <c r="U71" s="2"/>
      <c r="V71" s="7">
        <f t="shared" si="50"/>
        <v>0.08</v>
      </c>
      <c r="W71" s="2"/>
      <c r="X71" s="6">
        <f t="shared" si="51"/>
        <v>-32928.679999999993</v>
      </c>
      <c r="Y71" s="2"/>
      <c r="Z71" s="7">
        <f t="shared" si="52"/>
        <v>-0.35231404604981592</v>
      </c>
    </row>
    <row r="72" spans="1:26" s="26" customFormat="1" outlineLevel="1" collapsed="1" x14ac:dyDescent="0.25">
      <c r="A72" s="25"/>
      <c r="B72" s="12" t="str">
        <f>CONCATENATE("     ","Services                                          ")</f>
        <v xml:space="preserve">     Services                                          </v>
      </c>
      <c r="C72" s="12"/>
      <c r="D72" s="1">
        <f>SUM(OSRRefD22_13x_0)</f>
        <v>115</v>
      </c>
      <c r="E72" s="1"/>
      <c r="F72" s="5">
        <f t="shared" si="45"/>
        <v>0</v>
      </c>
      <c r="G72" s="1"/>
      <c r="H72" s="1">
        <f>SUM(OSRRefH22_13x_0)</f>
        <v>360</v>
      </c>
      <c r="I72" s="1"/>
      <c r="J72" s="5">
        <f t="shared" si="46"/>
        <v>1.6363636363636365E-2</v>
      </c>
      <c r="K72" s="1"/>
      <c r="L72" s="1">
        <f t="shared" si="47"/>
        <v>-245</v>
      </c>
      <c r="M72" s="1"/>
      <c r="N72" s="5">
        <f t="shared" si="48"/>
        <v>-0.68055555555555558</v>
      </c>
      <c r="O72" s="12"/>
      <c r="P72" s="1">
        <f>SUM(OSRRefP22_13x_0)</f>
        <v>4023.39</v>
      </c>
      <c r="Q72" s="1"/>
      <c r="R72" s="5">
        <f t="shared" si="49"/>
        <v>5.5776483387261549E-3</v>
      </c>
      <c r="S72" s="1"/>
      <c r="T72" s="1">
        <f>SUM(OSRRefT22_13x_0)</f>
        <v>4320</v>
      </c>
      <c r="U72" s="1"/>
      <c r="V72" s="5">
        <f t="shared" si="50"/>
        <v>3.6976803903107079E-3</v>
      </c>
      <c r="W72" s="1"/>
      <c r="X72" s="1">
        <f t="shared" si="51"/>
        <v>-296.61000000000013</v>
      </c>
      <c r="Y72" s="1"/>
      <c r="Z72" s="5">
        <f t="shared" si="52"/>
        <v>-6.8659722222222247E-2</v>
      </c>
    </row>
    <row r="73" spans="1:26" s="24" customFormat="1" hidden="1" outlineLevel="2" x14ac:dyDescent="0.25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6"/>
      <c r="E73" s="2"/>
      <c r="F73" s="7">
        <f t="shared" si="45"/>
        <v>0</v>
      </c>
      <c r="G73" s="2"/>
      <c r="H73" s="6">
        <v>100</v>
      </c>
      <c r="I73" s="2"/>
      <c r="J73" s="7">
        <f t="shared" si="46"/>
        <v>4.5454545454545452E-3</v>
      </c>
      <c r="K73" s="2"/>
      <c r="L73" s="6">
        <f t="shared" si="47"/>
        <v>-100</v>
      </c>
      <c r="M73" s="2"/>
      <c r="N73" s="7">
        <f t="shared" si="48"/>
        <v>-1</v>
      </c>
      <c r="O73" s="11"/>
      <c r="P73" s="6">
        <v>872.64</v>
      </c>
      <c r="Q73" s="2"/>
      <c r="R73" s="7">
        <f t="shared" si="49"/>
        <v>1.2097457731678985E-3</v>
      </c>
      <c r="S73" s="2"/>
      <c r="T73" s="6">
        <v>1200</v>
      </c>
      <c r="U73" s="2"/>
      <c r="V73" s="7">
        <f t="shared" si="50"/>
        <v>1.0271334417529744E-3</v>
      </c>
      <c r="W73" s="2"/>
      <c r="X73" s="6">
        <f t="shared" si="51"/>
        <v>-327.36</v>
      </c>
      <c r="Y73" s="2"/>
      <c r="Z73" s="7">
        <f t="shared" si="52"/>
        <v>-0.27279999999999999</v>
      </c>
    </row>
    <row r="74" spans="1:26" s="24" customFormat="1" hidden="1" outlineLevel="2" x14ac:dyDescent="0.25">
      <c r="A74" s="27"/>
      <c r="B74" s="11" t="str">
        <f>CONCATENATE("          ", "6284", " - ", "TRASH REMOVAL EXPENSE")</f>
        <v xml:space="preserve">          6284 - TRASH REMOVAL EXPENSE</v>
      </c>
      <c r="C74" s="11"/>
      <c r="D74" s="6">
        <v>115</v>
      </c>
      <c r="E74" s="2"/>
      <c r="F74" s="7">
        <f t="shared" si="45"/>
        <v>0</v>
      </c>
      <c r="G74" s="2"/>
      <c r="H74" s="6">
        <v>40</v>
      </c>
      <c r="I74" s="2"/>
      <c r="J74" s="7">
        <f t="shared" si="46"/>
        <v>1.8181818181818182E-3</v>
      </c>
      <c r="K74" s="2"/>
      <c r="L74" s="6">
        <f t="shared" si="47"/>
        <v>75</v>
      </c>
      <c r="M74" s="2"/>
      <c r="N74" s="7">
        <f t="shared" si="48"/>
        <v>1.875</v>
      </c>
      <c r="O74" s="11"/>
      <c r="P74" s="6">
        <v>1284</v>
      </c>
      <c r="Q74" s="2"/>
      <c r="R74" s="7">
        <f t="shared" si="49"/>
        <v>1.7800164704203129E-3</v>
      </c>
      <c r="S74" s="2"/>
      <c r="T74" s="6">
        <v>480</v>
      </c>
      <c r="U74" s="2"/>
      <c r="V74" s="7">
        <f t="shared" si="50"/>
        <v>4.1085337670118975E-4</v>
      </c>
      <c r="W74" s="2"/>
      <c r="X74" s="6">
        <f t="shared" si="51"/>
        <v>804</v>
      </c>
      <c r="Y74" s="2"/>
      <c r="Z74" s="7">
        <f t="shared" si="52"/>
        <v>1.675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45"/>
        <v>0</v>
      </c>
      <c r="G75" s="2"/>
      <c r="H75" s="6">
        <v>220</v>
      </c>
      <c r="I75" s="2"/>
      <c r="J75" s="7">
        <f t="shared" si="46"/>
        <v>0.01</v>
      </c>
      <c r="K75" s="2"/>
      <c r="L75" s="6">
        <f t="shared" si="47"/>
        <v>-220</v>
      </c>
      <c r="M75" s="2"/>
      <c r="N75" s="7">
        <f t="shared" si="48"/>
        <v>-1</v>
      </c>
      <c r="O75" s="11"/>
      <c r="P75" s="6">
        <v>1866.75</v>
      </c>
      <c r="Q75" s="2"/>
      <c r="R75" s="7">
        <f t="shared" si="49"/>
        <v>2.5878860951379433E-3</v>
      </c>
      <c r="S75" s="2"/>
      <c r="T75" s="6">
        <v>2640</v>
      </c>
      <c r="U75" s="2"/>
      <c r="V75" s="7">
        <f t="shared" si="50"/>
        <v>2.2596935718565436E-3</v>
      </c>
      <c r="W75" s="2"/>
      <c r="X75" s="6">
        <f t="shared" si="51"/>
        <v>-773.25</v>
      </c>
      <c r="Y75" s="2"/>
      <c r="Z75" s="7">
        <f t="shared" si="52"/>
        <v>-0.29289772727272728</v>
      </c>
    </row>
    <row r="76" spans="1:26" s="26" customFormat="1" outlineLevel="1" collapsed="1" x14ac:dyDescent="0.25">
      <c r="A76" s="25"/>
      <c r="B76" s="12" t="str">
        <f>CONCATENATE("     ","Subscriptions &amp; Dues                              ")</f>
        <v xml:space="preserve">     Subscriptions &amp; Dues                              </v>
      </c>
      <c r="C76" s="12"/>
      <c r="D76" s="1">
        <f>SUM(OSRRefD22_14x_0)</f>
        <v>0</v>
      </c>
      <c r="E76" s="1"/>
      <c r="F76" s="5">
        <f t="shared" ref="F76:F78" si="53">IF(D$12=0,0,D76/D$12)</f>
        <v>0</v>
      </c>
      <c r="G76" s="1"/>
      <c r="H76" s="1">
        <f>SUM(OSRRefH22_14x_0)</f>
        <v>0</v>
      </c>
      <c r="I76" s="1"/>
      <c r="J76" s="5">
        <f t="shared" ref="J76:J78" si="54">IF(H$12=0,0,H76/H$12)</f>
        <v>0</v>
      </c>
      <c r="K76" s="1"/>
      <c r="L76" s="1">
        <f t="shared" ref="L76:L78" si="55">+D76-H76</f>
        <v>0</v>
      </c>
      <c r="M76" s="1"/>
      <c r="N76" s="5">
        <f t="shared" ref="N76:N78" si="56">IF(H76=0,0,L76/H76)</f>
        <v>0</v>
      </c>
      <c r="O76" s="12"/>
      <c r="P76" s="1">
        <f>SUM(OSRRefP22_14x_0)</f>
        <v>1101.72</v>
      </c>
      <c r="Q76" s="1"/>
      <c r="R76" s="5">
        <f t="shared" ref="R76:R78" si="57">IF(P$12=0,0,P76/P$12)</f>
        <v>1.5273206742924198E-3</v>
      </c>
      <c r="S76" s="1"/>
      <c r="T76" s="1">
        <f>SUM(OSRRefT22_14x_0)</f>
        <v>0</v>
      </c>
      <c r="U76" s="1"/>
      <c r="V76" s="5">
        <f t="shared" ref="V76:V78" si="58">IF(T$12=0,0,T76/T$12)</f>
        <v>0</v>
      </c>
      <c r="W76" s="1"/>
      <c r="X76" s="1">
        <f t="shared" ref="X76:X78" si="59">+P76-T76</f>
        <v>1101.72</v>
      </c>
      <c r="Y76" s="1"/>
      <c r="Z76" s="5">
        <f t="shared" ref="Z76:Z78" si="60">IF(T76=0,0,X76/T76)</f>
        <v>0</v>
      </c>
    </row>
    <row r="77" spans="1:26" s="24" customFormat="1" hidden="1" outlineLevel="2" x14ac:dyDescent="0.25">
      <c r="A77" s="27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53"/>
        <v>0</v>
      </c>
      <c r="G77" s="2"/>
      <c r="H77" s="6"/>
      <c r="I77" s="2"/>
      <c r="J77" s="7">
        <f t="shared" si="54"/>
        <v>0</v>
      </c>
      <c r="K77" s="2"/>
      <c r="L77" s="6">
        <f t="shared" si="55"/>
        <v>0</v>
      </c>
      <c r="M77" s="2"/>
      <c r="N77" s="7">
        <f t="shared" si="56"/>
        <v>0</v>
      </c>
      <c r="O77" s="11"/>
      <c r="P77" s="6">
        <v>979</v>
      </c>
      <c r="Q77" s="2"/>
      <c r="R77" s="7">
        <f t="shared" si="57"/>
        <v>1.3571932434123725E-3</v>
      </c>
      <c r="S77" s="2"/>
      <c r="T77" s="6"/>
      <c r="U77" s="2"/>
      <c r="V77" s="7">
        <f t="shared" si="58"/>
        <v>0</v>
      </c>
      <c r="W77" s="2"/>
      <c r="X77" s="6">
        <f t="shared" si="59"/>
        <v>979</v>
      </c>
      <c r="Y77" s="2"/>
      <c r="Z77" s="7">
        <f t="shared" si="60"/>
        <v>0</v>
      </c>
    </row>
    <row r="78" spans="1:26" s="24" customFormat="1" hidden="1" outlineLevel="2" x14ac:dyDescent="0.25">
      <c r="A78" s="27"/>
      <c r="B78" s="11" t="str">
        <f>CONCATENATE("          ", "6275", " - ", "SUBSCRIPTIONS")</f>
        <v xml:space="preserve">          6275 - SUBSCRIPTIONS</v>
      </c>
      <c r="C78" s="11"/>
      <c r="D78" s="6"/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0</v>
      </c>
      <c r="M78" s="2"/>
      <c r="N78" s="7">
        <f t="shared" si="56"/>
        <v>0</v>
      </c>
      <c r="O78" s="11"/>
      <c r="P78" s="6">
        <v>122.72</v>
      </c>
      <c r="Q78" s="2"/>
      <c r="R78" s="7">
        <f t="shared" si="57"/>
        <v>1.7012743088004736E-4</v>
      </c>
      <c r="S78" s="2"/>
      <c r="T78" s="6"/>
      <c r="U78" s="2"/>
      <c r="V78" s="7">
        <f t="shared" si="58"/>
        <v>0</v>
      </c>
      <c r="W78" s="2"/>
      <c r="X78" s="6">
        <f t="shared" si="59"/>
        <v>122.72</v>
      </c>
      <c r="Y78" s="2"/>
      <c r="Z78" s="7">
        <f t="shared" si="60"/>
        <v>0</v>
      </c>
    </row>
    <row r="79" spans="1:26" s="26" customFormat="1" outlineLevel="1" collapsed="1" x14ac:dyDescent="0.25">
      <c r="A79" s="25"/>
      <c r="B79" s="12" t="str">
        <f>CONCATENATE("     ","Supplies                                          ")</f>
        <v xml:space="preserve">     Supplies                                          </v>
      </c>
      <c r="C79" s="12"/>
      <c r="D79" s="1">
        <f>SUM(OSRRefD22_15x_0)</f>
        <v>0</v>
      </c>
      <c r="E79" s="1"/>
      <c r="F79" s="5">
        <f t="shared" ref="F79:F88" si="61">IF(D$12=0,0,D79/D$12)</f>
        <v>0</v>
      </c>
      <c r="G79" s="1"/>
      <c r="H79" s="1">
        <f>SUM(OSRRefH22_15x_0)</f>
        <v>350</v>
      </c>
      <c r="I79" s="1"/>
      <c r="J79" s="5">
        <f t="shared" ref="J79:J88" si="62">IF(H$12=0,0,H79/H$12)</f>
        <v>1.5909090909090907E-2</v>
      </c>
      <c r="K79" s="1"/>
      <c r="L79" s="1">
        <f t="shared" ref="L79:L88" si="63">+D79-H79</f>
        <v>-350</v>
      </c>
      <c r="M79" s="1"/>
      <c r="N79" s="5">
        <f t="shared" ref="N79:N88" si="64">IF(H79=0,0,L79/H79)</f>
        <v>-1</v>
      </c>
      <c r="O79" s="12"/>
      <c r="P79" s="1">
        <f>SUM(OSRRefP22_15x_0)</f>
        <v>11997.33</v>
      </c>
      <c r="Q79" s="1"/>
      <c r="R79" s="5">
        <f t="shared" ref="R79:R88" si="65">IF(P$12=0,0,P79/P$12)</f>
        <v>1.6631966511734993E-2</v>
      </c>
      <c r="S79" s="1"/>
      <c r="T79" s="1">
        <f>SUM(OSRRefT22_15x_0)</f>
        <v>12100</v>
      </c>
      <c r="U79" s="1"/>
      <c r="V79" s="5">
        <f t="shared" ref="V79:V88" si="66">IF(T$12=0,0,T79/T$12)</f>
        <v>1.0356928871009159E-2</v>
      </c>
      <c r="W79" s="1"/>
      <c r="X79" s="1">
        <f t="shared" ref="X79:X88" si="67">+P79-T79</f>
        <v>-102.67000000000007</v>
      </c>
      <c r="Y79" s="1"/>
      <c r="Z79" s="5">
        <f t="shared" ref="Z79:Z88" si="68">IF(T79=0,0,X79/T79)</f>
        <v>-8.4851239669421555E-3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6"/>
      <c r="E80" s="2"/>
      <c r="F80" s="7">
        <f t="shared" si="61"/>
        <v>0</v>
      </c>
      <c r="G80" s="2"/>
      <c r="H80" s="6">
        <v>100</v>
      </c>
      <c r="I80" s="2"/>
      <c r="J80" s="7">
        <f t="shared" si="62"/>
        <v>4.5454545454545452E-3</v>
      </c>
      <c r="K80" s="2"/>
      <c r="L80" s="6">
        <f t="shared" si="63"/>
        <v>-100</v>
      </c>
      <c r="M80" s="2"/>
      <c r="N80" s="7">
        <f t="shared" si="64"/>
        <v>-1</v>
      </c>
      <c r="O80" s="11"/>
      <c r="P80" s="6">
        <v>2140.12</v>
      </c>
      <c r="Q80" s="2"/>
      <c r="R80" s="7">
        <f t="shared" si="65"/>
        <v>2.9668604740466665E-3</v>
      </c>
      <c r="S80" s="2"/>
      <c r="T80" s="6">
        <v>1200</v>
      </c>
      <c r="U80" s="2"/>
      <c r="V80" s="7">
        <f t="shared" si="66"/>
        <v>1.0271334417529744E-3</v>
      </c>
      <c r="W80" s="2"/>
      <c r="X80" s="6">
        <f t="shared" si="67"/>
        <v>940.11999999999989</v>
      </c>
      <c r="Y80" s="2"/>
      <c r="Z80" s="7">
        <f t="shared" si="68"/>
        <v>0.7834333333333332</v>
      </c>
    </row>
    <row r="81" spans="1:26" s="24" customFormat="1" hidden="1" outlineLevel="2" x14ac:dyDescent="0.25">
      <c r="A81" s="27"/>
      <c r="B81" s="11" t="str">
        <f>CONCATENATE("          ", "6239", " - ", "KITCHEN SUPPLIES")</f>
        <v xml:space="preserve">          6239 - KITCHEN SUPPLIES</v>
      </c>
      <c r="C81" s="11"/>
      <c r="D81" s="6"/>
      <c r="E81" s="2"/>
      <c r="F81" s="7">
        <f t="shared" si="61"/>
        <v>0</v>
      </c>
      <c r="G81" s="2"/>
      <c r="H81" s="6"/>
      <c r="I81" s="2"/>
      <c r="J81" s="7">
        <f t="shared" si="62"/>
        <v>0</v>
      </c>
      <c r="K81" s="2"/>
      <c r="L81" s="6">
        <f t="shared" si="63"/>
        <v>0</v>
      </c>
      <c r="M81" s="2"/>
      <c r="N81" s="7">
        <f t="shared" si="64"/>
        <v>0</v>
      </c>
      <c r="O81" s="11"/>
      <c r="P81" s="6">
        <v>4435.24</v>
      </c>
      <c r="Q81" s="2"/>
      <c r="R81" s="7">
        <f t="shared" si="65"/>
        <v>6.1485983257531058E-3</v>
      </c>
      <c r="S81" s="2"/>
      <c r="T81" s="6">
        <v>4900</v>
      </c>
      <c r="U81" s="2"/>
      <c r="V81" s="7">
        <f t="shared" si="66"/>
        <v>4.1941282204913119E-3</v>
      </c>
      <c r="W81" s="2"/>
      <c r="X81" s="6">
        <f t="shared" si="67"/>
        <v>-464.76000000000022</v>
      </c>
      <c r="Y81" s="2"/>
      <c r="Z81" s="7">
        <f t="shared" si="68"/>
        <v>-9.4848979591836774E-2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6"/>
      <c r="E82" s="2"/>
      <c r="F82" s="7">
        <f t="shared" si="61"/>
        <v>0</v>
      </c>
      <c r="G82" s="2"/>
      <c r="H82" s="6">
        <v>50</v>
      </c>
      <c r="I82" s="2"/>
      <c r="J82" s="7">
        <f t="shared" si="62"/>
        <v>2.2727272727272726E-3</v>
      </c>
      <c r="K82" s="2"/>
      <c r="L82" s="6">
        <f t="shared" si="63"/>
        <v>-50</v>
      </c>
      <c r="M82" s="2"/>
      <c r="N82" s="7">
        <f t="shared" si="64"/>
        <v>-1</v>
      </c>
      <c r="O82" s="11"/>
      <c r="P82" s="6">
        <v>1415.33</v>
      </c>
      <c r="Q82" s="2"/>
      <c r="R82" s="7">
        <f t="shared" si="65"/>
        <v>1.9620799930529448E-3</v>
      </c>
      <c r="S82" s="2"/>
      <c r="T82" s="6">
        <v>1150</v>
      </c>
      <c r="U82" s="2"/>
      <c r="V82" s="7">
        <f t="shared" si="66"/>
        <v>9.8433621501326711E-4</v>
      </c>
      <c r="W82" s="2"/>
      <c r="X82" s="6">
        <f t="shared" si="67"/>
        <v>265.32999999999993</v>
      </c>
      <c r="Y82" s="2"/>
      <c r="Z82" s="7">
        <f t="shared" si="68"/>
        <v>0.23072173913043473</v>
      </c>
    </row>
    <row r="83" spans="1:26" s="24" customFormat="1" hidden="1" outlineLevel="2" x14ac:dyDescent="0.25">
      <c r="A83" s="27"/>
      <c r="B83" s="11" t="str">
        <f>CONCATENATE("          ", "6243", " - ", "PAPER SUPPLIES")</f>
        <v xml:space="preserve">          6243 - PAPER SUPPLIES</v>
      </c>
      <c r="C83" s="11"/>
      <c r="D83" s="6"/>
      <c r="E83" s="2"/>
      <c r="F83" s="7">
        <f t="shared" si="61"/>
        <v>0</v>
      </c>
      <c r="G83" s="2"/>
      <c r="H83" s="6"/>
      <c r="I83" s="2"/>
      <c r="J83" s="7">
        <f t="shared" si="62"/>
        <v>0</v>
      </c>
      <c r="K83" s="2"/>
      <c r="L83" s="6">
        <f t="shared" si="63"/>
        <v>0</v>
      </c>
      <c r="M83" s="2"/>
      <c r="N83" s="7">
        <f t="shared" si="64"/>
        <v>0</v>
      </c>
      <c r="O83" s="11"/>
      <c r="P83" s="6">
        <v>5057.43</v>
      </c>
      <c r="Q83" s="2"/>
      <c r="R83" s="7">
        <f t="shared" si="65"/>
        <v>7.0111438457926816E-3</v>
      </c>
      <c r="S83" s="2"/>
      <c r="T83" s="6"/>
      <c r="U83" s="2"/>
      <c r="V83" s="7">
        <f t="shared" si="66"/>
        <v>0</v>
      </c>
      <c r="W83" s="2"/>
      <c r="X83" s="6">
        <f t="shared" si="67"/>
        <v>5057.43</v>
      </c>
      <c r="Y83" s="2"/>
      <c r="Z83" s="7">
        <f t="shared" si="68"/>
        <v>0</v>
      </c>
    </row>
    <row r="84" spans="1:26" s="24" customFormat="1" hidden="1" outlineLevel="2" x14ac:dyDescent="0.25">
      <c r="A84" s="27"/>
      <c r="B84" s="11" t="str">
        <f>CONCATENATE("          ", "6244", " - ", "SAFETY SUPPLY EXPENSE")</f>
        <v xml:space="preserve">          6244 - SAFETY SUPPLY EXPENSE</v>
      </c>
      <c r="C84" s="11"/>
      <c r="D84" s="6"/>
      <c r="E84" s="2"/>
      <c r="F84" s="7">
        <f t="shared" si="61"/>
        <v>0</v>
      </c>
      <c r="G84" s="2"/>
      <c r="H84" s="6">
        <v>50</v>
      </c>
      <c r="I84" s="2"/>
      <c r="J84" s="7">
        <f t="shared" si="62"/>
        <v>2.2727272727272726E-3</v>
      </c>
      <c r="K84" s="2"/>
      <c r="L84" s="6">
        <f t="shared" si="63"/>
        <v>-50</v>
      </c>
      <c r="M84" s="2"/>
      <c r="N84" s="7">
        <f t="shared" si="64"/>
        <v>-1</v>
      </c>
      <c r="O84" s="11"/>
      <c r="P84" s="6"/>
      <c r="Q84" s="2"/>
      <c r="R84" s="7">
        <f t="shared" si="65"/>
        <v>0</v>
      </c>
      <c r="S84" s="2"/>
      <c r="T84" s="6">
        <v>600</v>
      </c>
      <c r="U84" s="2"/>
      <c r="V84" s="7">
        <f t="shared" si="66"/>
        <v>5.1356672087648722E-4</v>
      </c>
      <c r="W84" s="2"/>
      <c r="X84" s="6">
        <f t="shared" si="67"/>
        <v>-600</v>
      </c>
      <c r="Y84" s="2"/>
      <c r="Z84" s="7">
        <f t="shared" si="68"/>
        <v>-1</v>
      </c>
    </row>
    <row r="85" spans="1:26" s="24" customFormat="1" hidden="1" outlineLevel="2" x14ac:dyDescent="0.25">
      <c r="A85" s="27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61"/>
        <v>0</v>
      </c>
      <c r="G85" s="2"/>
      <c r="H85" s="6">
        <v>50</v>
      </c>
      <c r="I85" s="2"/>
      <c r="J85" s="7">
        <f t="shared" si="62"/>
        <v>2.2727272727272726E-3</v>
      </c>
      <c r="K85" s="2"/>
      <c r="L85" s="6">
        <f t="shared" si="63"/>
        <v>-50</v>
      </c>
      <c r="M85" s="2"/>
      <c r="N85" s="7">
        <f t="shared" si="64"/>
        <v>-1</v>
      </c>
      <c r="O85" s="11"/>
      <c r="P85" s="6">
        <v>66.930000000000007</v>
      </c>
      <c r="Q85" s="2"/>
      <c r="R85" s="7">
        <f t="shared" si="65"/>
        <v>9.2785437979152295E-5</v>
      </c>
      <c r="S85" s="2"/>
      <c r="T85" s="6">
        <v>700</v>
      </c>
      <c r="U85" s="2"/>
      <c r="V85" s="7">
        <f t="shared" si="66"/>
        <v>5.9916117435590175E-4</v>
      </c>
      <c r="W85" s="2"/>
      <c r="X85" s="6">
        <f t="shared" si="67"/>
        <v>-633.06999999999994</v>
      </c>
      <c r="Y85" s="2"/>
      <c r="Z85" s="7">
        <f t="shared" si="68"/>
        <v>-0.90438571428571424</v>
      </c>
    </row>
    <row r="86" spans="1:26" s="24" customFormat="1" hidden="1" outlineLevel="2" x14ac:dyDescent="0.25">
      <c r="A86" s="27"/>
      <c r="B86" s="11" t="str">
        <f>CONCATENATE("          ", "6246", " - ", "REPLACEMENTS")</f>
        <v xml:space="preserve">          6246 - REPLACEMENTS</v>
      </c>
      <c r="C86" s="11"/>
      <c r="D86" s="6"/>
      <c r="E86" s="2"/>
      <c r="F86" s="7">
        <f t="shared" si="61"/>
        <v>0</v>
      </c>
      <c r="G86" s="2"/>
      <c r="H86" s="6"/>
      <c r="I86" s="2"/>
      <c r="J86" s="7">
        <f t="shared" si="62"/>
        <v>0</v>
      </c>
      <c r="K86" s="2"/>
      <c r="L86" s="6">
        <f t="shared" si="63"/>
        <v>0</v>
      </c>
      <c r="M86" s="2"/>
      <c r="N86" s="7">
        <f t="shared" si="64"/>
        <v>0</v>
      </c>
      <c r="O86" s="11"/>
      <c r="P86" s="6"/>
      <c r="Q86" s="2"/>
      <c r="R86" s="7">
        <f t="shared" si="65"/>
        <v>0</v>
      </c>
      <c r="S86" s="2"/>
      <c r="T86" s="6">
        <v>2400</v>
      </c>
      <c r="U86" s="2"/>
      <c r="V86" s="7">
        <f t="shared" si="66"/>
        <v>2.0542668835059489E-3</v>
      </c>
      <c r="W86" s="2"/>
      <c r="X86" s="6">
        <f t="shared" si="67"/>
        <v>-2400</v>
      </c>
      <c r="Y86" s="2"/>
      <c r="Z86" s="7">
        <f t="shared" si="68"/>
        <v>-1</v>
      </c>
    </row>
    <row r="87" spans="1:26" s="24" customFormat="1" hidden="1" outlineLevel="2" x14ac:dyDescent="0.25">
      <c r="A87" s="27"/>
      <c r="B87" s="11" t="str">
        <f>CONCATENATE("          ", "6247", " - ", "STORE SUPPLIES")</f>
        <v xml:space="preserve">          6247 - STORE SUPPLIES</v>
      </c>
      <c r="C87" s="11"/>
      <c r="D87" s="6"/>
      <c r="E87" s="2"/>
      <c r="F87" s="7">
        <f t="shared" si="61"/>
        <v>0</v>
      </c>
      <c r="G87" s="2"/>
      <c r="H87" s="6">
        <v>100</v>
      </c>
      <c r="I87" s="2"/>
      <c r="J87" s="7">
        <f t="shared" si="62"/>
        <v>4.5454545454545452E-3</v>
      </c>
      <c r="K87" s="2"/>
      <c r="L87" s="6">
        <f t="shared" si="63"/>
        <v>-100</v>
      </c>
      <c r="M87" s="2"/>
      <c r="N87" s="7">
        <f t="shared" si="64"/>
        <v>-1</v>
      </c>
      <c r="O87" s="11"/>
      <c r="P87" s="6">
        <v>-1251.8</v>
      </c>
      <c r="Q87" s="2"/>
      <c r="R87" s="7">
        <f t="shared" si="65"/>
        <v>-1.7353774280935729E-3</v>
      </c>
      <c r="S87" s="2"/>
      <c r="T87" s="6">
        <v>1150</v>
      </c>
      <c r="U87" s="2"/>
      <c r="V87" s="7">
        <f t="shared" si="66"/>
        <v>9.8433621501326711E-4</v>
      </c>
      <c r="W87" s="2"/>
      <c r="X87" s="6">
        <f t="shared" si="67"/>
        <v>-2401.8000000000002</v>
      </c>
      <c r="Y87" s="2"/>
      <c r="Z87" s="7">
        <f t="shared" si="68"/>
        <v>-2.0885217391304352</v>
      </c>
    </row>
    <row r="88" spans="1:26" s="24" customFormat="1" hidden="1" outlineLevel="2" x14ac:dyDescent="0.25">
      <c r="A88" s="27"/>
      <c r="B88" s="11" t="str">
        <f>CONCATENATE("          ", "6248", " - ", "UNIFORMS")</f>
        <v xml:space="preserve">          6248 - UNIFORMS</v>
      </c>
      <c r="C88" s="11"/>
      <c r="D88" s="6"/>
      <c r="E88" s="2"/>
      <c r="F88" s="7">
        <f t="shared" si="61"/>
        <v>0</v>
      </c>
      <c r="G88" s="2"/>
      <c r="H88" s="6"/>
      <c r="I88" s="2"/>
      <c r="J88" s="7">
        <f t="shared" si="62"/>
        <v>0</v>
      </c>
      <c r="K88" s="2"/>
      <c r="L88" s="6">
        <f t="shared" si="63"/>
        <v>0</v>
      </c>
      <c r="M88" s="2"/>
      <c r="N88" s="7">
        <f t="shared" si="64"/>
        <v>0</v>
      </c>
      <c r="O88" s="11"/>
      <c r="P88" s="6">
        <v>134.08000000000001</v>
      </c>
      <c r="Q88" s="2"/>
      <c r="R88" s="7">
        <f t="shared" si="65"/>
        <v>1.8587586320401524E-4</v>
      </c>
      <c r="S88" s="2"/>
      <c r="T88" s="6"/>
      <c r="U88" s="2"/>
      <c r="V88" s="7">
        <f t="shared" si="66"/>
        <v>0</v>
      </c>
      <c r="W88" s="2"/>
      <c r="X88" s="6">
        <f t="shared" si="67"/>
        <v>134.08000000000001</v>
      </c>
      <c r="Y88" s="2"/>
      <c r="Z88" s="7">
        <f t="shared" si="68"/>
        <v>0</v>
      </c>
    </row>
    <row r="89" spans="1:26" s="26" customFormat="1" outlineLevel="1" collapsed="1" x14ac:dyDescent="0.25">
      <c r="A89" s="25"/>
      <c r="B89" s="12" t="str">
        <f>CONCATENATE("     ","Telephone/Data Lines                              ")</f>
        <v xml:space="preserve">     Telephone/Data Lines                              </v>
      </c>
      <c r="C89" s="12"/>
      <c r="D89" s="1">
        <f>SUM(OSRRefD22_16x_0)</f>
        <v>-3.95</v>
      </c>
      <c r="E89" s="1"/>
      <c r="F89" s="5">
        <f t="shared" ref="F89:F96" si="69">IF(D$12=0,0,D89/D$12)</f>
        <v>0</v>
      </c>
      <c r="G89" s="1"/>
      <c r="H89" s="1">
        <f>SUM(OSRRefH22_16x_0)</f>
        <v>50</v>
      </c>
      <c r="I89" s="1"/>
      <c r="J89" s="5">
        <f t="shared" ref="J89:J96" si="70">IF(H$12=0,0,H89/H$12)</f>
        <v>2.2727272727272726E-3</v>
      </c>
      <c r="K89" s="1"/>
      <c r="L89" s="1">
        <f t="shared" ref="L89:L96" si="71">+D89-H89</f>
        <v>-53.95</v>
      </c>
      <c r="M89" s="1"/>
      <c r="N89" s="5">
        <f t="shared" ref="N89:N96" si="72">IF(H89=0,0,L89/H89)</f>
        <v>-1.079</v>
      </c>
      <c r="O89" s="12"/>
      <c r="P89" s="1">
        <f>SUM(OSRRefP22_16x_0)</f>
        <v>1504.85</v>
      </c>
      <c r="Q89" s="1"/>
      <c r="R89" s="5">
        <f t="shared" ref="R89:R96" si="73">IF(P$12=0,0,P89/P$12)</f>
        <v>2.0861820759439311E-3</v>
      </c>
      <c r="S89" s="1"/>
      <c r="T89" s="1">
        <f>SUM(OSRRefT22_16x_0)</f>
        <v>600</v>
      </c>
      <c r="U89" s="1"/>
      <c r="V89" s="5">
        <f t="shared" ref="V89:V96" si="74">IF(T$12=0,0,T89/T$12)</f>
        <v>5.1356672087648722E-4</v>
      </c>
      <c r="W89" s="1"/>
      <c r="X89" s="1">
        <f t="shared" ref="X89:X96" si="75">+P89-T89</f>
        <v>904.84999999999991</v>
      </c>
      <c r="Y89" s="1"/>
      <c r="Z89" s="5">
        <f t="shared" ref="Z89:Z96" si="76">IF(T89=0,0,X89/T89)</f>
        <v>1.5080833333333332</v>
      </c>
    </row>
    <row r="90" spans="1:26" s="24" customFormat="1" hidden="1" outlineLevel="2" x14ac:dyDescent="0.25">
      <c r="A90" s="27"/>
      <c r="B90" s="11" t="str">
        <f>CONCATENATE("          ", "6309", " - ", "TELEPHONE")</f>
        <v xml:space="preserve">          6309 - TELEPHONE</v>
      </c>
      <c r="C90" s="11"/>
      <c r="D90" s="6">
        <v>-3.95</v>
      </c>
      <c r="E90" s="2"/>
      <c r="F90" s="7">
        <f t="shared" si="69"/>
        <v>0</v>
      </c>
      <c r="G90" s="2"/>
      <c r="H90" s="6">
        <v>50</v>
      </c>
      <c r="I90" s="2"/>
      <c r="J90" s="7">
        <f t="shared" si="70"/>
        <v>2.2727272727272726E-3</v>
      </c>
      <c r="K90" s="2"/>
      <c r="L90" s="6">
        <f t="shared" si="71"/>
        <v>-53.95</v>
      </c>
      <c r="M90" s="2"/>
      <c r="N90" s="7">
        <f t="shared" si="72"/>
        <v>-1.079</v>
      </c>
      <c r="O90" s="11"/>
      <c r="P90" s="6">
        <v>1504.85</v>
      </c>
      <c r="Q90" s="2"/>
      <c r="R90" s="7">
        <f t="shared" si="73"/>
        <v>2.0861820759439311E-3</v>
      </c>
      <c r="S90" s="2"/>
      <c r="T90" s="6">
        <v>600</v>
      </c>
      <c r="U90" s="2"/>
      <c r="V90" s="7">
        <f t="shared" si="74"/>
        <v>5.1356672087648722E-4</v>
      </c>
      <c r="W90" s="2"/>
      <c r="X90" s="6">
        <f t="shared" si="75"/>
        <v>904.84999999999991</v>
      </c>
      <c r="Y90" s="2"/>
      <c r="Z90" s="7">
        <f t="shared" si="76"/>
        <v>1.5080833333333332</v>
      </c>
    </row>
    <row r="91" spans="1:26" s="26" customFormat="1" outlineLevel="1" collapsed="1" x14ac:dyDescent="0.25">
      <c r="A91" s="25"/>
      <c r="B91" s="12" t="str">
        <f>CONCATENATE("     ","Training                                          ")</f>
        <v xml:space="preserve">     Training                                          </v>
      </c>
      <c r="C91" s="12"/>
      <c r="D91" s="1">
        <f>SUM(OSRRefD22_17x_0)</f>
        <v>0</v>
      </c>
      <c r="E91" s="1"/>
      <c r="F91" s="5">
        <f t="shared" si="69"/>
        <v>0</v>
      </c>
      <c r="G91" s="1"/>
      <c r="H91" s="1">
        <f>SUM(OSRRefH22_17x_0)</f>
        <v>0</v>
      </c>
      <c r="I91" s="1"/>
      <c r="J91" s="5">
        <f t="shared" si="70"/>
        <v>0</v>
      </c>
      <c r="K91" s="1"/>
      <c r="L91" s="1">
        <f t="shared" si="71"/>
        <v>0</v>
      </c>
      <c r="M91" s="1"/>
      <c r="N91" s="5">
        <f t="shared" si="72"/>
        <v>0</v>
      </c>
      <c r="O91" s="12"/>
      <c r="P91" s="1">
        <f>SUM(OSRRefP22_17x_0)</f>
        <v>585.65</v>
      </c>
      <c r="Q91" s="1"/>
      <c r="R91" s="5">
        <f t="shared" si="73"/>
        <v>8.1188991113836147E-4</v>
      </c>
      <c r="S91" s="1"/>
      <c r="T91" s="1">
        <f>SUM(OSRRefT22_17x_0)</f>
        <v>1000</v>
      </c>
      <c r="U91" s="1"/>
      <c r="V91" s="5">
        <f t="shared" si="74"/>
        <v>8.5594453479414536E-4</v>
      </c>
      <c r="W91" s="1"/>
      <c r="X91" s="1">
        <f t="shared" si="75"/>
        <v>-414.35</v>
      </c>
      <c r="Y91" s="1"/>
      <c r="Z91" s="5">
        <f t="shared" si="76"/>
        <v>-0.41435</v>
      </c>
    </row>
    <row r="92" spans="1:26" s="24" customFormat="1" hidden="1" outlineLevel="2" x14ac:dyDescent="0.25">
      <c r="A92" s="27"/>
      <c r="B92" s="11" t="str">
        <f>CONCATENATE("          ", "6376", " - ", "TRAINING")</f>
        <v xml:space="preserve">          6376 - TRAINING</v>
      </c>
      <c r="C92" s="11"/>
      <c r="D92" s="6"/>
      <c r="E92" s="2"/>
      <c r="F92" s="7">
        <f t="shared" si="69"/>
        <v>0</v>
      </c>
      <c r="G92" s="2"/>
      <c r="H92" s="6"/>
      <c r="I92" s="2"/>
      <c r="J92" s="7">
        <f t="shared" si="70"/>
        <v>0</v>
      </c>
      <c r="K92" s="2"/>
      <c r="L92" s="6">
        <f t="shared" si="71"/>
        <v>0</v>
      </c>
      <c r="M92" s="2"/>
      <c r="N92" s="7">
        <f t="shared" si="72"/>
        <v>0</v>
      </c>
      <c r="O92" s="11"/>
      <c r="P92" s="6">
        <v>585.65</v>
      </c>
      <c r="Q92" s="2"/>
      <c r="R92" s="7">
        <f t="shared" si="73"/>
        <v>8.1188991113836147E-4</v>
      </c>
      <c r="S92" s="2"/>
      <c r="T92" s="6">
        <v>1000</v>
      </c>
      <c r="U92" s="2"/>
      <c r="V92" s="7">
        <f t="shared" si="74"/>
        <v>8.5594453479414536E-4</v>
      </c>
      <c r="W92" s="2"/>
      <c r="X92" s="6">
        <f t="shared" si="75"/>
        <v>-414.35</v>
      </c>
      <c r="Y92" s="2"/>
      <c r="Z92" s="7">
        <f t="shared" si="76"/>
        <v>-0.41435</v>
      </c>
    </row>
    <row r="93" spans="1:26" s="26" customFormat="1" outlineLevel="1" collapsed="1" x14ac:dyDescent="0.25">
      <c r="A93" s="25"/>
      <c r="B93" s="12" t="str">
        <f>CONCATENATE("     ","Travel                                            ")</f>
        <v xml:space="preserve">     Travel                                            </v>
      </c>
      <c r="C93" s="12"/>
      <c r="D93" s="1">
        <f>SUM(OSRRefD22_18x_0)</f>
        <v>0</v>
      </c>
      <c r="E93" s="1"/>
      <c r="F93" s="5">
        <f t="shared" si="69"/>
        <v>0</v>
      </c>
      <c r="G93" s="1"/>
      <c r="H93" s="1">
        <f>SUM(OSRRefH22_18x_0)</f>
        <v>0</v>
      </c>
      <c r="I93" s="1"/>
      <c r="J93" s="5">
        <f t="shared" si="70"/>
        <v>0</v>
      </c>
      <c r="K93" s="1"/>
      <c r="L93" s="1">
        <f t="shared" si="71"/>
        <v>0</v>
      </c>
      <c r="M93" s="1"/>
      <c r="N93" s="5">
        <f t="shared" si="72"/>
        <v>0</v>
      </c>
      <c r="O93" s="12"/>
      <c r="P93" s="1">
        <f>SUM(OSRRefP22_18x_0)</f>
        <v>0</v>
      </c>
      <c r="Q93" s="1"/>
      <c r="R93" s="5">
        <f t="shared" si="73"/>
        <v>0</v>
      </c>
      <c r="S93" s="1"/>
      <c r="T93" s="1">
        <f>SUM(OSRRefT22_18x_0)</f>
        <v>1000</v>
      </c>
      <c r="U93" s="1"/>
      <c r="V93" s="5">
        <f t="shared" si="74"/>
        <v>8.5594453479414536E-4</v>
      </c>
      <c r="W93" s="1"/>
      <c r="X93" s="1">
        <f t="shared" si="75"/>
        <v>-1000</v>
      </c>
      <c r="Y93" s="1"/>
      <c r="Z93" s="5">
        <f t="shared" si="76"/>
        <v>-1</v>
      </c>
    </row>
    <row r="94" spans="1:26" s="24" customFormat="1" hidden="1" outlineLevel="2" x14ac:dyDescent="0.25">
      <c r="A94" s="27"/>
      <c r="B94" s="11" t="str">
        <f>CONCATENATE("          ", "6292", " - ", "TRAVEL/CONFERENCE")</f>
        <v xml:space="preserve">          6292 - TRAVEL/CONFERENCE</v>
      </c>
      <c r="C94" s="11"/>
      <c r="D94" s="6"/>
      <c r="E94" s="2"/>
      <c r="F94" s="7">
        <f t="shared" si="69"/>
        <v>0</v>
      </c>
      <c r="G94" s="2"/>
      <c r="H94" s="6"/>
      <c r="I94" s="2"/>
      <c r="J94" s="7">
        <f t="shared" si="70"/>
        <v>0</v>
      </c>
      <c r="K94" s="2"/>
      <c r="L94" s="6">
        <f t="shared" si="71"/>
        <v>0</v>
      </c>
      <c r="M94" s="2"/>
      <c r="N94" s="7">
        <f t="shared" si="72"/>
        <v>0</v>
      </c>
      <c r="O94" s="11"/>
      <c r="P94" s="6"/>
      <c r="Q94" s="2"/>
      <c r="R94" s="7">
        <f t="shared" si="73"/>
        <v>0</v>
      </c>
      <c r="S94" s="2"/>
      <c r="T94" s="6">
        <v>1000</v>
      </c>
      <c r="U94" s="2"/>
      <c r="V94" s="7">
        <f t="shared" si="74"/>
        <v>8.5594453479414536E-4</v>
      </c>
      <c r="W94" s="2"/>
      <c r="X94" s="6">
        <f t="shared" si="75"/>
        <v>-1000</v>
      </c>
      <c r="Y94" s="2"/>
      <c r="Z94" s="7">
        <f t="shared" si="76"/>
        <v>-1</v>
      </c>
    </row>
    <row r="95" spans="1:26" s="26" customFormat="1" outlineLevel="1" collapsed="1" x14ac:dyDescent="0.25">
      <c r="A95" s="25"/>
      <c r="B95" s="12" t="str">
        <f>CONCATENATE("     ","Utilities                                         ")</f>
        <v xml:space="preserve">     Utilities                                         </v>
      </c>
      <c r="C95" s="12"/>
      <c r="D95" s="1">
        <f>SUM(OSRRefD22_19x_0)</f>
        <v>348</v>
      </c>
      <c r="E95" s="1"/>
      <c r="F95" s="5">
        <f t="shared" si="69"/>
        <v>0</v>
      </c>
      <c r="G95" s="1"/>
      <c r="H95" s="1">
        <f>SUM(OSRRefH22_19x_0)</f>
        <v>350</v>
      </c>
      <c r="I95" s="1"/>
      <c r="J95" s="5">
        <f t="shared" si="70"/>
        <v>1.5909090909090907E-2</v>
      </c>
      <c r="K95" s="1"/>
      <c r="L95" s="1">
        <f t="shared" si="71"/>
        <v>-2</v>
      </c>
      <c r="M95" s="1"/>
      <c r="N95" s="5">
        <f t="shared" si="72"/>
        <v>-5.7142857142857143E-3</v>
      </c>
      <c r="O95" s="12"/>
      <c r="P95" s="1">
        <f>SUM(OSRRefP22_19x_0)</f>
        <v>4172</v>
      </c>
      <c r="Q95" s="1"/>
      <c r="R95" s="5">
        <f t="shared" si="73"/>
        <v>5.7836672232036961E-3</v>
      </c>
      <c r="S95" s="1"/>
      <c r="T95" s="1">
        <f>SUM(OSRRefT22_19x_0)</f>
        <v>4200</v>
      </c>
      <c r="U95" s="1"/>
      <c r="V95" s="5">
        <f t="shared" si="74"/>
        <v>3.5949670461354103E-3</v>
      </c>
      <c r="W95" s="1"/>
      <c r="X95" s="1">
        <f t="shared" si="75"/>
        <v>-28</v>
      </c>
      <c r="Y95" s="1"/>
      <c r="Z95" s="5">
        <f t="shared" si="76"/>
        <v>-6.6666666666666671E-3</v>
      </c>
    </row>
    <row r="96" spans="1:26" s="24" customFormat="1" hidden="1" outlineLevel="2" x14ac:dyDescent="0.25">
      <c r="A96" s="27"/>
      <c r="B96" s="11" t="str">
        <f>CONCATENATE("          ", "6274", " - ", "UTILITIES")</f>
        <v xml:space="preserve">          6274 - UTILITIES</v>
      </c>
      <c r="C96" s="11"/>
      <c r="D96" s="6">
        <v>348</v>
      </c>
      <c r="E96" s="2"/>
      <c r="F96" s="7">
        <f t="shared" si="69"/>
        <v>0</v>
      </c>
      <c r="G96" s="2"/>
      <c r="H96" s="6">
        <v>350</v>
      </c>
      <c r="I96" s="2"/>
      <c r="J96" s="7">
        <f t="shared" si="70"/>
        <v>1.5909090909090907E-2</v>
      </c>
      <c r="K96" s="2"/>
      <c r="L96" s="6">
        <f t="shared" si="71"/>
        <v>-2</v>
      </c>
      <c r="M96" s="2"/>
      <c r="N96" s="7">
        <f t="shared" si="72"/>
        <v>-5.7142857142857143E-3</v>
      </c>
      <c r="O96" s="11"/>
      <c r="P96" s="6">
        <v>4172</v>
      </c>
      <c r="Q96" s="2"/>
      <c r="R96" s="7">
        <f t="shared" si="73"/>
        <v>5.7836672232036961E-3</v>
      </c>
      <c r="S96" s="2"/>
      <c r="T96" s="6">
        <v>4200</v>
      </c>
      <c r="U96" s="2"/>
      <c r="V96" s="7">
        <f t="shared" si="74"/>
        <v>3.5949670461354103E-3</v>
      </c>
      <c r="W96" s="2"/>
      <c r="X96" s="6">
        <f t="shared" si="75"/>
        <v>-28</v>
      </c>
      <c r="Y96" s="2"/>
      <c r="Z96" s="7">
        <f t="shared" si="76"/>
        <v>-6.6666666666666671E-3</v>
      </c>
    </row>
    <row r="97" spans="1:26" s="60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8" t="s">
        <v>0</v>
      </c>
      <c r="C98" s="10"/>
      <c r="D98" s="4">
        <f>SUM(0)</f>
        <v>0</v>
      </c>
      <c r="E98" s="4"/>
      <c r="F98" s="13">
        <f>IF(D$12=0,0,D98/D$12)</f>
        <v>0</v>
      </c>
      <c r="G98" s="4"/>
      <c r="H98" s="4">
        <f>SUM(0)</f>
        <v>0</v>
      </c>
      <c r="I98" s="4"/>
      <c r="J98" s="13">
        <f>IF(H$12=0,0,H98/H$12)</f>
        <v>0</v>
      </c>
      <c r="K98" s="4"/>
      <c r="L98" s="4">
        <f>+D98-H98</f>
        <v>0</v>
      </c>
      <c r="M98" s="4"/>
      <c r="N98" s="13">
        <f>IF(H98=0,0,L98/H98)</f>
        <v>0</v>
      </c>
      <c r="O98" s="10"/>
      <c r="P98" s="4">
        <f>SUM(0)</f>
        <v>0</v>
      </c>
      <c r="Q98" s="4"/>
      <c r="R98" s="13">
        <f>IF(P$12=0,0,P98/P$12)</f>
        <v>0</v>
      </c>
      <c r="S98" s="4"/>
      <c r="T98" s="4">
        <f>SUM(0)</f>
        <v>0</v>
      </c>
      <c r="U98" s="4"/>
      <c r="V98" s="13">
        <f>IF(T$12=0,0,T98/T$12)</f>
        <v>0</v>
      </c>
      <c r="W98" s="4"/>
      <c r="X98" s="4">
        <f>+P98-T98</f>
        <v>0</v>
      </c>
      <c r="Y98" s="4"/>
      <c r="Z98" s="13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9" t="s">
        <v>3</v>
      </c>
      <c r="C100" s="29"/>
      <c r="D100" s="22">
        <f>+D22-D24+D98</f>
        <v>-16929.939999999999</v>
      </c>
      <c r="E100" s="14"/>
      <c r="F100" s="20">
        <f>IF(D$12=0,0,D100/D$12)</f>
        <v>0</v>
      </c>
      <c r="G100" s="14"/>
      <c r="H100" s="22">
        <f>+H22-H24+H98</f>
        <v>-14813.505908000006</v>
      </c>
      <c r="I100" s="14"/>
      <c r="J100" s="20">
        <f>IF(H$12=0,0,H100/H$12)</f>
        <v>-0.67334117763636392</v>
      </c>
      <c r="K100" s="15"/>
      <c r="L100" s="22">
        <f>+D100-H100</f>
        <v>-2116.4340919999922</v>
      </c>
      <c r="M100" s="15"/>
      <c r="N100" s="20">
        <f>IF(H100=0,0,L100/H100)</f>
        <v>0.14287192411737021</v>
      </c>
      <c r="O100" s="28"/>
      <c r="P100" s="22">
        <f>+P22-P24+P98</f>
        <v>-116061.29999999993</v>
      </c>
      <c r="Q100" s="14"/>
      <c r="R100" s="20">
        <f>IF(P$12=0,0,P100/P$12)</f>
        <v>-0.16089643736634965</v>
      </c>
      <c r="S100" s="14"/>
      <c r="T100" s="22">
        <f>+T22-T24+T98</f>
        <v>151946.00642959995</v>
      </c>
      <c r="U100" s="14"/>
      <c r="V100" s="20">
        <f>IF(T$12=0,0,T100/T$12)</f>
        <v>0.13005735378721214</v>
      </c>
      <c r="W100" s="15"/>
      <c r="X100" s="22">
        <f>+P100-T100</f>
        <v>-268007.30642959988</v>
      </c>
      <c r="Y100" s="15"/>
      <c r="Z100" s="20">
        <f>IF(T100=0,0,X100/T100)</f>
        <v>-1.7638325134512423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23817.390000000003</v>
      </c>
      <c r="E102" s="4"/>
      <c r="F102" s="13">
        <f>IF(D$12=0,0,D102/D$12)</f>
        <v>0</v>
      </c>
      <c r="G102" s="4"/>
      <c r="H102" s="4">
        <v>18373</v>
      </c>
      <c r="I102" s="4"/>
      <c r="J102" s="13">
        <f>IF(H$12=0,0,H102/H$12)</f>
        <v>0.83513636363636368</v>
      </c>
      <c r="K102" s="4"/>
      <c r="L102" s="4">
        <f>+D102-H102</f>
        <v>5444.3900000000031</v>
      </c>
      <c r="M102" s="4"/>
      <c r="N102" s="13">
        <f>IF(H102=0,0,L102/H102)</f>
        <v>0.29632558645839019</v>
      </c>
      <c r="O102" s="10"/>
      <c r="P102" s="4">
        <v>109239.07999999999</v>
      </c>
      <c r="Q102" s="4"/>
      <c r="R102" s="13">
        <f>IF(P$12=0,0,P102/P$12)</f>
        <v>0.15143875515074937</v>
      </c>
      <c r="S102" s="4"/>
      <c r="T102" s="4">
        <v>151144</v>
      </c>
      <c r="U102" s="4"/>
      <c r="V102" s="13">
        <f>IF(T$12=0,0,T102/T$12)</f>
        <v>0.12937088076692629</v>
      </c>
      <c r="W102" s="4"/>
      <c r="X102" s="4">
        <f>+P102-T102</f>
        <v>-41904.920000000013</v>
      </c>
      <c r="Y102" s="4"/>
      <c r="Z102" s="13">
        <f>IF(T102=0,0,X102/T102)</f>
        <v>-0.27725162758693706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4</v>
      </c>
      <c r="C104" s="29"/>
      <c r="D104" s="31">
        <f>+D100-D102</f>
        <v>-40747.33</v>
      </c>
      <c r="E104" s="14"/>
      <c r="F104" s="33">
        <f>IF(D$12=0,0,D104/D$12)</f>
        <v>0</v>
      </c>
      <c r="G104" s="14"/>
      <c r="H104" s="31">
        <f>+H100-H102</f>
        <v>-33186.505908000006</v>
      </c>
      <c r="I104" s="14"/>
      <c r="J104" s="33">
        <f>IF(H$12=0,0,H104/H$12)</f>
        <v>-1.5084775412727276</v>
      </c>
      <c r="K104" s="15"/>
      <c r="L104" s="31">
        <f>D104-H104</f>
        <v>-7560.8240919999953</v>
      </c>
      <c r="M104" s="15"/>
      <c r="N104" s="33">
        <f>IF(H104=0,0,L104/H104)</f>
        <v>0.22782826589096769</v>
      </c>
      <c r="O104" s="28"/>
      <c r="P104" s="31">
        <f>+P100-P102</f>
        <v>-225300.37999999992</v>
      </c>
      <c r="Q104" s="14"/>
      <c r="R104" s="33">
        <f>IF(P$12=0,0,P104/P$12)</f>
        <v>-0.31233519251709901</v>
      </c>
      <c r="S104" s="14"/>
      <c r="T104" s="31">
        <f>+T100-T102</f>
        <v>802.0064295999473</v>
      </c>
      <c r="U104" s="14"/>
      <c r="V104" s="33">
        <f>IF(T$12=0,0,T104/T$12)</f>
        <v>6.8647302028584033E-4</v>
      </c>
      <c r="W104" s="15"/>
      <c r="X104" s="31">
        <f>P104-T104</f>
        <v>-226102.38642959986</v>
      </c>
      <c r="Y104" s="15"/>
      <c r="Z104" s="33">
        <f>IF(T104=0,0,X104/T104)</f>
        <v>-281.9209149512468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5</v>
      </c>
      <c r="C107" s="29"/>
      <c r="D107" s="34">
        <f>SUM(D104:D106)</f>
        <v>-40747.33</v>
      </c>
      <c r="E107" s="14"/>
      <c r="F107" s="35">
        <f>IF(D$12=0,0,D107/D$12)</f>
        <v>0</v>
      </c>
      <c r="G107" s="14"/>
      <c r="H107" s="34">
        <f>SUM(H104:H106)</f>
        <v>-33186.505908000006</v>
      </c>
      <c r="I107" s="14"/>
      <c r="J107" s="35">
        <f>IF(H$12=0,0,H107/H$12)</f>
        <v>-1.5084775412727276</v>
      </c>
      <c r="K107" s="15"/>
      <c r="L107" s="34">
        <f>+D107-H107</f>
        <v>-7560.8240919999953</v>
      </c>
      <c r="M107" s="15"/>
      <c r="N107" s="35">
        <f>IF(H107=0,0,L107/H107)</f>
        <v>0.22782826589096769</v>
      </c>
      <c r="O107" s="28"/>
      <c r="P107" s="34">
        <f>SUM(P104:P106)</f>
        <v>-225300.37999999992</v>
      </c>
      <c r="Q107" s="14"/>
      <c r="R107" s="35">
        <f>IF(P$12=0,0,P107/P$12)</f>
        <v>-0.31233519251709901</v>
      </c>
      <c r="S107" s="14"/>
      <c r="T107" s="34">
        <f>SUM(T104:T106)</f>
        <v>802.0064295999473</v>
      </c>
      <c r="U107" s="14"/>
      <c r="V107" s="35">
        <f>IF(T$12=0,0,T107/T$12)</f>
        <v>6.8647302028584033E-4</v>
      </c>
      <c r="W107" s="15"/>
      <c r="X107" s="34">
        <f>+P107-T107</f>
        <v>-226102.38642959986</v>
      </c>
      <c r="Y107" s="15"/>
      <c r="Z107" s="35">
        <f>IF(T107=0,0,X107/T107)</f>
        <v>-281.9209149512468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5">
        <v>44043.473666400459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62" t="s">
        <v>314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63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","406", " - ", "OPA! Greek")</f>
        <v>Department 406 - OPA! Greek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6" si="0">+D12-H12</f>
        <v>0</v>
      </c>
      <c r="M12" s="4"/>
      <c r="N12" s="13">
        <f t="shared" ref="N12:N16" si="1">IF(H12=0,0,L12/H12)</f>
        <v>0</v>
      </c>
      <c r="O12" s="10"/>
      <c r="P12" s="4">
        <f>SUM(OSRRefP13x_0)</f>
        <v>189965.58000000002</v>
      </c>
      <c r="Q12" s="4"/>
      <c r="R12" s="13"/>
      <c r="S12" s="4"/>
      <c r="T12" s="4">
        <f>SUM(OSRRefT13x_0)</f>
        <v>402000</v>
      </c>
      <c r="U12" s="4"/>
      <c r="V12" s="13"/>
      <c r="W12" s="4"/>
      <c r="X12" s="4">
        <f t="shared" ref="X12:X16" si="2">+P12-T12</f>
        <v>-212034.41999999998</v>
      </c>
      <c r="Y12" s="4"/>
      <c r="Z12" s="13">
        <f t="shared" ref="Z12:Z16" si="3">IF(T12=0,0,X12/T12)</f>
        <v>-0.5274488059701492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60000</v>
      </c>
      <c r="U13" s="2"/>
      <c r="V13" s="19"/>
      <c r="W13" s="2"/>
      <c r="X13" s="2">
        <f t="shared" si="2"/>
        <v>-60000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--43841.85</f>
        <v>43841.85</v>
      </c>
      <c r="Q14" s="2"/>
      <c r="R14" s="19"/>
      <c r="S14" s="2"/>
      <c r="T14" s="2"/>
      <c r="U14" s="2"/>
      <c r="V14" s="19"/>
      <c r="W14" s="2"/>
      <c r="X14" s="2">
        <f t="shared" si="2"/>
        <v>43841.85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342000</v>
      </c>
      <c r="U15" s="2"/>
      <c r="V15" s="19"/>
      <c r="W15" s="2"/>
      <c r="X15" s="2">
        <f t="shared" si="2"/>
        <v>-342000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--146123.73</f>
        <v>146123.73000000001</v>
      </c>
      <c r="Q16" s="2"/>
      <c r="R16" s="19"/>
      <c r="S16" s="2"/>
      <c r="T16" s="2"/>
      <c r="U16" s="2"/>
      <c r="V16" s="19"/>
      <c r="W16" s="2"/>
      <c r="X16" s="2">
        <f t="shared" si="2"/>
        <v>146123.73000000001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3474</v>
      </c>
      <c r="E18" s="4"/>
      <c r="F18" s="13">
        <f t="shared" ref="F18:F21" si="5">IF(D$12=0,0,D18/D$12)</f>
        <v>0</v>
      </c>
      <c r="G18" s="4"/>
      <c r="H18" s="4">
        <f>SUM(OSRRefH16x_0)</f>
        <v>0</v>
      </c>
      <c r="I18" s="4"/>
      <c r="J18" s="13">
        <f t="shared" ref="J18:J21" si="6">IF(H$12=0,0,H18/H$12)</f>
        <v>0</v>
      </c>
      <c r="K18" s="4"/>
      <c r="L18" s="4">
        <f t="shared" ref="L18:L21" si="7">+D18-H18</f>
        <v>3474</v>
      </c>
      <c r="M18" s="4"/>
      <c r="N18" s="13">
        <f t="shared" ref="N18:N21" si="8">IF(H18=0,0,L18/H18)</f>
        <v>0</v>
      </c>
      <c r="O18" s="10"/>
      <c r="P18" s="4">
        <f>SUM(OSRRefP16x_0)</f>
        <v>74645.56</v>
      </c>
      <c r="Q18" s="4"/>
      <c r="R18" s="13">
        <f t="shared" ref="R18:R21" si="9">IF(P$12=0,0,P18/P$12)</f>
        <v>0.39294255306671866</v>
      </c>
      <c r="S18" s="4"/>
      <c r="T18" s="4">
        <f>SUM(OSRRefT16x_0)</f>
        <v>128640</v>
      </c>
      <c r="U18" s="4"/>
      <c r="V18" s="13">
        <f t="shared" ref="V18:V21" si="10">IF(T$12=0,0,T18/T$12)</f>
        <v>0.32</v>
      </c>
      <c r="W18" s="4"/>
      <c r="X18" s="4">
        <f t="shared" ref="X18:X21" si="11">+P18-T18</f>
        <v>-53994.44</v>
      </c>
      <c r="Y18" s="4"/>
      <c r="Z18" s="13">
        <f t="shared" ref="Z18:Z21" si="12">IF(T18=0,0,X18/T18)</f>
        <v>-0.41973289800995028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/>
      <c r="Q19" s="2"/>
      <c r="R19" s="19">
        <f t="shared" si="9"/>
        <v>0</v>
      </c>
      <c r="S19" s="2"/>
      <c r="T19" s="2">
        <v>128640</v>
      </c>
      <c r="U19" s="2"/>
      <c r="V19" s="19">
        <f t="shared" si="10"/>
        <v>0.32</v>
      </c>
      <c r="W19" s="2"/>
      <c r="X19" s="2">
        <f t="shared" si="11"/>
        <v>-128640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69616.179999999993</v>
      </c>
      <c r="Q20" s="2"/>
      <c r="R20" s="19">
        <f t="shared" si="9"/>
        <v>0.36646733581946783</v>
      </c>
      <c r="S20" s="2"/>
      <c r="T20" s="2"/>
      <c r="U20" s="2"/>
      <c r="V20" s="19">
        <f t="shared" si="10"/>
        <v>0</v>
      </c>
      <c r="W20" s="2"/>
      <c r="X20" s="2">
        <f t="shared" si="11"/>
        <v>69616.179999999993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3474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3474</v>
      </c>
      <c r="M21" s="2"/>
      <c r="N21" s="19">
        <f t="shared" si="8"/>
        <v>0</v>
      </c>
      <c r="O21" s="11"/>
      <c r="P21" s="2">
        <v>5029.38</v>
      </c>
      <c r="Q21" s="2"/>
      <c r="R21" s="19">
        <f t="shared" si="9"/>
        <v>2.6475217247250788E-2</v>
      </c>
      <c r="S21" s="2"/>
      <c r="T21" s="2"/>
      <c r="U21" s="2"/>
      <c r="V21" s="19">
        <f t="shared" si="10"/>
        <v>0</v>
      </c>
      <c r="W21" s="2"/>
      <c r="X21" s="2">
        <f t="shared" si="11"/>
        <v>5029.38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-3474</v>
      </c>
      <c r="E23" s="14"/>
      <c r="F23" s="20">
        <f>IF(D$12=0,0,D23/D$12)</f>
        <v>0</v>
      </c>
      <c r="G23" s="14"/>
      <c r="H23" s="22">
        <f>H12-H18</f>
        <v>0</v>
      </c>
      <c r="I23" s="14"/>
      <c r="J23" s="20">
        <f>IF(H$12=0,0,H23/H$12)</f>
        <v>0</v>
      </c>
      <c r="K23" s="15"/>
      <c r="L23" s="22">
        <f>+D23-H23</f>
        <v>-3474</v>
      </c>
      <c r="M23" s="15"/>
      <c r="N23" s="20">
        <f>IF(H23=0,0,L23/H23)</f>
        <v>0</v>
      </c>
      <c r="O23" s="28"/>
      <c r="P23" s="22">
        <f>P12-P18</f>
        <v>115320.02000000002</v>
      </c>
      <c r="Q23" s="14"/>
      <c r="R23" s="20">
        <f>IF(P$12=0,0,P23/P$12)</f>
        <v>0.60705744693328134</v>
      </c>
      <c r="S23" s="14"/>
      <c r="T23" s="22">
        <f>T12-T18</f>
        <v>273360</v>
      </c>
      <c r="U23" s="14"/>
      <c r="V23" s="20">
        <f>IF(T$12=0,0,T23/T$12)</f>
        <v>0.68</v>
      </c>
      <c r="W23" s="15"/>
      <c r="X23" s="22">
        <f>+P23-T23</f>
        <v>-158039.97999999998</v>
      </c>
      <c r="Y23" s="15"/>
      <c r="Z23" s="20">
        <f>IF(T23=0,0,X23/T23)</f>
        <v>-0.57813864501024281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620.99999999999989</v>
      </c>
      <c r="E25" s="21"/>
      <c r="F25" s="32">
        <f t="shared" ref="F25:F35" si="13">IF(D$12=0,0,D25/D$12)</f>
        <v>0</v>
      </c>
      <c r="G25" s="21"/>
      <c r="H25" s="21">
        <f>SUM(OSRRefH22x_0)</f>
        <v>9195.1330999999973</v>
      </c>
      <c r="I25" s="21"/>
      <c r="J25" s="32">
        <f t="shared" ref="J25:J35" si="14">IF(H$12=0,0,H25/H$12)</f>
        <v>0</v>
      </c>
      <c r="K25" s="4"/>
      <c r="L25" s="21">
        <f t="shared" ref="L25:L35" si="15">+D25-H25</f>
        <v>-8574.1330999999973</v>
      </c>
      <c r="M25" s="4"/>
      <c r="N25" s="32">
        <f t="shared" ref="N25:N35" si="16">IF(H25=0,0,L25/H25)</f>
        <v>-0.93246427286626221</v>
      </c>
      <c r="O25" s="10"/>
      <c r="P25" s="21">
        <f>SUM(OSRRefP22x_0)</f>
        <v>186226.26000000007</v>
      </c>
      <c r="Q25" s="21"/>
      <c r="R25" s="32">
        <f t="shared" ref="R25:R35" si="17">IF(P$12=0,0,P25/P$12)</f>
        <v>0.98031580247326933</v>
      </c>
      <c r="S25" s="21"/>
      <c r="T25" s="21">
        <f>SUM(OSRRefT22x_0)</f>
        <v>210014.25768720001</v>
      </c>
      <c r="U25" s="21"/>
      <c r="V25" s="32">
        <f t="shared" ref="V25:V35" si="18">IF(T$12=0,0,T25/T$12)</f>
        <v>0.52242352658507463</v>
      </c>
      <c r="W25" s="4"/>
      <c r="X25" s="21">
        <f t="shared" ref="X25:X35" si="19">+P25-T25</f>
        <v>-23787.997687199939</v>
      </c>
      <c r="Y25" s="4"/>
      <c r="Z25" s="32">
        <f t="shared" ref="Z25:Z35" si="20">IF(T25=0,0,X25/T25)</f>
        <v>-0.11326848924052729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341.15999999999997</v>
      </c>
      <c r="E26" s="1"/>
      <c r="F26" s="5">
        <f t="shared" si="13"/>
        <v>0</v>
      </c>
      <c r="G26" s="1"/>
      <c r="H26" s="1">
        <f>SUM(OSRRefH22_0x_0)</f>
        <v>1522.5946384615379</v>
      </c>
      <c r="I26" s="1"/>
      <c r="J26" s="5">
        <f t="shared" si="14"/>
        <v>0</v>
      </c>
      <c r="K26" s="1"/>
      <c r="L26" s="1">
        <f t="shared" si="15"/>
        <v>-1181.4346384615378</v>
      </c>
      <c r="M26" s="1"/>
      <c r="N26" s="5">
        <f t="shared" si="16"/>
        <v>-0.77593511011918748</v>
      </c>
      <c r="O26" s="12"/>
      <c r="P26" s="1">
        <f>SUM(OSRRefP22_0x_0)</f>
        <v>21100.66</v>
      </c>
      <c r="Q26" s="1"/>
      <c r="R26" s="5">
        <f t="shared" si="17"/>
        <v>0.11107622759870497</v>
      </c>
      <c r="S26" s="1"/>
      <c r="T26" s="1">
        <f>SUM(OSRRefT22_0x_0)</f>
        <v>26427.817687199997</v>
      </c>
      <c r="U26" s="1"/>
      <c r="V26" s="5">
        <f t="shared" si="18"/>
        <v>6.5740840017910446E-2</v>
      </c>
      <c r="W26" s="1"/>
      <c r="X26" s="1">
        <f t="shared" si="19"/>
        <v>-5327.1576871999969</v>
      </c>
      <c r="Y26" s="1"/>
      <c r="Z26" s="5">
        <f t="shared" si="20"/>
        <v>-0.20157387758052164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3"/>
        <v>0</v>
      </c>
      <c r="G27" s="2"/>
      <c r="H27" s="6">
        <v>345.62125384615399</v>
      </c>
      <c r="I27" s="2"/>
      <c r="J27" s="7">
        <f t="shared" si="14"/>
        <v>0</v>
      </c>
      <c r="K27" s="2"/>
      <c r="L27" s="6">
        <f t="shared" si="15"/>
        <v>-345.62125384615399</v>
      </c>
      <c r="M27" s="2"/>
      <c r="N27" s="7">
        <f t="shared" si="16"/>
        <v>-1</v>
      </c>
      <c r="O27" s="11"/>
      <c r="P27" s="6">
        <v>6831.57</v>
      </c>
      <c r="Q27" s="2"/>
      <c r="R27" s="7">
        <f t="shared" si="17"/>
        <v>3.5962146405680434E-2</v>
      </c>
      <c r="S27" s="2"/>
      <c r="T27" s="6">
        <v>6515.5376711999997</v>
      </c>
      <c r="U27" s="2"/>
      <c r="V27" s="7">
        <f t="shared" si="18"/>
        <v>1.6207805152238804E-2</v>
      </c>
      <c r="W27" s="2"/>
      <c r="X27" s="6">
        <f t="shared" si="19"/>
        <v>316.03232879999996</v>
      </c>
      <c r="Y27" s="2"/>
      <c r="Z27" s="7">
        <f t="shared" si="20"/>
        <v>4.8504412797262621E-2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175.22676923076901</v>
      </c>
      <c r="I28" s="2"/>
      <c r="J28" s="7">
        <f t="shared" si="14"/>
        <v>0</v>
      </c>
      <c r="K28" s="2"/>
      <c r="L28" s="6">
        <f t="shared" si="15"/>
        <v>-175.22676923076901</v>
      </c>
      <c r="M28" s="2"/>
      <c r="N28" s="7">
        <f t="shared" si="16"/>
        <v>-1</v>
      </c>
      <c r="O28" s="11"/>
      <c r="P28" s="6">
        <v>4016.54</v>
      </c>
      <c r="Q28" s="2"/>
      <c r="R28" s="7">
        <f t="shared" si="17"/>
        <v>2.1143514525105021E-2</v>
      </c>
      <c r="S28" s="2"/>
      <c r="T28" s="6">
        <v>4865.4982719999998</v>
      </c>
      <c r="U28" s="2"/>
      <c r="V28" s="7">
        <f t="shared" si="18"/>
        <v>1.2103229532338307E-2</v>
      </c>
      <c r="W28" s="2"/>
      <c r="X28" s="6">
        <f t="shared" si="19"/>
        <v>-848.95827199999985</v>
      </c>
      <c r="Y28" s="2"/>
      <c r="Z28" s="7">
        <f t="shared" si="20"/>
        <v>-0.17448537118707663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660.8</v>
      </c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660.8</v>
      </c>
      <c r="M29" s="2"/>
      <c r="N29" s="7">
        <f t="shared" si="16"/>
        <v>0</v>
      </c>
      <c r="O29" s="11"/>
      <c r="P29" s="6">
        <v>2264.3200000000002</v>
      </c>
      <c r="Q29" s="2"/>
      <c r="R29" s="7">
        <f t="shared" si="17"/>
        <v>1.1919633019834435E-2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2264.3200000000002</v>
      </c>
      <c r="Y29" s="2"/>
      <c r="Z29" s="7">
        <f t="shared" si="20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-319.64</v>
      </c>
      <c r="E30" s="2"/>
      <c r="F30" s="7">
        <f t="shared" si="13"/>
        <v>0</v>
      </c>
      <c r="G30" s="2"/>
      <c r="H30" s="6">
        <v>11.742000000000001</v>
      </c>
      <c r="I30" s="2"/>
      <c r="J30" s="7">
        <f t="shared" si="14"/>
        <v>0</v>
      </c>
      <c r="K30" s="2"/>
      <c r="L30" s="6">
        <f t="shared" si="15"/>
        <v>-331.38200000000001</v>
      </c>
      <c r="M30" s="2"/>
      <c r="N30" s="7">
        <f t="shared" si="16"/>
        <v>-28.221938340998125</v>
      </c>
      <c r="O30" s="11"/>
      <c r="P30" s="6">
        <v>0</v>
      </c>
      <c r="Q30" s="2"/>
      <c r="R30" s="7">
        <f t="shared" si="17"/>
        <v>0</v>
      </c>
      <c r="S30" s="2"/>
      <c r="T30" s="6">
        <v>326.038544</v>
      </c>
      <c r="U30" s="2"/>
      <c r="V30" s="7">
        <f t="shared" si="18"/>
        <v>8.1104115422885568E-4</v>
      </c>
      <c r="W30" s="2"/>
      <c r="X30" s="6">
        <f t="shared" si="19"/>
        <v>-326.038544</v>
      </c>
      <c r="Y30" s="2"/>
      <c r="Z30" s="7">
        <f t="shared" si="20"/>
        <v>-1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388.38923076923101</v>
      </c>
      <c r="I31" s="2"/>
      <c r="J31" s="7">
        <f t="shared" si="14"/>
        <v>0</v>
      </c>
      <c r="K31" s="2"/>
      <c r="L31" s="6">
        <f t="shared" si="15"/>
        <v>-388.38923076923101</v>
      </c>
      <c r="M31" s="2"/>
      <c r="N31" s="7">
        <f t="shared" si="16"/>
        <v>-1</v>
      </c>
      <c r="O31" s="11"/>
      <c r="P31" s="6">
        <v>2839.06</v>
      </c>
      <c r="Q31" s="2"/>
      <c r="R31" s="7">
        <f t="shared" si="17"/>
        <v>1.4945128480643702E-2</v>
      </c>
      <c r="S31" s="2"/>
      <c r="T31" s="6">
        <v>5049.060000000004</v>
      </c>
      <c r="U31" s="2"/>
      <c r="V31" s="7">
        <f t="shared" si="18"/>
        <v>1.2559850746268668E-2</v>
      </c>
      <c r="W31" s="2"/>
      <c r="X31" s="6">
        <f t="shared" si="19"/>
        <v>-2210.0000000000041</v>
      </c>
      <c r="Y31" s="2"/>
      <c r="Z31" s="7">
        <f t="shared" si="20"/>
        <v>-0.43770523622218838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225.80769230769201</v>
      </c>
      <c r="I33" s="2"/>
      <c r="J33" s="7">
        <f t="shared" si="14"/>
        <v>0</v>
      </c>
      <c r="K33" s="2"/>
      <c r="L33" s="6">
        <f t="shared" si="15"/>
        <v>-225.80769230769201</v>
      </c>
      <c r="M33" s="2"/>
      <c r="N33" s="7">
        <f t="shared" si="16"/>
        <v>-1</v>
      </c>
      <c r="O33" s="11"/>
      <c r="P33" s="6">
        <v>1634.87</v>
      </c>
      <c r="Q33" s="2"/>
      <c r="R33" s="7">
        <f t="shared" si="17"/>
        <v>8.6061380172134331E-3</v>
      </c>
      <c r="S33" s="2"/>
      <c r="T33" s="6">
        <v>2935.4999999999959</v>
      </c>
      <c r="U33" s="2"/>
      <c r="V33" s="7">
        <f t="shared" si="18"/>
        <v>7.3022388059701387E-3</v>
      </c>
      <c r="W33" s="2"/>
      <c r="X33" s="6">
        <f t="shared" si="19"/>
        <v>-1300.629999999996</v>
      </c>
      <c r="Y33" s="2"/>
      <c r="Z33" s="7">
        <f t="shared" si="20"/>
        <v>-0.44306932379492348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225.80769230769201</v>
      </c>
      <c r="I34" s="2"/>
      <c r="J34" s="7">
        <f t="shared" si="14"/>
        <v>0</v>
      </c>
      <c r="K34" s="2"/>
      <c r="L34" s="6">
        <f t="shared" si="15"/>
        <v>-225.80769230769201</v>
      </c>
      <c r="M34" s="2"/>
      <c r="N34" s="7">
        <f t="shared" si="16"/>
        <v>-1</v>
      </c>
      <c r="O34" s="11"/>
      <c r="P34" s="6">
        <v>1996.53</v>
      </c>
      <c r="Q34" s="2"/>
      <c r="R34" s="7">
        <f t="shared" si="17"/>
        <v>1.0509956593189144E-2</v>
      </c>
      <c r="S34" s="2"/>
      <c r="T34" s="6">
        <v>4936.1831999999958</v>
      </c>
      <c r="U34" s="2"/>
      <c r="V34" s="7">
        <f t="shared" si="18"/>
        <v>1.2279062686567154E-2</v>
      </c>
      <c r="W34" s="2"/>
      <c r="X34" s="6">
        <f t="shared" si="19"/>
        <v>-2939.6531999999961</v>
      </c>
      <c r="Y34" s="2"/>
      <c r="Z34" s="7">
        <f t="shared" si="20"/>
        <v>-0.59553162451507036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/>
      <c r="E35" s="2"/>
      <c r="F35" s="7">
        <f t="shared" si="13"/>
        <v>0</v>
      </c>
      <c r="G35" s="2"/>
      <c r="H35" s="6">
        <v>150</v>
      </c>
      <c r="I35" s="2"/>
      <c r="J35" s="7">
        <f t="shared" si="14"/>
        <v>0</v>
      </c>
      <c r="K35" s="2"/>
      <c r="L35" s="6">
        <f t="shared" si="15"/>
        <v>-150</v>
      </c>
      <c r="M35" s="2"/>
      <c r="N35" s="7">
        <f t="shared" si="16"/>
        <v>-1</v>
      </c>
      <c r="O35" s="11"/>
      <c r="P35" s="6">
        <v>1517.77</v>
      </c>
      <c r="Q35" s="2"/>
      <c r="R35" s="7">
        <f t="shared" si="17"/>
        <v>7.9897105570388063E-3</v>
      </c>
      <c r="S35" s="2"/>
      <c r="T35" s="6">
        <v>1800</v>
      </c>
      <c r="U35" s="2"/>
      <c r="V35" s="7">
        <f t="shared" si="18"/>
        <v>4.4776119402985077E-3</v>
      </c>
      <c r="W35" s="2"/>
      <c r="X35" s="6">
        <f t="shared" si="19"/>
        <v>-282.23</v>
      </c>
      <c r="Y35" s="2"/>
      <c r="Z35" s="7">
        <f t="shared" si="20"/>
        <v>-0.15679444444444446</v>
      </c>
    </row>
    <row r="36" spans="1:26" s="26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6" si="21">IF(D$12=0,0,D36/D$12)</f>
        <v>0</v>
      </c>
      <c r="G36" s="1"/>
      <c r="H36" s="1">
        <f>SUM(OSRRefH22_1x_0)</f>
        <v>4064.5384615384596</v>
      </c>
      <c r="I36" s="1"/>
      <c r="J36" s="5">
        <f t="shared" ref="J36:J46" si="22">IF(H$12=0,0,H36/H$12)</f>
        <v>0</v>
      </c>
      <c r="K36" s="1"/>
      <c r="L36" s="1">
        <f t="shared" ref="L36:L46" si="23">+D36-H36</f>
        <v>-4064.5384615384596</v>
      </c>
      <c r="M36" s="1"/>
      <c r="N36" s="5">
        <f t="shared" ref="N36:N46" si="24">IF(H36=0,0,L36/H36)</f>
        <v>-1</v>
      </c>
      <c r="O36" s="12"/>
      <c r="P36" s="1">
        <f>SUM(OSRRefP22_1x_0)</f>
        <v>112168.78</v>
      </c>
      <c r="Q36" s="1"/>
      <c r="R36" s="5">
        <f t="shared" ref="R36:R46" si="25">IF(P$12=0,0,P36/P$12)</f>
        <v>0.59046896811517113</v>
      </c>
      <c r="S36" s="1"/>
      <c r="T36" s="1">
        <f>SUM(OSRRefT22_1x_0)</f>
        <v>119528.44</v>
      </c>
      <c r="U36" s="1"/>
      <c r="V36" s="5">
        <f t="shared" ref="V36:V46" si="26">IF(T$12=0,0,T36/T$12)</f>
        <v>0.29733442786069653</v>
      </c>
      <c r="W36" s="1"/>
      <c r="X36" s="1">
        <f t="shared" ref="X36:X46" si="27">+P36-T36</f>
        <v>-7359.6600000000035</v>
      </c>
      <c r="Y36" s="1"/>
      <c r="Z36" s="5">
        <f t="shared" ref="Z36:Z46" si="28">IF(T36=0,0,X36/T36)</f>
        <v>-6.157245924066275E-2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1"/>
        <v>0</v>
      </c>
      <c r="G37" s="2"/>
      <c r="H37" s="6">
        <v>4064.5384615384596</v>
      </c>
      <c r="I37" s="2"/>
      <c r="J37" s="7">
        <f t="shared" si="22"/>
        <v>0</v>
      </c>
      <c r="K37" s="2"/>
      <c r="L37" s="6">
        <f t="shared" si="23"/>
        <v>-4064.5384615384596</v>
      </c>
      <c r="M37" s="2"/>
      <c r="N37" s="7">
        <f t="shared" si="24"/>
        <v>-1</v>
      </c>
      <c r="O37" s="11"/>
      <c r="P37" s="6"/>
      <c r="Q37" s="2"/>
      <c r="R37" s="7">
        <f t="shared" si="25"/>
        <v>0</v>
      </c>
      <c r="S37" s="2"/>
      <c r="T37" s="6">
        <v>52839</v>
      </c>
      <c r="U37" s="2"/>
      <c r="V37" s="7">
        <f t="shared" si="26"/>
        <v>0.13144029850746269</v>
      </c>
      <c r="W37" s="2"/>
      <c r="X37" s="6">
        <f t="shared" si="27"/>
        <v>-52839</v>
      </c>
      <c r="Y37" s="2"/>
      <c r="Z37" s="7">
        <f t="shared" si="28"/>
        <v>-1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>
        <v>37546.44</v>
      </c>
      <c r="Q38" s="2"/>
      <c r="R38" s="7">
        <f t="shared" si="25"/>
        <v>0.19764864771818136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37546.44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2484.31</v>
      </c>
      <c r="Q40" s="2"/>
      <c r="R40" s="7">
        <f t="shared" si="25"/>
        <v>1.3077684915340978E-2</v>
      </c>
      <c r="S40" s="2"/>
      <c r="T40" s="6">
        <v>26427.040000000001</v>
      </c>
      <c r="U40" s="2"/>
      <c r="V40" s="7">
        <f t="shared" si="26"/>
        <v>6.5738905472636819E-2</v>
      </c>
      <c r="W40" s="2"/>
      <c r="X40" s="6">
        <f t="shared" si="27"/>
        <v>-23942.73</v>
      </c>
      <c r="Y40" s="2"/>
      <c r="Z40" s="7">
        <f t="shared" si="28"/>
        <v>-0.90599363379326625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40119.120000000003</v>
      </c>
      <c r="Q41" s="2"/>
      <c r="R41" s="7">
        <f t="shared" si="25"/>
        <v>0.21119152216943721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40119.120000000003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1294.4100000000001</v>
      </c>
      <c r="Q42" s="2"/>
      <c r="R42" s="7">
        <f t="shared" si="25"/>
        <v>6.8139186056758285E-3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1294.4100000000001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28126.86</v>
      </c>
      <c r="Q43" s="2"/>
      <c r="R43" s="7">
        <f t="shared" si="25"/>
        <v>0.14806292803148866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28126.86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2597.64</v>
      </c>
      <c r="Q44" s="2"/>
      <c r="R44" s="7">
        <f t="shared" si="25"/>
        <v>1.367426667504713E-2</v>
      </c>
      <c r="S44" s="2"/>
      <c r="T44" s="6">
        <v>40262.400000000001</v>
      </c>
      <c r="U44" s="2"/>
      <c r="V44" s="7">
        <f t="shared" si="26"/>
        <v>0.10015522388059701</v>
      </c>
      <c r="W44" s="2"/>
      <c r="X44" s="6">
        <f t="shared" si="27"/>
        <v>-37664.76</v>
      </c>
      <c r="Y44" s="2"/>
      <c r="Z44" s="7">
        <f t="shared" si="28"/>
        <v>-0.93548223652837392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6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55" si="29">IF(D$12=0,0,D47/D$12)</f>
        <v>0</v>
      </c>
      <c r="G47" s="1"/>
      <c r="H47" s="1">
        <f>SUM(OSRRefH22_2x_0)</f>
        <v>0</v>
      </c>
      <c r="I47" s="1"/>
      <c r="J47" s="5">
        <f t="shared" ref="J47:J55" si="30">IF(H$12=0,0,H47/H$12)</f>
        <v>0</v>
      </c>
      <c r="K47" s="1"/>
      <c r="L47" s="1">
        <f t="shared" ref="L47:L55" si="31">+D47-H47</f>
        <v>0</v>
      </c>
      <c r="M47" s="1"/>
      <c r="N47" s="5">
        <f t="shared" ref="N47:N55" si="32">IF(H47=0,0,L47/H47)</f>
        <v>0</v>
      </c>
      <c r="O47" s="12"/>
      <c r="P47" s="1">
        <f>SUM(OSRRefP22_2x_0)</f>
        <v>3228.7</v>
      </c>
      <c r="Q47" s="1"/>
      <c r="R47" s="5">
        <f t="shared" ref="R47:R55" si="33">IF(P$12=0,0,P47/P$12)</f>
        <v>1.6996236897231592E-2</v>
      </c>
      <c r="S47" s="1"/>
      <c r="T47" s="1">
        <f>SUM(OSRRefT22_2x_0)</f>
        <v>2000</v>
      </c>
      <c r="U47" s="1"/>
      <c r="V47" s="5">
        <f t="shared" ref="V47:V55" si="34">IF(T$12=0,0,T47/T$12)</f>
        <v>4.9751243781094526E-3</v>
      </c>
      <c r="W47" s="1"/>
      <c r="X47" s="1">
        <f t="shared" ref="X47:X55" si="35">+P47-T47</f>
        <v>1228.6999999999998</v>
      </c>
      <c r="Y47" s="1"/>
      <c r="Z47" s="5">
        <f t="shared" ref="Z47:Z55" si="36">IF(T47=0,0,X47/T47)</f>
        <v>0.61434999999999995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3228.7</v>
      </c>
      <c r="Q48" s="2"/>
      <c r="R48" s="7">
        <f t="shared" si="33"/>
        <v>1.6996236897231592E-2</v>
      </c>
      <c r="S48" s="2"/>
      <c r="T48" s="6">
        <v>2000</v>
      </c>
      <c r="U48" s="2"/>
      <c r="V48" s="7">
        <f t="shared" si="34"/>
        <v>4.9751243781094526E-3</v>
      </c>
      <c r="W48" s="2"/>
      <c r="X48" s="6">
        <f t="shared" si="35"/>
        <v>1228.6999999999998</v>
      </c>
      <c r="Y48" s="2"/>
      <c r="Z48" s="7">
        <f t="shared" si="36"/>
        <v>0.61434999999999995</v>
      </c>
    </row>
    <row r="49" spans="1:26" s="26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0</v>
      </c>
      <c r="I49" s="1"/>
      <c r="J49" s="5">
        <f t="shared" si="30"/>
        <v>0</v>
      </c>
      <c r="K49" s="1"/>
      <c r="L49" s="1">
        <f t="shared" si="31"/>
        <v>0</v>
      </c>
      <c r="M49" s="1"/>
      <c r="N49" s="5">
        <f t="shared" si="32"/>
        <v>0</v>
      </c>
      <c r="O49" s="12"/>
      <c r="P49" s="1">
        <f>SUM(OSRRefP22_3x_0)</f>
        <v>-42.37</v>
      </c>
      <c r="Q49" s="1"/>
      <c r="R49" s="5">
        <f t="shared" si="33"/>
        <v>-2.2304040553030709E-4</v>
      </c>
      <c r="S49" s="1"/>
      <c r="T49" s="1">
        <f>SUM(OSRRefT22_3x_0)</f>
        <v>250</v>
      </c>
      <c r="U49" s="1"/>
      <c r="V49" s="5">
        <f t="shared" si="34"/>
        <v>6.2189054726368158E-4</v>
      </c>
      <c r="W49" s="1"/>
      <c r="X49" s="1">
        <f t="shared" si="35"/>
        <v>-292.37</v>
      </c>
      <c r="Y49" s="1"/>
      <c r="Z49" s="5">
        <f t="shared" si="36"/>
        <v>-1.1694800000000001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0</v>
      </c>
      <c r="M50" s="2"/>
      <c r="N50" s="7">
        <f t="shared" si="32"/>
        <v>0</v>
      </c>
      <c r="O50" s="11"/>
      <c r="P50" s="6">
        <v>-42.37</v>
      </c>
      <c r="Q50" s="2"/>
      <c r="R50" s="7">
        <f t="shared" si="33"/>
        <v>-2.2304040553030709E-4</v>
      </c>
      <c r="S50" s="2"/>
      <c r="T50" s="6">
        <v>250</v>
      </c>
      <c r="U50" s="2"/>
      <c r="V50" s="7">
        <f t="shared" si="34"/>
        <v>6.2189054726368158E-4</v>
      </c>
      <c r="W50" s="2"/>
      <c r="X50" s="6">
        <f t="shared" si="35"/>
        <v>-292.37</v>
      </c>
      <c r="Y50" s="2"/>
      <c r="Z50" s="7">
        <f t="shared" si="36"/>
        <v>-1.1694800000000001</v>
      </c>
    </row>
    <row r="51" spans="1:26" s="26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2"/>
      <c r="P51" s="1">
        <f>SUM(OSRRefP22_4x_0)</f>
        <v>7084.51</v>
      </c>
      <c r="Q51" s="1"/>
      <c r="R51" s="5">
        <f t="shared" si="33"/>
        <v>3.7293650776103755E-2</v>
      </c>
      <c r="S51" s="1"/>
      <c r="T51" s="1">
        <f>SUM(OSRRefT22_4x_0)</f>
        <v>9062</v>
      </c>
      <c r="U51" s="1"/>
      <c r="V51" s="5">
        <f t="shared" si="34"/>
        <v>2.2542288557213932E-2</v>
      </c>
      <c r="W51" s="1"/>
      <c r="X51" s="1">
        <f t="shared" si="35"/>
        <v>-1977.4899999999998</v>
      </c>
      <c r="Y51" s="1"/>
      <c r="Z51" s="5">
        <f t="shared" si="36"/>
        <v>-0.21821783270801146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7084.51</v>
      </c>
      <c r="Q52" s="2"/>
      <c r="R52" s="7">
        <f t="shared" si="33"/>
        <v>3.7293650776103755E-2</v>
      </c>
      <c r="S52" s="2"/>
      <c r="T52" s="6">
        <v>9062</v>
      </c>
      <c r="U52" s="2"/>
      <c r="V52" s="7">
        <f t="shared" si="34"/>
        <v>2.2542288557213932E-2</v>
      </c>
      <c r="W52" s="2"/>
      <c r="X52" s="6">
        <f t="shared" si="35"/>
        <v>-1977.4899999999998</v>
      </c>
      <c r="Y52" s="2"/>
      <c r="Z52" s="7">
        <f t="shared" si="36"/>
        <v>-0.21821783270801146</v>
      </c>
    </row>
    <row r="53" spans="1:26" s="26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119.53</v>
      </c>
      <c r="E53" s="1"/>
      <c r="F53" s="5">
        <f t="shared" si="29"/>
        <v>0</v>
      </c>
      <c r="G53" s="1"/>
      <c r="H53" s="1">
        <f>SUM(OSRRefH22_5x_0)</f>
        <v>2906</v>
      </c>
      <c r="I53" s="1"/>
      <c r="J53" s="5">
        <f t="shared" si="30"/>
        <v>0</v>
      </c>
      <c r="K53" s="1"/>
      <c r="L53" s="1">
        <f t="shared" si="31"/>
        <v>-2786.47</v>
      </c>
      <c r="M53" s="1"/>
      <c r="N53" s="5">
        <f t="shared" si="32"/>
        <v>-0.95886785960082577</v>
      </c>
      <c r="O53" s="12"/>
      <c r="P53" s="1">
        <f>SUM(OSRRefP22_5x_0)</f>
        <v>25336.48</v>
      </c>
      <c r="Q53" s="1"/>
      <c r="R53" s="5">
        <f t="shared" si="33"/>
        <v>0.13337405650013018</v>
      </c>
      <c r="S53" s="1"/>
      <c r="T53" s="1">
        <f>SUM(OSRRefT22_5x_0)</f>
        <v>34122</v>
      </c>
      <c r="U53" s="1"/>
      <c r="V53" s="5">
        <f t="shared" si="34"/>
        <v>8.4880597014925369E-2</v>
      </c>
      <c r="W53" s="1"/>
      <c r="X53" s="1">
        <f t="shared" si="35"/>
        <v>-8785.52</v>
      </c>
      <c r="Y53" s="1"/>
      <c r="Z53" s="5">
        <f t="shared" si="36"/>
        <v>-0.2574737705878905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119.53</v>
      </c>
      <c r="E54" s="2"/>
      <c r="F54" s="7">
        <f t="shared" si="29"/>
        <v>0</v>
      </c>
      <c r="G54" s="2"/>
      <c r="H54" s="6">
        <v>2656</v>
      </c>
      <c r="I54" s="2"/>
      <c r="J54" s="7">
        <f t="shared" si="30"/>
        <v>0</v>
      </c>
      <c r="K54" s="2"/>
      <c r="L54" s="6">
        <f t="shared" si="31"/>
        <v>-2536.4699999999998</v>
      </c>
      <c r="M54" s="2"/>
      <c r="N54" s="7">
        <f t="shared" si="32"/>
        <v>-0.95499623493975894</v>
      </c>
      <c r="O54" s="11"/>
      <c r="P54" s="6">
        <v>25336.48</v>
      </c>
      <c r="Q54" s="2"/>
      <c r="R54" s="7">
        <f t="shared" si="33"/>
        <v>0.13337405650013018</v>
      </c>
      <c r="S54" s="2"/>
      <c r="T54" s="6">
        <v>31872</v>
      </c>
      <c r="U54" s="2"/>
      <c r="V54" s="7">
        <f t="shared" si="34"/>
        <v>7.9283582089552232E-2</v>
      </c>
      <c r="W54" s="2"/>
      <c r="X54" s="6">
        <f t="shared" si="35"/>
        <v>-6535.52</v>
      </c>
      <c r="Y54" s="2"/>
      <c r="Z54" s="7">
        <f t="shared" si="36"/>
        <v>-0.20505522088353415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250</v>
      </c>
      <c r="I55" s="2"/>
      <c r="J55" s="7">
        <f t="shared" si="30"/>
        <v>0</v>
      </c>
      <c r="K55" s="2"/>
      <c r="L55" s="6">
        <f t="shared" si="31"/>
        <v>-250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2250</v>
      </c>
      <c r="U55" s="2"/>
      <c r="V55" s="7">
        <f t="shared" si="34"/>
        <v>5.597014925373134E-3</v>
      </c>
      <c r="W55" s="2"/>
      <c r="X55" s="6">
        <f t="shared" si="35"/>
        <v>-2250</v>
      </c>
      <c r="Y55" s="2"/>
      <c r="Z55" s="7">
        <f t="shared" si="36"/>
        <v>-1</v>
      </c>
    </row>
    <row r="56" spans="1:26" s="26" customFormat="1" outlineLevel="1" collapsed="1" x14ac:dyDescent="0.25">
      <c r="A56" s="25"/>
      <c r="B56" s="12" t="str">
        <f>CONCATENATE("     ","Employees' Appreciation                           ")</f>
        <v xml:space="preserve">     Employees' Appreciation                           </v>
      </c>
      <c r="C56" s="12"/>
      <c r="D56" s="1">
        <f>SUM(OSRRefD22_6x_0)</f>
        <v>0</v>
      </c>
      <c r="E56" s="1"/>
      <c r="F56" s="5">
        <f t="shared" ref="F56:F65" si="37">IF(D$12=0,0,D56/D$12)</f>
        <v>0</v>
      </c>
      <c r="G56" s="1"/>
      <c r="H56" s="1">
        <f>SUM(OSRRefH22_6x_0)</f>
        <v>0</v>
      </c>
      <c r="I56" s="1"/>
      <c r="J56" s="5">
        <f t="shared" ref="J56:J65" si="38">IF(H$12=0,0,H56/H$12)</f>
        <v>0</v>
      </c>
      <c r="K56" s="1"/>
      <c r="L56" s="1">
        <f t="shared" ref="L56:L65" si="39">+D56-H56</f>
        <v>0</v>
      </c>
      <c r="M56" s="1"/>
      <c r="N56" s="5">
        <f t="shared" ref="N56:N65" si="40">IF(H56=0,0,L56/H56)</f>
        <v>0</v>
      </c>
      <c r="O56" s="12"/>
      <c r="P56" s="1">
        <f>SUM(OSRRefP22_6x_0)</f>
        <v>107.51</v>
      </c>
      <c r="Q56" s="1"/>
      <c r="R56" s="5">
        <f t="shared" ref="R56:R65" si="41">IF(P$12=0,0,P56/P$12)</f>
        <v>5.6594463060097517E-4</v>
      </c>
      <c r="S56" s="1"/>
      <c r="T56" s="1">
        <f>SUM(OSRRefT22_6x_0)</f>
        <v>600</v>
      </c>
      <c r="U56" s="1"/>
      <c r="V56" s="5">
        <f t="shared" ref="V56:V65" si="42">IF(T$12=0,0,T56/T$12)</f>
        <v>1.4925373134328358E-3</v>
      </c>
      <c r="W56" s="1"/>
      <c r="X56" s="1">
        <f t="shared" ref="X56:X65" si="43">+P56-T56</f>
        <v>-492.49</v>
      </c>
      <c r="Y56" s="1"/>
      <c r="Z56" s="5">
        <f t="shared" ref="Z56:Z65" si="44">IF(T56=0,0,X56/T56)</f>
        <v>-0.82081666666666664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7"/>
        <v>0</v>
      </c>
      <c r="G57" s="2"/>
      <c r="H57" s="6"/>
      <c r="I57" s="2"/>
      <c r="J57" s="7">
        <f t="shared" si="38"/>
        <v>0</v>
      </c>
      <c r="K57" s="2"/>
      <c r="L57" s="6">
        <f t="shared" si="39"/>
        <v>0</v>
      </c>
      <c r="M57" s="2"/>
      <c r="N57" s="7">
        <f t="shared" si="40"/>
        <v>0</v>
      </c>
      <c r="O57" s="11"/>
      <c r="P57" s="6">
        <v>107.51</v>
      </c>
      <c r="Q57" s="2"/>
      <c r="R57" s="7">
        <f t="shared" si="41"/>
        <v>5.6594463060097517E-4</v>
      </c>
      <c r="S57" s="2"/>
      <c r="T57" s="6">
        <v>600</v>
      </c>
      <c r="U57" s="2"/>
      <c r="V57" s="7">
        <f t="shared" si="42"/>
        <v>1.4925373134328358E-3</v>
      </c>
      <c r="W57" s="2"/>
      <c r="X57" s="6">
        <f t="shared" si="43"/>
        <v>-492.49</v>
      </c>
      <c r="Y57" s="2"/>
      <c r="Z57" s="7">
        <f t="shared" si="44"/>
        <v>-0.82081666666666664</v>
      </c>
    </row>
    <row r="58" spans="1:26" s="26" customFormat="1" outlineLevel="1" collapsed="1" x14ac:dyDescent="0.25">
      <c r="A58" s="25"/>
      <c r="B58" s="12" t="str">
        <f>CONCATENATE("     ","Equipment Rental                                  ")</f>
        <v xml:space="preserve">     Equipment Rental                                  </v>
      </c>
      <c r="C58" s="12"/>
      <c r="D58" s="1">
        <f>SUM(OSRRefD22_7x_0)</f>
        <v>64.02</v>
      </c>
      <c r="E58" s="1"/>
      <c r="F58" s="5">
        <f t="shared" si="37"/>
        <v>0</v>
      </c>
      <c r="G58" s="1"/>
      <c r="H58" s="1">
        <f>SUM(OSRRefH22_7x_0)</f>
        <v>0</v>
      </c>
      <c r="I58" s="1"/>
      <c r="J58" s="5">
        <f t="shared" si="38"/>
        <v>0</v>
      </c>
      <c r="K58" s="1"/>
      <c r="L58" s="1">
        <f t="shared" si="39"/>
        <v>64.02</v>
      </c>
      <c r="M58" s="1"/>
      <c r="N58" s="5">
        <f t="shared" si="40"/>
        <v>0</v>
      </c>
      <c r="O58" s="12"/>
      <c r="P58" s="1">
        <f>SUM(OSRRefP22_7x_0)</f>
        <v>1712.78</v>
      </c>
      <c r="Q58" s="1"/>
      <c r="R58" s="5">
        <f t="shared" si="41"/>
        <v>9.0162649465234685E-3</v>
      </c>
      <c r="S58" s="1"/>
      <c r="T58" s="1">
        <f>SUM(OSRRefT22_7x_0)</f>
        <v>0</v>
      </c>
      <c r="U58" s="1"/>
      <c r="V58" s="5">
        <f t="shared" si="42"/>
        <v>0</v>
      </c>
      <c r="W58" s="1"/>
      <c r="X58" s="1">
        <f t="shared" si="43"/>
        <v>1712.78</v>
      </c>
      <c r="Y58" s="1"/>
      <c r="Z58" s="5">
        <f t="shared" si="44"/>
        <v>0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64.02</v>
      </c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64.02</v>
      </c>
      <c r="M59" s="2"/>
      <c r="N59" s="7">
        <f t="shared" si="40"/>
        <v>0</v>
      </c>
      <c r="O59" s="11"/>
      <c r="P59" s="6">
        <v>1712.78</v>
      </c>
      <c r="Q59" s="2"/>
      <c r="R59" s="7">
        <f t="shared" si="41"/>
        <v>9.0162649465234685E-3</v>
      </c>
      <c r="S59" s="2"/>
      <c r="T59" s="6"/>
      <c r="U59" s="2"/>
      <c r="V59" s="7">
        <f t="shared" si="42"/>
        <v>0</v>
      </c>
      <c r="W59" s="2"/>
      <c r="X59" s="6">
        <f t="shared" si="43"/>
        <v>1712.78</v>
      </c>
      <c r="Y59" s="2"/>
      <c r="Z59" s="7">
        <f t="shared" si="44"/>
        <v>0</v>
      </c>
    </row>
    <row r="60" spans="1:26" s="26" customFormat="1" outlineLevel="1" collapsed="1" x14ac:dyDescent="0.25">
      <c r="A60" s="25"/>
      <c r="B60" s="12" t="str">
        <f>CONCATENATE("     ","General                                           ")</f>
        <v xml:space="preserve">     General                                           </v>
      </c>
      <c r="C60" s="12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2"/>
      <c r="P60" s="1">
        <f>SUM(OSRRefP22_8x_0)</f>
        <v>768.15</v>
      </c>
      <c r="Q60" s="1"/>
      <c r="R60" s="5">
        <f t="shared" si="41"/>
        <v>4.0436272718457726E-3</v>
      </c>
      <c r="S60" s="1"/>
      <c r="T60" s="1">
        <f>SUM(OSRRefT22_8x_0)</f>
        <v>0</v>
      </c>
      <c r="U60" s="1"/>
      <c r="V60" s="5">
        <f t="shared" si="42"/>
        <v>0</v>
      </c>
      <c r="W60" s="1"/>
      <c r="X60" s="1">
        <f t="shared" si="43"/>
        <v>768.15</v>
      </c>
      <c r="Y60" s="1"/>
      <c r="Z60" s="5">
        <f t="shared" si="44"/>
        <v>0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768.15</v>
      </c>
      <c r="Q61" s="2"/>
      <c r="R61" s="7">
        <f t="shared" si="41"/>
        <v>4.0436272718457726E-3</v>
      </c>
      <c r="S61" s="2"/>
      <c r="T61" s="6"/>
      <c r="U61" s="2"/>
      <c r="V61" s="7">
        <f t="shared" si="42"/>
        <v>0</v>
      </c>
      <c r="W61" s="2"/>
      <c r="X61" s="6">
        <f t="shared" si="43"/>
        <v>768.15</v>
      </c>
      <c r="Y61" s="2"/>
      <c r="Z61" s="7">
        <f t="shared" si="44"/>
        <v>0</v>
      </c>
    </row>
    <row r="62" spans="1:26" s="26" customFormat="1" outlineLevel="1" collapsed="1" x14ac:dyDescent="0.25">
      <c r="A62" s="25"/>
      <c r="B62" s="12" t="str">
        <f>CONCATENATE("     ","Repair and Maintenance                            ")</f>
        <v xml:space="preserve">     Repair and Maintenance                            </v>
      </c>
      <c r="C62" s="12"/>
      <c r="D62" s="1">
        <f>SUM(OSRRefD22_9x_0)</f>
        <v>69.290000000000006</v>
      </c>
      <c r="E62" s="1"/>
      <c r="F62" s="5">
        <f t="shared" si="37"/>
        <v>0</v>
      </c>
      <c r="G62" s="1"/>
      <c r="H62" s="1">
        <f>SUM(OSRRefH22_9x_0)</f>
        <v>50</v>
      </c>
      <c r="I62" s="1"/>
      <c r="J62" s="5">
        <f t="shared" si="38"/>
        <v>0</v>
      </c>
      <c r="K62" s="1"/>
      <c r="L62" s="1">
        <f t="shared" si="39"/>
        <v>19.290000000000006</v>
      </c>
      <c r="M62" s="1"/>
      <c r="N62" s="5">
        <f t="shared" si="40"/>
        <v>0.38580000000000014</v>
      </c>
      <c r="O62" s="12"/>
      <c r="P62" s="1">
        <f>SUM(OSRRefP22_9x_0)</f>
        <v>5563.88</v>
      </c>
      <c r="Q62" s="1"/>
      <c r="R62" s="5">
        <f t="shared" si="41"/>
        <v>2.9288884860088862E-2</v>
      </c>
      <c r="S62" s="1"/>
      <c r="T62" s="1">
        <f>SUM(OSRRefT22_9x_0)</f>
        <v>1400</v>
      </c>
      <c r="U62" s="1"/>
      <c r="V62" s="5">
        <f t="shared" si="42"/>
        <v>3.482587064676617E-3</v>
      </c>
      <c r="W62" s="1"/>
      <c r="X62" s="1">
        <f t="shared" si="43"/>
        <v>4163.88</v>
      </c>
      <c r="Y62" s="1"/>
      <c r="Z62" s="5">
        <f t="shared" si="44"/>
        <v>2.9742000000000002</v>
      </c>
    </row>
    <row r="63" spans="1:26" s="24" customFormat="1" hidden="1" outlineLevel="2" x14ac:dyDescent="0.25">
      <c r="A63" s="27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7"/>
        <v>0</v>
      </c>
      <c r="G63" s="2"/>
      <c r="H63" s="6">
        <v>50</v>
      </c>
      <c r="I63" s="2"/>
      <c r="J63" s="7">
        <f t="shared" si="38"/>
        <v>0</v>
      </c>
      <c r="K63" s="2"/>
      <c r="L63" s="6">
        <f t="shared" si="39"/>
        <v>-50</v>
      </c>
      <c r="M63" s="2"/>
      <c r="N63" s="7">
        <f t="shared" si="40"/>
        <v>-1</v>
      </c>
      <c r="O63" s="11"/>
      <c r="P63" s="6">
        <v>2186.54</v>
      </c>
      <c r="Q63" s="2"/>
      <c r="R63" s="7">
        <f t="shared" si="41"/>
        <v>1.1510190425023312E-2</v>
      </c>
      <c r="S63" s="2"/>
      <c r="T63" s="6">
        <v>600</v>
      </c>
      <c r="U63" s="2"/>
      <c r="V63" s="7">
        <f t="shared" si="42"/>
        <v>1.4925373134328358E-3</v>
      </c>
      <c r="W63" s="2"/>
      <c r="X63" s="6">
        <f t="shared" si="43"/>
        <v>1586.54</v>
      </c>
      <c r="Y63" s="2"/>
      <c r="Z63" s="7">
        <f t="shared" si="44"/>
        <v>2.6442333333333332</v>
      </c>
    </row>
    <row r="64" spans="1:26" s="24" customFormat="1" hidden="1" outlineLevel="2" x14ac:dyDescent="0.25">
      <c r="A64" s="27"/>
      <c r="B64" s="11" t="str">
        <f>CONCATENATE("          ", "6373", " - ", "MAINTENANCE CONTRACTS")</f>
        <v xml:space="preserve">          6373 - MAINTENANCE CONTRACTS</v>
      </c>
      <c r="C64" s="11"/>
      <c r="D64" s="6">
        <v>69.290000000000006</v>
      </c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69.290000000000006</v>
      </c>
      <c r="M64" s="2"/>
      <c r="N64" s="7">
        <f t="shared" si="40"/>
        <v>0</v>
      </c>
      <c r="O64" s="11"/>
      <c r="P64" s="6">
        <v>978.86</v>
      </c>
      <c r="Q64" s="2"/>
      <c r="R64" s="7">
        <f t="shared" si="41"/>
        <v>5.1528282123529954E-3</v>
      </c>
      <c r="S64" s="2"/>
      <c r="T64" s="6"/>
      <c r="U64" s="2"/>
      <c r="V64" s="7">
        <f t="shared" si="42"/>
        <v>0</v>
      </c>
      <c r="W64" s="2"/>
      <c r="X64" s="6">
        <f t="shared" si="43"/>
        <v>978.86</v>
      </c>
      <c r="Y64" s="2"/>
      <c r="Z64" s="7">
        <f t="shared" si="44"/>
        <v>0</v>
      </c>
    </row>
    <row r="65" spans="1:26" s="24" customFormat="1" hidden="1" outlineLevel="2" x14ac:dyDescent="0.25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37"/>
        <v>0</v>
      </c>
      <c r="G65" s="2"/>
      <c r="H65" s="6"/>
      <c r="I65" s="2"/>
      <c r="J65" s="7">
        <f t="shared" si="38"/>
        <v>0</v>
      </c>
      <c r="K65" s="2"/>
      <c r="L65" s="6">
        <f t="shared" si="39"/>
        <v>0</v>
      </c>
      <c r="M65" s="2"/>
      <c r="N65" s="7">
        <f t="shared" si="40"/>
        <v>0</v>
      </c>
      <c r="O65" s="11"/>
      <c r="P65" s="6">
        <v>2398.48</v>
      </c>
      <c r="Q65" s="2"/>
      <c r="R65" s="7">
        <f t="shared" si="41"/>
        <v>1.2625866222712556E-2</v>
      </c>
      <c r="S65" s="2"/>
      <c r="T65" s="6">
        <v>800</v>
      </c>
      <c r="U65" s="2"/>
      <c r="V65" s="7">
        <f t="shared" si="42"/>
        <v>1.990049751243781E-3</v>
      </c>
      <c r="W65" s="2"/>
      <c r="X65" s="6">
        <f t="shared" si="43"/>
        <v>1598.48</v>
      </c>
      <c r="Y65" s="2"/>
      <c r="Z65" s="7">
        <f t="shared" si="44"/>
        <v>1.9981</v>
      </c>
    </row>
    <row r="66" spans="1:26" s="26" customFormat="1" outlineLevel="1" collapsed="1" x14ac:dyDescent="0.25">
      <c r="A66" s="25"/>
      <c r="B66" s="12" t="str">
        <f>CONCATENATE("     ","Services                                          ")</f>
        <v xml:space="preserve">     Services                                          </v>
      </c>
      <c r="C66" s="12"/>
      <c r="D66" s="1">
        <f>SUM(OSRRefD22_10x_0)</f>
        <v>0</v>
      </c>
      <c r="E66" s="1"/>
      <c r="F66" s="5">
        <f t="shared" ref="F66:F69" si="45">IF(D$12=0,0,D66/D$12)</f>
        <v>0</v>
      </c>
      <c r="G66" s="1"/>
      <c r="H66" s="1">
        <f>SUM(OSRRefH22_10x_0)</f>
        <v>546</v>
      </c>
      <c r="I66" s="1"/>
      <c r="J66" s="5">
        <f t="shared" ref="J66:J69" si="46">IF(H$12=0,0,H66/H$12)</f>
        <v>0</v>
      </c>
      <c r="K66" s="1"/>
      <c r="L66" s="1">
        <f t="shared" ref="L66:L69" si="47">+D66-H66</f>
        <v>-546</v>
      </c>
      <c r="M66" s="1"/>
      <c r="N66" s="5">
        <f t="shared" ref="N66:N69" si="48">IF(H66=0,0,L66/H66)</f>
        <v>-1</v>
      </c>
      <c r="O66" s="12"/>
      <c r="P66" s="1">
        <f>SUM(OSRRefP22_10x_0)</f>
        <v>1739.62</v>
      </c>
      <c r="Q66" s="1"/>
      <c r="R66" s="5">
        <f t="shared" ref="R66:R69" si="49">IF(P$12=0,0,P66/P$12)</f>
        <v>9.1575536999913346E-3</v>
      </c>
      <c r="S66" s="1"/>
      <c r="T66" s="1">
        <f>SUM(OSRRefT22_10x_0)</f>
        <v>6552</v>
      </c>
      <c r="U66" s="1"/>
      <c r="V66" s="5">
        <f t="shared" ref="V66:V69" si="50">IF(T$12=0,0,T66/T$12)</f>
        <v>1.6298507462686566E-2</v>
      </c>
      <c r="W66" s="1"/>
      <c r="X66" s="1">
        <f t="shared" ref="X66:X69" si="51">+P66-T66</f>
        <v>-4812.38</v>
      </c>
      <c r="Y66" s="1"/>
      <c r="Z66" s="5">
        <f t="shared" ref="Z66:Z69" si="52">IF(T66=0,0,X66/T66)</f>
        <v>-0.734490231990232</v>
      </c>
    </row>
    <row r="67" spans="1:26" s="24" customFormat="1" hidden="1" outlineLevel="2" x14ac:dyDescent="0.25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6"/>
      <c r="E67" s="2"/>
      <c r="F67" s="7">
        <f t="shared" si="45"/>
        <v>0</v>
      </c>
      <c r="G67" s="2"/>
      <c r="H67" s="6">
        <v>50</v>
      </c>
      <c r="I67" s="2"/>
      <c r="J67" s="7">
        <f t="shared" si="46"/>
        <v>0</v>
      </c>
      <c r="K67" s="2"/>
      <c r="L67" s="6">
        <f t="shared" si="47"/>
        <v>-50</v>
      </c>
      <c r="M67" s="2"/>
      <c r="N67" s="7">
        <f t="shared" si="48"/>
        <v>-1</v>
      </c>
      <c r="O67" s="11"/>
      <c r="P67" s="6"/>
      <c r="Q67" s="2"/>
      <c r="R67" s="7">
        <f t="shared" si="49"/>
        <v>0</v>
      </c>
      <c r="S67" s="2"/>
      <c r="T67" s="6">
        <v>600</v>
      </c>
      <c r="U67" s="2"/>
      <c r="V67" s="7">
        <f t="shared" si="50"/>
        <v>1.4925373134328358E-3</v>
      </c>
      <c r="W67" s="2"/>
      <c r="X67" s="6">
        <f t="shared" si="51"/>
        <v>-600</v>
      </c>
      <c r="Y67" s="2"/>
      <c r="Z67" s="7">
        <f t="shared" si="52"/>
        <v>-1</v>
      </c>
    </row>
    <row r="68" spans="1:26" s="24" customFormat="1" hidden="1" outlineLevel="2" x14ac:dyDescent="0.25">
      <c r="A68" s="27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45"/>
        <v>0</v>
      </c>
      <c r="G68" s="2"/>
      <c r="H68" s="6">
        <v>396</v>
      </c>
      <c r="I68" s="2"/>
      <c r="J68" s="7">
        <f t="shared" si="46"/>
        <v>0</v>
      </c>
      <c r="K68" s="2"/>
      <c r="L68" s="6">
        <f t="shared" si="47"/>
        <v>-396</v>
      </c>
      <c r="M68" s="2"/>
      <c r="N68" s="7">
        <f t="shared" si="48"/>
        <v>-1</v>
      </c>
      <c r="O68" s="11"/>
      <c r="P68" s="6">
        <v>1305.25</v>
      </c>
      <c r="Q68" s="2"/>
      <c r="R68" s="7">
        <f t="shared" si="49"/>
        <v>6.8709815746621043E-3</v>
      </c>
      <c r="S68" s="2"/>
      <c r="T68" s="6">
        <v>4752</v>
      </c>
      <c r="U68" s="2"/>
      <c r="V68" s="7">
        <f t="shared" si="50"/>
        <v>1.182089552238806E-2</v>
      </c>
      <c r="W68" s="2"/>
      <c r="X68" s="6">
        <f t="shared" si="51"/>
        <v>-3446.75</v>
      </c>
      <c r="Y68" s="2"/>
      <c r="Z68" s="7">
        <f t="shared" si="52"/>
        <v>-0.72532617845117842</v>
      </c>
    </row>
    <row r="69" spans="1:26" s="24" customFormat="1" hidden="1" outlineLevel="2" x14ac:dyDescent="0.25">
      <c r="A69" s="27"/>
      <c r="B69" s="11" t="str">
        <f>CONCATENATE("          ", "6286", " - ", "LAUNDRY EXPENSE")</f>
        <v xml:space="preserve">          6286 - LAUNDRY EXPENSE</v>
      </c>
      <c r="C69" s="11"/>
      <c r="D69" s="6"/>
      <c r="E69" s="2"/>
      <c r="F69" s="7">
        <f t="shared" si="45"/>
        <v>0</v>
      </c>
      <c r="G69" s="2"/>
      <c r="H69" s="6">
        <v>100</v>
      </c>
      <c r="I69" s="2"/>
      <c r="J69" s="7">
        <f t="shared" si="46"/>
        <v>0</v>
      </c>
      <c r="K69" s="2"/>
      <c r="L69" s="6">
        <f t="shared" si="47"/>
        <v>-100</v>
      </c>
      <c r="M69" s="2"/>
      <c r="N69" s="7">
        <f t="shared" si="48"/>
        <v>-1</v>
      </c>
      <c r="O69" s="11"/>
      <c r="P69" s="6">
        <v>434.37</v>
      </c>
      <c r="Q69" s="2"/>
      <c r="R69" s="7">
        <f t="shared" si="49"/>
        <v>2.2865721253292307E-3</v>
      </c>
      <c r="S69" s="2"/>
      <c r="T69" s="6">
        <v>1200</v>
      </c>
      <c r="U69" s="2"/>
      <c r="V69" s="7">
        <f t="shared" si="50"/>
        <v>2.9850746268656717E-3</v>
      </c>
      <c r="W69" s="2"/>
      <c r="X69" s="6">
        <f t="shared" si="51"/>
        <v>-765.63</v>
      </c>
      <c r="Y69" s="2"/>
      <c r="Z69" s="7">
        <f t="shared" si="52"/>
        <v>-0.63802499999999995</v>
      </c>
    </row>
    <row r="70" spans="1:26" s="26" customFormat="1" outlineLevel="1" collapsed="1" x14ac:dyDescent="0.25">
      <c r="A70" s="25"/>
      <c r="B70" s="12" t="str">
        <f>CONCATENATE("     ","Supplies                                          ")</f>
        <v xml:space="preserve">     Supplies                                          </v>
      </c>
      <c r="C70" s="12"/>
      <c r="D70" s="1">
        <f>SUM(OSRRefD22_11x_0)</f>
        <v>0</v>
      </c>
      <c r="E70" s="1"/>
      <c r="F70" s="5">
        <f t="shared" ref="F70:F76" si="53">IF(D$12=0,0,D70/D$12)</f>
        <v>0</v>
      </c>
      <c r="G70" s="1"/>
      <c r="H70" s="1">
        <f>SUM(OSRRefH22_11x_0)</f>
        <v>11</v>
      </c>
      <c r="I70" s="1"/>
      <c r="J70" s="5">
        <f t="shared" ref="J70:J76" si="54">IF(H$12=0,0,H70/H$12)</f>
        <v>0</v>
      </c>
      <c r="K70" s="1"/>
      <c r="L70" s="1">
        <f t="shared" ref="L70:L76" si="55">+D70-H70</f>
        <v>-11</v>
      </c>
      <c r="M70" s="1"/>
      <c r="N70" s="5">
        <f t="shared" ref="N70:N76" si="56">IF(H70=0,0,L70/H70)</f>
        <v>-1</v>
      </c>
      <c r="O70" s="12"/>
      <c r="P70" s="1">
        <f>SUM(OSRRefP22_11x_0)</f>
        <v>6296.61</v>
      </c>
      <c r="Q70" s="1"/>
      <c r="R70" s="5">
        <f t="shared" ref="R70:R76" si="57">IF(P$12=0,0,P70/P$12)</f>
        <v>3.3146057301538516E-2</v>
      </c>
      <c r="S70" s="1"/>
      <c r="T70" s="1">
        <f>SUM(OSRRefT22_11x_0)</f>
        <v>4932</v>
      </c>
      <c r="U70" s="1"/>
      <c r="V70" s="5">
        <f t="shared" ref="V70:V76" si="58">IF(T$12=0,0,T70/T$12)</f>
        <v>1.226865671641791E-2</v>
      </c>
      <c r="W70" s="1"/>
      <c r="X70" s="1">
        <f t="shared" ref="X70:X76" si="59">+P70-T70</f>
        <v>1364.6099999999997</v>
      </c>
      <c r="Y70" s="1"/>
      <c r="Z70" s="5">
        <f t="shared" ref="Z70:Z76" si="60">IF(T70=0,0,X70/T70)</f>
        <v>0.27668491484184909</v>
      </c>
    </row>
    <row r="71" spans="1:26" s="24" customFormat="1" hidden="1" outlineLevel="2" x14ac:dyDescent="0.25">
      <c r="A71" s="27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53"/>
        <v>0</v>
      </c>
      <c r="G71" s="2"/>
      <c r="H71" s="6">
        <v>11</v>
      </c>
      <c r="I71" s="2"/>
      <c r="J71" s="7">
        <f t="shared" si="54"/>
        <v>0</v>
      </c>
      <c r="K71" s="2"/>
      <c r="L71" s="6">
        <f t="shared" si="55"/>
        <v>-11</v>
      </c>
      <c r="M71" s="2"/>
      <c r="N71" s="7">
        <f t="shared" si="56"/>
        <v>-1</v>
      </c>
      <c r="O71" s="11"/>
      <c r="P71" s="6">
        <v>10.95</v>
      </c>
      <c r="Q71" s="2"/>
      <c r="R71" s="7">
        <f t="shared" si="57"/>
        <v>5.7642021254587271E-5</v>
      </c>
      <c r="S71" s="2"/>
      <c r="T71" s="6">
        <v>132</v>
      </c>
      <c r="U71" s="2"/>
      <c r="V71" s="7">
        <f t="shared" si="58"/>
        <v>3.2835820895522389E-4</v>
      </c>
      <c r="W71" s="2"/>
      <c r="X71" s="6">
        <f t="shared" si="59"/>
        <v>-121.05</v>
      </c>
      <c r="Y71" s="2"/>
      <c r="Z71" s="7">
        <f t="shared" si="60"/>
        <v>-0.9170454545454545</v>
      </c>
    </row>
    <row r="72" spans="1:26" s="24" customFormat="1" hidden="1" outlineLevel="2" x14ac:dyDescent="0.25">
      <c r="A72" s="27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53"/>
        <v>0</v>
      </c>
      <c r="G72" s="2"/>
      <c r="H72" s="6"/>
      <c r="I72" s="2"/>
      <c r="J72" s="7">
        <f t="shared" si="54"/>
        <v>0</v>
      </c>
      <c r="K72" s="2"/>
      <c r="L72" s="6">
        <f t="shared" si="55"/>
        <v>0</v>
      </c>
      <c r="M72" s="2"/>
      <c r="N72" s="7">
        <f t="shared" si="56"/>
        <v>0</v>
      </c>
      <c r="O72" s="11"/>
      <c r="P72" s="6">
        <v>2898.22</v>
      </c>
      <c r="Q72" s="2"/>
      <c r="R72" s="7">
        <f t="shared" si="57"/>
        <v>1.5256553318764375E-2</v>
      </c>
      <c r="S72" s="2"/>
      <c r="T72" s="6">
        <v>300</v>
      </c>
      <c r="U72" s="2"/>
      <c r="V72" s="7">
        <f t="shared" si="58"/>
        <v>7.4626865671641792E-4</v>
      </c>
      <c r="W72" s="2"/>
      <c r="X72" s="6">
        <f t="shared" si="59"/>
        <v>2598.2199999999998</v>
      </c>
      <c r="Y72" s="2"/>
      <c r="Z72" s="7">
        <f t="shared" si="60"/>
        <v>8.660733333333333</v>
      </c>
    </row>
    <row r="73" spans="1:26" s="24" customFormat="1" hidden="1" outlineLevel="2" x14ac:dyDescent="0.25">
      <c r="A73" s="27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53"/>
        <v>0</v>
      </c>
      <c r="G73" s="2"/>
      <c r="H73" s="6"/>
      <c r="I73" s="2"/>
      <c r="J73" s="7">
        <f t="shared" si="54"/>
        <v>0</v>
      </c>
      <c r="K73" s="2"/>
      <c r="L73" s="6">
        <f t="shared" si="55"/>
        <v>0</v>
      </c>
      <c r="M73" s="2"/>
      <c r="N73" s="7">
        <f t="shared" si="56"/>
        <v>0</v>
      </c>
      <c r="O73" s="11"/>
      <c r="P73" s="6">
        <v>788.91</v>
      </c>
      <c r="Q73" s="2"/>
      <c r="R73" s="7">
        <f t="shared" si="57"/>
        <v>4.1529102272106341E-3</v>
      </c>
      <c r="S73" s="2"/>
      <c r="T73" s="6"/>
      <c r="U73" s="2"/>
      <c r="V73" s="7">
        <f t="shared" si="58"/>
        <v>0</v>
      </c>
      <c r="W73" s="2"/>
      <c r="X73" s="6">
        <f t="shared" si="59"/>
        <v>788.91</v>
      </c>
      <c r="Y73" s="2"/>
      <c r="Z73" s="7">
        <f t="shared" si="60"/>
        <v>0</v>
      </c>
    </row>
    <row r="74" spans="1:26" s="24" customFormat="1" hidden="1" outlineLevel="2" x14ac:dyDescent="0.25">
      <c r="A74" s="27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53"/>
        <v>0</v>
      </c>
      <c r="G74" s="2"/>
      <c r="H74" s="6"/>
      <c r="I74" s="2"/>
      <c r="J74" s="7">
        <f t="shared" si="54"/>
        <v>0</v>
      </c>
      <c r="K74" s="2"/>
      <c r="L74" s="6">
        <f t="shared" si="55"/>
        <v>0</v>
      </c>
      <c r="M74" s="2"/>
      <c r="N74" s="7">
        <f t="shared" si="56"/>
        <v>0</v>
      </c>
      <c r="O74" s="11"/>
      <c r="P74" s="6">
        <v>1858.86</v>
      </c>
      <c r="Q74" s="2"/>
      <c r="R74" s="7">
        <f t="shared" si="57"/>
        <v>9.7852463588403733E-3</v>
      </c>
      <c r="S74" s="2"/>
      <c r="T74" s="6">
        <v>3900</v>
      </c>
      <c r="U74" s="2"/>
      <c r="V74" s="7">
        <f t="shared" si="58"/>
        <v>9.7014925373134324E-3</v>
      </c>
      <c r="W74" s="2"/>
      <c r="X74" s="6">
        <f t="shared" si="59"/>
        <v>-2041.14</v>
      </c>
      <c r="Y74" s="2"/>
      <c r="Z74" s="7">
        <f t="shared" si="60"/>
        <v>-0.52336923076923081</v>
      </c>
    </row>
    <row r="75" spans="1:26" s="24" customFormat="1" hidden="1" outlineLevel="2" x14ac:dyDescent="0.25">
      <c r="A75" s="27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53"/>
        <v>0</v>
      </c>
      <c r="G75" s="2"/>
      <c r="H75" s="6"/>
      <c r="I75" s="2"/>
      <c r="J75" s="7">
        <f t="shared" si="54"/>
        <v>0</v>
      </c>
      <c r="K75" s="2"/>
      <c r="L75" s="6">
        <f t="shared" si="55"/>
        <v>0</v>
      </c>
      <c r="M75" s="2"/>
      <c r="N75" s="7">
        <f t="shared" si="56"/>
        <v>0</v>
      </c>
      <c r="O75" s="11"/>
      <c r="P75" s="6">
        <v>102.64</v>
      </c>
      <c r="Q75" s="2"/>
      <c r="R75" s="7">
        <f t="shared" si="57"/>
        <v>5.4030840744939159E-4</v>
      </c>
      <c r="S75" s="2"/>
      <c r="T75" s="6"/>
      <c r="U75" s="2"/>
      <c r="V75" s="7">
        <f t="shared" si="58"/>
        <v>0</v>
      </c>
      <c r="W75" s="2"/>
      <c r="X75" s="6">
        <f t="shared" si="59"/>
        <v>102.64</v>
      </c>
      <c r="Y75" s="2"/>
      <c r="Z75" s="7">
        <f t="shared" si="60"/>
        <v>0</v>
      </c>
    </row>
    <row r="76" spans="1:26" s="24" customFormat="1" hidden="1" outlineLevel="2" x14ac:dyDescent="0.25">
      <c r="A76" s="27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53"/>
        <v>0</v>
      </c>
      <c r="G76" s="2"/>
      <c r="H76" s="6"/>
      <c r="I76" s="2"/>
      <c r="J76" s="7">
        <f t="shared" si="54"/>
        <v>0</v>
      </c>
      <c r="K76" s="2"/>
      <c r="L76" s="6">
        <f t="shared" si="55"/>
        <v>0</v>
      </c>
      <c r="M76" s="2"/>
      <c r="N76" s="7">
        <f t="shared" si="56"/>
        <v>0</v>
      </c>
      <c r="O76" s="11"/>
      <c r="P76" s="6">
        <v>637.03</v>
      </c>
      <c r="Q76" s="2"/>
      <c r="R76" s="7">
        <f t="shared" si="57"/>
        <v>3.3533969680191534E-3</v>
      </c>
      <c r="S76" s="2"/>
      <c r="T76" s="6">
        <v>600</v>
      </c>
      <c r="U76" s="2"/>
      <c r="V76" s="7">
        <f t="shared" si="58"/>
        <v>1.4925373134328358E-3</v>
      </c>
      <c r="W76" s="2"/>
      <c r="X76" s="6">
        <f t="shared" si="59"/>
        <v>37.029999999999973</v>
      </c>
      <c r="Y76" s="2"/>
      <c r="Z76" s="7">
        <f t="shared" si="60"/>
        <v>6.1716666666666621E-2</v>
      </c>
    </row>
    <row r="77" spans="1:26" s="26" customFormat="1" outlineLevel="1" collapsed="1" x14ac:dyDescent="0.25">
      <c r="A77" s="25"/>
      <c r="B77" s="12" t="str">
        <f>CONCATENATE("     ","Telephone/Data Lines                              ")</f>
        <v xml:space="preserve">     Telephone/Data Lines                              </v>
      </c>
      <c r="C77" s="12"/>
      <c r="D77" s="1">
        <f>SUM(OSRRefD22_12x_0)</f>
        <v>27</v>
      </c>
      <c r="E77" s="1"/>
      <c r="F77" s="5">
        <f t="shared" ref="F77:F79" si="61">IF(D$12=0,0,D77/D$12)</f>
        <v>0</v>
      </c>
      <c r="G77" s="1"/>
      <c r="H77" s="1">
        <f>SUM(OSRRefH22_12x_0)</f>
        <v>95</v>
      </c>
      <c r="I77" s="1"/>
      <c r="J77" s="5">
        <f t="shared" ref="J77:J79" si="62">IF(H$12=0,0,H77/H$12)</f>
        <v>0</v>
      </c>
      <c r="K77" s="1"/>
      <c r="L77" s="1">
        <f t="shared" ref="L77:L79" si="63">+D77-H77</f>
        <v>-68</v>
      </c>
      <c r="M77" s="1"/>
      <c r="N77" s="5">
        <f t="shared" ref="N77:N79" si="64">IF(H77=0,0,L77/H77)</f>
        <v>-0.71578947368421053</v>
      </c>
      <c r="O77" s="12"/>
      <c r="P77" s="1">
        <f>SUM(OSRRefP22_12x_0)</f>
        <v>978.5</v>
      </c>
      <c r="Q77" s="1"/>
      <c r="R77" s="5">
        <f t="shared" ref="R77:R79" si="65">IF(P$12=0,0,P77/P$12)</f>
        <v>5.1509331322021597E-3</v>
      </c>
      <c r="S77" s="1"/>
      <c r="T77" s="1">
        <f>SUM(OSRRefT22_12x_0)</f>
        <v>1140</v>
      </c>
      <c r="U77" s="1"/>
      <c r="V77" s="5">
        <f t="shared" ref="V77:V79" si="66">IF(T$12=0,0,T77/T$12)</f>
        <v>2.8358208955223882E-3</v>
      </c>
      <c r="W77" s="1"/>
      <c r="X77" s="1">
        <f t="shared" ref="X77:X79" si="67">+P77-T77</f>
        <v>-161.5</v>
      </c>
      <c r="Y77" s="1"/>
      <c r="Z77" s="5">
        <f t="shared" ref="Z77:Z79" si="68">IF(T77=0,0,X77/T77)</f>
        <v>-0.14166666666666666</v>
      </c>
    </row>
    <row r="78" spans="1:26" s="24" customFormat="1" hidden="1" outlineLevel="2" x14ac:dyDescent="0.25">
      <c r="A78" s="27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61"/>
        <v>0</v>
      </c>
      <c r="G78" s="2"/>
      <c r="H78" s="6">
        <v>50</v>
      </c>
      <c r="I78" s="2"/>
      <c r="J78" s="7">
        <f t="shared" si="62"/>
        <v>0</v>
      </c>
      <c r="K78" s="2"/>
      <c r="L78" s="6">
        <f t="shared" si="63"/>
        <v>-50</v>
      </c>
      <c r="M78" s="2"/>
      <c r="N78" s="7">
        <f t="shared" si="64"/>
        <v>-1</v>
      </c>
      <c r="O78" s="11"/>
      <c r="P78" s="6"/>
      <c r="Q78" s="2"/>
      <c r="R78" s="7">
        <f t="shared" si="65"/>
        <v>0</v>
      </c>
      <c r="S78" s="2"/>
      <c r="T78" s="6">
        <v>600</v>
      </c>
      <c r="U78" s="2"/>
      <c r="V78" s="7">
        <f t="shared" si="66"/>
        <v>1.4925373134328358E-3</v>
      </c>
      <c r="W78" s="2"/>
      <c r="X78" s="6">
        <f t="shared" si="67"/>
        <v>-600</v>
      </c>
      <c r="Y78" s="2"/>
      <c r="Z78" s="7">
        <f t="shared" si="68"/>
        <v>-1</v>
      </c>
    </row>
    <row r="79" spans="1:26" s="24" customFormat="1" hidden="1" outlineLevel="2" x14ac:dyDescent="0.25">
      <c r="A79" s="27"/>
      <c r="B79" s="11" t="str">
        <f>CONCATENATE("          ", "6309", " - ", "TELEPHONE")</f>
        <v xml:space="preserve">          6309 - TELEPHONE</v>
      </c>
      <c r="C79" s="11"/>
      <c r="D79" s="6">
        <v>27</v>
      </c>
      <c r="E79" s="2"/>
      <c r="F79" s="7">
        <f t="shared" si="61"/>
        <v>0</v>
      </c>
      <c r="G79" s="2"/>
      <c r="H79" s="6">
        <v>45</v>
      </c>
      <c r="I79" s="2"/>
      <c r="J79" s="7">
        <f t="shared" si="62"/>
        <v>0</v>
      </c>
      <c r="K79" s="2"/>
      <c r="L79" s="6">
        <f t="shared" si="63"/>
        <v>-18</v>
      </c>
      <c r="M79" s="2"/>
      <c r="N79" s="7">
        <f t="shared" si="64"/>
        <v>-0.4</v>
      </c>
      <c r="O79" s="11"/>
      <c r="P79" s="6">
        <v>978.5</v>
      </c>
      <c r="Q79" s="2"/>
      <c r="R79" s="7">
        <f t="shared" si="65"/>
        <v>5.1509331322021597E-3</v>
      </c>
      <c r="S79" s="2"/>
      <c r="T79" s="6">
        <v>540</v>
      </c>
      <c r="U79" s="2"/>
      <c r="V79" s="7">
        <f t="shared" si="66"/>
        <v>1.3432835820895521E-3</v>
      </c>
      <c r="W79" s="2"/>
      <c r="X79" s="6">
        <f t="shared" si="67"/>
        <v>438.5</v>
      </c>
      <c r="Y79" s="2"/>
      <c r="Z79" s="7">
        <f t="shared" si="68"/>
        <v>0.812037037037037</v>
      </c>
    </row>
    <row r="80" spans="1:26" s="26" customFormat="1" outlineLevel="1" collapsed="1" x14ac:dyDescent="0.25">
      <c r="A80" s="25"/>
      <c r="B80" s="12" t="str">
        <f>CONCATENATE("     ","Training                                          ")</f>
        <v xml:space="preserve">     Training                                          </v>
      </c>
      <c r="C80" s="12"/>
      <c r="D80" s="1">
        <f>SUM(OSRRefD22_13x_0)</f>
        <v>0</v>
      </c>
      <c r="E80" s="1"/>
      <c r="F80" s="5">
        <f t="shared" ref="F80:F84" si="69">IF(D$12=0,0,D80/D$12)</f>
        <v>0</v>
      </c>
      <c r="G80" s="1"/>
      <c r="H80" s="1">
        <f>SUM(OSRRefH22_13x_0)</f>
        <v>0</v>
      </c>
      <c r="I80" s="1"/>
      <c r="J80" s="5">
        <f t="shared" ref="J80:J84" si="70">IF(H$12=0,0,H80/H$12)</f>
        <v>0</v>
      </c>
      <c r="K80" s="1"/>
      <c r="L80" s="1">
        <f t="shared" ref="L80:L84" si="71">+D80-H80</f>
        <v>0</v>
      </c>
      <c r="M80" s="1"/>
      <c r="N80" s="5">
        <f t="shared" ref="N80:N84" si="72">IF(H80=0,0,L80/H80)</f>
        <v>0</v>
      </c>
      <c r="O80" s="12"/>
      <c r="P80" s="1">
        <f>SUM(OSRRefP22_13x_0)</f>
        <v>170.95</v>
      </c>
      <c r="Q80" s="1"/>
      <c r="R80" s="5">
        <f t="shared" ref="R80:R84" si="73">IF(P$12=0,0,P80/P$12)</f>
        <v>8.9989986607047435E-4</v>
      </c>
      <c r="S80" s="1"/>
      <c r="T80" s="1">
        <f>SUM(OSRRefT22_13x_0)</f>
        <v>2000</v>
      </c>
      <c r="U80" s="1"/>
      <c r="V80" s="5">
        <f t="shared" ref="V80:V84" si="74">IF(T$12=0,0,T80/T$12)</f>
        <v>4.9751243781094526E-3</v>
      </c>
      <c r="W80" s="1"/>
      <c r="X80" s="1">
        <f t="shared" ref="X80:X84" si="75">+P80-T80</f>
        <v>-1829.05</v>
      </c>
      <c r="Y80" s="1"/>
      <c r="Z80" s="5">
        <f t="shared" ref="Z80:Z84" si="76">IF(T80=0,0,X80/T80)</f>
        <v>-0.91452500000000003</v>
      </c>
    </row>
    <row r="81" spans="1:26" s="24" customFormat="1" hidden="1" outlineLevel="2" x14ac:dyDescent="0.25">
      <c r="A81" s="27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69"/>
        <v>0</v>
      </c>
      <c r="G81" s="2"/>
      <c r="H81" s="6"/>
      <c r="I81" s="2"/>
      <c r="J81" s="7">
        <f t="shared" si="70"/>
        <v>0</v>
      </c>
      <c r="K81" s="2"/>
      <c r="L81" s="6">
        <f t="shared" si="71"/>
        <v>0</v>
      </c>
      <c r="M81" s="2"/>
      <c r="N81" s="7">
        <f t="shared" si="72"/>
        <v>0</v>
      </c>
      <c r="O81" s="11"/>
      <c r="P81" s="6">
        <v>170.95</v>
      </c>
      <c r="Q81" s="2"/>
      <c r="R81" s="7">
        <f t="shared" si="73"/>
        <v>8.9989986607047435E-4</v>
      </c>
      <c r="S81" s="2"/>
      <c r="T81" s="6">
        <v>2000</v>
      </c>
      <c r="U81" s="2"/>
      <c r="V81" s="7">
        <f t="shared" si="74"/>
        <v>4.9751243781094526E-3</v>
      </c>
      <c r="W81" s="2"/>
      <c r="X81" s="6">
        <f t="shared" si="75"/>
        <v>-1829.05</v>
      </c>
      <c r="Y81" s="2"/>
      <c r="Z81" s="7">
        <f t="shared" si="76"/>
        <v>-0.91452500000000003</v>
      </c>
    </row>
    <row r="82" spans="1:26" s="26" customFormat="1" outlineLevel="1" collapsed="1" x14ac:dyDescent="0.25">
      <c r="A82" s="25"/>
      <c r="B82" s="12" t="str">
        <f>CONCATENATE("     ","Travel                                            ")</f>
        <v xml:space="preserve">     Travel                                            </v>
      </c>
      <c r="C82" s="12"/>
      <c r="D82" s="1">
        <f>SUM(OSRRefD22_14x_0)</f>
        <v>0</v>
      </c>
      <c r="E82" s="1"/>
      <c r="F82" s="5">
        <f t="shared" si="69"/>
        <v>0</v>
      </c>
      <c r="G82" s="1"/>
      <c r="H82" s="1">
        <f>SUM(OSRRefH22_14x_0)</f>
        <v>0</v>
      </c>
      <c r="I82" s="1"/>
      <c r="J82" s="5">
        <f t="shared" si="70"/>
        <v>0</v>
      </c>
      <c r="K82" s="1"/>
      <c r="L82" s="1">
        <f t="shared" si="71"/>
        <v>0</v>
      </c>
      <c r="M82" s="1"/>
      <c r="N82" s="5">
        <f t="shared" si="72"/>
        <v>0</v>
      </c>
      <c r="O82" s="12"/>
      <c r="P82" s="1">
        <f>SUM(OSRRefP22_14x_0)</f>
        <v>11.5</v>
      </c>
      <c r="Q82" s="1"/>
      <c r="R82" s="5">
        <f t="shared" si="73"/>
        <v>6.0537282596141888E-5</v>
      </c>
      <c r="S82" s="1"/>
      <c r="T82" s="1">
        <f>SUM(OSRRefT22_14x_0)</f>
        <v>2000</v>
      </c>
      <c r="U82" s="1"/>
      <c r="V82" s="5">
        <f t="shared" si="74"/>
        <v>4.9751243781094526E-3</v>
      </c>
      <c r="W82" s="1"/>
      <c r="X82" s="1">
        <f t="shared" si="75"/>
        <v>-1988.5</v>
      </c>
      <c r="Y82" s="1"/>
      <c r="Z82" s="5">
        <f t="shared" si="76"/>
        <v>-0.99424999999999997</v>
      </c>
    </row>
    <row r="83" spans="1:26" s="24" customFormat="1" hidden="1" outlineLevel="2" x14ac:dyDescent="0.25">
      <c r="A83" s="27"/>
      <c r="B83" s="11" t="str">
        <f>CONCATENATE("          ", "6292", " - ", "TRAVEL/CONFERENCE")</f>
        <v xml:space="preserve">          6292 - TRAVEL/CONFERENCE</v>
      </c>
      <c r="C83" s="11"/>
      <c r="D83" s="6"/>
      <c r="E83" s="2"/>
      <c r="F83" s="7">
        <f t="shared" si="69"/>
        <v>0</v>
      </c>
      <c r="G83" s="2"/>
      <c r="H83" s="6"/>
      <c r="I83" s="2"/>
      <c r="J83" s="7">
        <f t="shared" si="70"/>
        <v>0</v>
      </c>
      <c r="K83" s="2"/>
      <c r="L83" s="6">
        <f t="shared" si="71"/>
        <v>0</v>
      </c>
      <c r="M83" s="2"/>
      <c r="N83" s="7">
        <f t="shared" si="72"/>
        <v>0</v>
      </c>
      <c r="O83" s="11"/>
      <c r="P83" s="6"/>
      <c r="Q83" s="2"/>
      <c r="R83" s="7">
        <f t="shared" si="73"/>
        <v>0</v>
      </c>
      <c r="S83" s="2"/>
      <c r="T83" s="6">
        <v>2000</v>
      </c>
      <c r="U83" s="2"/>
      <c r="V83" s="7">
        <f t="shared" si="74"/>
        <v>4.9751243781094526E-3</v>
      </c>
      <c r="W83" s="2"/>
      <c r="X83" s="6">
        <f t="shared" si="75"/>
        <v>-2000</v>
      </c>
      <c r="Y83" s="2"/>
      <c r="Z83" s="7">
        <f t="shared" si="76"/>
        <v>-1</v>
      </c>
    </row>
    <row r="84" spans="1:26" s="24" customFormat="1" hidden="1" outlineLevel="2" x14ac:dyDescent="0.25">
      <c r="A84" s="27"/>
      <c r="B84" s="11" t="str">
        <f>CONCATENATE("          ", "6294", " - ", "TRAVEL OPERATIONAL")</f>
        <v xml:space="preserve">          6294 - TRAVEL OPERATIONAL</v>
      </c>
      <c r="C84" s="11"/>
      <c r="D84" s="6"/>
      <c r="E84" s="2"/>
      <c r="F84" s="7">
        <f t="shared" si="69"/>
        <v>0</v>
      </c>
      <c r="G84" s="2"/>
      <c r="H84" s="6"/>
      <c r="I84" s="2"/>
      <c r="J84" s="7">
        <f t="shared" si="70"/>
        <v>0</v>
      </c>
      <c r="K84" s="2"/>
      <c r="L84" s="6">
        <f t="shared" si="71"/>
        <v>0</v>
      </c>
      <c r="M84" s="2"/>
      <c r="N84" s="7">
        <f t="shared" si="72"/>
        <v>0</v>
      </c>
      <c r="O84" s="11"/>
      <c r="P84" s="6">
        <v>11.5</v>
      </c>
      <c r="Q84" s="2"/>
      <c r="R84" s="7">
        <f t="shared" si="73"/>
        <v>6.0537282596141888E-5</v>
      </c>
      <c r="S84" s="2"/>
      <c r="T84" s="6"/>
      <c r="U84" s="2"/>
      <c r="V84" s="7">
        <f t="shared" si="74"/>
        <v>0</v>
      </c>
      <c r="W84" s="2"/>
      <c r="X84" s="6">
        <f t="shared" si="75"/>
        <v>11.5</v>
      </c>
      <c r="Y84" s="2"/>
      <c r="Z84" s="7">
        <f t="shared" si="76"/>
        <v>0</v>
      </c>
    </row>
    <row r="85" spans="1:26" s="60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8" t="s">
        <v>0</v>
      </c>
      <c r="C86" s="10"/>
      <c r="D86" s="4">
        <f>SUM(0)</f>
        <v>0</v>
      </c>
      <c r="E86" s="4"/>
      <c r="F86" s="13">
        <f>IF(D$12=0,0,D86/D$12)</f>
        <v>0</v>
      </c>
      <c r="G86" s="4"/>
      <c r="H86" s="4">
        <f>SUM(0)</f>
        <v>0</v>
      </c>
      <c r="I86" s="4"/>
      <c r="J86" s="13">
        <f>IF(H$12=0,0,H86/H$12)</f>
        <v>0</v>
      </c>
      <c r="K86" s="4"/>
      <c r="L86" s="4">
        <f>+D86-H86</f>
        <v>0</v>
      </c>
      <c r="M86" s="4"/>
      <c r="N86" s="13">
        <f>IF(H86=0,0,L86/H86)</f>
        <v>0</v>
      </c>
      <c r="O86" s="10"/>
      <c r="P86" s="4">
        <f>SUM(0)</f>
        <v>0</v>
      </c>
      <c r="Q86" s="4"/>
      <c r="R86" s="13">
        <f>IF(P$12=0,0,P86/P$12)</f>
        <v>0</v>
      </c>
      <c r="S86" s="4"/>
      <c r="T86" s="4">
        <f>SUM(0)</f>
        <v>0</v>
      </c>
      <c r="U86" s="4"/>
      <c r="V86" s="13">
        <f>IF(T$12=0,0,T86/T$12)</f>
        <v>0</v>
      </c>
      <c r="W86" s="4"/>
      <c r="X86" s="4">
        <f>+P86-T86</f>
        <v>0</v>
      </c>
      <c r="Y86" s="4"/>
      <c r="Z86" s="13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9" t="s">
        <v>3</v>
      </c>
      <c r="C88" s="29"/>
      <c r="D88" s="22">
        <f>+D23-D25+D86</f>
        <v>-4095</v>
      </c>
      <c r="E88" s="14"/>
      <c r="F88" s="20">
        <f>IF(D$12=0,0,D88/D$12)</f>
        <v>0</v>
      </c>
      <c r="G88" s="14"/>
      <c r="H88" s="22">
        <f>+H23-H25+H86</f>
        <v>-9195.1330999999973</v>
      </c>
      <c r="I88" s="14"/>
      <c r="J88" s="20">
        <f>IF(H$12=0,0,H88/H$12)</f>
        <v>0</v>
      </c>
      <c r="K88" s="15"/>
      <c r="L88" s="22">
        <f>+D88-H88</f>
        <v>5100.1330999999973</v>
      </c>
      <c r="M88" s="15"/>
      <c r="N88" s="20">
        <f>IF(H88=0,0,L88/H88)</f>
        <v>-0.55465571237897571</v>
      </c>
      <c r="O88" s="28"/>
      <c r="P88" s="22">
        <f>+P23-P25+P86</f>
        <v>-70906.240000000049</v>
      </c>
      <c r="Q88" s="14"/>
      <c r="R88" s="20">
        <f>IF(P$12=0,0,P88/P$12)</f>
        <v>-0.37325835553998804</v>
      </c>
      <c r="S88" s="14"/>
      <c r="T88" s="22">
        <f>+T23-T25+T86</f>
        <v>63345.742312799994</v>
      </c>
      <c r="U88" s="14"/>
      <c r="V88" s="20">
        <f>IF(T$12=0,0,T88/T$12)</f>
        <v>0.15757647341492537</v>
      </c>
      <c r="W88" s="15"/>
      <c r="X88" s="22">
        <f>+P88-T88</f>
        <v>-134251.98231280004</v>
      </c>
      <c r="Y88" s="15"/>
      <c r="Z88" s="20">
        <f>IF(T88=0,0,X88/T88)</f>
        <v>-2.1193528943092415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6272.32</v>
      </c>
      <c r="E90" s="4"/>
      <c r="F90" s="13">
        <f>IF(D$12=0,0,D90/D$12)</f>
        <v>0</v>
      </c>
      <c r="G90" s="4"/>
      <c r="H90" s="4">
        <v>5445</v>
      </c>
      <c r="I90" s="4"/>
      <c r="J90" s="13">
        <f>IF(H$12=0,0,H90/H$12)</f>
        <v>0</v>
      </c>
      <c r="K90" s="4"/>
      <c r="L90" s="4">
        <f>+D90-H90</f>
        <v>827.31999999999971</v>
      </c>
      <c r="M90" s="4"/>
      <c r="N90" s="13">
        <f>IF(H90=0,0,L90/H90)</f>
        <v>0.15194123048668498</v>
      </c>
      <c r="O90" s="10"/>
      <c r="P90" s="4">
        <v>28768.15</v>
      </c>
      <c r="Q90" s="4"/>
      <c r="R90" s="13">
        <f>IF(P$12=0,0,P90/P$12)</f>
        <v>0.15143875011462601</v>
      </c>
      <c r="S90" s="4"/>
      <c r="T90" s="4">
        <v>52007</v>
      </c>
      <c r="U90" s="4"/>
      <c r="V90" s="13">
        <f>IF(T$12=0,0,T90/T$12)</f>
        <v>0.12937064676616916</v>
      </c>
      <c r="W90" s="4"/>
      <c r="X90" s="4">
        <f>+P90-T90</f>
        <v>-23238.85</v>
      </c>
      <c r="Y90" s="4"/>
      <c r="Z90" s="13">
        <f>IF(T90=0,0,X90/T90)</f>
        <v>-0.44684080989097619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4</v>
      </c>
      <c r="C92" s="29"/>
      <c r="D92" s="31">
        <f>+D88-D90</f>
        <v>-10367.32</v>
      </c>
      <c r="E92" s="14"/>
      <c r="F92" s="33">
        <f>IF(D$12=0,0,D92/D$12)</f>
        <v>0</v>
      </c>
      <c r="G92" s="14"/>
      <c r="H92" s="31">
        <f>+H88-H90</f>
        <v>-14640.133099999997</v>
      </c>
      <c r="I92" s="14"/>
      <c r="J92" s="33">
        <f>IF(H$12=0,0,H92/H$12)</f>
        <v>0</v>
      </c>
      <c r="K92" s="15"/>
      <c r="L92" s="31">
        <f>D92-H92</f>
        <v>4272.8130999999976</v>
      </c>
      <c r="M92" s="15"/>
      <c r="N92" s="33">
        <f>IF(H92=0,0,L92/H92)</f>
        <v>-0.29185616488691613</v>
      </c>
      <c r="O92" s="28"/>
      <c r="P92" s="31">
        <f>+P88-P90</f>
        <v>-99674.390000000043</v>
      </c>
      <c r="Q92" s="14"/>
      <c r="R92" s="33">
        <f>IF(P$12=0,0,P92/P$12)</f>
        <v>-0.52469710565461403</v>
      </c>
      <c r="S92" s="14"/>
      <c r="T92" s="31">
        <f>+T88-T90</f>
        <v>11338.742312799994</v>
      </c>
      <c r="U92" s="14"/>
      <c r="V92" s="33">
        <f>IF(T$12=0,0,T92/T$12)</f>
        <v>2.8205826648756205E-2</v>
      </c>
      <c r="W92" s="15"/>
      <c r="X92" s="31">
        <f>P92-T92</f>
        <v>-111013.13231280004</v>
      </c>
      <c r="Y92" s="15"/>
      <c r="Z92" s="33">
        <f>IF(T92=0,0,X92/T92)</f>
        <v>-9.7906036886895631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5</v>
      </c>
      <c r="C95" s="29"/>
      <c r="D95" s="34">
        <f>SUM(D92:D94)</f>
        <v>-10367.32</v>
      </c>
      <c r="E95" s="14"/>
      <c r="F95" s="35">
        <f>IF(D$12=0,0,D95/D$12)</f>
        <v>0</v>
      </c>
      <c r="G95" s="14"/>
      <c r="H95" s="34">
        <f>SUM(H92:H94)</f>
        <v>-14640.133099999997</v>
      </c>
      <c r="I95" s="14"/>
      <c r="J95" s="35">
        <f>IF(H$12=0,0,H95/H$12)</f>
        <v>0</v>
      </c>
      <c r="K95" s="15"/>
      <c r="L95" s="34">
        <f>+D95-H95</f>
        <v>4272.8130999999976</v>
      </c>
      <c r="M95" s="15"/>
      <c r="N95" s="35">
        <f>IF(H95=0,0,L95/H95)</f>
        <v>-0.29185616488691613</v>
      </c>
      <c r="O95" s="28"/>
      <c r="P95" s="34">
        <f>SUM(P92:P94)</f>
        <v>-99674.390000000043</v>
      </c>
      <c r="Q95" s="14"/>
      <c r="R95" s="35">
        <f>IF(P$12=0,0,P95/P$12)</f>
        <v>-0.52469710565461403</v>
      </c>
      <c r="S95" s="14"/>
      <c r="T95" s="34">
        <f>SUM(T92:T94)</f>
        <v>11338.742312799994</v>
      </c>
      <c r="U95" s="14"/>
      <c r="V95" s="35">
        <f>IF(T$12=0,0,T95/T$12)</f>
        <v>2.8205826648756205E-2</v>
      </c>
      <c r="W95" s="15"/>
      <c r="X95" s="34">
        <f>+P95-T95</f>
        <v>-111013.13231280004</v>
      </c>
      <c r="Y95" s="15"/>
      <c r="Z95" s="35">
        <f>IF(T95=0,0,X95/T95)</f>
        <v>-9.7906036886895631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5">
        <v>44043.47368260417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62" t="s">
        <v>314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63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4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","411", " - ", "University Dining")</f>
        <v>Department 411 - University Dining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43578.04</v>
      </c>
      <c r="E18" s="21"/>
      <c r="F18" s="32">
        <f t="shared" ref="F18:F29" si="0">IF(D$12=0,0,D18/D$12)</f>
        <v>0</v>
      </c>
      <c r="G18" s="21"/>
      <c r="H18" s="21">
        <f>SUM(OSRRefH22x_0)</f>
        <v>89763.161493569234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-46185.121493569233</v>
      </c>
      <c r="M18" s="4"/>
      <c r="N18" s="32">
        <f t="shared" ref="N18:N29" si="3">IF(H18=0,0,L18/H18)</f>
        <v>-0.51452200128755499</v>
      </c>
      <c r="O18" s="10"/>
      <c r="P18" s="21">
        <f>SUM(OSRRefP22x_0)</f>
        <v>1014961.63</v>
      </c>
      <c r="Q18" s="21"/>
      <c r="R18" s="32">
        <f t="shared" ref="R18:R29" si="4">IF(P$12=0,0,P18/P$12)</f>
        <v>0</v>
      </c>
      <c r="S18" s="21"/>
      <c r="T18" s="21">
        <f>SUM(OSRRefT22x_0)</f>
        <v>1223280.979957998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-208319.34995799803</v>
      </c>
      <c r="Y18" s="4"/>
      <c r="Z18" s="32">
        <f t="shared" ref="Z18:Z29" si="7">IF(T18=0,0,X18/T18)</f>
        <v>-0.17029558488283761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1714.81</v>
      </c>
      <c r="E19" s="1"/>
      <c r="F19" s="5">
        <f t="shared" si="0"/>
        <v>0</v>
      </c>
      <c r="G19" s="1"/>
      <c r="H19" s="1">
        <f>SUM(OSRRefH22_0x_0)</f>
        <v>8542.0884166461474</v>
      </c>
      <c r="I19" s="1"/>
      <c r="J19" s="5">
        <f t="shared" si="1"/>
        <v>0</v>
      </c>
      <c r="K19" s="1"/>
      <c r="L19" s="1">
        <f t="shared" si="2"/>
        <v>-6827.2784166461479</v>
      </c>
      <c r="M19" s="1"/>
      <c r="N19" s="5">
        <f t="shared" si="3"/>
        <v>-0.79925166816837045</v>
      </c>
      <c r="O19" s="12"/>
      <c r="P19" s="1">
        <f>SUM(OSRRefP22_0x_0)</f>
        <v>73387.12</v>
      </c>
      <c r="Q19" s="1"/>
      <c r="R19" s="5">
        <f t="shared" si="4"/>
        <v>0</v>
      </c>
      <c r="S19" s="1"/>
      <c r="T19" s="1">
        <f>SUM(OSRRefT22_0x_0)</f>
        <v>110960.44135799796</v>
      </c>
      <c r="U19" s="1"/>
      <c r="V19" s="5">
        <f t="shared" si="5"/>
        <v>0</v>
      </c>
      <c r="W19" s="1"/>
      <c r="X19" s="1">
        <f t="shared" si="6"/>
        <v>-37573.321357997964</v>
      </c>
      <c r="Y19" s="1"/>
      <c r="Z19" s="5">
        <f t="shared" si="7"/>
        <v>-0.33861906908582878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318.24</v>
      </c>
      <c r="E20" s="2"/>
      <c r="F20" s="7">
        <f t="shared" si="0"/>
        <v>0</v>
      </c>
      <c r="G20" s="2"/>
      <c r="H20" s="6">
        <v>1519.40001110769</v>
      </c>
      <c r="I20" s="2"/>
      <c r="J20" s="7">
        <f t="shared" si="1"/>
        <v>0</v>
      </c>
      <c r="K20" s="2"/>
      <c r="L20" s="6">
        <f t="shared" si="2"/>
        <v>-1201.16001110769</v>
      </c>
      <c r="M20" s="2"/>
      <c r="N20" s="7">
        <f t="shared" si="3"/>
        <v>-0.79054890241313536</v>
      </c>
      <c r="O20" s="11"/>
      <c r="P20" s="6">
        <v>23963.66</v>
      </c>
      <c r="Q20" s="2"/>
      <c r="R20" s="7">
        <f t="shared" si="4"/>
        <v>0</v>
      </c>
      <c r="S20" s="2"/>
      <c r="T20" s="6">
        <v>18910.338659958001</v>
      </c>
      <c r="U20" s="2"/>
      <c r="V20" s="7">
        <f t="shared" si="5"/>
        <v>0</v>
      </c>
      <c r="W20" s="2"/>
      <c r="X20" s="6">
        <f t="shared" si="6"/>
        <v>5053.3213400419991</v>
      </c>
      <c r="Y20" s="2"/>
      <c r="Z20" s="7">
        <f t="shared" si="7"/>
        <v>0.26722532213250283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161.41</v>
      </c>
      <c r="E21" s="2"/>
      <c r="F21" s="7">
        <f t="shared" si="0"/>
        <v>0</v>
      </c>
      <c r="G21" s="2"/>
      <c r="H21" s="6">
        <v>930.02250953846215</v>
      </c>
      <c r="I21" s="2"/>
      <c r="J21" s="7">
        <f t="shared" si="1"/>
        <v>0</v>
      </c>
      <c r="K21" s="2"/>
      <c r="L21" s="6">
        <f t="shared" si="2"/>
        <v>-768.61250953846218</v>
      </c>
      <c r="M21" s="2"/>
      <c r="N21" s="7">
        <f t="shared" si="3"/>
        <v>-0.82644506090492142</v>
      </c>
      <c r="O21" s="11"/>
      <c r="P21" s="6">
        <v>8956.14</v>
      </c>
      <c r="Q21" s="2"/>
      <c r="R21" s="7">
        <f t="shared" si="4"/>
        <v>0</v>
      </c>
      <c r="S21" s="2"/>
      <c r="T21" s="6">
        <v>13588.034261680003</v>
      </c>
      <c r="U21" s="2"/>
      <c r="V21" s="7">
        <f t="shared" si="5"/>
        <v>0</v>
      </c>
      <c r="W21" s="2"/>
      <c r="X21" s="6">
        <f t="shared" si="6"/>
        <v>-4631.8942616800032</v>
      </c>
      <c r="Y21" s="2"/>
      <c r="Z21" s="7">
        <f t="shared" si="7"/>
        <v>-0.34088037846228708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734.18</v>
      </c>
      <c r="E22" s="2"/>
      <c r="F22" s="7">
        <f t="shared" si="0"/>
        <v>0</v>
      </c>
      <c r="G22" s="2"/>
      <c r="H22" s="6">
        <v>2600.76923076923</v>
      </c>
      <c r="I22" s="2"/>
      <c r="J22" s="7">
        <f t="shared" si="1"/>
        <v>0</v>
      </c>
      <c r="K22" s="2"/>
      <c r="L22" s="6">
        <f t="shared" si="2"/>
        <v>-1866.5892307692302</v>
      </c>
      <c r="M22" s="2"/>
      <c r="N22" s="7">
        <f t="shared" si="3"/>
        <v>-0.71770659568175099</v>
      </c>
      <c r="O22" s="11"/>
      <c r="P22" s="6">
        <v>34608.81</v>
      </c>
      <c r="Q22" s="2"/>
      <c r="R22" s="7">
        <f t="shared" si="4"/>
        <v>0</v>
      </c>
      <c r="S22" s="2"/>
      <c r="T22" s="6">
        <v>32484</v>
      </c>
      <c r="U22" s="2"/>
      <c r="V22" s="7">
        <f t="shared" si="5"/>
        <v>0</v>
      </c>
      <c r="W22" s="2"/>
      <c r="X22" s="6">
        <f t="shared" si="6"/>
        <v>2124.8099999999977</v>
      </c>
      <c r="Y22" s="2"/>
      <c r="Z22" s="7">
        <f t="shared" si="7"/>
        <v>6.5410971555227113E-2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-823.94</v>
      </c>
      <c r="E23" s="2"/>
      <c r="F23" s="7">
        <f t="shared" si="0"/>
        <v>0</v>
      </c>
      <c r="G23" s="2"/>
      <c r="H23" s="6">
        <v>62.321095999999997</v>
      </c>
      <c r="I23" s="2"/>
      <c r="J23" s="7">
        <f t="shared" si="1"/>
        <v>0</v>
      </c>
      <c r="K23" s="2"/>
      <c r="L23" s="6">
        <f t="shared" si="2"/>
        <v>-886.26109600000007</v>
      </c>
      <c r="M23" s="2"/>
      <c r="N23" s="7">
        <f t="shared" si="3"/>
        <v>-14.220884305372294</v>
      </c>
      <c r="O23" s="11"/>
      <c r="P23" s="6">
        <v>0</v>
      </c>
      <c r="Q23" s="2"/>
      <c r="R23" s="7">
        <f t="shared" si="4"/>
        <v>0</v>
      </c>
      <c r="S23" s="2"/>
      <c r="T23" s="6">
        <v>910.53837836000002</v>
      </c>
      <c r="U23" s="2"/>
      <c r="V23" s="7">
        <f t="shared" si="5"/>
        <v>0</v>
      </c>
      <c r="W23" s="2"/>
      <c r="X23" s="6">
        <f t="shared" si="6"/>
        <v>-910.53837836000002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604.76</v>
      </c>
      <c r="E24" s="2"/>
      <c r="F24" s="7">
        <f t="shared" si="0"/>
        <v>0</v>
      </c>
      <c r="G24" s="2"/>
      <c r="H24" s="6">
        <v>1096.68853846154</v>
      </c>
      <c r="I24" s="2"/>
      <c r="J24" s="7">
        <f t="shared" si="1"/>
        <v>0</v>
      </c>
      <c r="K24" s="2"/>
      <c r="L24" s="6">
        <f t="shared" si="2"/>
        <v>-491.92853846154003</v>
      </c>
      <c r="M24" s="2"/>
      <c r="N24" s="7">
        <f t="shared" si="3"/>
        <v>-0.44855811035613513</v>
      </c>
      <c r="O24" s="11"/>
      <c r="P24" s="6">
        <v>16779.48</v>
      </c>
      <c r="Q24" s="2"/>
      <c r="R24" s="7">
        <f t="shared" si="4"/>
        <v>0</v>
      </c>
      <c r="S24" s="2"/>
      <c r="T24" s="6">
        <v>14256.951000000001</v>
      </c>
      <c r="U24" s="2"/>
      <c r="V24" s="7">
        <f t="shared" si="5"/>
        <v>0</v>
      </c>
      <c r="W24" s="2"/>
      <c r="X24" s="6">
        <f t="shared" si="6"/>
        <v>2522.5289999999986</v>
      </c>
      <c r="Y24" s="2"/>
      <c r="Z24" s="7">
        <f t="shared" si="7"/>
        <v>0.17693327275937179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588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588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384.28</v>
      </c>
      <c r="E27" s="2"/>
      <c r="F27" s="7">
        <f t="shared" si="0"/>
        <v>0</v>
      </c>
      <c r="G27" s="2"/>
      <c r="H27" s="6">
        <v>1066.3193846153799</v>
      </c>
      <c r="I27" s="2"/>
      <c r="J27" s="7">
        <f t="shared" si="1"/>
        <v>0</v>
      </c>
      <c r="K27" s="2"/>
      <c r="L27" s="6">
        <f t="shared" si="2"/>
        <v>-682.03938461537996</v>
      </c>
      <c r="M27" s="2"/>
      <c r="N27" s="7">
        <f t="shared" si="3"/>
        <v>-0.63962016864336635</v>
      </c>
      <c r="O27" s="11"/>
      <c r="P27" s="6">
        <v>16327.769999999999</v>
      </c>
      <c r="Q27" s="2"/>
      <c r="R27" s="7">
        <f t="shared" si="4"/>
        <v>0</v>
      </c>
      <c r="S27" s="2"/>
      <c r="T27" s="6">
        <v>13862.15199999996</v>
      </c>
      <c r="U27" s="2"/>
      <c r="V27" s="7">
        <f t="shared" si="5"/>
        <v>0</v>
      </c>
      <c r="W27" s="2"/>
      <c r="X27" s="6">
        <f t="shared" si="6"/>
        <v>2465.6180000000386</v>
      </c>
      <c r="Y27" s="2"/>
      <c r="Z27" s="7">
        <f t="shared" si="7"/>
        <v>0.1778668997425541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191.88</v>
      </c>
      <c r="E28" s="2"/>
      <c r="F28" s="7">
        <f t="shared" si="0"/>
        <v>0</v>
      </c>
      <c r="G28" s="2"/>
      <c r="H28" s="6">
        <v>591.567646153846</v>
      </c>
      <c r="I28" s="2"/>
      <c r="J28" s="7">
        <f t="shared" si="1"/>
        <v>0</v>
      </c>
      <c r="K28" s="2"/>
      <c r="L28" s="6">
        <f t="shared" si="2"/>
        <v>-399.687646153846</v>
      </c>
      <c r="M28" s="2"/>
      <c r="N28" s="7">
        <f t="shared" si="3"/>
        <v>-0.67564149045754485</v>
      </c>
      <c r="O28" s="11"/>
      <c r="P28" s="6">
        <v>-31556.91</v>
      </c>
      <c r="Q28" s="2"/>
      <c r="R28" s="7">
        <f t="shared" si="4"/>
        <v>0</v>
      </c>
      <c r="S28" s="2"/>
      <c r="T28" s="6">
        <v>8848.4270579999993</v>
      </c>
      <c r="U28" s="2"/>
      <c r="V28" s="7">
        <f t="shared" si="5"/>
        <v>0</v>
      </c>
      <c r="W28" s="2"/>
      <c r="X28" s="6">
        <f t="shared" si="6"/>
        <v>-40405.337057999997</v>
      </c>
      <c r="Y28" s="2"/>
      <c r="Z28" s="7">
        <f t="shared" si="7"/>
        <v>-4.5663864089232566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144</v>
      </c>
      <c r="E29" s="2"/>
      <c r="F29" s="7">
        <f t="shared" si="0"/>
        <v>0</v>
      </c>
      <c r="G29" s="2"/>
      <c r="H29" s="6">
        <v>675</v>
      </c>
      <c r="I29" s="2"/>
      <c r="J29" s="7">
        <f t="shared" si="1"/>
        <v>0</v>
      </c>
      <c r="K29" s="2"/>
      <c r="L29" s="6">
        <f t="shared" si="2"/>
        <v>-531</v>
      </c>
      <c r="M29" s="2"/>
      <c r="N29" s="7">
        <f t="shared" si="3"/>
        <v>-0.78666666666666663</v>
      </c>
      <c r="O29" s="11"/>
      <c r="P29" s="6">
        <v>3720.17</v>
      </c>
      <c r="Q29" s="2"/>
      <c r="R29" s="7">
        <f t="shared" si="4"/>
        <v>0</v>
      </c>
      <c r="S29" s="2"/>
      <c r="T29" s="6">
        <v>8100</v>
      </c>
      <c r="U29" s="2"/>
      <c r="V29" s="7">
        <f t="shared" si="5"/>
        <v>0</v>
      </c>
      <c r="W29" s="2"/>
      <c r="X29" s="6">
        <f t="shared" si="6"/>
        <v>-4379.83</v>
      </c>
      <c r="Y29" s="2"/>
      <c r="Z29" s="7">
        <f t="shared" si="7"/>
        <v>-0.54071975308641973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3744</v>
      </c>
      <c r="E30" s="1"/>
      <c r="F30" s="5">
        <f t="shared" ref="F30:F40" si="8">IF(D$12=0,0,D30/D$12)</f>
        <v>0</v>
      </c>
      <c r="G30" s="1"/>
      <c r="H30" s="1">
        <f>SUM(OSRRefH22_1x_0)</f>
        <v>22579.073076923079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-18835.073076923079</v>
      </c>
      <c r="M30" s="1"/>
      <c r="N30" s="5">
        <f t="shared" ref="N30:N40" si="11">IF(H30=0,0,L30/H30)</f>
        <v>-0.8341827413709666</v>
      </c>
      <c r="O30" s="12"/>
      <c r="P30" s="1">
        <f>SUM(OSRRefP22_1x_0)</f>
        <v>259949.05000000002</v>
      </c>
      <c r="Q30" s="1"/>
      <c r="R30" s="5">
        <f t="shared" ref="R30:R40" si="12">IF(P$12=0,0,P30/P$12)</f>
        <v>0</v>
      </c>
      <c r="S30" s="1"/>
      <c r="T30" s="1">
        <f>SUM(OSRRefT22_1x_0)</f>
        <v>332129.53860000009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-72180.48860000007</v>
      </c>
      <c r="Y30" s="1"/>
      <c r="Z30" s="5">
        <f t="shared" ref="Z30:Z40" si="15">IF(T30=0,0,X30/T30)</f>
        <v>-0.21732631461885893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8"/>
        <v>0</v>
      </c>
      <c r="G31" s="2"/>
      <c r="H31" s="6">
        <v>7915.1538461538503</v>
      </c>
      <c r="I31" s="2"/>
      <c r="J31" s="7">
        <f t="shared" si="9"/>
        <v>0</v>
      </c>
      <c r="K31" s="2"/>
      <c r="L31" s="6">
        <f t="shared" si="10"/>
        <v>-7915.1538461538503</v>
      </c>
      <c r="M31" s="2"/>
      <c r="N31" s="7">
        <f t="shared" si="11"/>
        <v>-1</v>
      </c>
      <c r="O31" s="11"/>
      <c r="P31" s="6">
        <v>67427.61</v>
      </c>
      <c r="Q31" s="2"/>
      <c r="R31" s="7">
        <f t="shared" si="12"/>
        <v>0</v>
      </c>
      <c r="S31" s="2"/>
      <c r="T31" s="6">
        <v>102897.00000000004</v>
      </c>
      <c r="U31" s="2"/>
      <c r="V31" s="7">
        <f t="shared" si="13"/>
        <v>0</v>
      </c>
      <c r="W31" s="2"/>
      <c r="X31" s="6">
        <f t="shared" si="14"/>
        <v>-35469.390000000043</v>
      </c>
      <c r="Y31" s="2"/>
      <c r="Z31" s="7">
        <f t="shared" si="15"/>
        <v>-0.3447077174261643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3744</v>
      </c>
      <c r="E32" s="2"/>
      <c r="F32" s="7">
        <f t="shared" si="8"/>
        <v>0</v>
      </c>
      <c r="G32" s="2"/>
      <c r="H32" s="6">
        <v>3561.8192307692298</v>
      </c>
      <c r="I32" s="2"/>
      <c r="J32" s="7">
        <f t="shared" si="9"/>
        <v>0</v>
      </c>
      <c r="K32" s="2"/>
      <c r="L32" s="6">
        <f t="shared" si="10"/>
        <v>182.18076923077024</v>
      </c>
      <c r="M32" s="2"/>
      <c r="N32" s="7">
        <f t="shared" si="11"/>
        <v>5.1148235614255327E-2</v>
      </c>
      <c r="O32" s="11"/>
      <c r="P32" s="6">
        <v>56248.86</v>
      </c>
      <c r="Q32" s="2"/>
      <c r="R32" s="7">
        <f t="shared" si="12"/>
        <v>0</v>
      </c>
      <c r="S32" s="2"/>
      <c r="T32" s="6">
        <v>46303.65</v>
      </c>
      <c r="U32" s="2"/>
      <c r="V32" s="7">
        <f t="shared" si="13"/>
        <v>0</v>
      </c>
      <c r="W32" s="2"/>
      <c r="X32" s="6">
        <f t="shared" si="14"/>
        <v>9945.2099999999991</v>
      </c>
      <c r="Y32" s="2"/>
      <c r="Z32" s="7">
        <f t="shared" si="15"/>
        <v>0.21478241996041347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8"/>
        <v>0</v>
      </c>
      <c r="G34" s="2"/>
      <c r="H34" s="6">
        <v>5222.1000000000004</v>
      </c>
      <c r="I34" s="2"/>
      <c r="J34" s="7">
        <f t="shared" si="9"/>
        <v>0</v>
      </c>
      <c r="K34" s="2"/>
      <c r="L34" s="6">
        <f t="shared" si="10"/>
        <v>-5222.1000000000004</v>
      </c>
      <c r="M34" s="2"/>
      <c r="N34" s="7">
        <f t="shared" si="11"/>
        <v>-1</v>
      </c>
      <c r="O34" s="11"/>
      <c r="P34" s="6">
        <v>23599.230000000003</v>
      </c>
      <c r="Q34" s="2"/>
      <c r="R34" s="7">
        <f t="shared" si="12"/>
        <v>0</v>
      </c>
      <c r="S34" s="2"/>
      <c r="T34" s="6">
        <v>71250.888600000006</v>
      </c>
      <c r="U34" s="2"/>
      <c r="V34" s="7">
        <f t="shared" si="13"/>
        <v>0</v>
      </c>
      <c r="W34" s="2"/>
      <c r="X34" s="6">
        <f t="shared" si="14"/>
        <v>-47651.658600000002</v>
      </c>
      <c r="Y34" s="2"/>
      <c r="Z34" s="7">
        <f t="shared" si="15"/>
        <v>-0.66878686759283446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8"/>
        <v>0</v>
      </c>
      <c r="G35" s="2"/>
      <c r="H35" s="6">
        <v>4116</v>
      </c>
      <c r="I35" s="2"/>
      <c r="J35" s="7">
        <f t="shared" si="9"/>
        <v>0</v>
      </c>
      <c r="K35" s="2"/>
      <c r="L35" s="6">
        <f t="shared" si="10"/>
        <v>-4116</v>
      </c>
      <c r="M35" s="2"/>
      <c r="N35" s="7">
        <f t="shared" si="11"/>
        <v>-1</v>
      </c>
      <c r="O35" s="11"/>
      <c r="P35" s="6">
        <v>94654.75</v>
      </c>
      <c r="Q35" s="2"/>
      <c r="R35" s="7">
        <f t="shared" si="12"/>
        <v>0</v>
      </c>
      <c r="S35" s="2"/>
      <c r="T35" s="6">
        <v>91014</v>
      </c>
      <c r="U35" s="2"/>
      <c r="V35" s="7">
        <f t="shared" si="13"/>
        <v>0</v>
      </c>
      <c r="W35" s="2"/>
      <c r="X35" s="6">
        <f t="shared" si="14"/>
        <v>3640.75</v>
      </c>
      <c r="Y35" s="2"/>
      <c r="Z35" s="7">
        <f t="shared" si="15"/>
        <v>4.0002087590920075E-2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1236.8800000000001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1236.8800000000001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1764</v>
      </c>
      <c r="I37" s="2"/>
      <c r="J37" s="7">
        <f t="shared" si="9"/>
        <v>0</v>
      </c>
      <c r="K37" s="2"/>
      <c r="L37" s="6">
        <f t="shared" si="10"/>
        <v>-1764</v>
      </c>
      <c r="M37" s="2"/>
      <c r="N37" s="7">
        <f t="shared" si="11"/>
        <v>-1</v>
      </c>
      <c r="O37" s="11"/>
      <c r="P37" s="6">
        <v>16781.72</v>
      </c>
      <c r="Q37" s="2"/>
      <c r="R37" s="7">
        <f t="shared" si="12"/>
        <v>0</v>
      </c>
      <c r="S37" s="2"/>
      <c r="T37" s="6">
        <v>8568</v>
      </c>
      <c r="U37" s="2"/>
      <c r="V37" s="7">
        <f t="shared" si="13"/>
        <v>0</v>
      </c>
      <c r="W37" s="2"/>
      <c r="X37" s="6">
        <f t="shared" si="14"/>
        <v>8213.7200000000012</v>
      </c>
      <c r="Y37" s="2"/>
      <c r="Z37" s="7">
        <f t="shared" si="15"/>
        <v>0.95865079365079375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12096</v>
      </c>
      <c r="U38" s="2"/>
      <c r="V38" s="7">
        <f t="shared" si="13"/>
        <v>0</v>
      </c>
      <c r="W38" s="2"/>
      <c r="X38" s="6">
        <f t="shared" si="14"/>
        <v>-12096</v>
      </c>
      <c r="Y38" s="2"/>
      <c r="Z38" s="7">
        <f t="shared" si="15"/>
        <v>-1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49" si="16">IF(D$12=0,0,D41/D$12)</f>
        <v>0</v>
      </c>
      <c r="G41" s="1"/>
      <c r="H41" s="1">
        <f>SUM(OSRRefH22_2x_0)</f>
        <v>200</v>
      </c>
      <c r="I41" s="1"/>
      <c r="J41" s="5">
        <f t="shared" ref="J41:J49" si="17">IF(H$12=0,0,H41/H$12)</f>
        <v>0</v>
      </c>
      <c r="K41" s="1"/>
      <c r="L41" s="1">
        <f t="shared" ref="L41:L49" si="18">+D41-H41</f>
        <v>-200</v>
      </c>
      <c r="M41" s="1"/>
      <c r="N41" s="5">
        <f t="shared" ref="N41:N49" si="19">IF(H41=0,0,L41/H41)</f>
        <v>-1</v>
      </c>
      <c r="O41" s="12"/>
      <c r="P41" s="1">
        <f>SUM(OSRRefP22_2x_0)</f>
        <v>3780.74</v>
      </c>
      <c r="Q41" s="1"/>
      <c r="R41" s="5">
        <f t="shared" ref="R41:R49" si="20">IF(P$12=0,0,P41/P$12)</f>
        <v>0</v>
      </c>
      <c r="S41" s="1"/>
      <c r="T41" s="1">
        <f>SUM(OSRRefT22_2x_0)</f>
        <v>2250</v>
      </c>
      <c r="U41" s="1"/>
      <c r="V41" s="5">
        <f t="shared" ref="V41:V49" si="21">IF(T$12=0,0,T41/T$12)</f>
        <v>0</v>
      </c>
      <c r="W41" s="1"/>
      <c r="X41" s="1">
        <f t="shared" ref="X41:X49" si="22">+P41-T41</f>
        <v>1530.7399999999998</v>
      </c>
      <c r="Y41" s="1"/>
      <c r="Z41" s="5">
        <f t="shared" ref="Z41:Z49" si="23">IF(T41=0,0,X41/T41)</f>
        <v>0.68032888888888876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200</v>
      </c>
      <c r="I42" s="2"/>
      <c r="J42" s="7">
        <f t="shared" si="17"/>
        <v>0</v>
      </c>
      <c r="K42" s="2"/>
      <c r="L42" s="6">
        <f t="shared" si="18"/>
        <v>-200</v>
      </c>
      <c r="M42" s="2"/>
      <c r="N42" s="7">
        <f t="shared" si="19"/>
        <v>-1</v>
      </c>
      <c r="O42" s="11"/>
      <c r="P42" s="6">
        <v>3780.74</v>
      </c>
      <c r="Q42" s="2"/>
      <c r="R42" s="7">
        <f t="shared" si="20"/>
        <v>0</v>
      </c>
      <c r="S42" s="2"/>
      <c r="T42" s="6">
        <v>2250</v>
      </c>
      <c r="U42" s="2"/>
      <c r="V42" s="7">
        <f t="shared" si="21"/>
        <v>0</v>
      </c>
      <c r="W42" s="2"/>
      <c r="X42" s="6">
        <f t="shared" si="22"/>
        <v>1530.7399999999998</v>
      </c>
      <c r="Y42" s="2"/>
      <c r="Z42" s="7">
        <f t="shared" si="23"/>
        <v>0.68032888888888876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SUM(OSRRefD22_3x_0)</f>
        <v>279.08999999999997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279.08999999999997</v>
      </c>
      <c r="M43" s="1"/>
      <c r="N43" s="5">
        <f t="shared" si="19"/>
        <v>0</v>
      </c>
      <c r="O43" s="12"/>
      <c r="P43" s="1">
        <f>SUM(OSRRefP22_3x_0)</f>
        <v>536.59</v>
      </c>
      <c r="Q43" s="1"/>
      <c r="R43" s="5">
        <f t="shared" si="20"/>
        <v>0</v>
      </c>
      <c r="S43" s="1"/>
      <c r="T43" s="1">
        <f>SUM(OSRRefT22_3x_0)</f>
        <v>0</v>
      </c>
      <c r="U43" s="1"/>
      <c r="V43" s="5">
        <f t="shared" si="21"/>
        <v>0</v>
      </c>
      <c r="W43" s="1"/>
      <c r="X43" s="1">
        <f t="shared" si="22"/>
        <v>536.59</v>
      </c>
      <c r="Y43" s="1"/>
      <c r="Z43" s="5">
        <f t="shared" si="23"/>
        <v>0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279.08999999999997</v>
      </c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279.08999999999997</v>
      </c>
      <c r="M44" s="2"/>
      <c r="N44" s="7">
        <f t="shared" si="19"/>
        <v>0</v>
      </c>
      <c r="O44" s="11"/>
      <c r="P44" s="6">
        <v>536.59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536.59</v>
      </c>
      <c r="Y44" s="2"/>
      <c r="Z44" s="7">
        <f t="shared" si="23"/>
        <v>0</v>
      </c>
    </row>
    <row r="45" spans="1:26" s="26" customFormat="1" outlineLevel="1" collapsed="1" x14ac:dyDescent="0.25">
      <c r="A45" s="25"/>
      <c r="B45" s="12" t="str">
        <f>CONCATENATE("     ","Depreciation                                      ")</f>
        <v xml:space="preserve">     Depreciation                                      </v>
      </c>
      <c r="C45" s="12"/>
      <c r="D45" s="1">
        <f>SUM(OSRRefD22_4x_0)</f>
        <v>7224.33</v>
      </c>
      <c r="E45" s="1"/>
      <c r="F45" s="5">
        <f t="shared" si="16"/>
        <v>0</v>
      </c>
      <c r="G45" s="1"/>
      <c r="H45" s="1">
        <f>SUM(OSRRefH22_4x_0)</f>
        <v>8207</v>
      </c>
      <c r="I45" s="1"/>
      <c r="J45" s="5">
        <f t="shared" si="17"/>
        <v>0</v>
      </c>
      <c r="K45" s="1"/>
      <c r="L45" s="1">
        <f t="shared" si="18"/>
        <v>-982.67000000000007</v>
      </c>
      <c r="M45" s="1"/>
      <c r="N45" s="5">
        <f t="shared" si="19"/>
        <v>-0.11973559156817352</v>
      </c>
      <c r="O45" s="12"/>
      <c r="P45" s="1">
        <f>SUM(OSRRefP22_4x_0)</f>
        <v>85610.599999999991</v>
      </c>
      <c r="Q45" s="1"/>
      <c r="R45" s="5">
        <f t="shared" si="20"/>
        <v>0</v>
      </c>
      <c r="S45" s="1"/>
      <c r="T45" s="1">
        <f>SUM(OSRRefT22_4x_0)</f>
        <v>89556</v>
      </c>
      <c r="U45" s="1"/>
      <c r="V45" s="5">
        <f t="shared" si="21"/>
        <v>0</v>
      </c>
      <c r="W45" s="1"/>
      <c r="X45" s="1">
        <f t="shared" si="22"/>
        <v>-3945.4000000000087</v>
      </c>
      <c r="Y45" s="1"/>
      <c r="Z45" s="5">
        <f t="shared" si="23"/>
        <v>-4.4055116351779992E-2</v>
      </c>
    </row>
    <row r="46" spans="1:26" s="24" customFormat="1" hidden="1" outlineLevel="2" x14ac:dyDescent="0.25">
      <c r="A46" s="27"/>
      <c r="B46" s="11" t="str">
        <f>CONCATENATE("          ", "6321", " - ", "BUILDING DEPRECIATION")</f>
        <v xml:space="preserve">          6321 - BUILDING DEPRECIATION</v>
      </c>
      <c r="C46" s="11"/>
      <c r="D46" s="6">
        <v>2267.06</v>
      </c>
      <c r="E46" s="2"/>
      <c r="F46" s="7">
        <f t="shared" si="16"/>
        <v>0</v>
      </c>
      <c r="G46" s="2"/>
      <c r="H46" s="6">
        <v>723</v>
      </c>
      <c r="I46" s="2"/>
      <c r="J46" s="7">
        <f t="shared" si="17"/>
        <v>0</v>
      </c>
      <c r="K46" s="2"/>
      <c r="L46" s="6">
        <f t="shared" si="18"/>
        <v>1544.06</v>
      </c>
      <c r="M46" s="2"/>
      <c r="N46" s="7">
        <f t="shared" si="19"/>
        <v>2.1356293222683265</v>
      </c>
      <c r="O46" s="11"/>
      <c r="P46" s="6">
        <v>27203.510000000002</v>
      </c>
      <c r="Q46" s="2"/>
      <c r="R46" s="7">
        <f t="shared" si="20"/>
        <v>0</v>
      </c>
      <c r="S46" s="2"/>
      <c r="T46" s="6">
        <v>8922</v>
      </c>
      <c r="U46" s="2"/>
      <c r="V46" s="7">
        <f t="shared" si="21"/>
        <v>0</v>
      </c>
      <c r="W46" s="2"/>
      <c r="X46" s="6">
        <f t="shared" si="22"/>
        <v>18281.510000000002</v>
      </c>
      <c r="Y46" s="2"/>
      <c r="Z46" s="7">
        <f t="shared" si="23"/>
        <v>2.0490372113875814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4957.2700000000004</v>
      </c>
      <c r="E47" s="2"/>
      <c r="F47" s="7">
        <f t="shared" si="16"/>
        <v>0</v>
      </c>
      <c r="G47" s="2"/>
      <c r="H47" s="6">
        <v>4902</v>
      </c>
      <c r="I47" s="2"/>
      <c r="J47" s="7">
        <f t="shared" si="17"/>
        <v>0</v>
      </c>
      <c r="K47" s="2"/>
      <c r="L47" s="6">
        <f t="shared" si="18"/>
        <v>55.270000000000437</v>
      </c>
      <c r="M47" s="2"/>
      <c r="N47" s="7">
        <f t="shared" si="19"/>
        <v>1.1274989800081688E-2</v>
      </c>
      <c r="O47" s="11"/>
      <c r="P47" s="6">
        <v>54164.61</v>
      </c>
      <c r="Q47" s="2"/>
      <c r="R47" s="7">
        <f t="shared" si="20"/>
        <v>0</v>
      </c>
      <c r="S47" s="2"/>
      <c r="T47" s="6">
        <v>58824</v>
      </c>
      <c r="U47" s="2"/>
      <c r="V47" s="7">
        <f t="shared" si="21"/>
        <v>0</v>
      </c>
      <c r="W47" s="2"/>
      <c r="X47" s="6">
        <f t="shared" si="22"/>
        <v>-4659.3899999999994</v>
      </c>
      <c r="Y47" s="2"/>
      <c r="Z47" s="7">
        <f t="shared" si="23"/>
        <v>-7.9208996328029371E-2</v>
      </c>
    </row>
    <row r="48" spans="1:26" s="24" customFormat="1" hidden="1" outlineLevel="2" x14ac:dyDescent="0.25">
      <c r="A48" s="27"/>
      <c r="B48" s="11" t="str">
        <f>CONCATENATE("          ", "6324", " - ", "FURNITURE + FIXT DEPRECIATION")</f>
        <v xml:space="preserve">          6324 - FURNITURE + FIXT DEPRECIATION</v>
      </c>
      <c r="C48" s="11"/>
      <c r="D48" s="6"/>
      <c r="E48" s="2"/>
      <c r="F48" s="7">
        <f t="shared" si="16"/>
        <v>0</v>
      </c>
      <c r="G48" s="2"/>
      <c r="H48" s="6">
        <v>1158</v>
      </c>
      <c r="I48" s="2"/>
      <c r="J48" s="7">
        <f t="shared" si="17"/>
        <v>0</v>
      </c>
      <c r="K48" s="2"/>
      <c r="L48" s="6">
        <f t="shared" si="18"/>
        <v>-1158</v>
      </c>
      <c r="M48" s="2"/>
      <c r="N48" s="7">
        <f t="shared" si="19"/>
        <v>-1</v>
      </c>
      <c r="O48" s="11"/>
      <c r="P48" s="6"/>
      <c r="Q48" s="2"/>
      <c r="R48" s="7">
        <f t="shared" si="20"/>
        <v>0</v>
      </c>
      <c r="S48" s="2"/>
      <c r="T48" s="6">
        <v>7722</v>
      </c>
      <c r="U48" s="2"/>
      <c r="V48" s="7">
        <f t="shared" si="21"/>
        <v>0</v>
      </c>
      <c r="W48" s="2"/>
      <c r="X48" s="6">
        <f t="shared" si="22"/>
        <v>-7722</v>
      </c>
      <c r="Y48" s="2"/>
      <c r="Z48" s="7">
        <f t="shared" si="23"/>
        <v>-1</v>
      </c>
    </row>
    <row r="49" spans="1:26" s="24" customFormat="1" hidden="1" outlineLevel="2" x14ac:dyDescent="0.25">
      <c r="A49" s="27"/>
      <c r="B49" s="11" t="str">
        <f>CONCATENATE("          ", "6326", " - ", "VEHICLES DEPRECIATION EXPENSE")</f>
        <v xml:space="preserve">          6326 - VEHICLES DEPRECIATION EXPENSE</v>
      </c>
      <c r="C49" s="11"/>
      <c r="D49" s="6"/>
      <c r="E49" s="2"/>
      <c r="F49" s="7">
        <f t="shared" si="16"/>
        <v>0</v>
      </c>
      <c r="G49" s="2"/>
      <c r="H49" s="6">
        <v>1424</v>
      </c>
      <c r="I49" s="2"/>
      <c r="J49" s="7">
        <f t="shared" si="17"/>
        <v>0</v>
      </c>
      <c r="K49" s="2"/>
      <c r="L49" s="6">
        <f t="shared" si="18"/>
        <v>-1424</v>
      </c>
      <c r="M49" s="2"/>
      <c r="N49" s="7">
        <f t="shared" si="19"/>
        <v>-1</v>
      </c>
      <c r="O49" s="11"/>
      <c r="P49" s="6">
        <v>4242.4799999999996</v>
      </c>
      <c r="Q49" s="2"/>
      <c r="R49" s="7">
        <f t="shared" si="20"/>
        <v>0</v>
      </c>
      <c r="S49" s="2"/>
      <c r="T49" s="6">
        <v>14088</v>
      </c>
      <c r="U49" s="2"/>
      <c r="V49" s="7">
        <f t="shared" si="21"/>
        <v>0</v>
      </c>
      <c r="W49" s="2"/>
      <c r="X49" s="6">
        <f t="shared" si="22"/>
        <v>-9845.52</v>
      </c>
      <c r="Y49" s="2"/>
      <c r="Z49" s="7">
        <f t="shared" si="23"/>
        <v>-0.69885860306643954</v>
      </c>
    </row>
    <row r="50" spans="1:26" s="26" customFormat="1" outlineLevel="1" collapsed="1" x14ac:dyDescent="0.25">
      <c r="A50" s="25"/>
      <c r="B50" s="12" t="str">
        <f>CONCATENATE("     ","Donations                                         ")</f>
        <v xml:space="preserve">     Donations                                         </v>
      </c>
      <c r="C50" s="12"/>
      <c r="D50" s="1">
        <f>SUM(OSRRefD22_5x_0)</f>
        <v>0</v>
      </c>
      <c r="E50" s="1"/>
      <c r="F50" s="5">
        <f t="shared" ref="F50:F68" si="24">IF(D$12=0,0,D50/D$12)</f>
        <v>0</v>
      </c>
      <c r="G50" s="1"/>
      <c r="H50" s="1">
        <f>SUM(OSRRefH22_5x_0)</f>
        <v>0</v>
      </c>
      <c r="I50" s="1"/>
      <c r="J50" s="5">
        <f t="shared" ref="J50:J68" si="25">IF(H$12=0,0,H50/H$12)</f>
        <v>0</v>
      </c>
      <c r="K50" s="1"/>
      <c r="L50" s="1">
        <f t="shared" ref="L50:L68" si="26">+D50-H50</f>
        <v>0</v>
      </c>
      <c r="M50" s="1"/>
      <c r="N50" s="5">
        <f t="shared" ref="N50:N68" si="27">IF(H50=0,0,L50/H50)</f>
        <v>0</v>
      </c>
      <c r="O50" s="12"/>
      <c r="P50" s="1">
        <f>SUM(OSRRefP22_5x_0)</f>
        <v>163.68</v>
      </c>
      <c r="Q50" s="1"/>
      <c r="R50" s="5">
        <f t="shared" ref="R50:R68" si="28">IF(P$12=0,0,P50/P$12)</f>
        <v>0</v>
      </c>
      <c r="S50" s="1"/>
      <c r="T50" s="1">
        <f>SUM(OSRRefT22_5x_0)</f>
        <v>2500</v>
      </c>
      <c r="U50" s="1"/>
      <c r="V50" s="5">
        <f t="shared" ref="V50:V68" si="29">IF(T$12=0,0,T50/T$12)</f>
        <v>0</v>
      </c>
      <c r="W50" s="1"/>
      <c r="X50" s="1">
        <f t="shared" ref="X50:X68" si="30">+P50-T50</f>
        <v>-2336.3200000000002</v>
      </c>
      <c r="Y50" s="1"/>
      <c r="Z50" s="5">
        <f t="shared" ref="Z50:Z68" si="31">IF(T50=0,0,X50/T50)</f>
        <v>-0.93452800000000003</v>
      </c>
    </row>
    <row r="51" spans="1:26" s="24" customFormat="1" hidden="1" outlineLevel="2" x14ac:dyDescent="0.25">
      <c r="A51" s="27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163.68</v>
      </c>
      <c r="Q51" s="2"/>
      <c r="R51" s="7">
        <f t="shared" si="28"/>
        <v>0</v>
      </c>
      <c r="S51" s="2"/>
      <c r="T51" s="6">
        <v>2500</v>
      </c>
      <c r="U51" s="2"/>
      <c r="V51" s="7">
        <f t="shared" si="29"/>
        <v>0</v>
      </c>
      <c r="W51" s="2"/>
      <c r="X51" s="6">
        <f t="shared" si="30"/>
        <v>-2336.3200000000002</v>
      </c>
      <c r="Y51" s="2"/>
      <c r="Z51" s="7">
        <f t="shared" si="31"/>
        <v>-0.93452800000000003</v>
      </c>
    </row>
    <row r="52" spans="1:26" s="26" customFormat="1" outlineLevel="1" collapsed="1" x14ac:dyDescent="0.25">
      <c r="A52" s="25"/>
      <c r="B52" s="12" t="str">
        <f>CONCATENATE("     ","Employees' Appreciation                           ")</f>
        <v xml:space="preserve">     Employees' Appreciation                           </v>
      </c>
      <c r="C52" s="12"/>
      <c r="D52" s="1">
        <f>SUM(OSRRefD22_6x_0)</f>
        <v>0</v>
      </c>
      <c r="E52" s="1"/>
      <c r="F52" s="5">
        <f t="shared" si="24"/>
        <v>0</v>
      </c>
      <c r="G52" s="1"/>
      <c r="H52" s="1">
        <f>SUM(OSRRefH22_6x_0)</f>
        <v>50</v>
      </c>
      <c r="I52" s="1"/>
      <c r="J52" s="5">
        <f t="shared" si="25"/>
        <v>0</v>
      </c>
      <c r="K52" s="1"/>
      <c r="L52" s="1">
        <f t="shared" si="26"/>
        <v>-50</v>
      </c>
      <c r="M52" s="1"/>
      <c r="N52" s="5">
        <f t="shared" si="27"/>
        <v>-1</v>
      </c>
      <c r="O52" s="12"/>
      <c r="P52" s="1">
        <f>SUM(OSRRefP22_6x_0)</f>
        <v>502.38</v>
      </c>
      <c r="Q52" s="1"/>
      <c r="R52" s="5">
        <f t="shared" si="28"/>
        <v>0</v>
      </c>
      <c r="S52" s="1"/>
      <c r="T52" s="1">
        <f>SUM(OSRRefT22_6x_0)</f>
        <v>1200</v>
      </c>
      <c r="U52" s="1"/>
      <c r="V52" s="5">
        <f t="shared" si="29"/>
        <v>0</v>
      </c>
      <c r="W52" s="1"/>
      <c r="X52" s="1">
        <f t="shared" si="30"/>
        <v>-697.62</v>
      </c>
      <c r="Y52" s="1"/>
      <c r="Z52" s="5">
        <f t="shared" si="31"/>
        <v>-0.58135000000000003</v>
      </c>
    </row>
    <row r="53" spans="1:26" s="24" customFormat="1" hidden="1" outlineLevel="2" x14ac:dyDescent="0.25">
      <c r="A53" s="27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24"/>
        <v>0</v>
      </c>
      <c r="G53" s="2"/>
      <c r="H53" s="6">
        <v>50</v>
      </c>
      <c r="I53" s="2"/>
      <c r="J53" s="7">
        <f t="shared" si="25"/>
        <v>0</v>
      </c>
      <c r="K53" s="2"/>
      <c r="L53" s="6">
        <f t="shared" si="26"/>
        <v>-50</v>
      </c>
      <c r="M53" s="2"/>
      <c r="N53" s="7">
        <f t="shared" si="27"/>
        <v>-1</v>
      </c>
      <c r="O53" s="11"/>
      <c r="P53" s="6">
        <v>502.38</v>
      </c>
      <c r="Q53" s="2"/>
      <c r="R53" s="7">
        <f t="shared" si="28"/>
        <v>0</v>
      </c>
      <c r="S53" s="2"/>
      <c r="T53" s="6">
        <v>1200</v>
      </c>
      <c r="U53" s="2"/>
      <c r="V53" s="7">
        <f t="shared" si="29"/>
        <v>0</v>
      </c>
      <c r="W53" s="2"/>
      <c r="X53" s="6">
        <f t="shared" si="30"/>
        <v>-697.62</v>
      </c>
      <c r="Y53" s="2"/>
      <c r="Z53" s="7">
        <f t="shared" si="31"/>
        <v>-0.58135000000000003</v>
      </c>
    </row>
    <row r="54" spans="1:26" s="26" customFormat="1" outlineLevel="1" collapsed="1" x14ac:dyDescent="0.25">
      <c r="A54" s="25"/>
      <c r="B54" s="12" t="str">
        <f>CONCATENATE("     ","Equipment Rental                                  ")</f>
        <v xml:space="preserve">     Equipment Rental                                  </v>
      </c>
      <c r="C54" s="12"/>
      <c r="D54" s="1">
        <f>SUM(OSRRefD22_7x_0)</f>
        <v>1412.74</v>
      </c>
      <c r="E54" s="1"/>
      <c r="F54" s="5">
        <f t="shared" si="24"/>
        <v>0</v>
      </c>
      <c r="G54" s="1"/>
      <c r="H54" s="1">
        <f>SUM(OSRRefH22_7x_0)</f>
        <v>800</v>
      </c>
      <c r="I54" s="1"/>
      <c r="J54" s="5">
        <f t="shared" si="25"/>
        <v>0</v>
      </c>
      <c r="K54" s="1"/>
      <c r="L54" s="1">
        <f t="shared" si="26"/>
        <v>612.74</v>
      </c>
      <c r="M54" s="1"/>
      <c r="N54" s="5">
        <f t="shared" si="27"/>
        <v>0.76592499999999997</v>
      </c>
      <c r="O54" s="12"/>
      <c r="P54" s="1">
        <f>SUM(OSRRefP22_7x_0)</f>
        <v>12510.09</v>
      </c>
      <c r="Q54" s="1"/>
      <c r="R54" s="5">
        <f t="shared" si="28"/>
        <v>0</v>
      </c>
      <c r="S54" s="1"/>
      <c r="T54" s="1">
        <f>SUM(OSRRefT22_7x_0)</f>
        <v>12800</v>
      </c>
      <c r="U54" s="1"/>
      <c r="V54" s="5">
        <f t="shared" si="29"/>
        <v>0</v>
      </c>
      <c r="W54" s="1"/>
      <c r="X54" s="1">
        <f t="shared" si="30"/>
        <v>-289.90999999999985</v>
      </c>
      <c r="Y54" s="1"/>
      <c r="Z54" s="5">
        <f t="shared" si="31"/>
        <v>-2.2649218749999988E-2</v>
      </c>
    </row>
    <row r="55" spans="1:26" s="24" customFormat="1" hidden="1" outlineLevel="2" x14ac:dyDescent="0.25">
      <c r="A55" s="27"/>
      <c r="B55" s="11" t="str">
        <f>CONCATENATE("          ", "6351", " - ", "EQUIPMENT RENTAL")</f>
        <v xml:space="preserve">          6351 - EQUIPMENT RENTAL</v>
      </c>
      <c r="C55" s="11"/>
      <c r="D55" s="6">
        <v>1412.74</v>
      </c>
      <c r="E55" s="2"/>
      <c r="F55" s="7">
        <f t="shared" si="24"/>
        <v>0</v>
      </c>
      <c r="G55" s="2"/>
      <c r="H55" s="6">
        <v>800</v>
      </c>
      <c r="I55" s="2"/>
      <c r="J55" s="7">
        <f t="shared" si="25"/>
        <v>0</v>
      </c>
      <c r="K55" s="2"/>
      <c r="L55" s="6">
        <f t="shared" si="26"/>
        <v>612.74</v>
      </c>
      <c r="M55" s="2"/>
      <c r="N55" s="7">
        <f t="shared" si="27"/>
        <v>0.76592499999999997</v>
      </c>
      <c r="O55" s="11"/>
      <c r="P55" s="6">
        <v>12510.09</v>
      </c>
      <c r="Q55" s="2"/>
      <c r="R55" s="7">
        <f t="shared" si="28"/>
        <v>0</v>
      </c>
      <c r="S55" s="2"/>
      <c r="T55" s="6">
        <v>12800</v>
      </c>
      <c r="U55" s="2"/>
      <c r="V55" s="7">
        <f t="shared" si="29"/>
        <v>0</v>
      </c>
      <c r="W55" s="2"/>
      <c r="X55" s="6">
        <f t="shared" si="30"/>
        <v>-289.90999999999985</v>
      </c>
      <c r="Y55" s="2"/>
      <c r="Z55" s="7">
        <f t="shared" si="31"/>
        <v>-2.2649218749999988E-2</v>
      </c>
    </row>
    <row r="56" spans="1:26" s="26" customFormat="1" outlineLevel="1" collapsed="1" x14ac:dyDescent="0.25">
      <c r="A56" s="25"/>
      <c r="B56" s="12" t="str">
        <f>CONCATENATE("     ","Freight out/Postage                               ")</f>
        <v xml:space="preserve">     Freight out/Postage                               </v>
      </c>
      <c r="C56" s="12"/>
      <c r="D56" s="1">
        <f>SUM(OSRRefD22_8x_0)</f>
        <v>0</v>
      </c>
      <c r="E56" s="1"/>
      <c r="F56" s="5">
        <f t="shared" si="24"/>
        <v>0</v>
      </c>
      <c r="G56" s="1"/>
      <c r="H56" s="1">
        <f>SUM(OSRRefH22_8x_0)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2"/>
      <c r="P56" s="1">
        <f>SUM(OSRRefP22_8x_0)</f>
        <v>0.57999999999999996</v>
      </c>
      <c r="Q56" s="1"/>
      <c r="R56" s="5">
        <f t="shared" si="28"/>
        <v>0</v>
      </c>
      <c r="S56" s="1"/>
      <c r="T56" s="1">
        <f>SUM(OSRRefT22_8x_0)</f>
        <v>0</v>
      </c>
      <c r="U56" s="1"/>
      <c r="V56" s="5">
        <f t="shared" si="29"/>
        <v>0</v>
      </c>
      <c r="W56" s="1"/>
      <c r="X56" s="1">
        <f t="shared" si="30"/>
        <v>0.57999999999999996</v>
      </c>
      <c r="Y56" s="1"/>
      <c r="Z56" s="5">
        <f t="shared" si="31"/>
        <v>0</v>
      </c>
    </row>
    <row r="57" spans="1:26" s="24" customFormat="1" hidden="1" outlineLevel="2" x14ac:dyDescent="0.25">
      <c r="A57" s="27"/>
      <c r="B57" s="11" t="str">
        <f>CONCATENATE("          ", "6307", " - ", "POSTAGE")</f>
        <v xml:space="preserve">          6307 - POSTAGE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>
        <v>0.57999999999999996</v>
      </c>
      <c r="Q57" s="2"/>
      <c r="R57" s="7">
        <f t="shared" si="28"/>
        <v>0</v>
      </c>
      <c r="S57" s="2"/>
      <c r="T57" s="6"/>
      <c r="U57" s="2"/>
      <c r="V57" s="7">
        <f t="shared" si="29"/>
        <v>0</v>
      </c>
      <c r="W57" s="2"/>
      <c r="X57" s="6">
        <f t="shared" si="30"/>
        <v>0.57999999999999996</v>
      </c>
      <c r="Y57" s="2"/>
      <c r="Z57" s="7">
        <f t="shared" si="31"/>
        <v>0</v>
      </c>
    </row>
    <row r="58" spans="1:26" s="26" customFormat="1" outlineLevel="1" collapsed="1" x14ac:dyDescent="0.25">
      <c r="A58" s="25"/>
      <c r="B58" s="12" t="str">
        <f>CONCATENATE("     ","General                                           ")</f>
        <v xml:space="preserve">     General                                           </v>
      </c>
      <c r="C58" s="12"/>
      <c r="D58" s="1">
        <f>SUM(OSRRefD22_9x_0)</f>
        <v>0</v>
      </c>
      <c r="E58" s="1"/>
      <c r="F58" s="5">
        <f t="shared" si="24"/>
        <v>0</v>
      </c>
      <c r="G58" s="1"/>
      <c r="H58" s="1">
        <f>SUM(OSRRefH22_9x_0)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2"/>
      <c r="P58" s="1">
        <f>SUM(OSRRefP22_9x_0)</f>
        <v>23322.710000000003</v>
      </c>
      <c r="Q58" s="1"/>
      <c r="R58" s="5">
        <f t="shared" si="28"/>
        <v>0</v>
      </c>
      <c r="S58" s="1"/>
      <c r="T58" s="1">
        <f>SUM(OSRRefT22_9x_0)</f>
        <v>6000</v>
      </c>
      <c r="U58" s="1"/>
      <c r="V58" s="5">
        <f t="shared" si="29"/>
        <v>0</v>
      </c>
      <c r="W58" s="1"/>
      <c r="X58" s="1">
        <f t="shared" si="30"/>
        <v>17322.710000000003</v>
      </c>
      <c r="Y58" s="1"/>
      <c r="Z58" s="5">
        <f t="shared" si="31"/>
        <v>2.8871183333333339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23322.710000000003</v>
      </c>
      <c r="Q59" s="2"/>
      <c r="R59" s="7">
        <f t="shared" si="28"/>
        <v>0</v>
      </c>
      <c r="S59" s="2"/>
      <c r="T59" s="6">
        <v>6000</v>
      </c>
      <c r="U59" s="2"/>
      <c r="V59" s="7">
        <f t="shared" si="29"/>
        <v>0</v>
      </c>
      <c r="W59" s="2"/>
      <c r="X59" s="6">
        <f t="shared" si="30"/>
        <v>17322.710000000003</v>
      </c>
      <c r="Y59" s="2"/>
      <c r="Z59" s="7">
        <f t="shared" si="31"/>
        <v>2.8871183333333339</v>
      </c>
    </row>
    <row r="60" spans="1:26" s="26" customFormat="1" outlineLevel="1" collapsed="1" x14ac:dyDescent="0.25">
      <c r="A60" s="25"/>
      <c r="B60" s="12" t="str">
        <f>CONCATENATE("     ","Insurance                                         ")</f>
        <v xml:space="preserve">     Insurance                                         </v>
      </c>
      <c r="C60" s="12"/>
      <c r="D60" s="1">
        <f>SUM(OSRRefD22_10x_0)</f>
        <v>3598.85</v>
      </c>
      <c r="E60" s="1"/>
      <c r="F60" s="5">
        <f t="shared" si="24"/>
        <v>0</v>
      </c>
      <c r="G60" s="1"/>
      <c r="H60" s="1">
        <f>SUM(OSRRefH22_10x_0)</f>
        <v>3400</v>
      </c>
      <c r="I60" s="1"/>
      <c r="J60" s="5">
        <f t="shared" si="25"/>
        <v>0</v>
      </c>
      <c r="K60" s="1"/>
      <c r="L60" s="1">
        <f t="shared" si="26"/>
        <v>198.84999999999991</v>
      </c>
      <c r="M60" s="1"/>
      <c r="N60" s="5">
        <f t="shared" si="27"/>
        <v>5.8485294117647031E-2</v>
      </c>
      <c r="O60" s="12"/>
      <c r="P60" s="1">
        <f>SUM(OSRRefP22_10x_0)</f>
        <v>48947.199999999997</v>
      </c>
      <c r="Q60" s="1"/>
      <c r="R60" s="5">
        <f t="shared" si="28"/>
        <v>0</v>
      </c>
      <c r="S60" s="1"/>
      <c r="T60" s="1">
        <f>SUM(OSRRefT22_10x_0)</f>
        <v>40800</v>
      </c>
      <c r="U60" s="1"/>
      <c r="V60" s="5">
        <f t="shared" si="29"/>
        <v>0</v>
      </c>
      <c r="W60" s="1"/>
      <c r="X60" s="1">
        <f t="shared" si="30"/>
        <v>8147.1999999999971</v>
      </c>
      <c r="Y60" s="1"/>
      <c r="Z60" s="5">
        <f t="shared" si="31"/>
        <v>0.19968627450980386</v>
      </c>
    </row>
    <row r="61" spans="1:26" s="24" customFormat="1" hidden="1" outlineLevel="2" x14ac:dyDescent="0.25">
      <c r="A61" s="27"/>
      <c r="B61" s="11" t="str">
        <f>CONCATENATE("          ", "6314", " - ", "LIABILITY INSURANCE")</f>
        <v xml:space="preserve">          6314 - LIABILITY INSURANCE</v>
      </c>
      <c r="C61" s="11"/>
      <c r="D61" s="6">
        <v>3598.85</v>
      </c>
      <c r="E61" s="2"/>
      <c r="F61" s="7">
        <f t="shared" si="24"/>
        <v>0</v>
      </c>
      <c r="G61" s="2"/>
      <c r="H61" s="6">
        <v>3400</v>
      </c>
      <c r="I61" s="2"/>
      <c r="J61" s="7">
        <f t="shared" si="25"/>
        <v>0</v>
      </c>
      <c r="K61" s="2"/>
      <c r="L61" s="6">
        <f t="shared" si="26"/>
        <v>198.84999999999991</v>
      </c>
      <c r="M61" s="2"/>
      <c r="N61" s="7">
        <f t="shared" si="27"/>
        <v>5.8485294117647031E-2</v>
      </c>
      <c r="O61" s="11"/>
      <c r="P61" s="6">
        <v>48947.199999999997</v>
      </c>
      <c r="Q61" s="2"/>
      <c r="R61" s="7">
        <f t="shared" si="28"/>
        <v>0</v>
      </c>
      <c r="S61" s="2"/>
      <c r="T61" s="6">
        <v>40800</v>
      </c>
      <c r="U61" s="2"/>
      <c r="V61" s="7">
        <f t="shared" si="29"/>
        <v>0</v>
      </c>
      <c r="W61" s="2"/>
      <c r="X61" s="6">
        <f t="shared" si="30"/>
        <v>8147.1999999999971</v>
      </c>
      <c r="Y61" s="2"/>
      <c r="Z61" s="7">
        <f t="shared" si="31"/>
        <v>0.19968627450980386</v>
      </c>
    </row>
    <row r="62" spans="1:26" s="26" customFormat="1" outlineLevel="1" collapsed="1" x14ac:dyDescent="0.25">
      <c r="A62" s="25"/>
      <c r="B62" s="12" t="str">
        <f>CONCATENATE("     ","Professional Services                             ")</f>
        <v xml:space="preserve">     Professional Services                             </v>
      </c>
      <c r="C62" s="12"/>
      <c r="D62" s="1">
        <f>SUM(OSRRefD22_11x_0)</f>
        <v>0</v>
      </c>
      <c r="E62" s="1"/>
      <c r="F62" s="5">
        <f t="shared" si="24"/>
        <v>0</v>
      </c>
      <c r="G62" s="1"/>
      <c r="H62" s="1">
        <f>SUM(OSRRefH22_11x_0)</f>
        <v>0</v>
      </c>
      <c r="I62" s="1"/>
      <c r="J62" s="5">
        <f t="shared" si="25"/>
        <v>0</v>
      </c>
      <c r="K62" s="1"/>
      <c r="L62" s="1">
        <f t="shared" si="26"/>
        <v>0</v>
      </c>
      <c r="M62" s="1"/>
      <c r="N62" s="5">
        <f t="shared" si="27"/>
        <v>0</v>
      </c>
      <c r="O62" s="12"/>
      <c r="P62" s="1">
        <f>SUM(OSRRefP22_11x_0)</f>
        <v>125</v>
      </c>
      <c r="Q62" s="1"/>
      <c r="R62" s="5">
        <f t="shared" si="28"/>
        <v>0</v>
      </c>
      <c r="S62" s="1"/>
      <c r="T62" s="1">
        <f>SUM(OSRRefT22_11x_0)</f>
        <v>0</v>
      </c>
      <c r="U62" s="1"/>
      <c r="V62" s="5">
        <f t="shared" si="29"/>
        <v>0</v>
      </c>
      <c r="W62" s="1"/>
      <c r="X62" s="1">
        <f t="shared" si="30"/>
        <v>125</v>
      </c>
      <c r="Y62" s="1"/>
      <c r="Z62" s="5">
        <f t="shared" si="31"/>
        <v>0</v>
      </c>
    </row>
    <row r="63" spans="1:26" s="24" customFormat="1" hidden="1" outlineLevel="2" x14ac:dyDescent="0.25">
      <c r="A63" s="27"/>
      <c r="B63" s="11" t="str">
        <f>CONCATENATE("          ", "6336", " - ", "PROFESSIONAL SERVICES")</f>
        <v xml:space="preserve">          6336 - PROFESSIONAL SERVICES</v>
      </c>
      <c r="C63" s="11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1"/>
      <c r="P63" s="6">
        <v>125</v>
      </c>
      <c r="Q63" s="2"/>
      <c r="R63" s="7">
        <f t="shared" si="28"/>
        <v>0</v>
      </c>
      <c r="S63" s="2"/>
      <c r="T63" s="6"/>
      <c r="U63" s="2"/>
      <c r="V63" s="7">
        <f t="shared" si="29"/>
        <v>0</v>
      </c>
      <c r="W63" s="2"/>
      <c r="X63" s="6">
        <f t="shared" si="30"/>
        <v>125</v>
      </c>
      <c r="Y63" s="2"/>
      <c r="Z63" s="7">
        <f t="shared" si="31"/>
        <v>0</v>
      </c>
    </row>
    <row r="64" spans="1:26" s="26" customFormat="1" outlineLevel="1" collapsed="1" x14ac:dyDescent="0.25">
      <c r="A64" s="25"/>
      <c r="B64" s="12" t="str">
        <f>CONCATENATE("     ","Repair and Maintenance                            ")</f>
        <v xml:space="preserve">     Repair and Maintenance                            </v>
      </c>
      <c r="C64" s="12"/>
      <c r="D64" s="1">
        <f>SUM(OSRRefD22_12x_0)</f>
        <v>5088.33</v>
      </c>
      <c r="E64" s="1"/>
      <c r="F64" s="5">
        <f t="shared" si="24"/>
        <v>0</v>
      </c>
      <c r="G64" s="1"/>
      <c r="H64" s="1">
        <f>SUM(OSRRefH22_12x_0)</f>
        <v>11700</v>
      </c>
      <c r="I64" s="1"/>
      <c r="J64" s="5">
        <f t="shared" si="25"/>
        <v>0</v>
      </c>
      <c r="K64" s="1"/>
      <c r="L64" s="1">
        <f t="shared" si="26"/>
        <v>-6611.67</v>
      </c>
      <c r="M64" s="1"/>
      <c r="N64" s="5">
        <f t="shared" si="27"/>
        <v>-0.56510000000000005</v>
      </c>
      <c r="O64" s="12"/>
      <c r="P64" s="1">
        <f>SUM(OSRRefP22_12x_0)</f>
        <v>123729.67</v>
      </c>
      <c r="Q64" s="1"/>
      <c r="R64" s="5">
        <f t="shared" si="28"/>
        <v>0</v>
      </c>
      <c r="S64" s="1"/>
      <c r="T64" s="1">
        <f>SUM(OSRRefT22_12x_0)</f>
        <v>186400</v>
      </c>
      <c r="U64" s="1"/>
      <c r="V64" s="5">
        <f t="shared" si="29"/>
        <v>0</v>
      </c>
      <c r="W64" s="1"/>
      <c r="X64" s="1">
        <f t="shared" si="30"/>
        <v>-62670.33</v>
      </c>
      <c r="Y64" s="1"/>
      <c r="Z64" s="5">
        <f t="shared" si="31"/>
        <v>-0.33621421673819746</v>
      </c>
    </row>
    <row r="65" spans="1:26" s="24" customFormat="1" hidden="1" outlineLevel="2" x14ac:dyDescent="0.25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24"/>
        <v>0</v>
      </c>
      <c r="G65" s="2"/>
      <c r="H65" s="6">
        <v>500</v>
      </c>
      <c r="I65" s="2"/>
      <c r="J65" s="7">
        <f t="shared" si="25"/>
        <v>0</v>
      </c>
      <c r="K65" s="2"/>
      <c r="L65" s="6">
        <f t="shared" si="26"/>
        <v>-500</v>
      </c>
      <c r="M65" s="2"/>
      <c r="N65" s="7">
        <f t="shared" si="27"/>
        <v>-1</v>
      </c>
      <c r="O65" s="11"/>
      <c r="P65" s="6"/>
      <c r="Q65" s="2"/>
      <c r="R65" s="7">
        <f t="shared" si="28"/>
        <v>0</v>
      </c>
      <c r="S65" s="2"/>
      <c r="T65" s="6">
        <v>2000</v>
      </c>
      <c r="U65" s="2"/>
      <c r="V65" s="7">
        <f t="shared" si="29"/>
        <v>0</v>
      </c>
      <c r="W65" s="2"/>
      <c r="X65" s="6">
        <f t="shared" si="30"/>
        <v>-2000</v>
      </c>
      <c r="Y65" s="2"/>
      <c r="Z65" s="7">
        <f t="shared" si="31"/>
        <v>-1</v>
      </c>
    </row>
    <row r="66" spans="1:26" s="24" customFormat="1" hidden="1" outlineLevel="2" x14ac:dyDescent="0.25">
      <c r="A66" s="27"/>
      <c r="B66" s="11" t="str">
        <f>CONCATENATE("          ", "6372", " - ", "COMPUTER HARDWARE MAINTENANCE")</f>
        <v xml:space="preserve">          6372 - COMPUTER HARDWARE MAINTENANCE</v>
      </c>
      <c r="C66" s="11"/>
      <c r="D66" s="6"/>
      <c r="E66" s="2"/>
      <c r="F66" s="7">
        <f t="shared" si="24"/>
        <v>0</v>
      </c>
      <c r="G66" s="2"/>
      <c r="H66" s="6"/>
      <c r="I66" s="2"/>
      <c r="J66" s="7">
        <f t="shared" si="25"/>
        <v>0</v>
      </c>
      <c r="K66" s="2"/>
      <c r="L66" s="6">
        <f t="shared" si="26"/>
        <v>0</v>
      </c>
      <c r="M66" s="2"/>
      <c r="N66" s="7">
        <f t="shared" si="27"/>
        <v>0</v>
      </c>
      <c r="O66" s="11"/>
      <c r="P66" s="6">
        <v>8142.88</v>
      </c>
      <c r="Q66" s="2"/>
      <c r="R66" s="7">
        <f t="shared" si="28"/>
        <v>0</v>
      </c>
      <c r="S66" s="2"/>
      <c r="T66" s="6"/>
      <c r="U66" s="2"/>
      <c r="V66" s="7">
        <f t="shared" si="29"/>
        <v>0</v>
      </c>
      <c r="W66" s="2"/>
      <c r="X66" s="6">
        <f t="shared" si="30"/>
        <v>8142.88</v>
      </c>
      <c r="Y66" s="2"/>
      <c r="Z66" s="7">
        <f t="shared" si="31"/>
        <v>0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6">
        <v>5088.33</v>
      </c>
      <c r="E67" s="2"/>
      <c r="F67" s="7">
        <f t="shared" si="24"/>
        <v>0</v>
      </c>
      <c r="G67" s="2"/>
      <c r="H67" s="6">
        <v>1200</v>
      </c>
      <c r="I67" s="2"/>
      <c r="J67" s="7">
        <f t="shared" si="25"/>
        <v>0</v>
      </c>
      <c r="K67" s="2"/>
      <c r="L67" s="6">
        <f t="shared" si="26"/>
        <v>3888.33</v>
      </c>
      <c r="M67" s="2"/>
      <c r="N67" s="7">
        <f t="shared" si="27"/>
        <v>3.240275</v>
      </c>
      <c r="O67" s="11"/>
      <c r="P67" s="6">
        <v>68724.569999999992</v>
      </c>
      <c r="Q67" s="2"/>
      <c r="R67" s="7">
        <f t="shared" si="28"/>
        <v>0</v>
      </c>
      <c r="S67" s="2"/>
      <c r="T67" s="6">
        <v>14400</v>
      </c>
      <c r="U67" s="2"/>
      <c r="V67" s="7">
        <f t="shared" si="29"/>
        <v>0</v>
      </c>
      <c r="W67" s="2"/>
      <c r="X67" s="6">
        <f t="shared" si="30"/>
        <v>54324.569999999992</v>
      </c>
      <c r="Y67" s="2"/>
      <c r="Z67" s="7">
        <f t="shared" si="31"/>
        <v>3.7725395833333328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4"/>
        <v>0</v>
      </c>
      <c r="G68" s="2"/>
      <c r="H68" s="6">
        <v>10000</v>
      </c>
      <c r="I68" s="2"/>
      <c r="J68" s="7">
        <f t="shared" si="25"/>
        <v>0</v>
      </c>
      <c r="K68" s="2"/>
      <c r="L68" s="6">
        <f t="shared" si="26"/>
        <v>-10000</v>
      </c>
      <c r="M68" s="2"/>
      <c r="N68" s="7">
        <f t="shared" si="27"/>
        <v>-1</v>
      </c>
      <c r="O68" s="11"/>
      <c r="P68" s="6">
        <v>46862.22</v>
      </c>
      <c r="Q68" s="2"/>
      <c r="R68" s="7">
        <f t="shared" si="28"/>
        <v>0</v>
      </c>
      <c r="S68" s="2"/>
      <c r="T68" s="6">
        <v>170000</v>
      </c>
      <c r="U68" s="2"/>
      <c r="V68" s="7">
        <f t="shared" si="29"/>
        <v>0</v>
      </c>
      <c r="W68" s="2"/>
      <c r="X68" s="6">
        <f t="shared" si="30"/>
        <v>-123137.78</v>
      </c>
      <c r="Y68" s="2"/>
      <c r="Z68" s="7">
        <f t="shared" si="31"/>
        <v>-0.72433988235294122</v>
      </c>
    </row>
    <row r="69" spans="1:26" s="26" customFormat="1" outlineLevel="1" collapsed="1" x14ac:dyDescent="0.25">
      <c r="A69" s="25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SUM(OSRRefD22_13x_0)</f>
        <v>7377.1600000000008</v>
      </c>
      <c r="E69" s="1"/>
      <c r="F69" s="5">
        <f t="shared" ref="F69:F74" si="32">IF(D$12=0,0,D69/D$12)</f>
        <v>0</v>
      </c>
      <c r="G69" s="1"/>
      <c r="H69" s="1">
        <f>SUM(OSRRefH22_13x_0)</f>
        <v>13685</v>
      </c>
      <c r="I69" s="1"/>
      <c r="J69" s="5">
        <f t="shared" ref="J69:J74" si="33">IF(H$12=0,0,H69/H$12)</f>
        <v>0</v>
      </c>
      <c r="K69" s="1"/>
      <c r="L69" s="1">
        <f t="shared" ref="L69:L74" si="34">+D69-H69</f>
        <v>-6307.8399999999992</v>
      </c>
      <c r="M69" s="1"/>
      <c r="N69" s="5">
        <f t="shared" ref="N69:N74" si="35">IF(H69=0,0,L69/H69)</f>
        <v>-0.46093094629156006</v>
      </c>
      <c r="O69" s="12"/>
      <c r="P69" s="1">
        <f>SUM(OSRRefP22_13x_0)</f>
        <v>146857.43</v>
      </c>
      <c r="Q69" s="1"/>
      <c r="R69" s="5">
        <f t="shared" ref="R69:R74" si="36">IF(P$12=0,0,P69/P$12)</f>
        <v>0</v>
      </c>
      <c r="S69" s="1"/>
      <c r="T69" s="1">
        <f>SUM(OSRRefT22_13x_0)</f>
        <v>164185</v>
      </c>
      <c r="U69" s="1"/>
      <c r="V69" s="5">
        <f t="shared" ref="V69:V74" si="37">IF(T$12=0,0,T69/T$12)</f>
        <v>0</v>
      </c>
      <c r="W69" s="1"/>
      <c r="X69" s="1">
        <f t="shared" ref="X69:X74" si="38">+P69-T69</f>
        <v>-17327.570000000007</v>
      </c>
      <c r="Y69" s="1"/>
      <c r="Z69" s="5">
        <f t="shared" ref="Z69:Z74" si="39">IF(T69=0,0,X69/T69)</f>
        <v>-0.1055368639035235</v>
      </c>
    </row>
    <row r="70" spans="1:26" s="24" customFormat="1" hidden="1" outlineLevel="2" x14ac:dyDescent="0.25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1252.52</v>
      </c>
      <c r="E70" s="2"/>
      <c r="F70" s="7">
        <f t="shared" si="32"/>
        <v>0</v>
      </c>
      <c r="G70" s="2"/>
      <c r="H70" s="6">
        <v>650</v>
      </c>
      <c r="I70" s="2"/>
      <c r="J70" s="7">
        <f t="shared" si="33"/>
        <v>0</v>
      </c>
      <c r="K70" s="2"/>
      <c r="L70" s="6">
        <f t="shared" si="34"/>
        <v>602.52</v>
      </c>
      <c r="M70" s="2"/>
      <c r="N70" s="7">
        <f t="shared" si="35"/>
        <v>0.92695384615384613</v>
      </c>
      <c r="O70" s="11"/>
      <c r="P70" s="6">
        <v>7515.12</v>
      </c>
      <c r="Q70" s="2"/>
      <c r="R70" s="7">
        <f t="shared" si="36"/>
        <v>0</v>
      </c>
      <c r="S70" s="2"/>
      <c r="T70" s="6">
        <v>7800</v>
      </c>
      <c r="U70" s="2"/>
      <c r="V70" s="7">
        <f t="shared" si="37"/>
        <v>0</v>
      </c>
      <c r="W70" s="2"/>
      <c r="X70" s="6">
        <f t="shared" si="38"/>
        <v>-284.88000000000011</v>
      </c>
      <c r="Y70" s="2"/>
      <c r="Z70" s="7">
        <f t="shared" si="39"/>
        <v>-3.6523076923076936E-2</v>
      </c>
    </row>
    <row r="71" spans="1:26" s="24" customFormat="1" hidden="1" outlineLevel="2" x14ac:dyDescent="0.25">
      <c r="A71" s="27"/>
      <c r="B71" s="11" t="str">
        <f>CONCATENATE("          ", "6283", " - ", "PLANT SERVICE")</f>
        <v xml:space="preserve">          6283 - PLANT SERVICE</v>
      </c>
      <c r="C71" s="11"/>
      <c r="D71" s="6"/>
      <c r="E71" s="2"/>
      <c r="F71" s="7">
        <f t="shared" si="32"/>
        <v>0</v>
      </c>
      <c r="G71" s="2"/>
      <c r="H71" s="6">
        <v>35</v>
      </c>
      <c r="I71" s="2"/>
      <c r="J71" s="7">
        <f t="shared" si="33"/>
        <v>0</v>
      </c>
      <c r="K71" s="2"/>
      <c r="L71" s="6">
        <f t="shared" si="34"/>
        <v>-35</v>
      </c>
      <c r="M71" s="2"/>
      <c r="N71" s="7">
        <f t="shared" si="35"/>
        <v>-1</v>
      </c>
      <c r="O71" s="11"/>
      <c r="P71" s="6">
        <v>319.77</v>
      </c>
      <c r="Q71" s="2"/>
      <c r="R71" s="7">
        <f t="shared" si="36"/>
        <v>0</v>
      </c>
      <c r="S71" s="2"/>
      <c r="T71" s="6">
        <v>385</v>
      </c>
      <c r="U71" s="2"/>
      <c r="V71" s="7">
        <f t="shared" si="37"/>
        <v>0</v>
      </c>
      <c r="W71" s="2"/>
      <c r="X71" s="6">
        <f t="shared" si="38"/>
        <v>-65.230000000000018</v>
      </c>
      <c r="Y71" s="2"/>
      <c r="Z71" s="7">
        <f t="shared" si="39"/>
        <v>-0.16942857142857148</v>
      </c>
    </row>
    <row r="72" spans="1:26" s="24" customFormat="1" hidden="1" outlineLevel="2" x14ac:dyDescent="0.25">
      <c r="A72" s="27"/>
      <c r="B72" s="11" t="str">
        <f>CONCATENATE("          ", "6284", " - ", "TRASH REMOVAL EXPENSE")</f>
        <v xml:space="preserve">          6284 - TRASH REMOVAL EXPENSE</v>
      </c>
      <c r="C72" s="11"/>
      <c r="D72" s="6">
        <v>4252</v>
      </c>
      <c r="E72" s="2"/>
      <c r="F72" s="7">
        <f t="shared" si="32"/>
        <v>0</v>
      </c>
      <c r="G72" s="2"/>
      <c r="H72" s="6">
        <v>3000</v>
      </c>
      <c r="I72" s="2"/>
      <c r="J72" s="7">
        <f t="shared" si="33"/>
        <v>0</v>
      </c>
      <c r="K72" s="2"/>
      <c r="L72" s="6">
        <f t="shared" si="34"/>
        <v>1252</v>
      </c>
      <c r="M72" s="2"/>
      <c r="N72" s="7">
        <f t="shared" si="35"/>
        <v>0.41733333333333333</v>
      </c>
      <c r="O72" s="11"/>
      <c r="P72" s="6">
        <v>43261</v>
      </c>
      <c r="Q72" s="2"/>
      <c r="R72" s="7">
        <f t="shared" si="36"/>
        <v>0</v>
      </c>
      <c r="S72" s="2"/>
      <c r="T72" s="6">
        <v>36000</v>
      </c>
      <c r="U72" s="2"/>
      <c r="V72" s="7">
        <f t="shared" si="37"/>
        <v>0</v>
      </c>
      <c r="W72" s="2"/>
      <c r="X72" s="6">
        <f t="shared" si="38"/>
        <v>7261</v>
      </c>
      <c r="Y72" s="2"/>
      <c r="Z72" s="7">
        <f t="shared" si="39"/>
        <v>0.20169444444444445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1872.64</v>
      </c>
      <c r="E73" s="2"/>
      <c r="F73" s="7">
        <f t="shared" si="32"/>
        <v>0</v>
      </c>
      <c r="G73" s="2"/>
      <c r="H73" s="6">
        <v>9500</v>
      </c>
      <c r="I73" s="2"/>
      <c r="J73" s="7">
        <f t="shared" si="33"/>
        <v>0</v>
      </c>
      <c r="K73" s="2"/>
      <c r="L73" s="6">
        <f t="shared" si="34"/>
        <v>-7627.36</v>
      </c>
      <c r="M73" s="2"/>
      <c r="N73" s="7">
        <f t="shared" si="35"/>
        <v>-0.80287999999999993</v>
      </c>
      <c r="O73" s="11"/>
      <c r="P73" s="6">
        <v>95016.71</v>
      </c>
      <c r="Q73" s="2"/>
      <c r="R73" s="7">
        <f t="shared" si="36"/>
        <v>0</v>
      </c>
      <c r="S73" s="2"/>
      <c r="T73" s="6">
        <v>114000</v>
      </c>
      <c r="U73" s="2"/>
      <c r="V73" s="7">
        <f t="shared" si="37"/>
        <v>0</v>
      </c>
      <c r="W73" s="2"/>
      <c r="X73" s="6">
        <f t="shared" si="38"/>
        <v>-18983.289999999994</v>
      </c>
      <c r="Y73" s="2"/>
      <c r="Z73" s="7">
        <f t="shared" si="39"/>
        <v>-0.16652008771929819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6"/>
      <c r="E74" s="2"/>
      <c r="F74" s="7">
        <f t="shared" si="32"/>
        <v>0</v>
      </c>
      <c r="G74" s="2"/>
      <c r="H74" s="6">
        <v>500</v>
      </c>
      <c r="I74" s="2"/>
      <c r="J74" s="7">
        <f t="shared" si="33"/>
        <v>0</v>
      </c>
      <c r="K74" s="2"/>
      <c r="L74" s="6">
        <f t="shared" si="34"/>
        <v>-500</v>
      </c>
      <c r="M74" s="2"/>
      <c r="N74" s="7">
        <f t="shared" si="35"/>
        <v>-1</v>
      </c>
      <c r="O74" s="11"/>
      <c r="P74" s="6">
        <v>744.83</v>
      </c>
      <c r="Q74" s="2"/>
      <c r="R74" s="7">
        <f t="shared" si="36"/>
        <v>0</v>
      </c>
      <c r="S74" s="2"/>
      <c r="T74" s="6">
        <v>6000</v>
      </c>
      <c r="U74" s="2"/>
      <c r="V74" s="7">
        <f t="shared" si="37"/>
        <v>0</v>
      </c>
      <c r="W74" s="2"/>
      <c r="X74" s="6">
        <f t="shared" si="38"/>
        <v>-5255.17</v>
      </c>
      <c r="Y74" s="2"/>
      <c r="Z74" s="7">
        <f t="shared" si="39"/>
        <v>-0.87586166666666665</v>
      </c>
    </row>
    <row r="75" spans="1:26" s="26" customFormat="1" outlineLevel="1" collapsed="1" x14ac:dyDescent="0.25">
      <c r="A75" s="25"/>
      <c r="B75" s="12" t="str">
        <f>CONCATENATE("     ","Subscriptions &amp; Dues                              ")</f>
        <v xml:space="preserve">     Subscriptions &amp; Dues                              </v>
      </c>
      <c r="C75" s="12"/>
      <c r="D75" s="1">
        <f>SUM(OSRRefD22_14x_0)</f>
        <v>0</v>
      </c>
      <c r="E75" s="1"/>
      <c r="F75" s="5">
        <f t="shared" ref="F75:F86" si="40">IF(D$12=0,0,D75/D$12)</f>
        <v>0</v>
      </c>
      <c r="G75" s="1"/>
      <c r="H75" s="1">
        <f>SUM(OSRRefH22_14x_0)</f>
        <v>0</v>
      </c>
      <c r="I75" s="1"/>
      <c r="J75" s="5">
        <f t="shared" ref="J75:J86" si="41">IF(H$12=0,0,H75/H$12)</f>
        <v>0</v>
      </c>
      <c r="K75" s="1"/>
      <c r="L75" s="1">
        <f t="shared" ref="L75:L86" si="42">+D75-H75</f>
        <v>0</v>
      </c>
      <c r="M75" s="1"/>
      <c r="N75" s="5">
        <f t="shared" ref="N75:N86" si="43">IF(H75=0,0,L75/H75)</f>
        <v>0</v>
      </c>
      <c r="O75" s="12"/>
      <c r="P75" s="1">
        <f>SUM(OSRRefP22_14x_0)</f>
        <v>795</v>
      </c>
      <c r="Q75" s="1"/>
      <c r="R75" s="5">
        <f t="shared" ref="R75:R86" si="44">IF(P$12=0,0,P75/P$12)</f>
        <v>0</v>
      </c>
      <c r="S75" s="1"/>
      <c r="T75" s="1">
        <f>SUM(OSRRefT22_14x_0)</f>
        <v>0</v>
      </c>
      <c r="U75" s="1"/>
      <c r="V75" s="5">
        <f t="shared" ref="V75:V86" si="45">IF(T$12=0,0,T75/T$12)</f>
        <v>0</v>
      </c>
      <c r="W75" s="1"/>
      <c r="X75" s="1">
        <f t="shared" ref="X75:X86" si="46">+P75-T75</f>
        <v>795</v>
      </c>
      <c r="Y75" s="1"/>
      <c r="Z75" s="5">
        <f t="shared" ref="Z75:Z86" si="47">IF(T75=0,0,X75/T75)</f>
        <v>0</v>
      </c>
    </row>
    <row r="76" spans="1:26" s="24" customFormat="1" hidden="1" outlineLevel="2" x14ac:dyDescent="0.25">
      <c r="A76" s="27"/>
      <c r="B76" s="11" t="str">
        <f>CONCATENATE("          ", "6258", " - ", "MEMBERSHIP DUES")</f>
        <v xml:space="preserve">          6258 - MEMBERSHIP DUES</v>
      </c>
      <c r="C76" s="11"/>
      <c r="D76" s="6"/>
      <c r="E76" s="2"/>
      <c r="F76" s="7">
        <f t="shared" si="40"/>
        <v>0</v>
      </c>
      <c r="G76" s="2"/>
      <c r="H76" s="6"/>
      <c r="I76" s="2"/>
      <c r="J76" s="7">
        <f t="shared" si="41"/>
        <v>0</v>
      </c>
      <c r="K76" s="2"/>
      <c r="L76" s="6">
        <f t="shared" si="42"/>
        <v>0</v>
      </c>
      <c r="M76" s="2"/>
      <c r="N76" s="7">
        <f t="shared" si="43"/>
        <v>0</v>
      </c>
      <c r="O76" s="11"/>
      <c r="P76" s="6">
        <v>795</v>
      </c>
      <c r="Q76" s="2"/>
      <c r="R76" s="7">
        <f t="shared" si="44"/>
        <v>0</v>
      </c>
      <c r="S76" s="2"/>
      <c r="T76" s="6"/>
      <c r="U76" s="2"/>
      <c r="V76" s="7">
        <f t="shared" si="45"/>
        <v>0</v>
      </c>
      <c r="W76" s="2"/>
      <c r="X76" s="6">
        <f t="shared" si="46"/>
        <v>795</v>
      </c>
      <c r="Y76" s="2"/>
      <c r="Z76" s="7">
        <f t="shared" si="47"/>
        <v>0</v>
      </c>
    </row>
    <row r="77" spans="1:26" s="26" customFormat="1" outlineLevel="1" collapsed="1" x14ac:dyDescent="0.25">
      <c r="A77" s="25"/>
      <c r="B77" s="12" t="str">
        <f>CONCATENATE("     ","Supplies                                          ")</f>
        <v xml:space="preserve">     Supplies                                          </v>
      </c>
      <c r="C77" s="12"/>
      <c r="D77" s="1">
        <f>SUM(OSRRefD22_15x_0)</f>
        <v>0</v>
      </c>
      <c r="E77" s="1"/>
      <c r="F77" s="5">
        <f t="shared" si="40"/>
        <v>0</v>
      </c>
      <c r="G77" s="1"/>
      <c r="H77" s="1">
        <f>SUM(OSRRefH22_15x_0)</f>
        <v>5100</v>
      </c>
      <c r="I77" s="1"/>
      <c r="J77" s="5">
        <f t="shared" si="41"/>
        <v>0</v>
      </c>
      <c r="K77" s="1"/>
      <c r="L77" s="1">
        <f t="shared" si="42"/>
        <v>-5100</v>
      </c>
      <c r="M77" s="1"/>
      <c r="N77" s="5">
        <f t="shared" si="43"/>
        <v>-1</v>
      </c>
      <c r="O77" s="12"/>
      <c r="P77" s="1">
        <f>SUM(OSRRefP22_15x_0)</f>
        <v>67950.259999999995</v>
      </c>
      <c r="Q77" s="1"/>
      <c r="R77" s="5">
        <f t="shared" si="44"/>
        <v>0</v>
      </c>
      <c r="S77" s="1"/>
      <c r="T77" s="1">
        <f>SUM(OSRRefT22_15x_0)</f>
        <v>61500</v>
      </c>
      <c r="U77" s="1"/>
      <c r="V77" s="5">
        <f t="shared" si="45"/>
        <v>0</v>
      </c>
      <c r="W77" s="1"/>
      <c r="X77" s="1">
        <f t="shared" si="46"/>
        <v>6450.2599999999948</v>
      </c>
      <c r="Y77" s="1"/>
      <c r="Z77" s="5">
        <f t="shared" si="47"/>
        <v>0.10488227642276414</v>
      </c>
    </row>
    <row r="78" spans="1:26" s="24" customFormat="1" hidden="1" outlineLevel="2" x14ac:dyDescent="0.25">
      <c r="A78" s="27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40"/>
        <v>0</v>
      </c>
      <c r="G78" s="2"/>
      <c r="H78" s="6"/>
      <c r="I78" s="2"/>
      <c r="J78" s="7">
        <f t="shared" si="41"/>
        <v>0</v>
      </c>
      <c r="K78" s="2"/>
      <c r="L78" s="6">
        <f t="shared" si="42"/>
        <v>0</v>
      </c>
      <c r="M78" s="2"/>
      <c r="N78" s="7">
        <f t="shared" si="43"/>
        <v>0</v>
      </c>
      <c r="O78" s="11"/>
      <c r="P78" s="6">
        <v>8480.18</v>
      </c>
      <c r="Q78" s="2"/>
      <c r="R78" s="7">
        <f t="shared" si="44"/>
        <v>0</v>
      </c>
      <c r="S78" s="2"/>
      <c r="T78" s="6"/>
      <c r="U78" s="2"/>
      <c r="V78" s="7">
        <f t="shared" si="45"/>
        <v>0</v>
      </c>
      <c r="W78" s="2"/>
      <c r="X78" s="6">
        <f t="shared" si="46"/>
        <v>8480.18</v>
      </c>
      <c r="Y78" s="2"/>
      <c r="Z78" s="7">
        <f t="shared" si="47"/>
        <v>0</v>
      </c>
    </row>
    <row r="79" spans="1:26" s="24" customFormat="1" hidden="1" outlineLevel="2" x14ac:dyDescent="0.25">
      <c r="A79" s="27"/>
      <c r="B79" s="11" t="str">
        <f>CONCATENATE("          ", "6235", " - ", "COVID-19 EXPENSES")</f>
        <v xml:space="preserve">          6235 - COVID-19 EXPENSES</v>
      </c>
      <c r="C79" s="11"/>
      <c r="D79" s="6"/>
      <c r="E79" s="2"/>
      <c r="F79" s="7">
        <f t="shared" si="40"/>
        <v>0</v>
      </c>
      <c r="G79" s="2"/>
      <c r="H79" s="6"/>
      <c r="I79" s="2"/>
      <c r="J79" s="7">
        <f t="shared" si="41"/>
        <v>0</v>
      </c>
      <c r="K79" s="2"/>
      <c r="L79" s="6">
        <f t="shared" si="42"/>
        <v>0</v>
      </c>
      <c r="M79" s="2"/>
      <c r="N79" s="7">
        <f t="shared" si="43"/>
        <v>0</v>
      </c>
      <c r="O79" s="11"/>
      <c r="P79" s="6">
        <v>1095.08</v>
      </c>
      <c r="Q79" s="2"/>
      <c r="R79" s="7">
        <f t="shared" si="44"/>
        <v>0</v>
      </c>
      <c r="S79" s="2"/>
      <c r="T79" s="6"/>
      <c r="U79" s="2"/>
      <c r="V79" s="7">
        <f t="shared" si="45"/>
        <v>0</v>
      </c>
      <c r="W79" s="2"/>
      <c r="X79" s="6">
        <f t="shared" si="46"/>
        <v>1095.08</v>
      </c>
      <c r="Y79" s="2"/>
      <c r="Z79" s="7">
        <f t="shared" si="47"/>
        <v>0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6"/>
      <c r="E80" s="2"/>
      <c r="F80" s="7">
        <f t="shared" si="40"/>
        <v>0</v>
      </c>
      <c r="G80" s="2"/>
      <c r="H80" s="6">
        <v>3000</v>
      </c>
      <c r="I80" s="2"/>
      <c r="J80" s="7">
        <f t="shared" si="41"/>
        <v>0</v>
      </c>
      <c r="K80" s="2"/>
      <c r="L80" s="6">
        <f t="shared" si="42"/>
        <v>-3000</v>
      </c>
      <c r="M80" s="2"/>
      <c r="N80" s="7">
        <f t="shared" si="43"/>
        <v>-1</v>
      </c>
      <c r="O80" s="11"/>
      <c r="P80" s="6">
        <v>35461.51</v>
      </c>
      <c r="Q80" s="2"/>
      <c r="R80" s="7">
        <f t="shared" si="44"/>
        <v>0</v>
      </c>
      <c r="S80" s="2"/>
      <c r="T80" s="6">
        <v>39000</v>
      </c>
      <c r="U80" s="2"/>
      <c r="V80" s="7">
        <f t="shared" si="45"/>
        <v>0</v>
      </c>
      <c r="W80" s="2"/>
      <c r="X80" s="6">
        <f t="shared" si="46"/>
        <v>-3538.489999999998</v>
      </c>
      <c r="Y80" s="2"/>
      <c r="Z80" s="7">
        <f t="shared" si="47"/>
        <v>-9.0730512820512768E-2</v>
      </c>
    </row>
    <row r="81" spans="1:26" s="24" customFormat="1" hidden="1" outlineLevel="2" x14ac:dyDescent="0.25">
      <c r="A81" s="27"/>
      <c r="B81" s="11" t="str">
        <f>CONCATENATE("          ", "6239", " - ", "KITCHEN SUPPLIES")</f>
        <v xml:space="preserve">          6239 - KITCHEN SUPPLIES</v>
      </c>
      <c r="C81" s="11"/>
      <c r="D81" s="6"/>
      <c r="E81" s="2"/>
      <c r="F81" s="7">
        <f t="shared" si="40"/>
        <v>0</v>
      </c>
      <c r="G81" s="2"/>
      <c r="H81" s="6">
        <v>1500</v>
      </c>
      <c r="I81" s="2"/>
      <c r="J81" s="7">
        <f t="shared" si="41"/>
        <v>0</v>
      </c>
      <c r="K81" s="2"/>
      <c r="L81" s="6">
        <f t="shared" si="42"/>
        <v>-1500</v>
      </c>
      <c r="M81" s="2"/>
      <c r="N81" s="7">
        <f t="shared" si="43"/>
        <v>-1</v>
      </c>
      <c r="O81" s="11"/>
      <c r="P81" s="6">
        <v>18397.89</v>
      </c>
      <c r="Q81" s="2"/>
      <c r="R81" s="7">
        <f t="shared" si="44"/>
        <v>0</v>
      </c>
      <c r="S81" s="2"/>
      <c r="T81" s="6">
        <v>10500</v>
      </c>
      <c r="U81" s="2"/>
      <c r="V81" s="7">
        <f t="shared" si="45"/>
        <v>0</v>
      </c>
      <c r="W81" s="2"/>
      <c r="X81" s="6">
        <f t="shared" si="46"/>
        <v>7897.8899999999994</v>
      </c>
      <c r="Y81" s="2"/>
      <c r="Z81" s="7">
        <f t="shared" si="47"/>
        <v>0.75217999999999996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6"/>
      <c r="E82" s="2"/>
      <c r="F82" s="7">
        <f t="shared" si="40"/>
        <v>0</v>
      </c>
      <c r="G82" s="2"/>
      <c r="H82" s="6">
        <v>200</v>
      </c>
      <c r="I82" s="2"/>
      <c r="J82" s="7">
        <f t="shared" si="41"/>
        <v>0</v>
      </c>
      <c r="K82" s="2"/>
      <c r="L82" s="6">
        <f t="shared" si="42"/>
        <v>-200</v>
      </c>
      <c r="M82" s="2"/>
      <c r="N82" s="7">
        <f t="shared" si="43"/>
        <v>-1</v>
      </c>
      <c r="O82" s="11"/>
      <c r="P82" s="6">
        <v>2858.28</v>
      </c>
      <c r="Q82" s="2"/>
      <c r="R82" s="7">
        <f t="shared" si="44"/>
        <v>0</v>
      </c>
      <c r="S82" s="2"/>
      <c r="T82" s="6">
        <v>2700</v>
      </c>
      <c r="U82" s="2"/>
      <c r="V82" s="7">
        <f t="shared" si="45"/>
        <v>0</v>
      </c>
      <c r="W82" s="2"/>
      <c r="X82" s="6">
        <f t="shared" si="46"/>
        <v>158.2800000000002</v>
      </c>
      <c r="Y82" s="2"/>
      <c r="Z82" s="7">
        <f t="shared" si="47"/>
        <v>5.8622222222222298E-2</v>
      </c>
    </row>
    <row r="83" spans="1:26" s="24" customFormat="1" hidden="1" outlineLevel="2" x14ac:dyDescent="0.25">
      <c r="A83" s="27"/>
      <c r="B83" s="11" t="str">
        <f>CONCATENATE("          ", "6243", " - ", "PAPER SUPPLIES")</f>
        <v xml:space="preserve">          6243 - PAPER SUPPLIES</v>
      </c>
      <c r="C83" s="11"/>
      <c r="D83" s="6"/>
      <c r="E83" s="2"/>
      <c r="F83" s="7">
        <f t="shared" si="40"/>
        <v>0</v>
      </c>
      <c r="G83" s="2"/>
      <c r="H83" s="6">
        <v>400</v>
      </c>
      <c r="I83" s="2"/>
      <c r="J83" s="7">
        <f t="shared" si="41"/>
        <v>0</v>
      </c>
      <c r="K83" s="2"/>
      <c r="L83" s="6">
        <f t="shared" si="42"/>
        <v>-400</v>
      </c>
      <c r="M83" s="2"/>
      <c r="N83" s="7">
        <f t="shared" si="43"/>
        <v>-1</v>
      </c>
      <c r="O83" s="11"/>
      <c r="P83" s="6">
        <v>1027.17</v>
      </c>
      <c r="Q83" s="2"/>
      <c r="R83" s="7">
        <f t="shared" si="44"/>
        <v>0</v>
      </c>
      <c r="S83" s="2"/>
      <c r="T83" s="6">
        <v>4800</v>
      </c>
      <c r="U83" s="2"/>
      <c r="V83" s="7">
        <f t="shared" si="45"/>
        <v>0</v>
      </c>
      <c r="W83" s="2"/>
      <c r="X83" s="6">
        <f t="shared" si="46"/>
        <v>-3772.83</v>
      </c>
      <c r="Y83" s="2"/>
      <c r="Z83" s="7">
        <f t="shared" si="47"/>
        <v>-0.78600625000000002</v>
      </c>
    </row>
    <row r="84" spans="1:26" s="24" customFormat="1" hidden="1" outlineLevel="2" x14ac:dyDescent="0.25">
      <c r="A84" s="27"/>
      <c r="B84" s="11" t="str">
        <f>CONCATENATE("          ", "6245", " - ", "PRINTING")</f>
        <v xml:space="preserve">          6245 - PRINTING</v>
      </c>
      <c r="C84" s="11"/>
      <c r="D84" s="6"/>
      <c r="E84" s="2"/>
      <c r="F84" s="7">
        <f t="shared" si="40"/>
        <v>0</v>
      </c>
      <c r="G84" s="2"/>
      <c r="H84" s="6"/>
      <c r="I84" s="2"/>
      <c r="J84" s="7">
        <f t="shared" si="41"/>
        <v>0</v>
      </c>
      <c r="K84" s="2"/>
      <c r="L84" s="6">
        <f t="shared" si="42"/>
        <v>0</v>
      </c>
      <c r="M84" s="2"/>
      <c r="N84" s="7">
        <f t="shared" si="43"/>
        <v>0</v>
      </c>
      <c r="O84" s="11"/>
      <c r="P84" s="6">
        <v>15.99</v>
      </c>
      <c r="Q84" s="2"/>
      <c r="R84" s="7">
        <f t="shared" si="44"/>
        <v>0</v>
      </c>
      <c r="S84" s="2"/>
      <c r="T84" s="6">
        <v>2000</v>
      </c>
      <c r="U84" s="2"/>
      <c r="V84" s="7">
        <f t="shared" si="45"/>
        <v>0</v>
      </c>
      <c r="W84" s="2"/>
      <c r="X84" s="6">
        <f t="shared" si="46"/>
        <v>-1984.01</v>
      </c>
      <c r="Y84" s="2"/>
      <c r="Z84" s="7">
        <f t="shared" si="47"/>
        <v>-0.99200500000000003</v>
      </c>
    </row>
    <row r="85" spans="1:26" s="24" customFormat="1" hidden="1" outlineLevel="2" x14ac:dyDescent="0.25">
      <c r="A85" s="27"/>
      <c r="B85" s="11" t="str">
        <f>CONCATENATE("          ", "6247", " - ", "STORE SUPPLIES")</f>
        <v xml:space="preserve">          6247 - STORE SUPPLIES</v>
      </c>
      <c r="C85" s="11"/>
      <c r="D85" s="6"/>
      <c r="E85" s="2"/>
      <c r="F85" s="7">
        <f t="shared" si="40"/>
        <v>0</v>
      </c>
      <c r="G85" s="2"/>
      <c r="H85" s="6"/>
      <c r="I85" s="2"/>
      <c r="J85" s="7">
        <f t="shared" si="41"/>
        <v>0</v>
      </c>
      <c r="K85" s="2"/>
      <c r="L85" s="6">
        <f t="shared" si="42"/>
        <v>0</v>
      </c>
      <c r="M85" s="2"/>
      <c r="N85" s="7">
        <f t="shared" si="43"/>
        <v>0</v>
      </c>
      <c r="O85" s="11"/>
      <c r="P85" s="6">
        <v>123.68</v>
      </c>
      <c r="Q85" s="2"/>
      <c r="R85" s="7">
        <f t="shared" si="44"/>
        <v>0</v>
      </c>
      <c r="S85" s="2"/>
      <c r="T85" s="6"/>
      <c r="U85" s="2"/>
      <c r="V85" s="7">
        <f t="shared" si="45"/>
        <v>0</v>
      </c>
      <c r="W85" s="2"/>
      <c r="X85" s="6">
        <f t="shared" si="46"/>
        <v>123.68</v>
      </c>
      <c r="Y85" s="2"/>
      <c r="Z85" s="7">
        <f t="shared" si="47"/>
        <v>0</v>
      </c>
    </row>
    <row r="86" spans="1:26" s="24" customFormat="1" hidden="1" outlineLevel="2" x14ac:dyDescent="0.25">
      <c r="A86" s="27"/>
      <c r="B86" s="11" t="str">
        <f>CONCATENATE("          ", "6248", " - ", "UNIFORMS")</f>
        <v xml:space="preserve">          6248 - UNIFORMS</v>
      </c>
      <c r="C86" s="11"/>
      <c r="D86" s="6"/>
      <c r="E86" s="2"/>
      <c r="F86" s="7">
        <f t="shared" si="40"/>
        <v>0</v>
      </c>
      <c r="G86" s="2"/>
      <c r="H86" s="6"/>
      <c r="I86" s="2"/>
      <c r="J86" s="7">
        <f t="shared" si="41"/>
        <v>0</v>
      </c>
      <c r="K86" s="2"/>
      <c r="L86" s="6">
        <f t="shared" si="42"/>
        <v>0</v>
      </c>
      <c r="M86" s="2"/>
      <c r="N86" s="7">
        <f t="shared" si="43"/>
        <v>0</v>
      </c>
      <c r="O86" s="11"/>
      <c r="P86" s="6">
        <v>490.48</v>
      </c>
      <c r="Q86" s="2"/>
      <c r="R86" s="7">
        <f t="shared" si="44"/>
        <v>0</v>
      </c>
      <c r="S86" s="2"/>
      <c r="T86" s="6">
        <v>2500</v>
      </c>
      <c r="U86" s="2"/>
      <c r="V86" s="7">
        <f t="shared" si="45"/>
        <v>0</v>
      </c>
      <c r="W86" s="2"/>
      <c r="X86" s="6">
        <f t="shared" si="46"/>
        <v>-2009.52</v>
      </c>
      <c r="Y86" s="2"/>
      <c r="Z86" s="7">
        <f t="shared" si="47"/>
        <v>-0.80380799999999997</v>
      </c>
    </row>
    <row r="87" spans="1:26" s="26" customFormat="1" outlineLevel="1" collapsed="1" x14ac:dyDescent="0.25">
      <c r="A87" s="25"/>
      <c r="B87" s="12" t="str">
        <f>CONCATENATE("     ","Telephone/Data Lines                              ")</f>
        <v xml:space="preserve">     Telephone/Data Lines                              </v>
      </c>
      <c r="C87" s="12"/>
      <c r="D87" s="1">
        <f>SUM(OSRRefD22_16x_0)</f>
        <v>215.73</v>
      </c>
      <c r="E87" s="1"/>
      <c r="F87" s="5">
        <f t="shared" ref="F87:F94" si="48">IF(D$12=0,0,D87/D$12)</f>
        <v>0</v>
      </c>
      <c r="G87" s="1"/>
      <c r="H87" s="1">
        <f>SUM(OSRRefH22_16x_0)</f>
        <v>500</v>
      </c>
      <c r="I87" s="1"/>
      <c r="J87" s="5">
        <f t="shared" ref="J87:J94" si="49">IF(H$12=0,0,H87/H$12)</f>
        <v>0</v>
      </c>
      <c r="K87" s="1"/>
      <c r="L87" s="1">
        <f t="shared" ref="L87:L94" si="50">+D87-H87</f>
        <v>-284.27</v>
      </c>
      <c r="M87" s="1"/>
      <c r="N87" s="5">
        <f t="shared" ref="N87:N94" si="51">IF(H87=0,0,L87/H87)</f>
        <v>-0.56853999999999993</v>
      </c>
      <c r="O87" s="12"/>
      <c r="P87" s="1">
        <f>SUM(OSRRefP22_16x_0)</f>
        <v>5123.67</v>
      </c>
      <c r="Q87" s="1"/>
      <c r="R87" s="5">
        <f t="shared" ref="R87:R94" si="52">IF(P$12=0,0,P87/P$12)</f>
        <v>0</v>
      </c>
      <c r="S87" s="1"/>
      <c r="T87" s="1">
        <f>SUM(OSRRefT22_16x_0)</f>
        <v>6000</v>
      </c>
      <c r="U87" s="1"/>
      <c r="V87" s="5">
        <f t="shared" ref="V87:V94" si="53">IF(T$12=0,0,T87/T$12)</f>
        <v>0</v>
      </c>
      <c r="W87" s="1"/>
      <c r="X87" s="1">
        <f t="shared" ref="X87:X94" si="54">+P87-T87</f>
        <v>-876.32999999999993</v>
      </c>
      <c r="Y87" s="1"/>
      <c r="Z87" s="5">
        <f t="shared" ref="Z87:Z94" si="55">IF(T87=0,0,X87/T87)</f>
        <v>-0.14605499999999999</v>
      </c>
    </row>
    <row r="88" spans="1:26" s="24" customFormat="1" hidden="1" outlineLevel="2" x14ac:dyDescent="0.25">
      <c r="A88" s="27"/>
      <c r="B88" s="11" t="str">
        <f>CONCATENATE("          ", "6309", " - ", "TELEPHONE")</f>
        <v xml:space="preserve">          6309 - TELEPHONE</v>
      </c>
      <c r="C88" s="11"/>
      <c r="D88" s="6">
        <v>215.73</v>
      </c>
      <c r="E88" s="2"/>
      <c r="F88" s="7">
        <f t="shared" si="48"/>
        <v>0</v>
      </c>
      <c r="G88" s="2"/>
      <c r="H88" s="6">
        <v>500</v>
      </c>
      <c r="I88" s="2"/>
      <c r="J88" s="7">
        <f t="shared" si="49"/>
        <v>0</v>
      </c>
      <c r="K88" s="2"/>
      <c r="L88" s="6">
        <f t="shared" si="50"/>
        <v>-284.27</v>
      </c>
      <c r="M88" s="2"/>
      <c r="N88" s="7">
        <f t="shared" si="51"/>
        <v>-0.56853999999999993</v>
      </c>
      <c r="O88" s="11"/>
      <c r="P88" s="6">
        <v>5123.67</v>
      </c>
      <c r="Q88" s="2"/>
      <c r="R88" s="7">
        <f t="shared" si="52"/>
        <v>0</v>
      </c>
      <c r="S88" s="2"/>
      <c r="T88" s="6">
        <v>6000</v>
      </c>
      <c r="U88" s="2"/>
      <c r="V88" s="7">
        <f t="shared" si="53"/>
        <v>0</v>
      </c>
      <c r="W88" s="2"/>
      <c r="X88" s="6">
        <f t="shared" si="54"/>
        <v>-876.32999999999993</v>
      </c>
      <c r="Y88" s="2"/>
      <c r="Z88" s="7">
        <f t="shared" si="55"/>
        <v>-0.14605499999999999</v>
      </c>
    </row>
    <row r="89" spans="1:26" s="26" customFormat="1" outlineLevel="1" collapsed="1" x14ac:dyDescent="0.25">
      <c r="A89" s="25"/>
      <c r="B89" s="12" t="str">
        <f>CONCATENATE("     ","Training                                          ")</f>
        <v xml:space="preserve">     Training                                          </v>
      </c>
      <c r="C89" s="12"/>
      <c r="D89" s="1">
        <f>SUM(OSRRefD22_17x_0)</f>
        <v>0</v>
      </c>
      <c r="E89" s="1"/>
      <c r="F89" s="5">
        <f t="shared" si="48"/>
        <v>0</v>
      </c>
      <c r="G89" s="1"/>
      <c r="H89" s="1">
        <f>SUM(OSRRefH22_17x_0)</f>
        <v>0</v>
      </c>
      <c r="I89" s="1"/>
      <c r="J89" s="5">
        <f t="shared" si="49"/>
        <v>0</v>
      </c>
      <c r="K89" s="1"/>
      <c r="L89" s="1">
        <f t="shared" si="50"/>
        <v>0</v>
      </c>
      <c r="M89" s="1"/>
      <c r="N89" s="5">
        <f t="shared" si="51"/>
        <v>0</v>
      </c>
      <c r="O89" s="12"/>
      <c r="P89" s="1">
        <f>SUM(OSRRefP22_17x_0)</f>
        <v>240</v>
      </c>
      <c r="Q89" s="1"/>
      <c r="R89" s="5">
        <f t="shared" si="52"/>
        <v>0</v>
      </c>
      <c r="S89" s="1"/>
      <c r="T89" s="1">
        <f>SUM(OSRRefT22_17x_0)</f>
        <v>3000</v>
      </c>
      <c r="U89" s="1"/>
      <c r="V89" s="5">
        <f t="shared" si="53"/>
        <v>0</v>
      </c>
      <c r="W89" s="1"/>
      <c r="X89" s="1">
        <f t="shared" si="54"/>
        <v>-2760</v>
      </c>
      <c r="Y89" s="1"/>
      <c r="Z89" s="5">
        <f t="shared" si="55"/>
        <v>-0.92</v>
      </c>
    </row>
    <row r="90" spans="1:26" s="24" customFormat="1" hidden="1" outlineLevel="2" x14ac:dyDescent="0.25">
      <c r="A90" s="27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48"/>
        <v>0</v>
      </c>
      <c r="G90" s="2"/>
      <c r="H90" s="6"/>
      <c r="I90" s="2"/>
      <c r="J90" s="7">
        <f t="shared" si="49"/>
        <v>0</v>
      </c>
      <c r="K90" s="2"/>
      <c r="L90" s="6">
        <f t="shared" si="50"/>
        <v>0</v>
      </c>
      <c r="M90" s="2"/>
      <c r="N90" s="7">
        <f t="shared" si="51"/>
        <v>0</v>
      </c>
      <c r="O90" s="11"/>
      <c r="P90" s="6">
        <v>240</v>
      </c>
      <c r="Q90" s="2"/>
      <c r="R90" s="7">
        <f t="shared" si="52"/>
        <v>0</v>
      </c>
      <c r="S90" s="2"/>
      <c r="T90" s="6">
        <v>3000</v>
      </c>
      <c r="U90" s="2"/>
      <c r="V90" s="7">
        <f t="shared" si="53"/>
        <v>0</v>
      </c>
      <c r="W90" s="2"/>
      <c r="X90" s="6">
        <f t="shared" si="54"/>
        <v>-2760</v>
      </c>
      <c r="Y90" s="2"/>
      <c r="Z90" s="7">
        <f t="shared" si="55"/>
        <v>-0.92</v>
      </c>
    </row>
    <row r="91" spans="1:26" s="26" customFormat="1" outlineLevel="1" collapsed="1" x14ac:dyDescent="0.25">
      <c r="A91" s="25"/>
      <c r="B91" s="12" t="str">
        <f>CONCATENATE("     ","Travel                                            ")</f>
        <v xml:space="preserve">     Travel                                            </v>
      </c>
      <c r="C91" s="12"/>
      <c r="D91" s="1">
        <f>SUM(OSRRefD22_18x_0)</f>
        <v>0</v>
      </c>
      <c r="E91" s="1"/>
      <c r="F91" s="5">
        <f t="shared" si="48"/>
        <v>0</v>
      </c>
      <c r="G91" s="1"/>
      <c r="H91" s="1">
        <f>SUM(OSRRefH22_18x_0)</f>
        <v>0</v>
      </c>
      <c r="I91" s="1"/>
      <c r="J91" s="5">
        <f t="shared" si="49"/>
        <v>0</v>
      </c>
      <c r="K91" s="1"/>
      <c r="L91" s="1">
        <f t="shared" si="50"/>
        <v>0</v>
      </c>
      <c r="M91" s="1"/>
      <c r="N91" s="5">
        <f t="shared" si="51"/>
        <v>0</v>
      </c>
      <c r="O91" s="12"/>
      <c r="P91" s="1">
        <f>SUM(OSRRefP22_18x_0)</f>
        <v>2300.86</v>
      </c>
      <c r="Q91" s="1"/>
      <c r="R91" s="5">
        <f t="shared" si="52"/>
        <v>0</v>
      </c>
      <c r="S91" s="1"/>
      <c r="T91" s="1">
        <f>SUM(OSRRefT22_18x_0)</f>
        <v>4000</v>
      </c>
      <c r="U91" s="1"/>
      <c r="V91" s="5">
        <f t="shared" si="53"/>
        <v>0</v>
      </c>
      <c r="W91" s="1"/>
      <c r="X91" s="1">
        <f t="shared" si="54"/>
        <v>-1699.1399999999999</v>
      </c>
      <c r="Y91" s="1"/>
      <c r="Z91" s="5">
        <f t="shared" si="55"/>
        <v>-0.42478499999999997</v>
      </c>
    </row>
    <row r="92" spans="1:26" s="24" customFormat="1" hidden="1" outlineLevel="2" x14ac:dyDescent="0.25">
      <c r="A92" s="27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48"/>
        <v>0</v>
      </c>
      <c r="G92" s="2"/>
      <c r="H92" s="6"/>
      <c r="I92" s="2"/>
      <c r="J92" s="7">
        <f t="shared" si="49"/>
        <v>0</v>
      </c>
      <c r="K92" s="2"/>
      <c r="L92" s="6">
        <f t="shared" si="50"/>
        <v>0</v>
      </c>
      <c r="M92" s="2"/>
      <c r="N92" s="7">
        <f t="shared" si="51"/>
        <v>0</v>
      </c>
      <c r="O92" s="11"/>
      <c r="P92" s="6">
        <v>966.72</v>
      </c>
      <c r="Q92" s="2"/>
      <c r="R92" s="7">
        <f t="shared" si="52"/>
        <v>0</v>
      </c>
      <c r="S92" s="2"/>
      <c r="T92" s="6">
        <v>4000</v>
      </c>
      <c r="U92" s="2"/>
      <c r="V92" s="7">
        <f t="shared" si="53"/>
        <v>0</v>
      </c>
      <c r="W92" s="2"/>
      <c r="X92" s="6">
        <f t="shared" si="54"/>
        <v>-3033.2799999999997</v>
      </c>
      <c r="Y92" s="2"/>
      <c r="Z92" s="7">
        <f t="shared" si="55"/>
        <v>-0.75831999999999988</v>
      </c>
    </row>
    <row r="93" spans="1:26" s="24" customFormat="1" hidden="1" outlineLevel="2" x14ac:dyDescent="0.25">
      <c r="A93" s="27"/>
      <c r="B93" s="11" t="str">
        <f>CONCATENATE("          ", "6294", " - ", "TRAVEL OPERATIONAL")</f>
        <v xml:space="preserve">          6294 - TRAVEL OPERATIONAL</v>
      </c>
      <c r="C93" s="11"/>
      <c r="D93" s="6"/>
      <c r="E93" s="2"/>
      <c r="F93" s="7">
        <f t="shared" si="48"/>
        <v>0</v>
      </c>
      <c r="G93" s="2"/>
      <c r="H93" s="6"/>
      <c r="I93" s="2"/>
      <c r="J93" s="7">
        <f t="shared" si="49"/>
        <v>0</v>
      </c>
      <c r="K93" s="2"/>
      <c r="L93" s="6">
        <f t="shared" si="50"/>
        <v>0</v>
      </c>
      <c r="M93" s="2"/>
      <c r="N93" s="7">
        <f t="shared" si="51"/>
        <v>0</v>
      </c>
      <c r="O93" s="11"/>
      <c r="P93" s="6">
        <v>45.49</v>
      </c>
      <c r="Q93" s="2"/>
      <c r="R93" s="7">
        <f t="shared" si="52"/>
        <v>0</v>
      </c>
      <c r="S93" s="2"/>
      <c r="T93" s="6"/>
      <c r="U93" s="2"/>
      <c r="V93" s="7">
        <f t="shared" si="53"/>
        <v>0</v>
      </c>
      <c r="W93" s="2"/>
      <c r="X93" s="6">
        <f t="shared" si="54"/>
        <v>45.49</v>
      </c>
      <c r="Y93" s="2"/>
      <c r="Z93" s="7">
        <f t="shared" si="55"/>
        <v>0</v>
      </c>
    </row>
    <row r="94" spans="1:26" s="24" customFormat="1" hidden="1" outlineLevel="2" x14ac:dyDescent="0.25">
      <c r="A94" s="27"/>
      <c r="B94" s="11" t="str">
        <f>CONCATENATE("          ", "6298", " - ", "VEHICLE MILEAGE")</f>
        <v xml:space="preserve">          6298 - VEHICLE MILEAGE</v>
      </c>
      <c r="C94" s="11"/>
      <c r="D94" s="6"/>
      <c r="E94" s="2"/>
      <c r="F94" s="7">
        <f t="shared" si="48"/>
        <v>0</v>
      </c>
      <c r="G94" s="2"/>
      <c r="H94" s="6"/>
      <c r="I94" s="2"/>
      <c r="J94" s="7">
        <f t="shared" si="49"/>
        <v>0</v>
      </c>
      <c r="K94" s="2"/>
      <c r="L94" s="6">
        <f t="shared" si="50"/>
        <v>0</v>
      </c>
      <c r="M94" s="2"/>
      <c r="N94" s="7">
        <f t="shared" si="51"/>
        <v>0</v>
      </c>
      <c r="O94" s="11"/>
      <c r="P94" s="6">
        <v>1288.6500000000001</v>
      </c>
      <c r="Q94" s="2"/>
      <c r="R94" s="7">
        <f t="shared" si="52"/>
        <v>0</v>
      </c>
      <c r="S94" s="2"/>
      <c r="T94" s="6"/>
      <c r="U94" s="2"/>
      <c r="V94" s="7">
        <f t="shared" si="53"/>
        <v>0</v>
      </c>
      <c r="W94" s="2"/>
      <c r="X94" s="6">
        <f t="shared" si="54"/>
        <v>1288.6500000000001</v>
      </c>
      <c r="Y94" s="2"/>
      <c r="Z94" s="7">
        <f t="shared" si="55"/>
        <v>0</v>
      </c>
    </row>
    <row r="95" spans="1:26" s="26" customFormat="1" outlineLevel="1" collapsed="1" x14ac:dyDescent="0.25">
      <c r="A95" s="25"/>
      <c r="B95" s="12" t="str">
        <f>CONCATENATE("     ","Utilities                                         ")</f>
        <v xml:space="preserve">     Utilities                                         </v>
      </c>
      <c r="C95" s="12"/>
      <c r="D95" s="1">
        <f>SUM(OSRRefD22_19x_0)</f>
        <v>12923</v>
      </c>
      <c r="E95" s="1"/>
      <c r="F95" s="5">
        <f t="shared" ref="F95:F96" si="56">IF(D$12=0,0,D95/D$12)</f>
        <v>0</v>
      </c>
      <c r="G95" s="1"/>
      <c r="H95" s="1">
        <f>SUM(OSRRefH22_19x_0)</f>
        <v>15000</v>
      </c>
      <c r="I95" s="1"/>
      <c r="J95" s="5">
        <f t="shared" ref="J95:J96" si="57">IF(H$12=0,0,H95/H$12)</f>
        <v>0</v>
      </c>
      <c r="K95" s="1"/>
      <c r="L95" s="1">
        <f t="shared" ref="L95:L96" si="58">+D95-H95</f>
        <v>-2077</v>
      </c>
      <c r="M95" s="1"/>
      <c r="N95" s="5">
        <f t="shared" ref="N95:N96" si="59">IF(H95=0,0,L95/H95)</f>
        <v>-0.13846666666666665</v>
      </c>
      <c r="O95" s="12"/>
      <c r="P95" s="1">
        <f>SUM(OSRRefP22_19x_0)</f>
        <v>159129</v>
      </c>
      <c r="Q95" s="1"/>
      <c r="R95" s="5">
        <f t="shared" ref="R95:R96" si="60">IF(P$12=0,0,P95/P$12)</f>
        <v>0</v>
      </c>
      <c r="S95" s="1"/>
      <c r="T95" s="1">
        <f>SUM(OSRRefT22_19x_0)</f>
        <v>200000</v>
      </c>
      <c r="U95" s="1"/>
      <c r="V95" s="5">
        <f t="shared" ref="V95:V96" si="61">IF(T$12=0,0,T95/T$12)</f>
        <v>0</v>
      </c>
      <c r="W95" s="1"/>
      <c r="X95" s="1">
        <f t="shared" ref="X95:X96" si="62">+P95-T95</f>
        <v>-40871</v>
      </c>
      <c r="Y95" s="1"/>
      <c r="Z95" s="5">
        <f t="shared" ref="Z95:Z96" si="63">IF(T95=0,0,X95/T95)</f>
        <v>-0.20435500000000001</v>
      </c>
    </row>
    <row r="96" spans="1:26" s="24" customFormat="1" hidden="1" outlineLevel="2" x14ac:dyDescent="0.25">
      <c r="A96" s="27"/>
      <c r="B96" s="11" t="str">
        <f>CONCATENATE("          ", "6274", " - ", "UTILITIES")</f>
        <v xml:space="preserve">          6274 - UTILITIES</v>
      </c>
      <c r="C96" s="11"/>
      <c r="D96" s="6">
        <v>12923</v>
      </c>
      <c r="E96" s="2"/>
      <c r="F96" s="7">
        <f t="shared" si="56"/>
        <v>0</v>
      </c>
      <c r="G96" s="2"/>
      <c r="H96" s="6">
        <v>15000</v>
      </c>
      <c r="I96" s="2"/>
      <c r="J96" s="7">
        <f t="shared" si="57"/>
        <v>0</v>
      </c>
      <c r="K96" s="2"/>
      <c r="L96" s="6">
        <f t="shared" si="58"/>
        <v>-2077</v>
      </c>
      <c r="M96" s="2"/>
      <c r="N96" s="7">
        <f t="shared" si="59"/>
        <v>-0.13846666666666665</v>
      </c>
      <c r="O96" s="11"/>
      <c r="P96" s="6">
        <v>159129</v>
      </c>
      <c r="Q96" s="2"/>
      <c r="R96" s="7">
        <f t="shared" si="60"/>
        <v>0</v>
      </c>
      <c r="S96" s="2"/>
      <c r="T96" s="6">
        <v>200000</v>
      </c>
      <c r="U96" s="2"/>
      <c r="V96" s="7">
        <f t="shared" si="61"/>
        <v>0</v>
      </c>
      <c r="W96" s="2"/>
      <c r="X96" s="6">
        <f t="shared" si="62"/>
        <v>-40871</v>
      </c>
      <c r="Y96" s="2"/>
      <c r="Z96" s="7">
        <f t="shared" si="63"/>
        <v>-0.20435500000000001</v>
      </c>
    </row>
    <row r="97" spans="1:26" s="60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8" t="s">
        <v>0</v>
      </c>
      <c r="C98" s="10"/>
      <c r="D98" s="4">
        <f>SUM(OSRRefD25x_0)</f>
        <v>16951.849999999999</v>
      </c>
      <c r="E98" s="4"/>
      <c r="F98" s="13">
        <f t="shared" ref="F98:F100" si="64">IF(D$12=0,0,D98/D$12)</f>
        <v>0</v>
      </c>
      <c r="G98" s="4"/>
      <c r="H98" s="4">
        <f>SUM(OSRRefH25x_0)</f>
        <v>3712</v>
      </c>
      <c r="I98" s="4"/>
      <c r="J98" s="13">
        <f t="shared" ref="J98:J100" si="65">IF(H$12=0,0,H98/H$12)</f>
        <v>0</v>
      </c>
      <c r="K98" s="4"/>
      <c r="L98" s="4">
        <f t="shared" ref="L98:L100" si="66">+D98-H98</f>
        <v>13239.849999999999</v>
      </c>
      <c r="M98" s="4"/>
      <c r="N98" s="13">
        <f t="shared" ref="N98:N100" si="67">IF(H98=0,0,L98/H98)</f>
        <v>3.5667699353448272</v>
      </c>
      <c r="O98" s="10"/>
      <c r="P98" s="4">
        <f>SUM(OSRRefP25x_0)</f>
        <v>128692.56999999999</v>
      </c>
      <c r="Q98" s="4"/>
      <c r="R98" s="13">
        <f t="shared" ref="R98:R100" si="68">IF(P$12=0,0,P98/P$12)</f>
        <v>0</v>
      </c>
      <c r="S98" s="4"/>
      <c r="T98" s="4">
        <f>SUM(OSRRefT25x_0)</f>
        <v>70555</v>
      </c>
      <c r="U98" s="4"/>
      <c r="V98" s="13">
        <f t="shared" ref="V98:V100" si="69">IF(T$12=0,0,T98/T$12)</f>
        <v>0</v>
      </c>
      <c r="W98" s="4"/>
      <c r="X98" s="4">
        <f t="shared" ref="X98:X100" si="70">+P98-T98</f>
        <v>58137.569999999992</v>
      </c>
      <c r="Y98" s="4"/>
      <c r="Z98" s="13">
        <f t="shared" ref="Z98:Z100" si="71">IF(T98=0,0,X98/T98)</f>
        <v>0.82400354333498682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>--16951.85</f>
        <v>16951.849999999999</v>
      </c>
      <c r="E99" s="2"/>
      <c r="F99" s="19">
        <f t="shared" si="64"/>
        <v>0</v>
      </c>
      <c r="G99" s="2"/>
      <c r="H99" s="2">
        <v>3712</v>
      </c>
      <c r="I99" s="2"/>
      <c r="J99" s="19">
        <f t="shared" si="65"/>
        <v>0</v>
      </c>
      <c r="K99" s="2"/>
      <c r="L99" s="2">
        <f t="shared" si="66"/>
        <v>13239.849999999999</v>
      </c>
      <c r="M99" s="2"/>
      <c r="N99" s="19">
        <f t="shared" si="67"/>
        <v>3.5667699353448272</v>
      </c>
      <c r="O99" s="11"/>
      <c r="P99" s="2">
        <f>--126642.54</f>
        <v>126642.54</v>
      </c>
      <c r="Q99" s="2"/>
      <c r="R99" s="19">
        <f t="shared" si="68"/>
        <v>0</v>
      </c>
      <c r="S99" s="2"/>
      <c r="T99" s="2">
        <v>70555</v>
      </c>
      <c r="U99" s="2"/>
      <c r="V99" s="19">
        <f t="shared" si="69"/>
        <v>0</v>
      </c>
      <c r="W99" s="2"/>
      <c r="X99" s="2">
        <f t="shared" si="70"/>
        <v>56087.539999999994</v>
      </c>
      <c r="Y99" s="2"/>
      <c r="Z99" s="19">
        <f t="shared" si="71"/>
        <v>0.79494777124229321</v>
      </c>
    </row>
    <row r="100" spans="1:26" s="24" customFormat="1" hidden="1" outlineLevel="1" x14ac:dyDescent="0.25">
      <c r="A100" s="44"/>
      <c r="B100" s="11" t="str">
        <f>CONCATENATE("          ", "9160", " - ", "MISC. INCOME")</f>
        <v xml:space="preserve">          9160 - MISC. INCOME</v>
      </c>
      <c r="C100" s="11"/>
      <c r="D100" s="2">
        <f>0</f>
        <v>0</v>
      </c>
      <c r="E100" s="2"/>
      <c r="F100" s="19">
        <f t="shared" si="64"/>
        <v>0</v>
      </c>
      <c r="G100" s="2"/>
      <c r="H100" s="2"/>
      <c r="I100" s="2"/>
      <c r="J100" s="19">
        <f t="shared" si="65"/>
        <v>0</v>
      </c>
      <c r="K100" s="2"/>
      <c r="L100" s="2">
        <f t="shared" si="66"/>
        <v>0</v>
      </c>
      <c r="M100" s="2"/>
      <c r="N100" s="19">
        <f t="shared" si="67"/>
        <v>0</v>
      </c>
      <c r="O100" s="11"/>
      <c r="P100" s="2">
        <f>--2050.03</f>
        <v>2050.0300000000002</v>
      </c>
      <c r="Q100" s="2"/>
      <c r="R100" s="19">
        <f t="shared" si="68"/>
        <v>0</v>
      </c>
      <c r="S100" s="2"/>
      <c r="T100" s="2"/>
      <c r="U100" s="2"/>
      <c r="V100" s="19">
        <f t="shared" si="69"/>
        <v>0</v>
      </c>
      <c r="W100" s="2"/>
      <c r="X100" s="2">
        <f t="shared" si="70"/>
        <v>2050.0300000000002</v>
      </c>
      <c r="Y100" s="2"/>
      <c r="Z100" s="19">
        <f t="shared" si="71"/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2">
        <f>+D16-D18+D98</f>
        <v>-26626.190000000002</v>
      </c>
      <c r="E102" s="14"/>
      <c r="F102" s="20">
        <f>IF(D$12=0,0,D102/D$12)</f>
        <v>0</v>
      </c>
      <c r="G102" s="14"/>
      <c r="H102" s="22">
        <f>+H16-H18+H98</f>
        <v>-86051.161493569234</v>
      </c>
      <c r="I102" s="14"/>
      <c r="J102" s="20">
        <f>IF(H$12=0,0,H102/H$12)</f>
        <v>0</v>
      </c>
      <c r="K102" s="15"/>
      <c r="L102" s="22">
        <f>+D102-H102</f>
        <v>59424.971493569232</v>
      </c>
      <c r="M102" s="15"/>
      <c r="N102" s="20">
        <f>IF(H102=0,0,L102/H102)</f>
        <v>-0.69057721548604745</v>
      </c>
      <c r="O102" s="28"/>
      <c r="P102" s="22">
        <f>+P16-P18+P98</f>
        <v>-886269.06</v>
      </c>
      <c r="Q102" s="14"/>
      <c r="R102" s="20">
        <f>IF(P$12=0,0,P102/P$12)</f>
        <v>0</v>
      </c>
      <c r="S102" s="14"/>
      <c r="T102" s="22">
        <f>+T16-T18+T98</f>
        <v>-1152725.979957998</v>
      </c>
      <c r="U102" s="14"/>
      <c r="V102" s="20">
        <f>IF(T$12=0,0,T102/T$12)</f>
        <v>0</v>
      </c>
      <c r="W102" s="15"/>
      <c r="X102" s="22">
        <f>+P102-T102</f>
        <v>266456.91995799798</v>
      </c>
      <c r="Y102" s="15"/>
      <c r="Z102" s="20">
        <f>IF(T102=0,0,X102/T102)</f>
        <v>-0.23115373869486908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/>
      <c r="E104" s="4"/>
      <c r="F104" s="13">
        <f>IF(D$12=0,0,D104/D$12)</f>
        <v>0</v>
      </c>
      <c r="G104" s="4"/>
      <c r="H104" s="4"/>
      <c r="I104" s="4"/>
      <c r="J104" s="13">
        <f>IF(H$12=0,0,H104/H$12)</f>
        <v>0</v>
      </c>
      <c r="K104" s="4"/>
      <c r="L104" s="4">
        <f>+D104-H104</f>
        <v>0</v>
      </c>
      <c r="M104" s="4"/>
      <c r="N104" s="13">
        <f>IF(H104=0,0,L104/H104)</f>
        <v>0</v>
      </c>
      <c r="O104" s="10"/>
      <c r="P104" s="4"/>
      <c r="Q104" s="4"/>
      <c r="R104" s="13">
        <f>IF(P$12=0,0,P104/P$12)</f>
        <v>0</v>
      </c>
      <c r="S104" s="4"/>
      <c r="T104" s="4"/>
      <c r="U104" s="4"/>
      <c r="V104" s="13">
        <f>IF(T$12=0,0,T104/T$12)</f>
        <v>0</v>
      </c>
      <c r="W104" s="4"/>
      <c r="X104" s="4">
        <f>+P104-T104</f>
        <v>0</v>
      </c>
      <c r="Y104" s="4"/>
      <c r="Z104" s="13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1">
        <f>+D102-D104</f>
        <v>-26626.190000000002</v>
      </c>
      <c r="E106" s="14"/>
      <c r="F106" s="33">
        <f>IF(D$12=0,0,D106/D$12)</f>
        <v>0</v>
      </c>
      <c r="G106" s="14"/>
      <c r="H106" s="31">
        <f>+H102-H104</f>
        <v>-86051.161493569234</v>
      </c>
      <c r="I106" s="14"/>
      <c r="J106" s="33">
        <f>IF(H$12=0,0,H106/H$12)</f>
        <v>0</v>
      </c>
      <c r="K106" s="15"/>
      <c r="L106" s="31">
        <f>D106-H106</f>
        <v>59424.971493569232</v>
      </c>
      <c r="M106" s="15"/>
      <c r="N106" s="33">
        <f>IF(H106=0,0,L106/H106)</f>
        <v>-0.69057721548604745</v>
      </c>
      <c r="O106" s="28"/>
      <c r="P106" s="31">
        <f>+P102-P104</f>
        <v>-886269.06</v>
      </c>
      <c r="Q106" s="14"/>
      <c r="R106" s="33">
        <f>IF(P$12=0,0,P106/P$12)</f>
        <v>0</v>
      </c>
      <c r="S106" s="14"/>
      <c r="T106" s="31">
        <f>+T102-T104</f>
        <v>-1152725.979957998</v>
      </c>
      <c r="U106" s="14"/>
      <c r="V106" s="33">
        <f>IF(T$12=0,0,T106/T$12)</f>
        <v>0</v>
      </c>
      <c r="W106" s="15"/>
      <c r="X106" s="31">
        <f>P106-T106</f>
        <v>266456.91995799798</v>
      </c>
      <c r="Y106" s="15"/>
      <c r="Z106" s="33">
        <f>IF(T106=0,0,X106/T106)</f>
        <v>-0.23115373869486908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4">
        <f>SUM(D106:D108)</f>
        <v>-26626.190000000002</v>
      </c>
      <c r="E109" s="14"/>
      <c r="F109" s="35">
        <f>IF(D$12=0,0,D109/D$12)</f>
        <v>0</v>
      </c>
      <c r="G109" s="14"/>
      <c r="H109" s="34">
        <f>SUM(H106:H108)</f>
        <v>-86051.161493569234</v>
      </c>
      <c r="I109" s="14"/>
      <c r="J109" s="35">
        <f>IF(H$12=0,0,H109/H$12)</f>
        <v>0</v>
      </c>
      <c r="K109" s="15"/>
      <c r="L109" s="34">
        <f>+D109-H109</f>
        <v>59424.971493569232</v>
      </c>
      <c r="M109" s="15"/>
      <c r="N109" s="35">
        <f>IF(H109=0,0,L109/H109)</f>
        <v>-0.69057721548604745</v>
      </c>
      <c r="O109" s="28"/>
      <c r="P109" s="34">
        <f>SUM(P106:P108)</f>
        <v>-886269.06</v>
      </c>
      <c r="Q109" s="14"/>
      <c r="R109" s="35">
        <f>IF(P$12=0,0,P109/P$12)</f>
        <v>0</v>
      </c>
      <c r="S109" s="14"/>
      <c r="T109" s="34">
        <f>SUM(T106:T108)</f>
        <v>-1152725.979957998</v>
      </c>
      <c r="U109" s="14"/>
      <c r="V109" s="35">
        <f>IF(T$12=0,0,T109/T$12)</f>
        <v>0</v>
      </c>
      <c r="W109" s="15"/>
      <c r="X109" s="34">
        <f>+P109-T109</f>
        <v>266456.91995799798</v>
      </c>
      <c r="Y109" s="15"/>
      <c r="Z109" s="35">
        <f>IF(T109=0,0,X109/T109)</f>
        <v>-0.23115373869486908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5">
        <v>44043.473732094906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62" t="s">
        <v>314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63"/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299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","412", " - ", "Chartroom")</f>
        <v>Department 412 - Chartroom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104000</v>
      </c>
      <c r="I12" s="4"/>
      <c r="J12" s="13"/>
      <c r="K12" s="4"/>
      <c r="L12" s="4">
        <f t="shared" ref="L12:L16" si="0">+D12-H12</f>
        <v>-104000</v>
      </c>
      <c r="M12" s="4"/>
      <c r="N12" s="13">
        <f t="shared" ref="N12:N16" si="1">IF(H12=0,0,L12/H12)</f>
        <v>-1</v>
      </c>
      <c r="O12" s="10"/>
      <c r="P12" s="4">
        <f>SUM(OSRRefP13x_0)</f>
        <v>379973.86</v>
      </c>
      <c r="Q12" s="4"/>
      <c r="R12" s="13"/>
      <c r="S12" s="4"/>
      <c r="T12" s="4">
        <f>SUM(OSRRefT13x_0)</f>
        <v>1245000</v>
      </c>
      <c r="U12" s="4"/>
      <c r="V12" s="13"/>
      <c r="W12" s="4"/>
      <c r="X12" s="4">
        <f t="shared" ref="X12:X16" si="2">+P12-T12</f>
        <v>-865026.14</v>
      </c>
      <c r="Y12" s="4"/>
      <c r="Z12" s="13">
        <f t="shared" ref="Z12:Z16" si="3">IF(T12=0,0,X12/T12)</f>
        <v>-0.69480011244979922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101000</v>
      </c>
      <c r="I13" s="2"/>
      <c r="J13" s="19"/>
      <c r="K13" s="2"/>
      <c r="L13" s="2">
        <f t="shared" si="0"/>
        <v>-101000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1191000</v>
      </c>
      <c r="U13" s="2"/>
      <c r="V13" s="19"/>
      <c r="W13" s="2"/>
      <c r="X13" s="2">
        <f t="shared" si="2"/>
        <v>-1191000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--329896.47</f>
        <v>329896.46999999997</v>
      </c>
      <c r="Q14" s="2"/>
      <c r="R14" s="19"/>
      <c r="S14" s="2"/>
      <c r="T14" s="2"/>
      <c r="U14" s="2"/>
      <c r="V14" s="19"/>
      <c r="W14" s="2"/>
      <c r="X14" s="2">
        <f t="shared" si="2"/>
        <v>329896.46999999997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3000</v>
      </c>
      <c r="I15" s="2"/>
      <c r="J15" s="19"/>
      <c r="K15" s="2"/>
      <c r="L15" s="2">
        <f t="shared" si="0"/>
        <v>-3000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54000</v>
      </c>
      <c r="U15" s="2"/>
      <c r="V15" s="19"/>
      <c r="W15" s="2"/>
      <c r="X15" s="2">
        <f t="shared" si="2"/>
        <v>-54000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"4152", " - ", "NON-TAXABLE SALES-FOOD")</f>
        <v xml:space="preserve">          4152 -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--50077.39</f>
        <v>50077.39</v>
      </c>
      <c r="Q16" s="2"/>
      <c r="R16" s="19"/>
      <c r="S16" s="2"/>
      <c r="T16" s="2"/>
      <c r="U16" s="2"/>
      <c r="V16" s="19"/>
      <c r="W16" s="2"/>
      <c r="X16" s="2">
        <f t="shared" si="2"/>
        <v>50077.39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1754</v>
      </c>
      <c r="E18" s="4"/>
      <c r="F18" s="13">
        <f t="shared" ref="F18:F21" si="5">IF(D$12=0,0,D18/D$12)</f>
        <v>0</v>
      </c>
      <c r="G18" s="4"/>
      <c r="H18" s="4">
        <f>SUM(OSRRefH16x_0)</f>
        <v>32240</v>
      </c>
      <c r="I18" s="4"/>
      <c r="J18" s="13">
        <f t="shared" ref="J18:J21" si="6">IF(H$12=0,0,H18/H$12)</f>
        <v>0.31</v>
      </c>
      <c r="K18" s="4"/>
      <c r="L18" s="4">
        <f t="shared" ref="L18:L21" si="7">+D18-H18</f>
        <v>-30486</v>
      </c>
      <c r="M18" s="4"/>
      <c r="N18" s="13">
        <f t="shared" ref="N18:N21" si="8">IF(H18=0,0,L18/H18)</f>
        <v>-0.94559553349875936</v>
      </c>
      <c r="O18" s="10"/>
      <c r="P18" s="4">
        <f>SUM(OSRRefP16x_0)</f>
        <v>204085.49</v>
      </c>
      <c r="Q18" s="4"/>
      <c r="R18" s="13">
        <f t="shared" ref="R18:R21" si="9">IF(P$12=0,0,P18/P$12)</f>
        <v>0.53710402605063412</v>
      </c>
      <c r="S18" s="4"/>
      <c r="T18" s="4">
        <f>SUM(OSRRefT16x_0)</f>
        <v>386800</v>
      </c>
      <c r="U18" s="4"/>
      <c r="V18" s="13">
        <f t="shared" ref="V18:V21" si="10">IF(T$12=0,0,T18/T$12)</f>
        <v>0.31068273092369481</v>
      </c>
      <c r="W18" s="4"/>
      <c r="X18" s="4">
        <f t="shared" ref="X18:X21" si="11">+P18-T18</f>
        <v>-182714.51</v>
      </c>
      <c r="Y18" s="4"/>
      <c r="Z18" s="13">
        <f t="shared" ref="Z18:Z21" si="12">IF(T18=0,0,X18/T18)</f>
        <v>-0.47237463805584284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32240</v>
      </c>
      <c r="I19" s="2"/>
      <c r="J19" s="19">
        <f t="shared" si="6"/>
        <v>0.31</v>
      </c>
      <c r="K19" s="2"/>
      <c r="L19" s="2">
        <f t="shared" si="7"/>
        <v>-32240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386800</v>
      </c>
      <c r="U19" s="2"/>
      <c r="V19" s="19">
        <f t="shared" si="10"/>
        <v>0.31068273092369481</v>
      </c>
      <c r="W19" s="2"/>
      <c r="X19" s="2">
        <f t="shared" si="11"/>
        <v>-386800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1754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1754</v>
      </c>
      <c r="M20" s="2"/>
      <c r="N20" s="19">
        <f t="shared" si="8"/>
        <v>0</v>
      </c>
      <c r="O20" s="11"/>
      <c r="P20" s="2">
        <v>218035.49</v>
      </c>
      <c r="Q20" s="2"/>
      <c r="R20" s="19">
        <f t="shared" si="9"/>
        <v>0.57381707783793334</v>
      </c>
      <c r="S20" s="2"/>
      <c r="T20" s="2"/>
      <c r="U20" s="2"/>
      <c r="V20" s="19">
        <f t="shared" si="10"/>
        <v>0</v>
      </c>
      <c r="W20" s="2"/>
      <c r="X20" s="2">
        <f t="shared" si="11"/>
        <v>218035.49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-13950</v>
      </c>
      <c r="Q21" s="2"/>
      <c r="R21" s="19">
        <f t="shared" si="9"/>
        <v>-3.6713051787299264E-2</v>
      </c>
      <c r="S21" s="2"/>
      <c r="T21" s="2"/>
      <c r="U21" s="2"/>
      <c r="V21" s="19">
        <f t="shared" si="10"/>
        <v>0</v>
      </c>
      <c r="W21" s="2"/>
      <c r="X21" s="2">
        <f t="shared" si="11"/>
        <v>-13950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-1754</v>
      </c>
      <c r="E23" s="14"/>
      <c r="F23" s="20">
        <f>IF(D$12=0,0,D23/D$12)</f>
        <v>0</v>
      </c>
      <c r="G23" s="14"/>
      <c r="H23" s="22">
        <f>H12-H18</f>
        <v>71760</v>
      </c>
      <c r="I23" s="14"/>
      <c r="J23" s="20">
        <f>IF(H$12=0,0,H23/H$12)</f>
        <v>0.69</v>
      </c>
      <c r="K23" s="15"/>
      <c r="L23" s="22">
        <f>+D23-H23</f>
        <v>-73514</v>
      </c>
      <c r="M23" s="15"/>
      <c r="N23" s="20">
        <f>IF(H23=0,0,L23/H23)</f>
        <v>-1.0244425863991082</v>
      </c>
      <c r="O23" s="28"/>
      <c r="P23" s="22">
        <f>P12-P18</f>
        <v>175888.37</v>
      </c>
      <c r="Q23" s="14"/>
      <c r="R23" s="20">
        <f>IF(P$12=0,0,P23/P$12)</f>
        <v>0.46289597394936588</v>
      </c>
      <c r="S23" s="14"/>
      <c r="T23" s="22">
        <f>T12-T18</f>
        <v>858200</v>
      </c>
      <c r="U23" s="14"/>
      <c r="V23" s="20">
        <f>IF(T$12=0,0,T23/T$12)</f>
        <v>0.68931726907630519</v>
      </c>
      <c r="W23" s="15"/>
      <c r="X23" s="22">
        <f>+P23-T23</f>
        <v>-682311.63</v>
      </c>
      <c r="Y23" s="15"/>
      <c r="Z23" s="20">
        <f>IF(T23=0,0,X23/T23)</f>
        <v>-0.79504967373572599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1269.48</v>
      </c>
      <c r="E25" s="21"/>
      <c r="F25" s="32">
        <f t="shared" ref="F25:F35" si="13">IF(D$12=0,0,D25/D$12)</f>
        <v>0</v>
      </c>
      <c r="G25" s="21"/>
      <c r="H25" s="21">
        <f>SUM(OSRRefH22x_0)</f>
        <v>66376.846653153887</v>
      </c>
      <c r="I25" s="21"/>
      <c r="J25" s="32">
        <f t="shared" ref="J25:J35" si="14">IF(H$12=0,0,H25/H$12)</f>
        <v>0.63823891012647971</v>
      </c>
      <c r="K25" s="4"/>
      <c r="L25" s="21">
        <f t="shared" ref="L25:L35" si="15">+D25-H25</f>
        <v>-65107.366653153884</v>
      </c>
      <c r="M25" s="4"/>
      <c r="N25" s="32">
        <f t="shared" ref="N25:N35" si="16">IF(H25=0,0,L25/H25)</f>
        <v>-0.98087465638984694</v>
      </c>
      <c r="O25" s="10"/>
      <c r="P25" s="21">
        <f>SUM(OSRRefP22x_0)</f>
        <v>341470.01999999996</v>
      </c>
      <c r="Q25" s="21"/>
      <c r="R25" s="32">
        <f t="shared" ref="R25:R35" si="17">IF(P$12=0,0,P25/P$12)</f>
        <v>0.89866713462868197</v>
      </c>
      <c r="S25" s="21"/>
      <c r="T25" s="21">
        <f>SUM(OSRRefT22x_0)</f>
        <v>803916.35174981167</v>
      </c>
      <c r="U25" s="21"/>
      <c r="V25" s="32">
        <f t="shared" ref="V25:V35" si="18">IF(T$12=0,0,T25/T$12)</f>
        <v>0.64571594518057163</v>
      </c>
      <c r="W25" s="4"/>
      <c r="X25" s="21">
        <f t="shared" ref="X25:X35" si="19">+P25-T25</f>
        <v>-462446.33174981171</v>
      </c>
      <c r="Y25" s="4"/>
      <c r="Z25" s="32">
        <f t="shared" ref="Z25:Z35" si="20">IF(T25=0,0,X25/T25)</f>
        <v>-0.57524185289084717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-552.04999999999995</v>
      </c>
      <c r="E26" s="1"/>
      <c r="F26" s="5">
        <f t="shared" si="13"/>
        <v>0</v>
      </c>
      <c r="G26" s="1"/>
      <c r="H26" s="1">
        <f>SUM(OSRRefH22_0x_0)</f>
        <v>14860.644576230779</v>
      </c>
      <c r="I26" s="1"/>
      <c r="J26" s="5">
        <f t="shared" si="14"/>
        <v>0.14289081323298827</v>
      </c>
      <c r="K26" s="1"/>
      <c r="L26" s="1">
        <f t="shared" si="15"/>
        <v>-15412.694576230779</v>
      </c>
      <c r="M26" s="1"/>
      <c r="N26" s="5">
        <f t="shared" si="16"/>
        <v>-1.0371484559211508</v>
      </c>
      <c r="O26" s="12"/>
      <c r="P26" s="1">
        <f>SUM(OSRRefP22_0x_0)</f>
        <v>76946.960000000021</v>
      </c>
      <c r="Q26" s="1"/>
      <c r="R26" s="5">
        <f t="shared" si="17"/>
        <v>0.20250593027636171</v>
      </c>
      <c r="S26" s="1"/>
      <c r="T26" s="1">
        <f>SUM(OSRRefT22_0x_0)</f>
        <v>180454.5034998116</v>
      </c>
      <c r="U26" s="1"/>
      <c r="V26" s="5">
        <f t="shared" si="18"/>
        <v>0.14494337630506957</v>
      </c>
      <c r="W26" s="1"/>
      <c r="X26" s="1">
        <f t="shared" si="19"/>
        <v>-103507.54349981158</v>
      </c>
      <c r="Y26" s="1"/>
      <c r="Z26" s="5">
        <f t="shared" si="20"/>
        <v>-0.57359357340682626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3"/>
        <v>0</v>
      </c>
      <c r="G27" s="2"/>
      <c r="H27" s="6">
        <v>3595.6072239230798</v>
      </c>
      <c r="I27" s="2"/>
      <c r="J27" s="7">
        <f t="shared" si="14"/>
        <v>3.457314638387577E-2</v>
      </c>
      <c r="K27" s="2"/>
      <c r="L27" s="6">
        <f t="shared" si="15"/>
        <v>-3595.6072239230798</v>
      </c>
      <c r="M27" s="2"/>
      <c r="N27" s="7">
        <f t="shared" si="16"/>
        <v>-1</v>
      </c>
      <c r="O27" s="11"/>
      <c r="P27" s="6">
        <v>14871.7</v>
      </c>
      <c r="Q27" s="2"/>
      <c r="R27" s="7">
        <f t="shared" si="17"/>
        <v>3.9138744965245768E-2</v>
      </c>
      <c r="S27" s="2"/>
      <c r="T27" s="6">
        <v>41087.403058350035</v>
      </c>
      <c r="U27" s="2"/>
      <c r="V27" s="7">
        <f t="shared" si="18"/>
        <v>3.3001930167349425E-2</v>
      </c>
      <c r="W27" s="2"/>
      <c r="X27" s="6">
        <f t="shared" si="19"/>
        <v>-26215.703058350035</v>
      </c>
      <c r="Y27" s="2"/>
      <c r="Z27" s="7">
        <f t="shared" si="20"/>
        <v>-0.63804721415758392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1822.93950461538</v>
      </c>
      <c r="I28" s="2"/>
      <c r="J28" s="7">
        <f t="shared" si="14"/>
        <v>1.7528264467455576E-2</v>
      </c>
      <c r="K28" s="2"/>
      <c r="L28" s="6">
        <f t="shared" si="15"/>
        <v>-1822.93950461538</v>
      </c>
      <c r="M28" s="2"/>
      <c r="N28" s="7">
        <f t="shared" si="16"/>
        <v>-1</v>
      </c>
      <c r="O28" s="11"/>
      <c r="P28" s="6">
        <v>5449.61</v>
      </c>
      <c r="Q28" s="2"/>
      <c r="R28" s="7">
        <f t="shared" si="17"/>
        <v>1.4342065530507809E-2</v>
      </c>
      <c r="S28" s="2"/>
      <c r="T28" s="6">
        <v>22007.161925999957</v>
      </c>
      <c r="U28" s="2"/>
      <c r="V28" s="7">
        <f t="shared" si="18"/>
        <v>1.7676435281927676E-2</v>
      </c>
      <c r="W28" s="2"/>
      <c r="X28" s="6">
        <f t="shared" si="19"/>
        <v>-16557.551925999956</v>
      </c>
      <c r="Y28" s="2"/>
      <c r="Z28" s="7">
        <f t="shared" si="20"/>
        <v>-0.75237106818568644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3"/>
        <v>0</v>
      </c>
      <c r="G29" s="2"/>
      <c r="H29" s="6">
        <v>5639.1538461538503</v>
      </c>
      <c r="I29" s="2"/>
      <c r="J29" s="7">
        <f t="shared" si="14"/>
        <v>5.4222633136094711E-2</v>
      </c>
      <c r="K29" s="2"/>
      <c r="L29" s="6">
        <f t="shared" si="15"/>
        <v>-5639.1538461538503</v>
      </c>
      <c r="M29" s="2"/>
      <c r="N29" s="7">
        <f t="shared" si="16"/>
        <v>-1</v>
      </c>
      <c r="O29" s="11"/>
      <c r="P29" s="6">
        <v>36209.82</v>
      </c>
      <c r="Q29" s="2"/>
      <c r="R29" s="7">
        <f t="shared" si="17"/>
        <v>9.5295555331095669E-2</v>
      </c>
      <c r="S29" s="2"/>
      <c r="T29" s="6">
        <v>69380.711538461561</v>
      </c>
      <c r="U29" s="2"/>
      <c r="V29" s="7">
        <f t="shared" si="18"/>
        <v>5.5727479147358684E-2</v>
      </c>
      <c r="W29" s="2"/>
      <c r="X29" s="6">
        <f t="shared" si="19"/>
        <v>-33170.891538461561</v>
      </c>
      <c r="Y29" s="2"/>
      <c r="Z29" s="7">
        <f t="shared" si="20"/>
        <v>-0.47809961591519717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-552.04999999999995</v>
      </c>
      <c r="E30" s="2"/>
      <c r="F30" s="7">
        <f t="shared" si="13"/>
        <v>0</v>
      </c>
      <c r="G30" s="2"/>
      <c r="H30" s="6">
        <v>122.15573999999999</v>
      </c>
      <c r="I30" s="2"/>
      <c r="J30" s="7">
        <f t="shared" si="14"/>
        <v>1.1745744230769229E-3</v>
      </c>
      <c r="K30" s="2"/>
      <c r="L30" s="6">
        <f t="shared" si="15"/>
        <v>-674.20573999999999</v>
      </c>
      <c r="M30" s="2"/>
      <c r="N30" s="7">
        <f t="shared" si="16"/>
        <v>-5.5192309424018884</v>
      </c>
      <c r="O30" s="11"/>
      <c r="P30" s="6">
        <v>0</v>
      </c>
      <c r="Q30" s="2"/>
      <c r="R30" s="7">
        <f t="shared" si="17"/>
        <v>0</v>
      </c>
      <c r="S30" s="2"/>
      <c r="T30" s="6">
        <v>1474.706727</v>
      </c>
      <c r="U30" s="2"/>
      <c r="V30" s="7">
        <f t="shared" si="18"/>
        <v>1.1845033951807229E-3</v>
      </c>
      <c r="W30" s="2"/>
      <c r="X30" s="6">
        <f t="shared" si="19"/>
        <v>-1474.706727</v>
      </c>
      <c r="Y30" s="2"/>
      <c r="Z30" s="7">
        <f t="shared" si="20"/>
        <v>-1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1244.75341538462</v>
      </c>
      <c r="I31" s="2"/>
      <c r="J31" s="7">
        <f t="shared" si="14"/>
        <v>1.196878284023673E-2</v>
      </c>
      <c r="K31" s="2"/>
      <c r="L31" s="6">
        <f t="shared" si="15"/>
        <v>-1244.75341538462</v>
      </c>
      <c r="M31" s="2"/>
      <c r="N31" s="7">
        <f t="shared" si="16"/>
        <v>-1</v>
      </c>
      <c r="O31" s="11"/>
      <c r="P31" s="6">
        <v>6215.55</v>
      </c>
      <c r="Q31" s="2"/>
      <c r="R31" s="7">
        <f t="shared" si="17"/>
        <v>1.6357835773229242E-2</v>
      </c>
      <c r="S31" s="2"/>
      <c r="T31" s="6">
        <v>16181.794400000039</v>
      </c>
      <c r="U31" s="2"/>
      <c r="V31" s="7">
        <f t="shared" si="18"/>
        <v>1.2997425220883565E-2</v>
      </c>
      <c r="W31" s="2"/>
      <c r="X31" s="6">
        <f t="shared" si="19"/>
        <v>-9966.2444000000396</v>
      </c>
      <c r="Y31" s="2"/>
      <c r="Z31" s="7">
        <f t="shared" si="20"/>
        <v>-0.61589241301941244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1026.54553846154</v>
      </c>
      <c r="I33" s="2"/>
      <c r="J33" s="7">
        <f t="shared" si="14"/>
        <v>9.8706301775148084E-3</v>
      </c>
      <c r="K33" s="2"/>
      <c r="L33" s="6">
        <f t="shared" si="15"/>
        <v>-1026.54553846154</v>
      </c>
      <c r="M33" s="2"/>
      <c r="N33" s="7">
        <f t="shared" si="16"/>
        <v>-1</v>
      </c>
      <c r="O33" s="11"/>
      <c r="P33" s="6">
        <v>7805.68</v>
      </c>
      <c r="Q33" s="2"/>
      <c r="R33" s="7">
        <f t="shared" si="17"/>
        <v>2.0542676277783951E-2</v>
      </c>
      <c r="S33" s="2"/>
      <c r="T33" s="6">
        <v>13306.878999999997</v>
      </c>
      <c r="U33" s="2"/>
      <c r="V33" s="7">
        <f t="shared" si="18"/>
        <v>1.0688256224899596E-2</v>
      </c>
      <c r="W33" s="2"/>
      <c r="X33" s="6">
        <f t="shared" si="19"/>
        <v>-5501.1989999999969</v>
      </c>
      <c r="Y33" s="2"/>
      <c r="Z33" s="7">
        <f t="shared" si="20"/>
        <v>-0.41341016176670714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1409.4893076923101</v>
      </c>
      <c r="I34" s="2"/>
      <c r="J34" s="7">
        <f t="shared" si="14"/>
        <v>1.3552781804733752E-2</v>
      </c>
      <c r="K34" s="2"/>
      <c r="L34" s="6">
        <f t="shared" si="15"/>
        <v>-1409.4893076923101</v>
      </c>
      <c r="M34" s="2"/>
      <c r="N34" s="7">
        <f t="shared" si="16"/>
        <v>-1</v>
      </c>
      <c r="O34" s="11"/>
      <c r="P34" s="6">
        <v>2660.64</v>
      </c>
      <c r="Q34" s="2"/>
      <c r="R34" s="7">
        <f t="shared" si="17"/>
        <v>7.0021658858322516E-3</v>
      </c>
      <c r="S34" s="2"/>
      <c r="T34" s="6">
        <v>17015.846849999998</v>
      </c>
      <c r="U34" s="2"/>
      <c r="V34" s="7">
        <f t="shared" si="18"/>
        <v>1.3667346867469878E-2</v>
      </c>
      <c r="W34" s="2"/>
      <c r="X34" s="6">
        <f t="shared" si="19"/>
        <v>-14355.206849999999</v>
      </c>
      <c r="Y34" s="2"/>
      <c r="Z34" s="7">
        <f t="shared" si="20"/>
        <v>-0.84363752075025289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/>
      <c r="E35" s="2"/>
      <c r="F35" s="7">
        <f t="shared" si="13"/>
        <v>0</v>
      </c>
      <c r="G35" s="2"/>
      <c r="H35" s="6"/>
      <c r="I35" s="2"/>
      <c r="J35" s="7">
        <f t="shared" si="14"/>
        <v>0</v>
      </c>
      <c r="K35" s="2"/>
      <c r="L35" s="6">
        <f t="shared" si="15"/>
        <v>0</v>
      </c>
      <c r="M35" s="2"/>
      <c r="N35" s="7">
        <f t="shared" si="16"/>
        <v>0</v>
      </c>
      <c r="O35" s="11"/>
      <c r="P35" s="6">
        <v>3733.96</v>
      </c>
      <c r="Q35" s="2"/>
      <c r="R35" s="7">
        <f t="shared" si="17"/>
        <v>9.8268865126669505E-3</v>
      </c>
      <c r="S35" s="2"/>
      <c r="T35" s="6"/>
      <c r="U35" s="2"/>
      <c r="V35" s="7">
        <f t="shared" si="18"/>
        <v>0</v>
      </c>
      <c r="W35" s="2"/>
      <c r="X35" s="6">
        <f t="shared" si="19"/>
        <v>3733.96</v>
      </c>
      <c r="Y35" s="2"/>
      <c r="Z35" s="7">
        <f t="shared" si="20"/>
        <v>0</v>
      </c>
    </row>
    <row r="36" spans="1:26" s="26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6" si="21">IF(D$12=0,0,D36/D$12)</f>
        <v>0</v>
      </c>
      <c r="G36" s="1"/>
      <c r="H36" s="1">
        <f>SUM(OSRRefH22_1x_0)</f>
        <v>42031.202076923102</v>
      </c>
      <c r="I36" s="1"/>
      <c r="J36" s="5">
        <f t="shared" ref="J36:J46" si="22">IF(H$12=0,0,H36/H$12)</f>
        <v>0.40414617381656831</v>
      </c>
      <c r="K36" s="1"/>
      <c r="L36" s="1">
        <f t="shared" ref="L36:L46" si="23">+D36-H36</f>
        <v>-42031.202076923102</v>
      </c>
      <c r="M36" s="1"/>
      <c r="N36" s="5">
        <f t="shared" ref="N36:N46" si="24">IF(H36=0,0,L36/H36)</f>
        <v>-1</v>
      </c>
      <c r="O36" s="12"/>
      <c r="P36" s="1">
        <f>SUM(OSRRefP22_1x_0)</f>
        <v>208564.34</v>
      </c>
      <c r="Q36" s="1"/>
      <c r="R36" s="5">
        <f t="shared" ref="R36:R46" si="25">IF(P$12=0,0,P36/P$12)</f>
        <v>0.54889128425834344</v>
      </c>
      <c r="S36" s="1"/>
      <c r="T36" s="1">
        <f>SUM(OSRRefT22_1x_0)</f>
        <v>509307.98825000005</v>
      </c>
      <c r="U36" s="1"/>
      <c r="V36" s="5">
        <f t="shared" ref="V36:V46" si="26">IF(T$12=0,0,T36/T$12)</f>
        <v>0.40908272148594382</v>
      </c>
      <c r="W36" s="1"/>
      <c r="X36" s="1">
        <f t="shared" ref="X36:X46" si="27">+P36-T36</f>
        <v>-300743.64825000009</v>
      </c>
      <c r="Y36" s="1"/>
      <c r="Z36" s="5">
        <f t="shared" ref="Z36:Z46" si="28">IF(T36=0,0,X36/T36)</f>
        <v>-0.59049466175342291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1"/>
        <v>0</v>
      </c>
      <c r="G38" s="2"/>
      <c r="H38" s="6">
        <v>13165.9670769231</v>
      </c>
      <c r="I38" s="2"/>
      <c r="J38" s="7">
        <f t="shared" si="22"/>
        <v>0.12659583727810672</v>
      </c>
      <c r="K38" s="2"/>
      <c r="L38" s="6">
        <f t="shared" si="23"/>
        <v>-13165.9670769231</v>
      </c>
      <c r="M38" s="2"/>
      <c r="N38" s="7">
        <f t="shared" si="24"/>
        <v>-1</v>
      </c>
      <c r="O38" s="11"/>
      <c r="P38" s="6">
        <v>60376.42</v>
      </c>
      <c r="Q38" s="2"/>
      <c r="R38" s="7">
        <f t="shared" si="25"/>
        <v>0.15889624617861872</v>
      </c>
      <c r="S38" s="2"/>
      <c r="T38" s="6">
        <v>171157.57200000001</v>
      </c>
      <c r="U38" s="2"/>
      <c r="V38" s="7">
        <f t="shared" si="26"/>
        <v>0.13747596144578314</v>
      </c>
      <c r="W38" s="2"/>
      <c r="X38" s="6">
        <f t="shared" si="27"/>
        <v>-110781.15200000002</v>
      </c>
      <c r="Y38" s="2"/>
      <c r="Z38" s="7">
        <f t="shared" si="28"/>
        <v>-0.64724657346740122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1"/>
        <v>0</v>
      </c>
      <c r="G40" s="2"/>
      <c r="H40" s="6">
        <v>28865.235000000001</v>
      </c>
      <c r="I40" s="2"/>
      <c r="J40" s="7">
        <f t="shared" si="22"/>
        <v>0.27755033653846156</v>
      </c>
      <c r="K40" s="2"/>
      <c r="L40" s="6">
        <f t="shared" si="23"/>
        <v>-28865.235000000001</v>
      </c>
      <c r="M40" s="2"/>
      <c r="N40" s="7">
        <f t="shared" si="24"/>
        <v>-1</v>
      </c>
      <c r="O40" s="11"/>
      <c r="P40" s="6">
        <v>54540.13</v>
      </c>
      <c r="Q40" s="2"/>
      <c r="R40" s="7">
        <f t="shared" si="25"/>
        <v>0.14353653169720676</v>
      </c>
      <c r="S40" s="2"/>
      <c r="T40" s="6">
        <v>338150.41625000001</v>
      </c>
      <c r="U40" s="2"/>
      <c r="V40" s="7">
        <f t="shared" si="26"/>
        <v>0.27160676004016066</v>
      </c>
      <c r="W40" s="2"/>
      <c r="X40" s="6">
        <f t="shared" si="27"/>
        <v>-283610.28625</v>
      </c>
      <c r="Y40" s="2"/>
      <c r="Z40" s="7">
        <f t="shared" si="28"/>
        <v>-0.8387104454732428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47656.53</v>
      </c>
      <c r="Q41" s="2"/>
      <c r="R41" s="7">
        <f t="shared" si="25"/>
        <v>0.12542054866616351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47656.53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1299.6300000000001</v>
      </c>
      <c r="Q42" s="2"/>
      <c r="R42" s="7">
        <f t="shared" si="25"/>
        <v>3.4203142289840681E-3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1299.6300000000001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41286.409999999996</v>
      </c>
      <c r="Q43" s="2"/>
      <c r="R43" s="7">
        <f t="shared" si="25"/>
        <v>0.10865592175209104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41286.409999999996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3405.22</v>
      </c>
      <c r="Q44" s="2"/>
      <c r="R44" s="7">
        <f t="shared" si="25"/>
        <v>8.9617217352793693E-3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3405.22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6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56" si="29">IF(D$12=0,0,D47/D$12)</f>
        <v>0</v>
      </c>
      <c r="G47" s="1"/>
      <c r="H47" s="1">
        <f>SUM(OSRRefH22_2x_0)</f>
        <v>500</v>
      </c>
      <c r="I47" s="1"/>
      <c r="J47" s="5">
        <f t="shared" ref="J47:J56" si="30">IF(H$12=0,0,H47/H$12)</f>
        <v>4.807692307692308E-3</v>
      </c>
      <c r="K47" s="1"/>
      <c r="L47" s="1">
        <f t="shared" ref="L47:L56" si="31">+D47-H47</f>
        <v>-500</v>
      </c>
      <c r="M47" s="1"/>
      <c r="N47" s="5">
        <f t="shared" ref="N47:N56" si="32">IF(H47=0,0,L47/H47)</f>
        <v>-1</v>
      </c>
      <c r="O47" s="12"/>
      <c r="P47" s="1">
        <f>SUM(OSRRefP22_2x_0)</f>
        <v>462.48</v>
      </c>
      <c r="Q47" s="1"/>
      <c r="R47" s="5">
        <f t="shared" ref="R47:R56" si="33">IF(P$12=0,0,P47/P$12)</f>
        <v>1.2171363577483988E-3</v>
      </c>
      <c r="S47" s="1"/>
      <c r="T47" s="1">
        <f>SUM(OSRRefT22_2x_0)</f>
        <v>2550</v>
      </c>
      <c r="U47" s="1"/>
      <c r="V47" s="5">
        <f t="shared" ref="V47:V56" si="34">IF(T$12=0,0,T47/T$12)</f>
        <v>2.0481927710843373E-3</v>
      </c>
      <c r="W47" s="1"/>
      <c r="X47" s="1">
        <f t="shared" ref="X47:X56" si="35">+P47-T47</f>
        <v>-2087.52</v>
      </c>
      <c r="Y47" s="1"/>
      <c r="Z47" s="5">
        <f t="shared" ref="Z47:Z56" si="36">IF(T47=0,0,X47/T47)</f>
        <v>-0.81863529411764702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9"/>
        <v>0</v>
      </c>
      <c r="G48" s="2"/>
      <c r="H48" s="6">
        <v>500</v>
      </c>
      <c r="I48" s="2"/>
      <c r="J48" s="7">
        <f t="shared" si="30"/>
        <v>4.807692307692308E-3</v>
      </c>
      <c r="K48" s="2"/>
      <c r="L48" s="6">
        <f t="shared" si="31"/>
        <v>-500</v>
      </c>
      <c r="M48" s="2"/>
      <c r="N48" s="7">
        <f t="shared" si="32"/>
        <v>-1</v>
      </c>
      <c r="O48" s="11"/>
      <c r="P48" s="6">
        <v>462.48</v>
      </c>
      <c r="Q48" s="2"/>
      <c r="R48" s="7">
        <f t="shared" si="33"/>
        <v>1.2171363577483988E-3</v>
      </c>
      <c r="S48" s="2"/>
      <c r="T48" s="6">
        <v>2550</v>
      </c>
      <c r="U48" s="2"/>
      <c r="V48" s="7">
        <f t="shared" si="34"/>
        <v>2.0481927710843373E-3</v>
      </c>
      <c r="W48" s="2"/>
      <c r="X48" s="6">
        <f t="shared" si="35"/>
        <v>-2087.52</v>
      </c>
      <c r="Y48" s="2"/>
      <c r="Z48" s="7">
        <f t="shared" si="36"/>
        <v>-0.81863529411764702</v>
      </c>
    </row>
    <row r="49" spans="1:26" s="26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-1</v>
      </c>
      <c r="I49" s="1"/>
      <c r="J49" s="5">
        <f t="shared" si="30"/>
        <v>-9.6153846153846157E-6</v>
      </c>
      <c r="K49" s="1"/>
      <c r="L49" s="1">
        <f t="shared" si="31"/>
        <v>1</v>
      </c>
      <c r="M49" s="1"/>
      <c r="N49" s="5">
        <f t="shared" si="32"/>
        <v>-1</v>
      </c>
      <c r="O49" s="12"/>
      <c r="P49" s="1">
        <f>SUM(OSRRefP22_3x_0)</f>
        <v>-0.24</v>
      </c>
      <c r="Q49" s="1"/>
      <c r="R49" s="5">
        <f t="shared" si="33"/>
        <v>-6.3162239634063244E-7</v>
      </c>
      <c r="S49" s="1"/>
      <c r="T49" s="1">
        <f>SUM(OSRRefT22_3x_0)</f>
        <v>-12</v>
      </c>
      <c r="U49" s="1"/>
      <c r="V49" s="5">
        <f t="shared" si="34"/>
        <v>-9.6385542168674704E-6</v>
      </c>
      <c r="W49" s="1"/>
      <c r="X49" s="1">
        <f t="shared" si="35"/>
        <v>11.76</v>
      </c>
      <c r="Y49" s="1"/>
      <c r="Z49" s="5">
        <f t="shared" si="36"/>
        <v>-0.98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9"/>
        <v>0</v>
      </c>
      <c r="G50" s="2"/>
      <c r="H50" s="6">
        <v>-1</v>
      </c>
      <c r="I50" s="2"/>
      <c r="J50" s="7">
        <f t="shared" si="30"/>
        <v>-9.6153846153846157E-6</v>
      </c>
      <c r="K50" s="2"/>
      <c r="L50" s="6">
        <f t="shared" si="31"/>
        <v>1</v>
      </c>
      <c r="M50" s="2"/>
      <c r="N50" s="7">
        <f t="shared" si="32"/>
        <v>-1</v>
      </c>
      <c r="O50" s="11"/>
      <c r="P50" s="6">
        <v>-0.24</v>
      </c>
      <c r="Q50" s="2"/>
      <c r="R50" s="7">
        <f t="shared" si="33"/>
        <v>-6.3162239634063244E-7</v>
      </c>
      <c r="S50" s="2"/>
      <c r="T50" s="6">
        <v>-12</v>
      </c>
      <c r="U50" s="2"/>
      <c r="V50" s="7">
        <f t="shared" si="34"/>
        <v>-9.6385542168674704E-6</v>
      </c>
      <c r="W50" s="2"/>
      <c r="X50" s="6">
        <f t="shared" si="35"/>
        <v>11.76</v>
      </c>
      <c r="Y50" s="2"/>
      <c r="Z50" s="7">
        <f t="shared" si="36"/>
        <v>-0.98</v>
      </c>
    </row>
    <row r="51" spans="1:26" s="26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1000</v>
      </c>
      <c r="I51" s="1"/>
      <c r="J51" s="5">
        <f t="shared" si="30"/>
        <v>9.6153846153846159E-3</v>
      </c>
      <c r="K51" s="1"/>
      <c r="L51" s="1">
        <f t="shared" si="31"/>
        <v>-1000</v>
      </c>
      <c r="M51" s="1"/>
      <c r="N51" s="5">
        <f t="shared" si="32"/>
        <v>-1</v>
      </c>
      <c r="O51" s="12"/>
      <c r="P51" s="1">
        <f>SUM(OSRRefP22_4x_0)</f>
        <v>5691.38</v>
      </c>
      <c r="Q51" s="1"/>
      <c r="R51" s="5">
        <f t="shared" si="33"/>
        <v>1.4978346142021455E-2</v>
      </c>
      <c r="S51" s="1"/>
      <c r="T51" s="1">
        <f>SUM(OSRRefT22_4x_0)</f>
        <v>12250</v>
      </c>
      <c r="U51" s="1"/>
      <c r="V51" s="5">
        <f t="shared" si="34"/>
        <v>9.839357429718875E-3</v>
      </c>
      <c r="W51" s="1"/>
      <c r="X51" s="1">
        <f t="shared" si="35"/>
        <v>-6558.62</v>
      </c>
      <c r="Y51" s="1"/>
      <c r="Z51" s="5">
        <f t="shared" si="36"/>
        <v>-0.5353975510204082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/>
      <c r="E52" s="2"/>
      <c r="F52" s="7">
        <f t="shared" si="29"/>
        <v>0</v>
      </c>
      <c r="G52" s="2"/>
      <c r="H52" s="6">
        <v>1000</v>
      </c>
      <c r="I52" s="2"/>
      <c r="J52" s="7">
        <f t="shared" si="30"/>
        <v>9.6153846153846159E-3</v>
      </c>
      <c r="K52" s="2"/>
      <c r="L52" s="6">
        <f t="shared" si="31"/>
        <v>-1000</v>
      </c>
      <c r="M52" s="2"/>
      <c r="N52" s="7">
        <f t="shared" si="32"/>
        <v>-1</v>
      </c>
      <c r="O52" s="11"/>
      <c r="P52" s="6">
        <v>5691.38</v>
      </c>
      <c r="Q52" s="2"/>
      <c r="R52" s="7">
        <f t="shared" si="33"/>
        <v>1.4978346142021455E-2</v>
      </c>
      <c r="S52" s="2"/>
      <c r="T52" s="6">
        <v>12250</v>
      </c>
      <c r="U52" s="2"/>
      <c r="V52" s="7">
        <f t="shared" si="34"/>
        <v>9.839357429718875E-3</v>
      </c>
      <c r="W52" s="2"/>
      <c r="X52" s="6">
        <f t="shared" si="35"/>
        <v>-6558.62</v>
      </c>
      <c r="Y52" s="2"/>
      <c r="Z52" s="7">
        <f t="shared" si="36"/>
        <v>-0.5353975510204082</v>
      </c>
    </row>
    <row r="53" spans="1:26" s="26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689.08</v>
      </c>
      <c r="E53" s="1"/>
      <c r="F53" s="5">
        <f t="shared" si="29"/>
        <v>0</v>
      </c>
      <c r="G53" s="1"/>
      <c r="H53" s="1">
        <f>SUM(OSRRefH22_5x_0)</f>
        <v>1621</v>
      </c>
      <c r="I53" s="1"/>
      <c r="J53" s="5">
        <f t="shared" si="30"/>
        <v>1.5586538461538461E-2</v>
      </c>
      <c r="K53" s="1"/>
      <c r="L53" s="1">
        <f t="shared" si="31"/>
        <v>-931.92</v>
      </c>
      <c r="M53" s="1"/>
      <c r="N53" s="5">
        <f t="shared" si="32"/>
        <v>-0.57490438001233801</v>
      </c>
      <c r="O53" s="12"/>
      <c r="P53" s="1">
        <f>SUM(OSRRefP22_5x_0)</f>
        <v>5378.02</v>
      </c>
      <c r="Q53" s="1"/>
      <c r="R53" s="5">
        <f t="shared" si="33"/>
        <v>1.4153657833199369E-2</v>
      </c>
      <c r="S53" s="1"/>
      <c r="T53" s="1">
        <f>SUM(OSRRefT22_5x_0)</f>
        <v>15816</v>
      </c>
      <c r="U53" s="1"/>
      <c r="V53" s="5">
        <f t="shared" si="34"/>
        <v>1.2703614457831325E-2</v>
      </c>
      <c r="W53" s="1"/>
      <c r="X53" s="1">
        <f t="shared" si="35"/>
        <v>-10437.98</v>
      </c>
      <c r="Y53" s="1"/>
      <c r="Z53" s="5">
        <f t="shared" si="36"/>
        <v>-0.65996332827516435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689.08</v>
      </c>
      <c r="E54" s="2"/>
      <c r="F54" s="7">
        <f t="shared" si="29"/>
        <v>0</v>
      </c>
      <c r="G54" s="2"/>
      <c r="H54" s="6">
        <v>298</v>
      </c>
      <c r="I54" s="2"/>
      <c r="J54" s="7">
        <f t="shared" si="30"/>
        <v>2.8653846153846156E-3</v>
      </c>
      <c r="K54" s="2"/>
      <c r="L54" s="6">
        <f t="shared" si="31"/>
        <v>391.08000000000004</v>
      </c>
      <c r="M54" s="2"/>
      <c r="N54" s="7">
        <f t="shared" si="32"/>
        <v>1.3123489932885908</v>
      </c>
      <c r="O54" s="11"/>
      <c r="P54" s="6">
        <v>5378.02</v>
      </c>
      <c r="Q54" s="2"/>
      <c r="R54" s="7">
        <f t="shared" si="33"/>
        <v>1.4153657833199369E-2</v>
      </c>
      <c r="S54" s="2"/>
      <c r="T54" s="6">
        <v>3576</v>
      </c>
      <c r="U54" s="2"/>
      <c r="V54" s="7">
        <f t="shared" si="34"/>
        <v>2.8722891566265061E-3</v>
      </c>
      <c r="W54" s="2"/>
      <c r="X54" s="6">
        <f t="shared" si="35"/>
        <v>1802.0200000000004</v>
      </c>
      <c r="Y54" s="2"/>
      <c r="Z54" s="7">
        <f t="shared" si="36"/>
        <v>0.50392058165548115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573</v>
      </c>
      <c r="I55" s="2"/>
      <c r="J55" s="7">
        <f t="shared" si="30"/>
        <v>5.5096153846153845E-3</v>
      </c>
      <c r="K55" s="2"/>
      <c r="L55" s="6">
        <f t="shared" si="31"/>
        <v>-573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5490</v>
      </c>
      <c r="U55" s="2"/>
      <c r="V55" s="7">
        <f t="shared" si="34"/>
        <v>4.4096385542168673E-3</v>
      </c>
      <c r="W55" s="2"/>
      <c r="X55" s="6">
        <f t="shared" si="35"/>
        <v>-5490</v>
      </c>
      <c r="Y55" s="2"/>
      <c r="Z55" s="7">
        <f t="shared" si="36"/>
        <v>-1</v>
      </c>
    </row>
    <row r="56" spans="1:26" s="24" customFormat="1" hidden="1" outlineLevel="2" x14ac:dyDescent="0.25">
      <c r="A56" s="27"/>
      <c r="B56" s="11" t="str">
        <f>CONCATENATE("          ", "6326", " - ", "VEHICLES DEPRECIATION EXPENSE")</f>
        <v xml:space="preserve">          6326 - VEHICLES DEPRECIATION EXPENSE</v>
      </c>
      <c r="C56" s="11"/>
      <c r="D56" s="6"/>
      <c r="E56" s="2"/>
      <c r="F56" s="7">
        <f t="shared" si="29"/>
        <v>0</v>
      </c>
      <c r="G56" s="2"/>
      <c r="H56" s="6">
        <v>750</v>
      </c>
      <c r="I56" s="2"/>
      <c r="J56" s="7">
        <f t="shared" si="30"/>
        <v>7.2115384615384619E-3</v>
      </c>
      <c r="K56" s="2"/>
      <c r="L56" s="6">
        <f t="shared" si="31"/>
        <v>-750</v>
      </c>
      <c r="M56" s="2"/>
      <c r="N56" s="7">
        <f t="shared" si="32"/>
        <v>-1</v>
      </c>
      <c r="O56" s="11"/>
      <c r="P56" s="6"/>
      <c r="Q56" s="2"/>
      <c r="R56" s="7">
        <f t="shared" si="33"/>
        <v>0</v>
      </c>
      <c r="S56" s="2"/>
      <c r="T56" s="6">
        <v>6750</v>
      </c>
      <c r="U56" s="2"/>
      <c r="V56" s="7">
        <f t="shared" si="34"/>
        <v>5.4216867469879517E-3</v>
      </c>
      <c r="W56" s="2"/>
      <c r="X56" s="6">
        <f t="shared" si="35"/>
        <v>-6750</v>
      </c>
      <c r="Y56" s="2"/>
      <c r="Z56" s="7">
        <f t="shared" si="36"/>
        <v>-1</v>
      </c>
    </row>
    <row r="57" spans="1:26" s="26" customFormat="1" outlineLevel="1" collapsed="1" x14ac:dyDescent="0.25">
      <c r="A57" s="25"/>
      <c r="B57" s="12" t="str">
        <f>CONCATENATE("     ","Employees' Appreciation                           ")</f>
        <v xml:space="preserve">     Employees' Appreciation                           </v>
      </c>
      <c r="C57" s="12"/>
      <c r="D57" s="1">
        <f>SUM(OSRRefD22_6x_0)</f>
        <v>0</v>
      </c>
      <c r="E57" s="1"/>
      <c r="F57" s="5">
        <f t="shared" ref="F57:F66" si="37">IF(D$12=0,0,D57/D$12)</f>
        <v>0</v>
      </c>
      <c r="G57" s="1"/>
      <c r="H57" s="1">
        <f>SUM(OSRRefH22_6x_0)</f>
        <v>0</v>
      </c>
      <c r="I57" s="1"/>
      <c r="J57" s="5">
        <f t="shared" ref="J57:J66" si="38">IF(H$12=0,0,H57/H$12)</f>
        <v>0</v>
      </c>
      <c r="K57" s="1"/>
      <c r="L57" s="1">
        <f t="shared" ref="L57:L66" si="39">+D57-H57</f>
        <v>0</v>
      </c>
      <c r="M57" s="1"/>
      <c r="N57" s="5">
        <f t="shared" ref="N57:N66" si="40">IF(H57=0,0,L57/H57)</f>
        <v>0</v>
      </c>
      <c r="O57" s="12"/>
      <c r="P57" s="1">
        <f>SUM(OSRRefP22_6x_0)</f>
        <v>60</v>
      </c>
      <c r="Q57" s="1"/>
      <c r="R57" s="5">
        <f t="shared" ref="R57:R66" si="41">IF(P$12=0,0,P57/P$12)</f>
        <v>1.5790559908515812E-4</v>
      </c>
      <c r="S57" s="1"/>
      <c r="T57" s="1">
        <f>SUM(OSRRefT22_6x_0)</f>
        <v>600</v>
      </c>
      <c r="U57" s="1"/>
      <c r="V57" s="5">
        <f t="shared" ref="V57:V66" si="42">IF(T$12=0,0,T57/T$12)</f>
        <v>4.8192771084337347E-4</v>
      </c>
      <c r="W57" s="1"/>
      <c r="X57" s="1">
        <f t="shared" ref="X57:X66" si="43">+P57-T57</f>
        <v>-540</v>
      </c>
      <c r="Y57" s="1"/>
      <c r="Z57" s="5">
        <f t="shared" ref="Z57:Z66" si="44">IF(T57=0,0,X57/T57)</f>
        <v>-0.9</v>
      </c>
    </row>
    <row r="58" spans="1:26" s="24" customFormat="1" hidden="1" outlineLevel="2" x14ac:dyDescent="0.25">
      <c r="A58" s="27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60</v>
      </c>
      <c r="Q58" s="2"/>
      <c r="R58" s="7">
        <f t="shared" si="41"/>
        <v>1.5790559908515812E-4</v>
      </c>
      <c r="S58" s="2"/>
      <c r="T58" s="6">
        <v>600</v>
      </c>
      <c r="U58" s="2"/>
      <c r="V58" s="7">
        <f t="shared" si="42"/>
        <v>4.8192771084337347E-4</v>
      </c>
      <c r="W58" s="2"/>
      <c r="X58" s="6">
        <f t="shared" si="43"/>
        <v>-540</v>
      </c>
      <c r="Y58" s="2"/>
      <c r="Z58" s="7">
        <f t="shared" si="44"/>
        <v>-0.9</v>
      </c>
    </row>
    <row r="59" spans="1:26" s="26" customFormat="1" outlineLevel="1" collapsed="1" x14ac:dyDescent="0.25">
      <c r="A59" s="25"/>
      <c r="B59" s="12" t="str">
        <f>CONCATENATE("     ","Equipment Rental                                  ")</f>
        <v xml:space="preserve">     Equipment Rental                                  </v>
      </c>
      <c r="C59" s="12"/>
      <c r="D59" s="1">
        <f>SUM(OSRRefD22_7x_0)</f>
        <v>16.239999999999998</v>
      </c>
      <c r="E59" s="1"/>
      <c r="F59" s="5">
        <f t="shared" si="37"/>
        <v>0</v>
      </c>
      <c r="G59" s="1"/>
      <c r="H59" s="1">
        <f>SUM(OSRRefH22_7x_0)</f>
        <v>200</v>
      </c>
      <c r="I59" s="1"/>
      <c r="J59" s="5">
        <f t="shared" si="38"/>
        <v>1.9230769230769232E-3</v>
      </c>
      <c r="K59" s="1"/>
      <c r="L59" s="1">
        <f t="shared" si="39"/>
        <v>-183.76</v>
      </c>
      <c r="M59" s="1"/>
      <c r="N59" s="5">
        <f t="shared" si="40"/>
        <v>-0.91879999999999995</v>
      </c>
      <c r="O59" s="12"/>
      <c r="P59" s="1">
        <f>SUM(OSRRefP22_7x_0)</f>
        <v>854</v>
      </c>
      <c r="Q59" s="1"/>
      <c r="R59" s="5">
        <f t="shared" si="41"/>
        <v>2.2475230269787508E-3</v>
      </c>
      <c r="S59" s="1"/>
      <c r="T59" s="1">
        <f>SUM(OSRRefT22_7x_0)</f>
        <v>1125</v>
      </c>
      <c r="U59" s="1"/>
      <c r="V59" s="5">
        <f t="shared" si="42"/>
        <v>9.0361445783132533E-4</v>
      </c>
      <c r="W59" s="1"/>
      <c r="X59" s="1">
        <f t="shared" si="43"/>
        <v>-271</v>
      </c>
      <c r="Y59" s="1"/>
      <c r="Z59" s="5">
        <f t="shared" si="44"/>
        <v>-0.2408888888888889</v>
      </c>
    </row>
    <row r="60" spans="1:26" s="24" customFormat="1" hidden="1" outlineLevel="2" x14ac:dyDescent="0.25">
      <c r="A60" s="27"/>
      <c r="B60" s="11" t="str">
        <f>CONCATENATE("          ", "6351", " - ", "EQUIPMENT RENTAL")</f>
        <v xml:space="preserve">          6351 - EQUIPMENT RENTAL</v>
      </c>
      <c r="C60" s="11"/>
      <c r="D60" s="6">
        <v>16.239999999999998</v>
      </c>
      <c r="E60" s="2"/>
      <c r="F60" s="7">
        <f t="shared" si="37"/>
        <v>0</v>
      </c>
      <c r="G60" s="2"/>
      <c r="H60" s="6">
        <v>200</v>
      </c>
      <c r="I60" s="2"/>
      <c r="J60" s="7">
        <f t="shared" si="38"/>
        <v>1.9230769230769232E-3</v>
      </c>
      <c r="K60" s="2"/>
      <c r="L60" s="6">
        <f t="shared" si="39"/>
        <v>-183.76</v>
      </c>
      <c r="M60" s="2"/>
      <c r="N60" s="7">
        <f t="shared" si="40"/>
        <v>-0.91879999999999995</v>
      </c>
      <c r="O60" s="11"/>
      <c r="P60" s="6">
        <v>854</v>
      </c>
      <c r="Q60" s="2"/>
      <c r="R60" s="7">
        <f t="shared" si="41"/>
        <v>2.2475230269787508E-3</v>
      </c>
      <c r="S60" s="2"/>
      <c r="T60" s="6">
        <v>1125</v>
      </c>
      <c r="U60" s="2"/>
      <c r="V60" s="7">
        <f t="shared" si="42"/>
        <v>9.0361445783132533E-4</v>
      </c>
      <c r="W60" s="2"/>
      <c r="X60" s="6">
        <f t="shared" si="43"/>
        <v>-271</v>
      </c>
      <c r="Y60" s="2"/>
      <c r="Z60" s="7">
        <f t="shared" si="44"/>
        <v>-0.2408888888888889</v>
      </c>
    </row>
    <row r="61" spans="1:26" s="26" customFormat="1" outlineLevel="1" collapsed="1" x14ac:dyDescent="0.25">
      <c r="A61" s="25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SUM(OSRRefD22_8x_0)</f>
        <v>0</v>
      </c>
      <c r="E61" s="1"/>
      <c r="F61" s="5">
        <f t="shared" si="37"/>
        <v>0</v>
      </c>
      <c r="G61" s="1"/>
      <c r="H61" s="1">
        <f>SUM(OSRRefH22_8x_0)</f>
        <v>50</v>
      </c>
      <c r="I61" s="1"/>
      <c r="J61" s="5">
        <f t="shared" si="38"/>
        <v>4.807692307692308E-4</v>
      </c>
      <c r="K61" s="1"/>
      <c r="L61" s="1">
        <f t="shared" si="39"/>
        <v>-50</v>
      </c>
      <c r="M61" s="1"/>
      <c r="N61" s="5">
        <f t="shared" si="40"/>
        <v>-1</v>
      </c>
      <c r="O61" s="12"/>
      <c r="P61" s="1">
        <f>SUM(OSRRefP22_8x_0)</f>
        <v>2498.7399999999998</v>
      </c>
      <c r="Q61" s="1"/>
      <c r="R61" s="5">
        <f t="shared" si="41"/>
        <v>6.5760839443007998E-3</v>
      </c>
      <c r="S61" s="1"/>
      <c r="T61" s="1">
        <f>SUM(OSRRefT22_8x_0)</f>
        <v>4075</v>
      </c>
      <c r="U61" s="1"/>
      <c r="V61" s="5">
        <f t="shared" si="42"/>
        <v>3.2730923694779118E-3</v>
      </c>
      <c r="W61" s="1"/>
      <c r="X61" s="1">
        <f t="shared" si="43"/>
        <v>-1576.2600000000002</v>
      </c>
      <c r="Y61" s="1"/>
      <c r="Z61" s="5">
        <f t="shared" si="44"/>
        <v>-0.38681226993865037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7"/>
        <v>0</v>
      </c>
      <c r="G62" s="2"/>
      <c r="H62" s="6">
        <v>50</v>
      </c>
      <c r="I62" s="2"/>
      <c r="J62" s="7">
        <f t="shared" si="38"/>
        <v>4.807692307692308E-4</v>
      </c>
      <c r="K62" s="2"/>
      <c r="L62" s="6">
        <f t="shared" si="39"/>
        <v>-50</v>
      </c>
      <c r="M62" s="2"/>
      <c r="N62" s="7">
        <f t="shared" si="40"/>
        <v>-1</v>
      </c>
      <c r="O62" s="11"/>
      <c r="P62" s="6">
        <v>2498.7399999999998</v>
      </c>
      <c r="Q62" s="2"/>
      <c r="R62" s="7">
        <f t="shared" si="41"/>
        <v>6.5760839443007998E-3</v>
      </c>
      <c r="S62" s="2"/>
      <c r="T62" s="6">
        <v>4075</v>
      </c>
      <c r="U62" s="2"/>
      <c r="V62" s="7">
        <f t="shared" si="42"/>
        <v>3.2730923694779118E-3</v>
      </c>
      <c r="W62" s="2"/>
      <c r="X62" s="6">
        <f t="shared" si="43"/>
        <v>-1576.2600000000002</v>
      </c>
      <c r="Y62" s="2"/>
      <c r="Z62" s="7">
        <f t="shared" si="44"/>
        <v>-0.38681226993865037</v>
      </c>
    </row>
    <row r="63" spans="1:26" s="26" customFormat="1" outlineLevel="1" collapsed="1" x14ac:dyDescent="0.25">
      <c r="A63" s="25"/>
      <c r="B63" s="12" t="str">
        <f>CONCATENATE("     ","Repair and Maintenance                            ")</f>
        <v xml:space="preserve">     Repair and Maintenance                            </v>
      </c>
      <c r="C63" s="12"/>
      <c r="D63" s="1">
        <f>SUM(OSRRefD22_9x_0)</f>
        <v>60.6</v>
      </c>
      <c r="E63" s="1"/>
      <c r="F63" s="5">
        <f t="shared" si="37"/>
        <v>0</v>
      </c>
      <c r="G63" s="1"/>
      <c r="H63" s="1">
        <f>SUM(OSRRefH22_9x_0)</f>
        <v>560</v>
      </c>
      <c r="I63" s="1"/>
      <c r="J63" s="5">
        <f t="shared" si="38"/>
        <v>5.3846153846153844E-3</v>
      </c>
      <c r="K63" s="1"/>
      <c r="L63" s="1">
        <f t="shared" si="39"/>
        <v>-499.4</v>
      </c>
      <c r="M63" s="1"/>
      <c r="N63" s="5">
        <f t="shared" si="40"/>
        <v>-0.89178571428571429</v>
      </c>
      <c r="O63" s="12"/>
      <c r="P63" s="1">
        <f>SUM(OSRRefP22_9x_0)</f>
        <v>5516.92</v>
      </c>
      <c r="Q63" s="1"/>
      <c r="R63" s="5">
        <f t="shared" si="41"/>
        <v>1.451920929508151E-2</v>
      </c>
      <c r="S63" s="1"/>
      <c r="T63" s="1">
        <f>SUM(OSRRefT22_9x_0)</f>
        <v>7040</v>
      </c>
      <c r="U63" s="1"/>
      <c r="V63" s="5">
        <f t="shared" si="42"/>
        <v>5.6546184738955826E-3</v>
      </c>
      <c r="W63" s="1"/>
      <c r="X63" s="1">
        <f t="shared" si="43"/>
        <v>-1523.08</v>
      </c>
      <c r="Y63" s="1"/>
      <c r="Z63" s="5">
        <f t="shared" si="44"/>
        <v>-0.21634659090909089</v>
      </c>
    </row>
    <row r="64" spans="1:26" s="24" customFormat="1" hidden="1" outlineLevel="2" x14ac:dyDescent="0.25">
      <c r="A64" s="27"/>
      <c r="B64" s="11" t="str">
        <f>CONCATENATE("          ", "6371", " - ", "COMPUTER SOFTWARE MAINTENANCE")</f>
        <v xml:space="preserve">          6371 - COMPUTER SOFTWARE MAINTENANCE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0</v>
      </c>
      <c r="Q64" s="2"/>
      <c r="R64" s="7">
        <f t="shared" si="41"/>
        <v>0</v>
      </c>
      <c r="S64" s="2"/>
      <c r="T64" s="6"/>
      <c r="U64" s="2"/>
      <c r="V64" s="7">
        <f t="shared" si="42"/>
        <v>0</v>
      </c>
      <c r="W64" s="2"/>
      <c r="X64" s="6">
        <f t="shared" si="43"/>
        <v>0</v>
      </c>
      <c r="Y64" s="2"/>
      <c r="Z64" s="7">
        <f t="shared" si="44"/>
        <v>0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6">
        <v>60.6</v>
      </c>
      <c r="E65" s="2"/>
      <c r="F65" s="7">
        <f t="shared" si="37"/>
        <v>0</v>
      </c>
      <c r="G65" s="2"/>
      <c r="H65" s="6">
        <v>60</v>
      </c>
      <c r="I65" s="2"/>
      <c r="J65" s="7">
        <f t="shared" si="38"/>
        <v>5.7692307692307698E-4</v>
      </c>
      <c r="K65" s="2"/>
      <c r="L65" s="6">
        <f t="shared" si="39"/>
        <v>0.60000000000000142</v>
      </c>
      <c r="M65" s="2"/>
      <c r="N65" s="7">
        <f t="shared" si="40"/>
        <v>1.0000000000000024E-2</v>
      </c>
      <c r="O65" s="11"/>
      <c r="P65" s="6">
        <v>1192.48</v>
      </c>
      <c r="Q65" s="2"/>
      <c r="R65" s="7">
        <f t="shared" si="41"/>
        <v>3.1383211466178228E-3</v>
      </c>
      <c r="S65" s="2"/>
      <c r="T65" s="6">
        <v>240</v>
      </c>
      <c r="U65" s="2"/>
      <c r="V65" s="7">
        <f t="shared" si="42"/>
        <v>1.9277108433734939E-4</v>
      </c>
      <c r="W65" s="2"/>
      <c r="X65" s="6">
        <f t="shared" si="43"/>
        <v>952.48</v>
      </c>
      <c r="Y65" s="2"/>
      <c r="Z65" s="7">
        <f t="shared" si="44"/>
        <v>3.9686666666666666</v>
      </c>
    </row>
    <row r="66" spans="1:26" s="24" customFormat="1" hidden="1" outlineLevel="2" x14ac:dyDescent="0.25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/>
      <c r="E66" s="2"/>
      <c r="F66" s="7">
        <f t="shared" si="37"/>
        <v>0</v>
      </c>
      <c r="G66" s="2"/>
      <c r="H66" s="6">
        <v>500</v>
      </c>
      <c r="I66" s="2"/>
      <c r="J66" s="7">
        <f t="shared" si="38"/>
        <v>4.807692307692308E-3</v>
      </c>
      <c r="K66" s="2"/>
      <c r="L66" s="6">
        <f t="shared" si="39"/>
        <v>-500</v>
      </c>
      <c r="M66" s="2"/>
      <c r="N66" s="7">
        <f t="shared" si="40"/>
        <v>-1</v>
      </c>
      <c r="O66" s="11"/>
      <c r="P66" s="6">
        <v>4324.4399999999996</v>
      </c>
      <c r="Q66" s="2"/>
      <c r="R66" s="7">
        <f t="shared" si="41"/>
        <v>1.1380888148463686E-2</v>
      </c>
      <c r="S66" s="2"/>
      <c r="T66" s="6">
        <v>6800</v>
      </c>
      <c r="U66" s="2"/>
      <c r="V66" s="7">
        <f t="shared" si="42"/>
        <v>5.4618473895582326E-3</v>
      </c>
      <c r="W66" s="2"/>
      <c r="X66" s="6">
        <f t="shared" si="43"/>
        <v>-2475.5600000000004</v>
      </c>
      <c r="Y66" s="2"/>
      <c r="Z66" s="7">
        <f t="shared" si="44"/>
        <v>-0.36405294117647063</v>
      </c>
    </row>
    <row r="67" spans="1:26" s="26" customFormat="1" outlineLevel="1" collapsed="1" x14ac:dyDescent="0.25">
      <c r="A67" s="25"/>
      <c r="B67" s="12" t="str">
        <f>CONCATENATE("     ","Royalty &amp; Commissions                             ")</f>
        <v xml:space="preserve">     Royalty &amp; Commissions                             </v>
      </c>
      <c r="C67" s="12"/>
      <c r="D67" s="1">
        <f>SUM(OSRRefD22_10x_0)</f>
        <v>0</v>
      </c>
      <c r="E67" s="1"/>
      <c r="F67" s="5">
        <f t="shared" ref="F67:F72" si="45">IF(D$12=0,0,D67/D$12)</f>
        <v>0</v>
      </c>
      <c r="G67" s="1"/>
      <c r="H67" s="1">
        <f>SUM(OSRRefH22_10x_0)</f>
        <v>1000</v>
      </c>
      <c r="I67" s="1"/>
      <c r="J67" s="5">
        <f t="shared" ref="J67:J72" si="46">IF(H$12=0,0,H67/H$12)</f>
        <v>9.6153846153846159E-3</v>
      </c>
      <c r="K67" s="1"/>
      <c r="L67" s="1">
        <f t="shared" ref="L67:L72" si="47">+D67-H67</f>
        <v>-1000</v>
      </c>
      <c r="M67" s="1"/>
      <c r="N67" s="5">
        <f t="shared" ref="N67:N72" si="48">IF(H67=0,0,L67/H67)</f>
        <v>-1</v>
      </c>
      <c r="O67" s="12"/>
      <c r="P67" s="1">
        <f>SUM(OSRRefP22_10x_0)</f>
        <v>0</v>
      </c>
      <c r="Q67" s="1"/>
      <c r="R67" s="5">
        <f t="shared" ref="R67:R72" si="49">IF(P$12=0,0,P67/P$12)</f>
        <v>0</v>
      </c>
      <c r="S67" s="1"/>
      <c r="T67" s="1">
        <f>SUM(OSRRefT22_10x_0)</f>
        <v>6000</v>
      </c>
      <c r="U67" s="1"/>
      <c r="V67" s="5">
        <f t="shared" ref="V67:V72" si="50">IF(T$12=0,0,T67/T$12)</f>
        <v>4.8192771084337354E-3</v>
      </c>
      <c r="W67" s="1"/>
      <c r="X67" s="1">
        <f t="shared" ref="X67:X72" si="51">+P67-T67</f>
        <v>-6000</v>
      </c>
      <c r="Y67" s="1"/>
      <c r="Z67" s="5">
        <f t="shared" ref="Z67:Z72" si="52">IF(T67=0,0,X67/T67)</f>
        <v>-1</v>
      </c>
    </row>
    <row r="68" spans="1:26" s="24" customFormat="1" hidden="1" outlineLevel="2" x14ac:dyDescent="0.25">
      <c r="A68" s="27"/>
      <c r="B68" s="11" t="str">
        <f>CONCATENATE("          ", "6254", " - ", "ROYALTY &amp; COMMISSIONS")</f>
        <v xml:space="preserve">          6254 - ROYALTY &amp; COMMISSIONS</v>
      </c>
      <c r="C68" s="11"/>
      <c r="D68" s="6"/>
      <c r="E68" s="2"/>
      <c r="F68" s="7">
        <f t="shared" si="45"/>
        <v>0</v>
      </c>
      <c r="G68" s="2"/>
      <c r="H68" s="6">
        <v>1000</v>
      </c>
      <c r="I68" s="2"/>
      <c r="J68" s="7">
        <f t="shared" si="46"/>
        <v>9.6153846153846159E-3</v>
      </c>
      <c r="K68" s="2"/>
      <c r="L68" s="6">
        <f t="shared" si="47"/>
        <v>-1000</v>
      </c>
      <c r="M68" s="2"/>
      <c r="N68" s="7">
        <f t="shared" si="48"/>
        <v>-1</v>
      </c>
      <c r="O68" s="11"/>
      <c r="P68" s="6"/>
      <c r="Q68" s="2"/>
      <c r="R68" s="7">
        <f t="shared" si="49"/>
        <v>0</v>
      </c>
      <c r="S68" s="2"/>
      <c r="T68" s="6">
        <v>6000</v>
      </c>
      <c r="U68" s="2"/>
      <c r="V68" s="7">
        <f t="shared" si="50"/>
        <v>4.8192771084337354E-3</v>
      </c>
      <c r="W68" s="2"/>
      <c r="X68" s="6">
        <f t="shared" si="51"/>
        <v>-6000</v>
      </c>
      <c r="Y68" s="2"/>
      <c r="Z68" s="7">
        <f t="shared" si="52"/>
        <v>-1</v>
      </c>
    </row>
    <row r="69" spans="1:26" s="26" customFormat="1" outlineLevel="1" collapsed="1" x14ac:dyDescent="0.25">
      <c r="A69" s="25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SUM(OSRRefD22_11x_0)</f>
        <v>0</v>
      </c>
      <c r="E69" s="1"/>
      <c r="F69" s="5">
        <f t="shared" si="45"/>
        <v>0</v>
      </c>
      <c r="G69" s="1"/>
      <c r="H69" s="1">
        <f>SUM(OSRRefH22_11x_0)</f>
        <v>3060</v>
      </c>
      <c r="I69" s="1"/>
      <c r="J69" s="5">
        <f t="shared" si="46"/>
        <v>2.9423076923076923E-2</v>
      </c>
      <c r="K69" s="1"/>
      <c r="L69" s="1">
        <f t="shared" si="47"/>
        <v>-3060</v>
      </c>
      <c r="M69" s="1"/>
      <c r="N69" s="5">
        <f t="shared" si="48"/>
        <v>-1</v>
      </c>
      <c r="O69" s="12"/>
      <c r="P69" s="1">
        <f>SUM(OSRRefP22_11x_0)</f>
        <v>19714.809999999998</v>
      </c>
      <c r="Q69" s="1"/>
      <c r="R69" s="5">
        <f t="shared" si="49"/>
        <v>5.18846480650011E-2</v>
      </c>
      <c r="S69" s="1"/>
      <c r="T69" s="1">
        <f>SUM(OSRRefT22_11x_0)</f>
        <v>35220</v>
      </c>
      <c r="U69" s="1"/>
      <c r="V69" s="5">
        <f t="shared" si="50"/>
        <v>2.8289156626506023E-2</v>
      </c>
      <c r="W69" s="1"/>
      <c r="X69" s="1">
        <f t="shared" si="51"/>
        <v>-15505.190000000002</v>
      </c>
      <c r="Y69" s="1"/>
      <c r="Z69" s="5">
        <f t="shared" si="52"/>
        <v>-0.44023821692220338</v>
      </c>
    </row>
    <row r="70" spans="1:26" s="24" customFormat="1" hidden="1" outlineLevel="2" x14ac:dyDescent="0.25">
      <c r="A70" s="27"/>
      <c r="B70" s="11" t="str">
        <f>CONCATENATE("          ", "6283", " - ", "PLANT SERVICE")</f>
        <v xml:space="preserve">          6283 - PLANT SERVICE</v>
      </c>
      <c r="C70" s="11"/>
      <c r="D70" s="6"/>
      <c r="E70" s="2"/>
      <c r="F70" s="7">
        <f t="shared" si="45"/>
        <v>0</v>
      </c>
      <c r="G70" s="2"/>
      <c r="H70" s="6">
        <v>60</v>
      </c>
      <c r="I70" s="2"/>
      <c r="J70" s="7">
        <f t="shared" si="46"/>
        <v>5.7692307692307698E-4</v>
      </c>
      <c r="K70" s="2"/>
      <c r="L70" s="6">
        <f t="shared" si="47"/>
        <v>-60</v>
      </c>
      <c r="M70" s="2"/>
      <c r="N70" s="7">
        <f t="shared" si="48"/>
        <v>-1</v>
      </c>
      <c r="O70" s="11"/>
      <c r="P70" s="6">
        <v>566.54999999999995</v>
      </c>
      <c r="Q70" s="2"/>
      <c r="R70" s="7">
        <f t="shared" si="49"/>
        <v>1.4910236193616056E-3</v>
      </c>
      <c r="S70" s="2"/>
      <c r="T70" s="6">
        <v>720</v>
      </c>
      <c r="U70" s="2"/>
      <c r="V70" s="7">
        <f t="shared" si="50"/>
        <v>5.7831325301204817E-4</v>
      </c>
      <c r="W70" s="2"/>
      <c r="X70" s="6">
        <f t="shared" si="51"/>
        <v>-153.45000000000005</v>
      </c>
      <c r="Y70" s="2"/>
      <c r="Z70" s="7">
        <f t="shared" si="52"/>
        <v>-0.21312500000000006</v>
      </c>
    </row>
    <row r="71" spans="1:26" s="24" customFormat="1" hidden="1" outlineLevel="2" x14ac:dyDescent="0.25">
      <c r="A71" s="27"/>
      <c r="B71" s="11" t="str">
        <f>CONCATENATE("          ", "6285", " - ", "JANITORIAL SERVICES")</f>
        <v xml:space="preserve">          6285 - JANITORIAL SERVICES</v>
      </c>
      <c r="C71" s="11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1"/>
      <c r="P71" s="6">
        <v>517.04999999999995</v>
      </c>
      <c r="Q71" s="2"/>
      <c r="R71" s="7">
        <f t="shared" si="49"/>
        <v>1.3607515001163501E-3</v>
      </c>
      <c r="S71" s="2"/>
      <c r="T71" s="6">
        <v>500</v>
      </c>
      <c r="U71" s="2"/>
      <c r="V71" s="7">
        <f t="shared" si="50"/>
        <v>4.0160642570281126E-4</v>
      </c>
      <c r="W71" s="2"/>
      <c r="X71" s="6">
        <f t="shared" si="51"/>
        <v>17.049999999999955</v>
      </c>
      <c r="Y71" s="2"/>
      <c r="Z71" s="7">
        <f t="shared" si="52"/>
        <v>3.4099999999999908E-2</v>
      </c>
    </row>
    <row r="72" spans="1:26" s="24" customFormat="1" hidden="1" outlineLevel="2" x14ac:dyDescent="0.25">
      <c r="A72" s="27"/>
      <c r="B72" s="11" t="str">
        <f>CONCATENATE("          ", "6286", " - ", "LAUNDRY EXPENSE")</f>
        <v xml:space="preserve">          6286 - LAUNDRY EXPENSE</v>
      </c>
      <c r="C72" s="11"/>
      <c r="D72" s="6"/>
      <c r="E72" s="2"/>
      <c r="F72" s="7">
        <f t="shared" si="45"/>
        <v>0</v>
      </c>
      <c r="G72" s="2"/>
      <c r="H72" s="6">
        <v>3000</v>
      </c>
      <c r="I72" s="2"/>
      <c r="J72" s="7">
        <f t="shared" si="46"/>
        <v>2.8846153846153848E-2</v>
      </c>
      <c r="K72" s="2"/>
      <c r="L72" s="6">
        <f t="shared" si="47"/>
        <v>-3000</v>
      </c>
      <c r="M72" s="2"/>
      <c r="N72" s="7">
        <f t="shared" si="48"/>
        <v>-1</v>
      </c>
      <c r="O72" s="11"/>
      <c r="P72" s="6">
        <v>18631.21</v>
      </c>
      <c r="Q72" s="2"/>
      <c r="R72" s="7">
        <f t="shared" si="49"/>
        <v>4.9032872945523144E-2</v>
      </c>
      <c r="S72" s="2"/>
      <c r="T72" s="6">
        <v>34000</v>
      </c>
      <c r="U72" s="2"/>
      <c r="V72" s="7">
        <f t="shared" si="50"/>
        <v>2.7309236947791166E-2</v>
      </c>
      <c r="W72" s="2"/>
      <c r="X72" s="6">
        <f t="shared" si="51"/>
        <v>-15368.79</v>
      </c>
      <c r="Y72" s="2"/>
      <c r="Z72" s="7">
        <f t="shared" si="52"/>
        <v>-0.4520232352941177</v>
      </c>
    </row>
    <row r="73" spans="1:26" s="26" customFormat="1" outlineLevel="1" collapsed="1" x14ac:dyDescent="0.25">
      <c r="A73" s="25"/>
      <c r="B73" s="12" t="str">
        <f>CONCATENATE("     ","Supplies                                          ")</f>
        <v xml:space="preserve">     Supplies                                          </v>
      </c>
      <c r="C73" s="12"/>
      <c r="D73" s="1">
        <f>SUM(OSRRefD22_12x_0)</f>
        <v>1048.8</v>
      </c>
      <c r="E73" s="1"/>
      <c r="F73" s="5">
        <f t="shared" ref="F73:F81" si="53">IF(D$12=0,0,D73/D$12)</f>
        <v>0</v>
      </c>
      <c r="G73" s="1"/>
      <c r="H73" s="1">
        <f>SUM(OSRRefH22_12x_0)</f>
        <v>900</v>
      </c>
      <c r="I73" s="1"/>
      <c r="J73" s="5">
        <f t="shared" ref="J73:J81" si="54">IF(H$12=0,0,H73/H$12)</f>
        <v>8.6538461538461543E-3</v>
      </c>
      <c r="K73" s="1"/>
      <c r="L73" s="1">
        <f t="shared" ref="L73:L81" si="55">+D73-H73</f>
        <v>148.79999999999995</v>
      </c>
      <c r="M73" s="1"/>
      <c r="N73" s="5">
        <f t="shared" ref="N73:N81" si="56">IF(H73=0,0,L73/H73)</f>
        <v>0.16533333333333328</v>
      </c>
      <c r="O73" s="12"/>
      <c r="P73" s="1">
        <f>SUM(OSRRefP22_12x_0)</f>
        <v>13532.82</v>
      </c>
      <c r="Q73" s="1"/>
      <c r="R73" s="5">
        <f t="shared" ref="R73:R81" si="57">IF(P$12=0,0,P73/P$12)</f>
        <v>3.5615134156860156E-2</v>
      </c>
      <c r="S73" s="1"/>
      <c r="T73" s="1">
        <f>SUM(OSRRefT22_12x_0)</f>
        <v>25039.859999999997</v>
      </c>
      <c r="U73" s="1"/>
      <c r="V73" s="5">
        <f t="shared" ref="V73:V81" si="58">IF(T$12=0,0,T73/T$12)</f>
        <v>2.0112337349397588E-2</v>
      </c>
      <c r="W73" s="1"/>
      <c r="X73" s="1">
        <f t="shared" ref="X73:X81" si="59">+P73-T73</f>
        <v>-11507.039999999997</v>
      </c>
      <c r="Y73" s="1"/>
      <c r="Z73" s="5">
        <f t="shared" ref="Z73:Z81" si="60">IF(T73=0,0,X73/T73)</f>
        <v>-0.459548895241427</v>
      </c>
    </row>
    <row r="74" spans="1:26" s="24" customFormat="1" hidden="1" outlineLevel="2" x14ac:dyDescent="0.25">
      <c r="A74" s="27"/>
      <c r="B74" s="11" t="str">
        <f>CONCATENATE("          ", "6234", " - ", "EXPENDABLE SUPPLIES &amp; EQUIPMEN")</f>
        <v xml:space="preserve">          6234 - EXPENDABLE SUPPLIES &amp; EQUIPMEN</v>
      </c>
      <c r="C74" s="11"/>
      <c r="D74" s="6">
        <v>1048.8</v>
      </c>
      <c r="E74" s="2"/>
      <c r="F74" s="7">
        <f t="shared" si="53"/>
        <v>0</v>
      </c>
      <c r="G74" s="2"/>
      <c r="H74" s="6">
        <v>100</v>
      </c>
      <c r="I74" s="2"/>
      <c r="J74" s="7">
        <f t="shared" si="54"/>
        <v>9.6153846153846159E-4</v>
      </c>
      <c r="K74" s="2"/>
      <c r="L74" s="6">
        <f t="shared" si="55"/>
        <v>948.8</v>
      </c>
      <c r="M74" s="2"/>
      <c r="N74" s="7">
        <f t="shared" si="56"/>
        <v>9.4879999999999995</v>
      </c>
      <c r="O74" s="11"/>
      <c r="P74" s="6">
        <v>2073.9</v>
      </c>
      <c r="Q74" s="2"/>
      <c r="R74" s="7">
        <f t="shared" si="57"/>
        <v>5.4580070323784905E-3</v>
      </c>
      <c r="S74" s="2"/>
      <c r="T74" s="6">
        <v>6650</v>
      </c>
      <c r="U74" s="2"/>
      <c r="V74" s="7">
        <f t="shared" si="58"/>
        <v>5.3413654618473892E-3</v>
      </c>
      <c r="W74" s="2"/>
      <c r="X74" s="6">
        <f t="shared" si="59"/>
        <v>-4576.1000000000004</v>
      </c>
      <c r="Y74" s="2"/>
      <c r="Z74" s="7">
        <f t="shared" si="60"/>
        <v>-0.68813533834586471</v>
      </c>
    </row>
    <row r="75" spans="1:26" s="24" customFormat="1" hidden="1" outlineLevel="2" x14ac:dyDescent="0.25">
      <c r="A75" s="27"/>
      <c r="B75" s="11" t="str">
        <f>CONCATENATE("          ", "6239", " - ", "KITCHEN SUPPLIES")</f>
        <v xml:space="preserve">          6239 - KITCHEN SUPPLIES</v>
      </c>
      <c r="C75" s="11"/>
      <c r="D75" s="6"/>
      <c r="E75" s="2"/>
      <c r="F75" s="7">
        <f t="shared" si="53"/>
        <v>0</v>
      </c>
      <c r="G75" s="2"/>
      <c r="H75" s="6"/>
      <c r="I75" s="2"/>
      <c r="J75" s="7">
        <f t="shared" si="54"/>
        <v>0</v>
      </c>
      <c r="K75" s="2"/>
      <c r="L75" s="6">
        <f t="shared" si="55"/>
        <v>0</v>
      </c>
      <c r="M75" s="2"/>
      <c r="N75" s="7">
        <f t="shared" si="56"/>
        <v>0</v>
      </c>
      <c r="O75" s="11"/>
      <c r="P75" s="6">
        <v>3652.68</v>
      </c>
      <c r="Q75" s="2"/>
      <c r="R75" s="7">
        <f t="shared" si="57"/>
        <v>9.6129770611062555E-3</v>
      </c>
      <c r="S75" s="2"/>
      <c r="T75" s="6">
        <v>4503.1499999999996</v>
      </c>
      <c r="U75" s="2"/>
      <c r="V75" s="7">
        <f t="shared" si="58"/>
        <v>3.6169879518072284E-3</v>
      </c>
      <c r="W75" s="2"/>
      <c r="X75" s="6">
        <f t="shared" si="59"/>
        <v>-850.4699999999998</v>
      </c>
      <c r="Y75" s="2"/>
      <c r="Z75" s="7">
        <f t="shared" si="60"/>
        <v>-0.18886113054195394</v>
      </c>
    </row>
    <row r="76" spans="1:26" s="24" customFormat="1" hidden="1" outlineLevel="2" x14ac:dyDescent="0.25">
      <c r="A76" s="27"/>
      <c r="B76" s="11" t="str">
        <f>CONCATENATE("          ", "6241", " - ", "OFFICE EXPENSE")</f>
        <v xml:space="preserve">          6241 - OFFICE EXPENSE</v>
      </c>
      <c r="C76" s="11"/>
      <c r="D76" s="6"/>
      <c r="E76" s="2"/>
      <c r="F76" s="7">
        <f t="shared" si="53"/>
        <v>0</v>
      </c>
      <c r="G76" s="2"/>
      <c r="H76" s="6"/>
      <c r="I76" s="2"/>
      <c r="J76" s="7">
        <f t="shared" si="54"/>
        <v>0</v>
      </c>
      <c r="K76" s="2"/>
      <c r="L76" s="6">
        <f t="shared" si="55"/>
        <v>0</v>
      </c>
      <c r="M76" s="2"/>
      <c r="N76" s="7">
        <f t="shared" si="56"/>
        <v>0</v>
      </c>
      <c r="O76" s="11"/>
      <c r="P76" s="6">
        <v>786.78</v>
      </c>
      <c r="Q76" s="2"/>
      <c r="R76" s="7">
        <f t="shared" si="57"/>
        <v>2.0706161208036786E-3</v>
      </c>
      <c r="S76" s="2"/>
      <c r="T76" s="6">
        <v>1658.82</v>
      </c>
      <c r="U76" s="2"/>
      <c r="V76" s="7">
        <f t="shared" si="58"/>
        <v>1.3323855421686747E-3</v>
      </c>
      <c r="W76" s="2"/>
      <c r="X76" s="6">
        <f t="shared" si="59"/>
        <v>-872.04</v>
      </c>
      <c r="Y76" s="2"/>
      <c r="Z76" s="7">
        <f t="shared" si="60"/>
        <v>-0.52569899084891669</v>
      </c>
    </row>
    <row r="77" spans="1:26" s="24" customFormat="1" hidden="1" outlineLevel="2" x14ac:dyDescent="0.25">
      <c r="A77" s="27"/>
      <c r="B77" s="11" t="str">
        <f>CONCATENATE("          ", "6243", " - ", "PAPER SUPPLIES")</f>
        <v xml:space="preserve">          6243 - PAPER SUPPLIES</v>
      </c>
      <c r="C77" s="11"/>
      <c r="D77" s="6"/>
      <c r="E77" s="2"/>
      <c r="F77" s="7">
        <f t="shared" si="53"/>
        <v>0</v>
      </c>
      <c r="G77" s="2"/>
      <c r="H77" s="6">
        <v>700</v>
      </c>
      <c r="I77" s="2"/>
      <c r="J77" s="7">
        <f t="shared" si="54"/>
        <v>6.7307692307692311E-3</v>
      </c>
      <c r="K77" s="2"/>
      <c r="L77" s="6">
        <f t="shared" si="55"/>
        <v>-700</v>
      </c>
      <c r="M77" s="2"/>
      <c r="N77" s="7">
        <f t="shared" si="56"/>
        <v>-1</v>
      </c>
      <c r="O77" s="11"/>
      <c r="P77" s="6">
        <v>5217.22</v>
      </c>
      <c r="Q77" s="2"/>
      <c r="R77" s="7">
        <f t="shared" si="57"/>
        <v>1.3730470827651145E-2</v>
      </c>
      <c r="S77" s="2"/>
      <c r="T77" s="6">
        <v>8024.52</v>
      </c>
      <c r="U77" s="2"/>
      <c r="V77" s="7">
        <f t="shared" si="58"/>
        <v>6.4453975903614458E-3</v>
      </c>
      <c r="W77" s="2"/>
      <c r="X77" s="6">
        <f t="shared" si="59"/>
        <v>-2807.3</v>
      </c>
      <c r="Y77" s="2"/>
      <c r="Z77" s="7">
        <f t="shared" si="60"/>
        <v>-0.34984023966542549</v>
      </c>
    </row>
    <row r="78" spans="1:26" s="24" customFormat="1" hidden="1" outlineLevel="2" x14ac:dyDescent="0.25">
      <c r="A78" s="27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0</v>
      </c>
      <c r="M78" s="2"/>
      <c r="N78" s="7">
        <f t="shared" si="56"/>
        <v>0</v>
      </c>
      <c r="O78" s="11"/>
      <c r="P78" s="6"/>
      <c r="Q78" s="2"/>
      <c r="R78" s="7">
        <f t="shared" si="57"/>
        <v>0</v>
      </c>
      <c r="S78" s="2"/>
      <c r="T78" s="6">
        <v>36.82</v>
      </c>
      <c r="U78" s="2"/>
      <c r="V78" s="7">
        <f t="shared" si="58"/>
        <v>2.9574297188755022E-5</v>
      </c>
      <c r="W78" s="2"/>
      <c r="X78" s="6">
        <f t="shared" si="59"/>
        <v>-36.82</v>
      </c>
      <c r="Y78" s="2"/>
      <c r="Z78" s="7">
        <f t="shared" si="60"/>
        <v>-1</v>
      </c>
    </row>
    <row r="79" spans="1:26" s="24" customFormat="1" hidden="1" outlineLevel="2" x14ac:dyDescent="0.25">
      <c r="A79" s="27"/>
      <c r="B79" s="11" t="str">
        <f>CONCATENATE("          ", "6246", " - ", "REPLACEMENTS")</f>
        <v xml:space="preserve">          6246 - REPLACEMENTS</v>
      </c>
      <c r="C79" s="11"/>
      <c r="D79" s="6"/>
      <c r="E79" s="2"/>
      <c r="F79" s="7">
        <f t="shared" si="53"/>
        <v>0</v>
      </c>
      <c r="G79" s="2"/>
      <c r="H79" s="6"/>
      <c r="I79" s="2"/>
      <c r="J79" s="7">
        <f t="shared" si="54"/>
        <v>0</v>
      </c>
      <c r="K79" s="2"/>
      <c r="L79" s="6">
        <f t="shared" si="55"/>
        <v>0</v>
      </c>
      <c r="M79" s="2"/>
      <c r="N79" s="7">
        <f t="shared" si="56"/>
        <v>0</v>
      </c>
      <c r="O79" s="11"/>
      <c r="P79" s="6"/>
      <c r="Q79" s="2"/>
      <c r="R79" s="7">
        <f t="shared" si="57"/>
        <v>0</v>
      </c>
      <c r="S79" s="2"/>
      <c r="T79" s="6">
        <v>1000</v>
      </c>
      <c r="U79" s="2"/>
      <c r="V79" s="7">
        <f t="shared" si="58"/>
        <v>8.0321285140562252E-4</v>
      </c>
      <c r="W79" s="2"/>
      <c r="X79" s="6">
        <f t="shared" si="59"/>
        <v>-1000</v>
      </c>
      <c r="Y79" s="2"/>
      <c r="Z79" s="7">
        <f t="shared" si="60"/>
        <v>-1</v>
      </c>
    </row>
    <row r="80" spans="1:26" s="24" customFormat="1" hidden="1" outlineLevel="2" x14ac:dyDescent="0.25">
      <c r="A80" s="27"/>
      <c r="B80" s="11" t="str">
        <f>CONCATENATE("          ", "6247", " - ", "STORE SUPPLIES")</f>
        <v xml:space="preserve">          6247 - STORE SUPPLIES</v>
      </c>
      <c r="C80" s="11"/>
      <c r="D80" s="6"/>
      <c r="E80" s="2"/>
      <c r="F80" s="7">
        <f t="shared" si="53"/>
        <v>0</v>
      </c>
      <c r="G80" s="2"/>
      <c r="H80" s="6">
        <v>100</v>
      </c>
      <c r="I80" s="2"/>
      <c r="J80" s="7">
        <f t="shared" si="54"/>
        <v>9.6153846153846159E-4</v>
      </c>
      <c r="K80" s="2"/>
      <c r="L80" s="6">
        <f t="shared" si="55"/>
        <v>-100</v>
      </c>
      <c r="M80" s="2"/>
      <c r="N80" s="7">
        <f t="shared" si="56"/>
        <v>-1</v>
      </c>
      <c r="O80" s="11"/>
      <c r="P80" s="6">
        <v>509.58</v>
      </c>
      <c r="Q80" s="2"/>
      <c r="R80" s="7">
        <f t="shared" si="57"/>
        <v>1.3410922530302479E-3</v>
      </c>
      <c r="S80" s="2"/>
      <c r="T80" s="6">
        <v>1616.55</v>
      </c>
      <c r="U80" s="2"/>
      <c r="V80" s="7">
        <f t="shared" si="58"/>
        <v>1.2984337349397591E-3</v>
      </c>
      <c r="W80" s="2"/>
      <c r="X80" s="6">
        <f t="shared" si="59"/>
        <v>-1106.97</v>
      </c>
      <c r="Y80" s="2"/>
      <c r="Z80" s="7">
        <f t="shared" si="60"/>
        <v>-0.68477312795768774</v>
      </c>
    </row>
    <row r="81" spans="1:26" s="24" customFormat="1" hidden="1" outlineLevel="2" x14ac:dyDescent="0.25">
      <c r="A81" s="27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1"/>
      <c r="P81" s="6">
        <v>1292.6600000000001</v>
      </c>
      <c r="Q81" s="2"/>
      <c r="R81" s="7">
        <f t="shared" si="57"/>
        <v>3.4019708618903419E-3</v>
      </c>
      <c r="S81" s="2"/>
      <c r="T81" s="6">
        <v>1550</v>
      </c>
      <c r="U81" s="2"/>
      <c r="V81" s="7">
        <f t="shared" si="58"/>
        <v>1.2449799196787149E-3</v>
      </c>
      <c r="W81" s="2"/>
      <c r="X81" s="6">
        <f t="shared" si="59"/>
        <v>-257.33999999999992</v>
      </c>
      <c r="Y81" s="2"/>
      <c r="Z81" s="7">
        <f t="shared" si="60"/>
        <v>-0.16602580645161286</v>
      </c>
    </row>
    <row r="82" spans="1:26" s="26" customFormat="1" outlineLevel="1" collapsed="1" x14ac:dyDescent="0.25">
      <c r="A82" s="25"/>
      <c r="B82" s="12" t="str">
        <f>CONCATENATE("     ","Telephone/Data Lines                              ")</f>
        <v xml:space="preserve">     Telephone/Data Lines                              </v>
      </c>
      <c r="C82" s="12"/>
      <c r="D82" s="1">
        <f>SUM(OSRRefD22_13x_0)</f>
        <v>6.81</v>
      </c>
      <c r="E82" s="1"/>
      <c r="F82" s="5">
        <f t="shared" ref="F82:F87" si="61">IF(D$12=0,0,D82/D$12)</f>
        <v>0</v>
      </c>
      <c r="G82" s="1"/>
      <c r="H82" s="1">
        <f>SUM(OSRRefH22_13x_0)</f>
        <v>195</v>
      </c>
      <c r="I82" s="1"/>
      <c r="J82" s="5">
        <f t="shared" ref="J82:J87" si="62">IF(H$12=0,0,H82/H$12)</f>
        <v>1.8749999999999999E-3</v>
      </c>
      <c r="K82" s="1"/>
      <c r="L82" s="1">
        <f t="shared" ref="L82:L87" si="63">+D82-H82</f>
        <v>-188.19</v>
      </c>
      <c r="M82" s="1"/>
      <c r="N82" s="5">
        <f t="shared" ref="N82:N87" si="64">IF(H82=0,0,L82/H82)</f>
        <v>-0.96507692307692305</v>
      </c>
      <c r="O82" s="12"/>
      <c r="P82" s="1">
        <f>SUM(OSRRefP22_13x_0)</f>
        <v>2074.79</v>
      </c>
      <c r="Q82" s="1"/>
      <c r="R82" s="5">
        <f t="shared" ref="R82:R87" si="65">IF(P$12=0,0,P82/P$12)</f>
        <v>5.4603492987649205E-3</v>
      </c>
      <c r="S82" s="1"/>
      <c r="T82" s="1">
        <f>SUM(OSRRefT22_13x_0)</f>
        <v>1950</v>
      </c>
      <c r="U82" s="1"/>
      <c r="V82" s="5">
        <f t="shared" ref="V82:V87" si="66">IF(T$12=0,0,T82/T$12)</f>
        <v>1.5662650602409638E-3</v>
      </c>
      <c r="W82" s="1"/>
      <c r="X82" s="1">
        <f t="shared" ref="X82:X87" si="67">+P82-T82</f>
        <v>124.78999999999996</v>
      </c>
      <c r="Y82" s="1"/>
      <c r="Z82" s="5">
        <f t="shared" ref="Z82:Z87" si="68">IF(T82=0,0,X82/T82)</f>
        <v>6.3994871794871774E-2</v>
      </c>
    </row>
    <row r="83" spans="1:26" s="24" customFormat="1" hidden="1" outlineLevel="2" x14ac:dyDescent="0.25">
      <c r="A83" s="27"/>
      <c r="B83" s="11" t="str">
        <f>CONCATENATE("          ", "6309", " - ", "TELEPHONE")</f>
        <v xml:space="preserve">          6309 - TELEPHONE</v>
      </c>
      <c r="C83" s="11"/>
      <c r="D83" s="6">
        <v>6.81</v>
      </c>
      <c r="E83" s="2"/>
      <c r="F83" s="7">
        <f t="shared" si="61"/>
        <v>0</v>
      </c>
      <c r="G83" s="2"/>
      <c r="H83" s="6">
        <v>195</v>
      </c>
      <c r="I83" s="2"/>
      <c r="J83" s="7">
        <f t="shared" si="62"/>
        <v>1.8749999999999999E-3</v>
      </c>
      <c r="K83" s="2"/>
      <c r="L83" s="6">
        <f t="shared" si="63"/>
        <v>-188.19</v>
      </c>
      <c r="M83" s="2"/>
      <c r="N83" s="7">
        <f t="shared" si="64"/>
        <v>-0.96507692307692305</v>
      </c>
      <c r="O83" s="11"/>
      <c r="P83" s="6">
        <v>2074.79</v>
      </c>
      <c r="Q83" s="2"/>
      <c r="R83" s="7">
        <f t="shared" si="65"/>
        <v>5.4603492987649205E-3</v>
      </c>
      <c r="S83" s="2"/>
      <c r="T83" s="6">
        <v>1950</v>
      </c>
      <c r="U83" s="2"/>
      <c r="V83" s="7">
        <f t="shared" si="66"/>
        <v>1.5662650602409638E-3</v>
      </c>
      <c r="W83" s="2"/>
      <c r="X83" s="6">
        <f t="shared" si="67"/>
        <v>124.78999999999996</v>
      </c>
      <c r="Y83" s="2"/>
      <c r="Z83" s="7">
        <f t="shared" si="68"/>
        <v>6.3994871794871774E-2</v>
      </c>
    </row>
    <row r="84" spans="1:26" s="26" customFormat="1" outlineLevel="1" collapsed="1" x14ac:dyDescent="0.25">
      <c r="A84" s="25"/>
      <c r="B84" s="12" t="str">
        <f>CONCATENATE("     ","Training                                          ")</f>
        <v xml:space="preserve">     Training                                          </v>
      </c>
      <c r="C84" s="12"/>
      <c r="D84" s="1">
        <f>SUM(OSRRefD22_14x_0)</f>
        <v>0</v>
      </c>
      <c r="E84" s="1"/>
      <c r="F84" s="5">
        <f t="shared" si="61"/>
        <v>0</v>
      </c>
      <c r="G84" s="1"/>
      <c r="H84" s="1">
        <f>SUM(OSRRefH22_14x_0)</f>
        <v>400</v>
      </c>
      <c r="I84" s="1"/>
      <c r="J84" s="5">
        <f t="shared" si="62"/>
        <v>3.8461538461538464E-3</v>
      </c>
      <c r="K84" s="1"/>
      <c r="L84" s="1">
        <f t="shared" si="63"/>
        <v>-400</v>
      </c>
      <c r="M84" s="1"/>
      <c r="N84" s="5">
        <f t="shared" si="64"/>
        <v>-1</v>
      </c>
      <c r="O84" s="12"/>
      <c r="P84" s="1">
        <f>SUM(OSRRefP22_14x_0)</f>
        <v>175</v>
      </c>
      <c r="Q84" s="1"/>
      <c r="R84" s="5">
        <f t="shared" si="65"/>
        <v>4.605579973317112E-4</v>
      </c>
      <c r="S84" s="1"/>
      <c r="T84" s="1">
        <f>SUM(OSRRefT22_14x_0)</f>
        <v>1000</v>
      </c>
      <c r="U84" s="1"/>
      <c r="V84" s="5">
        <f t="shared" si="66"/>
        <v>8.0321285140562252E-4</v>
      </c>
      <c r="W84" s="1"/>
      <c r="X84" s="1">
        <f t="shared" si="67"/>
        <v>-825</v>
      </c>
      <c r="Y84" s="1"/>
      <c r="Z84" s="5">
        <f t="shared" si="68"/>
        <v>-0.82499999999999996</v>
      </c>
    </row>
    <row r="85" spans="1:26" s="24" customFormat="1" hidden="1" outlineLevel="2" x14ac:dyDescent="0.25">
      <c r="A85" s="27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61"/>
        <v>0</v>
      </c>
      <c r="G85" s="2"/>
      <c r="H85" s="6">
        <v>400</v>
      </c>
      <c r="I85" s="2"/>
      <c r="J85" s="7">
        <f t="shared" si="62"/>
        <v>3.8461538461538464E-3</v>
      </c>
      <c r="K85" s="2"/>
      <c r="L85" s="6">
        <f t="shared" si="63"/>
        <v>-400</v>
      </c>
      <c r="M85" s="2"/>
      <c r="N85" s="7">
        <f t="shared" si="64"/>
        <v>-1</v>
      </c>
      <c r="O85" s="11"/>
      <c r="P85" s="6">
        <v>175</v>
      </c>
      <c r="Q85" s="2"/>
      <c r="R85" s="7">
        <f t="shared" si="65"/>
        <v>4.605579973317112E-4</v>
      </c>
      <c r="S85" s="2"/>
      <c r="T85" s="6">
        <v>1000</v>
      </c>
      <c r="U85" s="2"/>
      <c r="V85" s="7">
        <f t="shared" si="66"/>
        <v>8.0321285140562252E-4</v>
      </c>
      <c r="W85" s="2"/>
      <c r="X85" s="6">
        <f t="shared" si="67"/>
        <v>-825</v>
      </c>
      <c r="Y85" s="2"/>
      <c r="Z85" s="7">
        <f t="shared" si="68"/>
        <v>-0.82499999999999996</v>
      </c>
    </row>
    <row r="86" spans="1:26" s="26" customFormat="1" outlineLevel="1" collapsed="1" x14ac:dyDescent="0.25">
      <c r="A86" s="25"/>
      <c r="B86" s="12" t="str">
        <f>CONCATENATE("     ","Travel                                            ")</f>
        <v xml:space="preserve">     Travel                                            </v>
      </c>
      <c r="C86" s="12"/>
      <c r="D86" s="1">
        <f>SUM(OSRRefD22_15x_0)</f>
        <v>0</v>
      </c>
      <c r="E86" s="1"/>
      <c r="F86" s="5">
        <f t="shared" si="61"/>
        <v>0</v>
      </c>
      <c r="G86" s="1"/>
      <c r="H86" s="1">
        <f>SUM(OSRRefH22_15x_0)</f>
        <v>0</v>
      </c>
      <c r="I86" s="1"/>
      <c r="J86" s="5">
        <f t="shared" si="62"/>
        <v>0</v>
      </c>
      <c r="K86" s="1"/>
      <c r="L86" s="1">
        <f t="shared" si="63"/>
        <v>0</v>
      </c>
      <c r="M86" s="1"/>
      <c r="N86" s="5">
        <f t="shared" si="64"/>
        <v>0</v>
      </c>
      <c r="O86" s="12"/>
      <c r="P86" s="1">
        <f>SUM(OSRRefP22_15x_0)</f>
        <v>0</v>
      </c>
      <c r="Q86" s="1"/>
      <c r="R86" s="5">
        <f t="shared" si="65"/>
        <v>0</v>
      </c>
      <c r="S86" s="1"/>
      <c r="T86" s="1">
        <f>SUM(OSRRefT22_15x_0)</f>
        <v>1500</v>
      </c>
      <c r="U86" s="1"/>
      <c r="V86" s="5">
        <f t="shared" si="66"/>
        <v>1.2048192771084338E-3</v>
      </c>
      <c r="W86" s="1"/>
      <c r="X86" s="1">
        <f t="shared" si="67"/>
        <v>-1500</v>
      </c>
      <c r="Y86" s="1"/>
      <c r="Z86" s="5">
        <f t="shared" si="68"/>
        <v>-1</v>
      </c>
    </row>
    <row r="87" spans="1:26" s="24" customFormat="1" hidden="1" outlineLevel="2" x14ac:dyDescent="0.25">
      <c r="A87" s="27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61"/>
        <v>0</v>
      </c>
      <c r="G87" s="2"/>
      <c r="H87" s="6"/>
      <c r="I87" s="2"/>
      <c r="J87" s="7">
        <f t="shared" si="62"/>
        <v>0</v>
      </c>
      <c r="K87" s="2"/>
      <c r="L87" s="6">
        <f t="shared" si="63"/>
        <v>0</v>
      </c>
      <c r="M87" s="2"/>
      <c r="N87" s="7">
        <f t="shared" si="64"/>
        <v>0</v>
      </c>
      <c r="O87" s="11"/>
      <c r="P87" s="6"/>
      <c r="Q87" s="2"/>
      <c r="R87" s="7">
        <f t="shared" si="65"/>
        <v>0</v>
      </c>
      <c r="S87" s="2"/>
      <c r="T87" s="6">
        <v>1500</v>
      </c>
      <c r="U87" s="2"/>
      <c r="V87" s="7">
        <f t="shared" si="66"/>
        <v>1.2048192771084338E-3</v>
      </c>
      <c r="W87" s="2"/>
      <c r="X87" s="6">
        <f t="shared" si="67"/>
        <v>-1500</v>
      </c>
      <c r="Y87" s="2"/>
      <c r="Z87" s="7">
        <f t="shared" si="68"/>
        <v>-1</v>
      </c>
    </row>
    <row r="88" spans="1:26" s="60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8" t="s">
        <v>0</v>
      </c>
      <c r="C89" s="10"/>
      <c r="D89" s="4">
        <f>SUM(0)</f>
        <v>0</v>
      </c>
      <c r="E89" s="4"/>
      <c r="F89" s="13">
        <f>IF(D$12=0,0,D89/D$12)</f>
        <v>0</v>
      </c>
      <c r="G89" s="4"/>
      <c r="H89" s="4">
        <f>SUM(0)</f>
        <v>0</v>
      </c>
      <c r="I89" s="4"/>
      <c r="J89" s="13">
        <f>IF(H$12=0,0,H89/H$12)</f>
        <v>0</v>
      </c>
      <c r="K89" s="4"/>
      <c r="L89" s="4">
        <f>+D89-H89</f>
        <v>0</v>
      </c>
      <c r="M89" s="4"/>
      <c r="N89" s="13">
        <f>IF(H89=0,0,L89/H89)</f>
        <v>0</v>
      </c>
      <c r="O89" s="10"/>
      <c r="P89" s="4">
        <f>SUM(0)</f>
        <v>0</v>
      </c>
      <c r="Q89" s="4"/>
      <c r="R89" s="13">
        <f>IF(P$12=0,0,P89/P$12)</f>
        <v>0</v>
      </c>
      <c r="S89" s="4"/>
      <c r="T89" s="4">
        <f>SUM(0)</f>
        <v>0</v>
      </c>
      <c r="U89" s="4"/>
      <c r="V89" s="13">
        <f>IF(T$12=0,0,T89/T$12)</f>
        <v>0</v>
      </c>
      <c r="W89" s="4"/>
      <c r="X89" s="4">
        <f>+P89-T89</f>
        <v>0</v>
      </c>
      <c r="Y89" s="4"/>
      <c r="Z89" s="13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2">
        <f>+D23-D25+D89</f>
        <v>-3023.48</v>
      </c>
      <c r="E91" s="14"/>
      <c r="F91" s="20">
        <f>IF(D$12=0,0,D91/D$12)</f>
        <v>0</v>
      </c>
      <c r="G91" s="14"/>
      <c r="H91" s="22">
        <f>+H23-H25+H89</f>
        <v>5383.153346846113</v>
      </c>
      <c r="I91" s="14"/>
      <c r="J91" s="20">
        <f>IF(H$12=0,0,H91/H$12)</f>
        <v>5.1761089873520315E-2</v>
      </c>
      <c r="K91" s="15"/>
      <c r="L91" s="22">
        <f>+D91-H91</f>
        <v>-8406.6333468461125</v>
      </c>
      <c r="M91" s="15"/>
      <c r="N91" s="20">
        <f>IF(H91=0,0,L91/H91)</f>
        <v>-1.5616559301197315</v>
      </c>
      <c r="O91" s="28"/>
      <c r="P91" s="22">
        <f>+P23-P25+P89</f>
        <v>-165581.64999999997</v>
      </c>
      <c r="Q91" s="14"/>
      <c r="R91" s="20">
        <f>IF(P$12=0,0,P91/P$12)</f>
        <v>-0.43577116067931615</v>
      </c>
      <c r="S91" s="14"/>
      <c r="T91" s="22">
        <f>+T23-T25+T89</f>
        <v>54283.648250188329</v>
      </c>
      <c r="U91" s="14"/>
      <c r="V91" s="20">
        <f>IF(T$12=0,0,T91/T$12)</f>
        <v>4.3601323895733596E-2</v>
      </c>
      <c r="W91" s="15"/>
      <c r="X91" s="22">
        <f>+P91-T91</f>
        <v>-219865.29825018829</v>
      </c>
      <c r="Y91" s="15"/>
      <c r="Z91" s="20">
        <f>IF(T91=0,0,X91/T91)</f>
        <v>-4.0503043796328759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12546.05</v>
      </c>
      <c r="E93" s="4"/>
      <c r="F93" s="13">
        <f>IF(D$12=0,0,D93/D$12)</f>
        <v>0</v>
      </c>
      <c r="G93" s="4"/>
      <c r="H93" s="4">
        <v>28911</v>
      </c>
      <c r="I93" s="4"/>
      <c r="J93" s="13">
        <f>IF(H$12=0,0,H93/H$12)</f>
        <v>0.27799038461538461</v>
      </c>
      <c r="K93" s="4"/>
      <c r="L93" s="4">
        <f>+D93-H93</f>
        <v>-16364.95</v>
      </c>
      <c r="M93" s="4"/>
      <c r="N93" s="13">
        <f>IF(H93=0,0,L93/H93)</f>
        <v>-0.56604579571789282</v>
      </c>
      <c r="O93" s="10"/>
      <c r="P93" s="4">
        <v>57542.77</v>
      </c>
      <c r="Q93" s="4"/>
      <c r="R93" s="13">
        <f>IF(P$12=0,0,P93/P$12)</f>
        <v>0.1514387594978244</v>
      </c>
      <c r="S93" s="4"/>
      <c r="T93" s="4">
        <v>161067</v>
      </c>
      <c r="U93" s="4"/>
      <c r="V93" s="13">
        <f>IF(T$12=0,0,T93/T$12)</f>
        <v>0.1293710843373494</v>
      </c>
      <c r="W93" s="4"/>
      <c r="X93" s="4">
        <f>+P93-T93</f>
        <v>-103524.23000000001</v>
      </c>
      <c r="Y93" s="4"/>
      <c r="Z93" s="13">
        <f>IF(T93=0,0,X93/T93)</f>
        <v>-0.64274016403111756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1">
        <f>+D91-D93</f>
        <v>-15569.529999999999</v>
      </c>
      <c r="E95" s="14"/>
      <c r="F95" s="33">
        <f>IF(D$12=0,0,D95/D$12)</f>
        <v>0</v>
      </c>
      <c r="G95" s="14"/>
      <c r="H95" s="31">
        <f>+H91-H93</f>
        <v>-23527.846653153887</v>
      </c>
      <c r="I95" s="14"/>
      <c r="J95" s="33">
        <f>IF(H$12=0,0,H95/H$12)</f>
        <v>-0.22622929474186429</v>
      </c>
      <c r="K95" s="15"/>
      <c r="L95" s="31">
        <f>D95-H95</f>
        <v>7958.3166531538882</v>
      </c>
      <c r="M95" s="15"/>
      <c r="N95" s="33">
        <f>IF(H95=0,0,L95/H95)</f>
        <v>-0.33825095727947047</v>
      </c>
      <c r="O95" s="28"/>
      <c r="P95" s="31">
        <f>+P91-P93</f>
        <v>-223124.41999999995</v>
      </c>
      <c r="Q95" s="14"/>
      <c r="R95" s="33">
        <f>IF(P$12=0,0,P95/P$12)</f>
        <v>-0.58720992017714047</v>
      </c>
      <c r="S95" s="14"/>
      <c r="T95" s="31">
        <f>+T91-T93</f>
        <v>-106783.35174981167</v>
      </c>
      <c r="U95" s="14"/>
      <c r="V95" s="33">
        <f>IF(T$12=0,0,T95/T$12)</f>
        <v>-8.57697604416158E-2</v>
      </c>
      <c r="W95" s="15"/>
      <c r="X95" s="31">
        <f>P95-T95</f>
        <v>-116341.06825018828</v>
      </c>
      <c r="Y95" s="15"/>
      <c r="Z95" s="33">
        <f>IF(T95=0,0,X95/T95)</f>
        <v>1.0895056799000831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4">
        <f>SUM(D95:D97)</f>
        <v>-15569.529999999999</v>
      </c>
      <c r="E98" s="14"/>
      <c r="F98" s="35">
        <f>IF(D$12=0,0,D98/D$12)</f>
        <v>0</v>
      </c>
      <c r="G98" s="14"/>
      <c r="H98" s="34">
        <f>SUM(H95:H97)</f>
        <v>-23527.846653153887</v>
      </c>
      <c r="I98" s="14"/>
      <c r="J98" s="35">
        <f>IF(H$12=0,0,H98/H$12)</f>
        <v>-0.22622929474186429</v>
      </c>
      <c r="K98" s="15"/>
      <c r="L98" s="34">
        <f>+D98-H98</f>
        <v>7958.3166531538882</v>
      </c>
      <c r="M98" s="15"/>
      <c r="N98" s="35">
        <f>IF(H98=0,0,L98/H98)</f>
        <v>-0.33825095727947047</v>
      </c>
      <c r="O98" s="28"/>
      <c r="P98" s="34">
        <f>SUM(P95:P97)</f>
        <v>-223124.41999999995</v>
      </c>
      <c r="Q98" s="14"/>
      <c r="R98" s="35">
        <f>IF(P$12=0,0,P98/P$12)</f>
        <v>-0.58720992017714047</v>
      </c>
      <c r="S98" s="14"/>
      <c r="T98" s="34">
        <f>SUM(T95:T97)</f>
        <v>-106783.35174981167</v>
      </c>
      <c r="U98" s="14"/>
      <c r="V98" s="35">
        <f>IF(T$12=0,0,T98/T$12)</f>
        <v>-8.57697604416158E-2</v>
      </c>
      <c r="W98" s="15"/>
      <c r="X98" s="34">
        <f>+P98-T98</f>
        <v>-116341.06825018828</v>
      </c>
      <c r="Y98" s="15"/>
      <c r="Z98" s="35">
        <f>IF(T98=0,0,X98/T98)</f>
        <v>1.0895056799000831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5">
        <v>44043.473749537035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62" t="s">
        <v>314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3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","420", " - ", "Catering")</f>
        <v>Department 420 - Catering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4" si="0">+D12-H12</f>
        <v>0</v>
      </c>
      <c r="M12" s="4"/>
      <c r="N12" s="13">
        <f t="shared" ref="N12:N14" si="1">IF(H12=0,0,L12/H12)</f>
        <v>0</v>
      </c>
      <c r="O12" s="10"/>
      <c r="P12" s="4">
        <f>SUM(OSRRefP13x_0)</f>
        <v>211082.08000000002</v>
      </c>
      <c r="Q12" s="4"/>
      <c r="R12" s="13"/>
      <c r="S12" s="4"/>
      <c r="T12" s="4">
        <f>SUM(OSRRefT13x_0)</f>
        <v>0</v>
      </c>
      <c r="U12" s="4"/>
      <c r="V12" s="13"/>
      <c r="W12" s="4"/>
      <c r="X12" s="4">
        <f t="shared" ref="X12:X14" si="2">+P12-T12</f>
        <v>211082.08000000002</v>
      </c>
      <c r="Y12" s="4"/>
      <c r="Z12" s="13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--210141.41</f>
        <v>210141.41</v>
      </c>
      <c r="Q13" s="2"/>
      <c r="R13" s="19"/>
      <c r="S13" s="2"/>
      <c r="T13" s="2"/>
      <c r="U13" s="2"/>
      <c r="V13" s="19"/>
      <c r="W13" s="2"/>
      <c r="X13" s="2">
        <f t="shared" si="2"/>
        <v>210141.41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--940.67</f>
        <v>940.67</v>
      </c>
      <c r="Q14" s="2"/>
      <c r="R14" s="19"/>
      <c r="S14" s="2"/>
      <c r="T14" s="2"/>
      <c r="U14" s="2"/>
      <c r="V14" s="19"/>
      <c r="W14" s="2"/>
      <c r="X14" s="2">
        <f t="shared" si="2"/>
        <v>940.67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3">
        <f t="shared" ref="F16:F18" si="5">IF(D$12=0,0,D16/D$12)</f>
        <v>0</v>
      </c>
      <c r="G16" s="4"/>
      <c r="H16" s="4">
        <f>SUM(OSRRefH16x_0)</f>
        <v>0</v>
      </c>
      <c r="I16" s="4"/>
      <c r="J16" s="13">
        <f t="shared" ref="J16:J18" si="6">IF(H$12=0,0,H16/H$12)</f>
        <v>0</v>
      </c>
      <c r="K16" s="4"/>
      <c r="L16" s="4">
        <f t="shared" ref="L16:L18" si="7">+D16-H16</f>
        <v>0</v>
      </c>
      <c r="M16" s="4"/>
      <c r="N16" s="13">
        <f t="shared" ref="N16:N18" si="8">IF(H16=0,0,L16/H16)</f>
        <v>0</v>
      </c>
      <c r="O16" s="10"/>
      <c r="P16" s="4">
        <f>SUM(OSRRefP16x_0)</f>
        <v>9795.24</v>
      </c>
      <c r="Q16" s="4"/>
      <c r="R16" s="13">
        <f t="shared" ref="R16:R18" si="9">IF(P$12=0,0,P16/P$12)</f>
        <v>4.6404886667783446E-2</v>
      </c>
      <c r="S16" s="4"/>
      <c r="T16" s="4">
        <f>SUM(OSRRefT16x_0)</f>
        <v>0</v>
      </c>
      <c r="U16" s="4"/>
      <c r="V16" s="13">
        <f t="shared" ref="V16:V18" si="10">IF(T$12=0,0,T16/T$12)</f>
        <v>0</v>
      </c>
      <c r="W16" s="4"/>
      <c r="X16" s="4">
        <f t="shared" ref="X16:X18" si="11">+P16-T16</f>
        <v>9795.24</v>
      </c>
      <c r="Y16" s="4"/>
      <c r="Z16" s="13">
        <f t="shared" ref="Z16:Z18" si="12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/>
      <c r="I17" s="2"/>
      <c r="J17" s="19">
        <f t="shared" si="6"/>
        <v>0</v>
      </c>
      <c r="K17" s="2"/>
      <c r="L17" s="2">
        <f t="shared" si="7"/>
        <v>0</v>
      </c>
      <c r="M17" s="2"/>
      <c r="N17" s="19">
        <f t="shared" si="8"/>
        <v>0</v>
      </c>
      <c r="O17" s="11"/>
      <c r="P17" s="2">
        <v>373.24</v>
      </c>
      <c r="Q17" s="2"/>
      <c r="R17" s="19">
        <f t="shared" si="9"/>
        <v>1.7682221058272687E-3</v>
      </c>
      <c r="S17" s="2"/>
      <c r="T17" s="2"/>
      <c r="U17" s="2"/>
      <c r="V17" s="19">
        <f t="shared" si="10"/>
        <v>0</v>
      </c>
      <c r="W17" s="2"/>
      <c r="X17" s="2">
        <f t="shared" si="11"/>
        <v>373.24</v>
      </c>
      <c r="Y17" s="2"/>
      <c r="Z17" s="19">
        <f t="shared" si="12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>
        <v>9422</v>
      </c>
      <c r="Q18" s="2"/>
      <c r="R18" s="19">
        <f t="shared" si="9"/>
        <v>4.4636664561956182E-2</v>
      </c>
      <c r="S18" s="2"/>
      <c r="T18" s="2"/>
      <c r="U18" s="2"/>
      <c r="V18" s="19">
        <f t="shared" si="10"/>
        <v>0</v>
      </c>
      <c r="W18" s="2"/>
      <c r="X18" s="2">
        <f t="shared" si="11"/>
        <v>9422</v>
      </c>
      <c r="Y18" s="2"/>
      <c r="Z18" s="19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0</v>
      </c>
      <c r="I20" s="14"/>
      <c r="J20" s="20">
        <f>IF(H$12=0,0,H20/H$12)</f>
        <v>0</v>
      </c>
      <c r="K20" s="15"/>
      <c r="L20" s="22">
        <f>+D20-H20</f>
        <v>0</v>
      </c>
      <c r="M20" s="15"/>
      <c r="N20" s="20">
        <f>IF(H20=0,0,L20/H20)</f>
        <v>0</v>
      </c>
      <c r="O20" s="28"/>
      <c r="P20" s="22">
        <f>P12-P16</f>
        <v>201286.84000000003</v>
      </c>
      <c r="Q20" s="14"/>
      <c r="R20" s="20">
        <f>IF(P$12=0,0,P20/P$12)</f>
        <v>0.95359511333221658</v>
      </c>
      <c r="S20" s="14"/>
      <c r="T20" s="22">
        <f>T12-T16</f>
        <v>0</v>
      </c>
      <c r="U20" s="14"/>
      <c r="V20" s="20">
        <f>IF(T$12=0,0,T20/T$12)</f>
        <v>0</v>
      </c>
      <c r="W20" s="15"/>
      <c r="X20" s="22">
        <f>+P20-T20</f>
        <v>201286.84000000003</v>
      </c>
      <c r="Y20" s="15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-538.16</v>
      </c>
      <c r="E22" s="21"/>
      <c r="F22" s="32">
        <f t="shared" ref="F22:F31" si="13">IF(D$12=0,0,D22/D$12)</f>
        <v>0</v>
      </c>
      <c r="G22" s="21"/>
      <c r="H22" s="21">
        <f>SUM(OSRRefH22x_0)</f>
        <v>0</v>
      </c>
      <c r="I22" s="21"/>
      <c r="J22" s="32">
        <f t="shared" ref="J22:J31" si="14">IF(H$12=0,0,H22/H$12)</f>
        <v>0</v>
      </c>
      <c r="K22" s="4"/>
      <c r="L22" s="21">
        <f t="shared" ref="L22:L31" si="15">+D22-H22</f>
        <v>-538.16</v>
      </c>
      <c r="M22" s="4"/>
      <c r="N22" s="32">
        <f t="shared" ref="N22:N31" si="16">IF(H22=0,0,L22/H22)</f>
        <v>0</v>
      </c>
      <c r="O22" s="10"/>
      <c r="P22" s="21">
        <f>SUM(OSRRefP22x_0)</f>
        <v>199587.37999999998</v>
      </c>
      <c r="Q22" s="21"/>
      <c r="R22" s="32">
        <f t="shared" ref="R22:R31" si="17">IF(P$12=0,0,P22/P$12)</f>
        <v>0.9455439324835152</v>
      </c>
      <c r="S22" s="21"/>
      <c r="T22" s="21">
        <f>SUM(OSRRefT22x_0)</f>
        <v>0</v>
      </c>
      <c r="U22" s="21"/>
      <c r="V22" s="32">
        <f t="shared" ref="V22:V31" si="18">IF(T$12=0,0,T22/T$12)</f>
        <v>0</v>
      </c>
      <c r="W22" s="4"/>
      <c r="X22" s="21">
        <f t="shared" ref="X22:X31" si="19">+P22-T22</f>
        <v>199587.37999999998</v>
      </c>
      <c r="Y22" s="4"/>
      <c r="Z22" s="32">
        <f t="shared" ref="Z22:Z31" si="20">IF(T22=0,0,X22/T22)</f>
        <v>0</v>
      </c>
    </row>
    <row r="23" spans="1:26" s="26" customFormat="1" outlineLevel="1" collapsed="1" x14ac:dyDescent="0.25">
      <c r="A23" s="25"/>
      <c r="B23" s="12" t="str">
        <f>CONCATENATE("     ","*Benefits                                         ")</f>
        <v xml:space="preserve">     *Benefits                                         </v>
      </c>
      <c r="C23" s="12"/>
      <c r="D23" s="1">
        <f>SUM(OSRRefD22_0x_0)</f>
        <v>-538.16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-538.16</v>
      </c>
      <c r="M23" s="1"/>
      <c r="N23" s="5">
        <f t="shared" si="16"/>
        <v>0</v>
      </c>
      <c r="O23" s="12"/>
      <c r="P23" s="1">
        <f>SUM(OSRRefP22_0x_0)</f>
        <v>34276.46</v>
      </c>
      <c r="Q23" s="1"/>
      <c r="R23" s="5">
        <f t="shared" si="17"/>
        <v>0.16238450938137428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34276.46</v>
      </c>
      <c r="Y23" s="1"/>
      <c r="Z23" s="5">
        <f t="shared" si="20"/>
        <v>0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/>
      <c r="I24" s="2"/>
      <c r="J24" s="7">
        <f t="shared" si="14"/>
        <v>0</v>
      </c>
      <c r="K24" s="2"/>
      <c r="L24" s="6">
        <f t="shared" si="15"/>
        <v>0</v>
      </c>
      <c r="M24" s="2"/>
      <c r="N24" s="7">
        <f t="shared" si="16"/>
        <v>0</v>
      </c>
      <c r="O24" s="11"/>
      <c r="P24" s="6">
        <v>14309.01</v>
      </c>
      <c r="Q24" s="2"/>
      <c r="R24" s="7">
        <f t="shared" si="17"/>
        <v>6.7788843088906453E-2</v>
      </c>
      <c r="S24" s="2"/>
      <c r="T24" s="6"/>
      <c r="U24" s="2"/>
      <c r="V24" s="7">
        <f t="shared" si="18"/>
        <v>0</v>
      </c>
      <c r="W24" s="2"/>
      <c r="X24" s="6">
        <f t="shared" si="19"/>
        <v>14309.01</v>
      </c>
      <c r="Y24" s="2"/>
      <c r="Z24" s="7">
        <f t="shared" si="20"/>
        <v>0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/>
      <c r="I25" s="2"/>
      <c r="J25" s="7">
        <f t="shared" si="14"/>
        <v>0</v>
      </c>
      <c r="K25" s="2"/>
      <c r="L25" s="6">
        <f t="shared" si="15"/>
        <v>0</v>
      </c>
      <c r="M25" s="2"/>
      <c r="N25" s="7">
        <f t="shared" si="16"/>
        <v>0</v>
      </c>
      <c r="O25" s="11"/>
      <c r="P25" s="6">
        <v>8030.89</v>
      </c>
      <c r="Q25" s="2"/>
      <c r="R25" s="7">
        <f t="shared" si="17"/>
        <v>3.8046289860323525E-2</v>
      </c>
      <c r="S25" s="2"/>
      <c r="T25" s="6"/>
      <c r="U25" s="2"/>
      <c r="V25" s="7">
        <f t="shared" si="18"/>
        <v>0</v>
      </c>
      <c r="W25" s="2"/>
      <c r="X25" s="6">
        <f t="shared" si="19"/>
        <v>8030.89</v>
      </c>
      <c r="Y25" s="2"/>
      <c r="Z25" s="7">
        <f t="shared" si="20"/>
        <v>0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19739.060000000001</v>
      </c>
      <c r="Q26" s="2"/>
      <c r="R26" s="7">
        <f t="shared" si="17"/>
        <v>9.3513670132490637E-2</v>
      </c>
      <c r="S26" s="2"/>
      <c r="T26" s="6"/>
      <c r="U26" s="2"/>
      <c r="V26" s="7">
        <f t="shared" si="18"/>
        <v>0</v>
      </c>
      <c r="W26" s="2"/>
      <c r="X26" s="6">
        <f t="shared" si="19"/>
        <v>19739.060000000001</v>
      </c>
      <c r="Y26" s="2"/>
      <c r="Z26" s="7">
        <f t="shared" si="20"/>
        <v>0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-538.16</v>
      </c>
      <c r="E27" s="2"/>
      <c r="F27" s="7">
        <f t="shared" si="13"/>
        <v>0</v>
      </c>
      <c r="G27" s="2"/>
      <c r="H27" s="6"/>
      <c r="I27" s="2"/>
      <c r="J27" s="7">
        <f t="shared" si="14"/>
        <v>0</v>
      </c>
      <c r="K27" s="2"/>
      <c r="L27" s="6">
        <f t="shared" si="15"/>
        <v>-538.16</v>
      </c>
      <c r="M27" s="2"/>
      <c r="N27" s="7">
        <f t="shared" si="16"/>
        <v>0</v>
      </c>
      <c r="O27" s="11"/>
      <c r="P27" s="6">
        <v>0</v>
      </c>
      <c r="Q27" s="2"/>
      <c r="R27" s="7">
        <f t="shared" si="17"/>
        <v>0</v>
      </c>
      <c r="S27" s="2"/>
      <c r="T27" s="6"/>
      <c r="U27" s="2"/>
      <c r="V27" s="7">
        <f t="shared" si="18"/>
        <v>0</v>
      </c>
      <c r="W27" s="2"/>
      <c r="X27" s="6">
        <f t="shared" si="19"/>
        <v>0</v>
      </c>
      <c r="Y27" s="2"/>
      <c r="Z27" s="7">
        <f t="shared" si="20"/>
        <v>0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10221.48</v>
      </c>
      <c r="Q28" s="2"/>
      <c r="R28" s="7">
        <f t="shared" si="17"/>
        <v>4.8424195933638697E-2</v>
      </c>
      <c r="S28" s="2"/>
      <c r="T28" s="6"/>
      <c r="U28" s="2"/>
      <c r="V28" s="7">
        <f t="shared" si="18"/>
        <v>0</v>
      </c>
      <c r="W28" s="2"/>
      <c r="X28" s="6">
        <f t="shared" si="19"/>
        <v>10221.48</v>
      </c>
      <c r="Y28" s="2"/>
      <c r="Z28" s="7">
        <f t="shared" si="20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>
        <v>6534.07</v>
      </c>
      <c r="Q29" s="2"/>
      <c r="R29" s="7">
        <f t="shared" si="17"/>
        <v>3.0955114711774676E-2</v>
      </c>
      <c r="S29" s="2"/>
      <c r="T29" s="6"/>
      <c r="U29" s="2"/>
      <c r="V29" s="7">
        <f t="shared" si="18"/>
        <v>0</v>
      </c>
      <c r="W29" s="2"/>
      <c r="X29" s="6">
        <f t="shared" si="19"/>
        <v>6534.07</v>
      </c>
      <c r="Y29" s="2"/>
      <c r="Z29" s="7">
        <f t="shared" si="20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3"/>
        <v>0</v>
      </c>
      <c r="G30" s="2"/>
      <c r="H30" s="6"/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>
        <v>-25661.230000000003</v>
      </c>
      <c r="Q30" s="2"/>
      <c r="R30" s="7">
        <f t="shared" si="17"/>
        <v>-0.12156991251933845</v>
      </c>
      <c r="S30" s="2"/>
      <c r="T30" s="6"/>
      <c r="U30" s="2"/>
      <c r="V30" s="7">
        <f t="shared" si="18"/>
        <v>0</v>
      </c>
      <c r="W30" s="2"/>
      <c r="X30" s="6">
        <f t="shared" si="19"/>
        <v>-25661.230000000003</v>
      </c>
      <c r="Y30" s="2"/>
      <c r="Z30" s="7">
        <f t="shared" si="20"/>
        <v>0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>
        <v>1103.18</v>
      </c>
      <c r="Q31" s="2"/>
      <c r="R31" s="7">
        <f t="shared" si="17"/>
        <v>5.2263081735787328E-3</v>
      </c>
      <c r="S31" s="2"/>
      <c r="T31" s="6"/>
      <c r="U31" s="2"/>
      <c r="V31" s="7">
        <f t="shared" si="18"/>
        <v>0</v>
      </c>
      <c r="W31" s="2"/>
      <c r="X31" s="6">
        <f t="shared" si="19"/>
        <v>1103.18</v>
      </c>
      <c r="Y31" s="2"/>
      <c r="Z31" s="7">
        <f t="shared" si="20"/>
        <v>0</v>
      </c>
    </row>
    <row r="32" spans="1:26" s="26" customFormat="1" outlineLevel="1" collapsed="1" x14ac:dyDescent="0.25">
      <c r="A32" s="25"/>
      <c r="B32" s="12" t="str">
        <f>CONCATENATE("     ","*Payroll                                          ")</f>
        <v xml:space="preserve">     *Payroll                                          </v>
      </c>
      <c r="C32" s="12"/>
      <c r="D32" s="1">
        <f>SUM(OSRRefD22_1x_0)</f>
        <v>0</v>
      </c>
      <c r="E32" s="1"/>
      <c r="F32" s="5">
        <f t="shared" ref="F32:F36" si="21">IF(D$12=0,0,D32/D$12)</f>
        <v>0</v>
      </c>
      <c r="G32" s="1"/>
      <c r="H32" s="1">
        <f>SUM(OSRRefH22_1x_0)</f>
        <v>0</v>
      </c>
      <c r="I32" s="1"/>
      <c r="J32" s="5">
        <f t="shared" ref="J32:J36" si="22">IF(H$12=0,0,H32/H$12)</f>
        <v>0</v>
      </c>
      <c r="K32" s="1"/>
      <c r="L32" s="1">
        <f t="shared" ref="L32:L36" si="23">+D32-H32</f>
        <v>0</v>
      </c>
      <c r="M32" s="1"/>
      <c r="N32" s="5">
        <f t="shared" ref="N32:N36" si="24">IF(H32=0,0,L32/H32)</f>
        <v>0</v>
      </c>
      <c r="O32" s="12"/>
      <c r="P32" s="1">
        <f>SUM(OSRRefP22_1x_0)</f>
        <v>160569.98000000001</v>
      </c>
      <c r="Q32" s="1"/>
      <c r="R32" s="5">
        <f t="shared" ref="R32:R36" si="25">IF(P$12=0,0,P32/P$12)</f>
        <v>0.76069925026321517</v>
      </c>
      <c r="S32" s="1"/>
      <c r="T32" s="1">
        <f>SUM(OSRRefT22_1x_0)</f>
        <v>0</v>
      </c>
      <c r="U32" s="1"/>
      <c r="V32" s="5">
        <f t="shared" ref="V32:V36" si="26">IF(T$12=0,0,T32/T$12)</f>
        <v>0</v>
      </c>
      <c r="W32" s="1"/>
      <c r="X32" s="1">
        <f t="shared" ref="X32:X36" si="27">+P32-T32</f>
        <v>160569.98000000001</v>
      </c>
      <c r="Y32" s="1"/>
      <c r="Z32" s="5">
        <f t="shared" ref="Z32:Z36" si="28">IF(T32=0,0,X32/T32)</f>
        <v>0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/>
      <c r="I33" s="2"/>
      <c r="J33" s="7">
        <f t="shared" si="22"/>
        <v>0</v>
      </c>
      <c r="K33" s="2"/>
      <c r="L33" s="6">
        <f t="shared" si="23"/>
        <v>0</v>
      </c>
      <c r="M33" s="2"/>
      <c r="N33" s="7">
        <f t="shared" si="24"/>
        <v>0</v>
      </c>
      <c r="O33" s="11"/>
      <c r="P33" s="6">
        <v>113004.92000000001</v>
      </c>
      <c r="Q33" s="2"/>
      <c r="R33" s="7">
        <f t="shared" si="25"/>
        <v>0.5353600836224468</v>
      </c>
      <c r="S33" s="2"/>
      <c r="T33" s="6"/>
      <c r="U33" s="2"/>
      <c r="V33" s="7">
        <f t="shared" si="26"/>
        <v>0</v>
      </c>
      <c r="W33" s="2"/>
      <c r="X33" s="6">
        <f t="shared" si="27"/>
        <v>113004.92000000001</v>
      </c>
      <c r="Y33" s="2"/>
      <c r="Z33" s="7">
        <f t="shared" si="28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18036.649999999998</v>
      </c>
      <c r="Q34" s="2"/>
      <c r="R34" s="7">
        <f t="shared" si="25"/>
        <v>8.5448513677712459E-2</v>
      </c>
      <c r="S34" s="2"/>
      <c r="T34" s="6"/>
      <c r="U34" s="2"/>
      <c r="V34" s="7">
        <f t="shared" si="26"/>
        <v>0</v>
      </c>
      <c r="W34" s="2"/>
      <c r="X34" s="6">
        <f t="shared" si="27"/>
        <v>18036.649999999998</v>
      </c>
      <c r="Y34" s="2"/>
      <c r="Z34" s="7">
        <f t="shared" si="28"/>
        <v>0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1"/>
        <v>0</v>
      </c>
      <c r="G35" s="2"/>
      <c r="H35" s="6"/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>
        <v>25720.959999999999</v>
      </c>
      <c r="Q35" s="2"/>
      <c r="R35" s="7">
        <f t="shared" si="25"/>
        <v>0.12185288301119639</v>
      </c>
      <c r="S35" s="2"/>
      <c r="T35" s="6"/>
      <c r="U35" s="2"/>
      <c r="V35" s="7">
        <f t="shared" si="26"/>
        <v>0</v>
      </c>
      <c r="W35" s="2"/>
      <c r="X35" s="6">
        <f t="shared" si="27"/>
        <v>25720.959999999999</v>
      </c>
      <c r="Y35" s="2"/>
      <c r="Z35" s="7">
        <f t="shared" si="28"/>
        <v>0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3807.45</v>
      </c>
      <c r="Q36" s="2"/>
      <c r="R36" s="7">
        <f t="shared" si="25"/>
        <v>1.8037769951859482E-2</v>
      </c>
      <c r="S36" s="2"/>
      <c r="T36" s="6"/>
      <c r="U36" s="2"/>
      <c r="V36" s="7">
        <f t="shared" si="26"/>
        <v>0</v>
      </c>
      <c r="W36" s="2"/>
      <c r="X36" s="6">
        <f t="shared" si="27"/>
        <v>3807.45</v>
      </c>
      <c r="Y36" s="2"/>
      <c r="Z36" s="7">
        <f t="shared" si="28"/>
        <v>0</v>
      </c>
    </row>
    <row r="37" spans="1:26" s="26" customFormat="1" outlineLevel="1" collapsed="1" x14ac:dyDescent="0.25">
      <c r="A37" s="25"/>
      <c r="B37" s="12" t="str">
        <f>CONCATENATE("     ","Advertising/Promo                                 ")</f>
        <v xml:space="preserve">     Advertising/Promo                                 </v>
      </c>
      <c r="C37" s="12"/>
      <c r="D37" s="1">
        <f>SUM(OSRRefD22_2x_0)</f>
        <v>0</v>
      </c>
      <c r="E37" s="1"/>
      <c r="F37" s="5">
        <f t="shared" ref="F37:F47" si="29">IF(D$12=0,0,D37/D$12)</f>
        <v>0</v>
      </c>
      <c r="G37" s="1"/>
      <c r="H37" s="1">
        <f>SUM(OSRRefH22_2x_0)</f>
        <v>0</v>
      </c>
      <c r="I37" s="1"/>
      <c r="J37" s="5">
        <f t="shared" ref="J37:J47" si="30">IF(H$12=0,0,H37/H$12)</f>
        <v>0</v>
      </c>
      <c r="K37" s="1"/>
      <c r="L37" s="1">
        <f t="shared" ref="L37:L47" si="31">+D37-H37</f>
        <v>0</v>
      </c>
      <c r="M37" s="1"/>
      <c r="N37" s="5">
        <f t="shared" ref="N37:N47" si="32">IF(H37=0,0,L37/H37)</f>
        <v>0</v>
      </c>
      <c r="O37" s="12"/>
      <c r="P37" s="1">
        <f>SUM(OSRRefP22_2x_0)</f>
        <v>500</v>
      </c>
      <c r="Q37" s="1"/>
      <c r="R37" s="5">
        <f t="shared" ref="R37:R47" si="33">IF(P$12=0,0,P37/P$12)</f>
        <v>2.3687467927168424E-3</v>
      </c>
      <c r="S37" s="1"/>
      <c r="T37" s="1">
        <f>SUM(OSRRefT22_2x_0)</f>
        <v>0</v>
      </c>
      <c r="U37" s="1"/>
      <c r="V37" s="5">
        <f t="shared" ref="V37:V47" si="34">IF(T$12=0,0,T37/T$12)</f>
        <v>0</v>
      </c>
      <c r="W37" s="1"/>
      <c r="X37" s="1">
        <f t="shared" ref="X37:X47" si="35">+P37-T37</f>
        <v>500</v>
      </c>
      <c r="Y37" s="1"/>
      <c r="Z37" s="5">
        <f t="shared" ref="Z37:Z47" si="36">IF(T37=0,0,X37/T37)</f>
        <v>0</v>
      </c>
    </row>
    <row r="38" spans="1:26" s="24" customFormat="1" hidden="1" outlineLevel="2" x14ac:dyDescent="0.25">
      <c r="A38" s="27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9"/>
        <v>0</v>
      </c>
      <c r="G38" s="2"/>
      <c r="H38" s="6"/>
      <c r="I38" s="2"/>
      <c r="J38" s="7">
        <f t="shared" si="30"/>
        <v>0</v>
      </c>
      <c r="K38" s="2"/>
      <c r="L38" s="6">
        <f t="shared" si="31"/>
        <v>0</v>
      </c>
      <c r="M38" s="2"/>
      <c r="N38" s="7">
        <f t="shared" si="32"/>
        <v>0</v>
      </c>
      <c r="O38" s="11"/>
      <c r="P38" s="6">
        <v>500</v>
      </c>
      <c r="Q38" s="2"/>
      <c r="R38" s="7">
        <f t="shared" si="33"/>
        <v>2.3687467927168424E-3</v>
      </c>
      <c r="S38" s="2"/>
      <c r="T38" s="6"/>
      <c r="U38" s="2"/>
      <c r="V38" s="7">
        <f t="shared" si="34"/>
        <v>0</v>
      </c>
      <c r="W38" s="2"/>
      <c r="X38" s="6">
        <f t="shared" si="35"/>
        <v>500</v>
      </c>
      <c r="Y38" s="2"/>
      <c r="Z38" s="7">
        <f t="shared" si="36"/>
        <v>0</v>
      </c>
    </row>
    <row r="39" spans="1:26" s="26" customFormat="1" outlineLevel="1" collapsed="1" x14ac:dyDescent="0.25">
      <c r="A39" s="25"/>
      <c r="B39" s="12" t="str">
        <f>CONCATENATE("     ","Bad Debts/Over/Short                              ")</f>
        <v xml:space="preserve">     Bad Debts/Over/Short                              </v>
      </c>
      <c r="C39" s="12"/>
      <c r="D39" s="1">
        <f>SUM(OSRRefD22_3x_0)</f>
        <v>0</v>
      </c>
      <c r="E39" s="1"/>
      <c r="F39" s="5">
        <f t="shared" si="29"/>
        <v>0</v>
      </c>
      <c r="G39" s="1"/>
      <c r="H39" s="1">
        <f>SUM(OSRRefH22_3x_0)</f>
        <v>0</v>
      </c>
      <c r="I39" s="1"/>
      <c r="J39" s="5">
        <f t="shared" si="30"/>
        <v>0</v>
      </c>
      <c r="K39" s="1"/>
      <c r="L39" s="1">
        <f t="shared" si="31"/>
        <v>0</v>
      </c>
      <c r="M39" s="1"/>
      <c r="N39" s="5">
        <f t="shared" si="32"/>
        <v>0</v>
      </c>
      <c r="O39" s="12"/>
      <c r="P39" s="1">
        <f>SUM(OSRRefP22_3x_0)</f>
        <v>-1.98</v>
      </c>
      <c r="Q39" s="1"/>
      <c r="R39" s="5">
        <f t="shared" si="33"/>
        <v>-9.3802372991586962E-6</v>
      </c>
      <c r="S39" s="1"/>
      <c r="T39" s="1">
        <f>SUM(OSRRefT22_3x_0)</f>
        <v>0</v>
      </c>
      <c r="U39" s="1"/>
      <c r="V39" s="5">
        <f t="shared" si="34"/>
        <v>0</v>
      </c>
      <c r="W39" s="1"/>
      <c r="X39" s="1">
        <f t="shared" si="35"/>
        <v>-1.98</v>
      </c>
      <c r="Y39" s="1"/>
      <c r="Z39" s="5">
        <f t="shared" si="36"/>
        <v>0</v>
      </c>
    </row>
    <row r="40" spans="1:26" s="24" customFormat="1" hidden="1" outlineLevel="2" x14ac:dyDescent="0.25">
      <c r="A40" s="27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29"/>
        <v>0</v>
      </c>
      <c r="G40" s="2"/>
      <c r="H40" s="6"/>
      <c r="I40" s="2"/>
      <c r="J40" s="7">
        <f t="shared" si="30"/>
        <v>0</v>
      </c>
      <c r="K40" s="2"/>
      <c r="L40" s="6">
        <f t="shared" si="31"/>
        <v>0</v>
      </c>
      <c r="M40" s="2"/>
      <c r="N40" s="7">
        <f t="shared" si="32"/>
        <v>0</v>
      </c>
      <c r="O40" s="11"/>
      <c r="P40" s="6">
        <v>-1.98</v>
      </c>
      <c r="Q40" s="2"/>
      <c r="R40" s="7">
        <f t="shared" si="33"/>
        <v>-9.3802372991586962E-6</v>
      </c>
      <c r="S40" s="2"/>
      <c r="T40" s="6"/>
      <c r="U40" s="2"/>
      <c r="V40" s="7">
        <f t="shared" si="34"/>
        <v>0</v>
      </c>
      <c r="W40" s="2"/>
      <c r="X40" s="6">
        <f t="shared" si="35"/>
        <v>-1.98</v>
      </c>
      <c r="Y40" s="2"/>
      <c r="Z40" s="7">
        <f t="shared" si="36"/>
        <v>0</v>
      </c>
    </row>
    <row r="41" spans="1:26" s="26" customFormat="1" outlineLevel="1" collapsed="1" x14ac:dyDescent="0.25">
      <c r="A41" s="25"/>
      <c r="B41" s="12" t="str">
        <f>CONCATENATE("     ","Bank/card Fees                                    ")</f>
        <v xml:space="preserve">     Bank/card Fees                                    </v>
      </c>
      <c r="C41" s="12"/>
      <c r="D41" s="1">
        <f>SUM(OSRRefD22_4x_0)</f>
        <v>0</v>
      </c>
      <c r="E41" s="1"/>
      <c r="F41" s="5">
        <f t="shared" si="29"/>
        <v>0</v>
      </c>
      <c r="G41" s="1"/>
      <c r="H41" s="1">
        <f>SUM(OSRRefH22_4x_0)</f>
        <v>0</v>
      </c>
      <c r="I41" s="1"/>
      <c r="J41" s="5">
        <f t="shared" si="30"/>
        <v>0</v>
      </c>
      <c r="K41" s="1"/>
      <c r="L41" s="1">
        <f t="shared" si="31"/>
        <v>0</v>
      </c>
      <c r="M41" s="1"/>
      <c r="N41" s="5">
        <f t="shared" si="32"/>
        <v>0</v>
      </c>
      <c r="O41" s="12"/>
      <c r="P41" s="1">
        <f>SUM(OSRRefP22_4x_0)</f>
        <v>685.09</v>
      </c>
      <c r="Q41" s="1"/>
      <c r="R41" s="5">
        <f t="shared" si="33"/>
        <v>3.2456094804447634E-3</v>
      </c>
      <c r="S41" s="1"/>
      <c r="T41" s="1">
        <f>SUM(OSRRefT22_4x_0)</f>
        <v>0</v>
      </c>
      <c r="U41" s="1"/>
      <c r="V41" s="5">
        <f t="shared" si="34"/>
        <v>0</v>
      </c>
      <c r="W41" s="1"/>
      <c r="X41" s="1">
        <f t="shared" si="35"/>
        <v>685.09</v>
      </c>
      <c r="Y41" s="1"/>
      <c r="Z41" s="5">
        <f t="shared" si="36"/>
        <v>0</v>
      </c>
    </row>
    <row r="42" spans="1:26" s="24" customFormat="1" hidden="1" outlineLevel="2" x14ac:dyDescent="0.25">
      <c r="A42" s="27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29"/>
        <v>0</v>
      </c>
      <c r="G42" s="2"/>
      <c r="H42" s="6"/>
      <c r="I42" s="2"/>
      <c r="J42" s="7">
        <f t="shared" si="30"/>
        <v>0</v>
      </c>
      <c r="K42" s="2"/>
      <c r="L42" s="6">
        <f t="shared" si="31"/>
        <v>0</v>
      </c>
      <c r="M42" s="2"/>
      <c r="N42" s="7">
        <f t="shared" si="32"/>
        <v>0</v>
      </c>
      <c r="O42" s="11"/>
      <c r="P42" s="6">
        <v>685.09</v>
      </c>
      <c r="Q42" s="2"/>
      <c r="R42" s="7">
        <f t="shared" si="33"/>
        <v>3.2456094804447634E-3</v>
      </c>
      <c r="S42" s="2"/>
      <c r="T42" s="6"/>
      <c r="U42" s="2"/>
      <c r="V42" s="7">
        <f t="shared" si="34"/>
        <v>0</v>
      </c>
      <c r="W42" s="2"/>
      <c r="X42" s="6">
        <f t="shared" si="35"/>
        <v>685.09</v>
      </c>
      <c r="Y42" s="2"/>
      <c r="Z42" s="7">
        <f t="shared" si="36"/>
        <v>0</v>
      </c>
    </row>
    <row r="43" spans="1:26" s="26" customFormat="1" outlineLevel="1" collapsed="1" x14ac:dyDescent="0.25">
      <c r="A43" s="25"/>
      <c r="B43" s="12" t="str">
        <f>CONCATENATE("     ","Repair and Maintenance                            ")</f>
        <v xml:space="preserve">     Repair and Maintenance                            </v>
      </c>
      <c r="C43" s="12"/>
      <c r="D43" s="1">
        <f>SUM(OSRRefD22_5x_0)</f>
        <v>0</v>
      </c>
      <c r="E43" s="1"/>
      <c r="F43" s="5">
        <f t="shared" si="29"/>
        <v>0</v>
      </c>
      <c r="G43" s="1"/>
      <c r="H43" s="1">
        <f>SUM(OSRRefH22_5x_0)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2"/>
      <c r="P43" s="1">
        <f>SUM(OSRRefP22_5x_0)</f>
        <v>1151.21</v>
      </c>
      <c r="Q43" s="1"/>
      <c r="R43" s="5">
        <f t="shared" si="33"/>
        <v>5.4538499904871127E-3</v>
      </c>
      <c r="S43" s="1"/>
      <c r="T43" s="1">
        <f>SUM(OSRRefT22_5x_0)</f>
        <v>0</v>
      </c>
      <c r="U43" s="1"/>
      <c r="V43" s="5">
        <f t="shared" si="34"/>
        <v>0</v>
      </c>
      <c r="W43" s="1"/>
      <c r="X43" s="1">
        <f t="shared" si="35"/>
        <v>1151.21</v>
      </c>
      <c r="Y43" s="1"/>
      <c r="Z43" s="5">
        <f t="shared" si="36"/>
        <v>0</v>
      </c>
    </row>
    <row r="44" spans="1:26" s="24" customFormat="1" hidden="1" outlineLevel="2" x14ac:dyDescent="0.25">
      <c r="A44" s="27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29"/>
        <v>0</v>
      </c>
      <c r="G44" s="2"/>
      <c r="H44" s="6"/>
      <c r="I44" s="2"/>
      <c r="J44" s="7">
        <f t="shared" si="30"/>
        <v>0</v>
      </c>
      <c r="K44" s="2"/>
      <c r="L44" s="6">
        <f t="shared" si="31"/>
        <v>0</v>
      </c>
      <c r="M44" s="2"/>
      <c r="N44" s="7">
        <f t="shared" si="32"/>
        <v>0</v>
      </c>
      <c r="O44" s="11"/>
      <c r="P44" s="6">
        <v>1151.21</v>
      </c>
      <c r="Q44" s="2"/>
      <c r="R44" s="7">
        <f t="shared" si="33"/>
        <v>5.4538499904871127E-3</v>
      </c>
      <c r="S44" s="2"/>
      <c r="T44" s="6"/>
      <c r="U44" s="2"/>
      <c r="V44" s="7">
        <f t="shared" si="34"/>
        <v>0</v>
      </c>
      <c r="W44" s="2"/>
      <c r="X44" s="6">
        <f t="shared" si="35"/>
        <v>1151.21</v>
      </c>
      <c r="Y44" s="2"/>
      <c r="Z44" s="7">
        <f t="shared" si="36"/>
        <v>0</v>
      </c>
    </row>
    <row r="45" spans="1:26" s="26" customFormat="1" outlineLevel="1" collapsed="1" x14ac:dyDescent="0.25">
      <c r="A45" s="25"/>
      <c r="B45" s="12" t="str">
        <f>CONCATENATE("     ","Supplies                                          ")</f>
        <v xml:space="preserve">     Supplies                                          </v>
      </c>
      <c r="C45" s="12"/>
      <c r="D45" s="1">
        <f>SUM(OSRRefD22_6x_0)</f>
        <v>0</v>
      </c>
      <c r="E45" s="1"/>
      <c r="F45" s="5">
        <f t="shared" si="29"/>
        <v>0</v>
      </c>
      <c r="G45" s="1"/>
      <c r="H45" s="1">
        <f>SUM(OSRRefH22_6x_0)</f>
        <v>0</v>
      </c>
      <c r="I45" s="1"/>
      <c r="J45" s="5">
        <f t="shared" si="30"/>
        <v>0</v>
      </c>
      <c r="K45" s="1"/>
      <c r="L45" s="1">
        <f t="shared" si="31"/>
        <v>0</v>
      </c>
      <c r="M45" s="1"/>
      <c r="N45" s="5">
        <f t="shared" si="32"/>
        <v>0</v>
      </c>
      <c r="O45" s="12"/>
      <c r="P45" s="1">
        <f>SUM(OSRRefP22_6x_0)</f>
        <v>1137.47</v>
      </c>
      <c r="Q45" s="1"/>
      <c r="R45" s="5">
        <f t="shared" si="33"/>
        <v>5.388756828623254E-3</v>
      </c>
      <c r="S45" s="1"/>
      <c r="T45" s="1">
        <f>SUM(OSRRefT22_6x_0)</f>
        <v>0</v>
      </c>
      <c r="U45" s="1"/>
      <c r="V45" s="5">
        <f t="shared" si="34"/>
        <v>0</v>
      </c>
      <c r="W45" s="1"/>
      <c r="X45" s="1">
        <f t="shared" si="35"/>
        <v>1137.47</v>
      </c>
      <c r="Y45" s="1"/>
      <c r="Z45" s="5">
        <f t="shared" si="36"/>
        <v>0</v>
      </c>
    </row>
    <row r="46" spans="1:26" s="24" customFormat="1" hidden="1" outlineLevel="2" x14ac:dyDescent="0.25">
      <c r="A46" s="27"/>
      <c r="B46" s="11" t="str">
        <f>CONCATENATE("          ", "6241", " - ", "OFFICE EXPENSE")</f>
        <v xml:space="preserve">          6241 - OFFICE EXPENSE</v>
      </c>
      <c r="C46" s="11"/>
      <c r="D46" s="6"/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914.08</v>
      </c>
      <c r="Q46" s="2"/>
      <c r="R46" s="7">
        <f t="shared" si="33"/>
        <v>4.330448136573223E-3</v>
      </c>
      <c r="S46" s="2"/>
      <c r="T46" s="6"/>
      <c r="U46" s="2"/>
      <c r="V46" s="7">
        <f t="shared" si="34"/>
        <v>0</v>
      </c>
      <c r="W46" s="2"/>
      <c r="X46" s="6">
        <f t="shared" si="35"/>
        <v>914.08</v>
      </c>
      <c r="Y46" s="2"/>
      <c r="Z46" s="7">
        <f t="shared" si="36"/>
        <v>0</v>
      </c>
    </row>
    <row r="47" spans="1:26" s="24" customFormat="1" hidden="1" outlineLevel="2" x14ac:dyDescent="0.25">
      <c r="A47" s="27"/>
      <c r="B47" s="11" t="str">
        <f>CONCATENATE("          ", "6247", " - ", "STORE SUPPLIES")</f>
        <v xml:space="preserve">          6247 - STORE SUPPLIES</v>
      </c>
      <c r="C47" s="11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>
        <v>223.39</v>
      </c>
      <c r="Q47" s="2"/>
      <c r="R47" s="7">
        <f t="shared" si="33"/>
        <v>1.0583086920500308E-3</v>
      </c>
      <c r="S47" s="2"/>
      <c r="T47" s="6"/>
      <c r="U47" s="2"/>
      <c r="V47" s="7">
        <f t="shared" si="34"/>
        <v>0</v>
      </c>
      <c r="W47" s="2"/>
      <c r="X47" s="6">
        <f t="shared" si="35"/>
        <v>223.39</v>
      </c>
      <c r="Y47" s="2"/>
      <c r="Z47" s="7">
        <f t="shared" si="36"/>
        <v>0</v>
      </c>
    </row>
    <row r="48" spans="1:26" s="26" customFormat="1" outlineLevel="1" collapsed="1" x14ac:dyDescent="0.25">
      <c r="A48" s="25"/>
      <c r="B48" s="12" t="str">
        <f>CONCATENATE("     ","Travel                                            ")</f>
        <v xml:space="preserve">     Travel                                            </v>
      </c>
      <c r="C48" s="12"/>
      <c r="D48" s="1">
        <f>SUM(OSRRefD22_7x_0)</f>
        <v>0</v>
      </c>
      <c r="E48" s="1"/>
      <c r="F48" s="5">
        <f t="shared" ref="F48:F49" si="37">IF(D$12=0,0,D48/D$12)</f>
        <v>0</v>
      </c>
      <c r="G48" s="1"/>
      <c r="H48" s="1">
        <f>SUM(OSRRefH22_7x_0)</f>
        <v>0</v>
      </c>
      <c r="I48" s="1"/>
      <c r="J48" s="5">
        <f t="shared" ref="J48:J49" si="38">IF(H$12=0,0,H48/H$12)</f>
        <v>0</v>
      </c>
      <c r="K48" s="1"/>
      <c r="L48" s="1">
        <f t="shared" ref="L48:L49" si="39">+D48-H48</f>
        <v>0</v>
      </c>
      <c r="M48" s="1"/>
      <c r="N48" s="5">
        <f t="shared" ref="N48:N49" si="40">IF(H48=0,0,L48/H48)</f>
        <v>0</v>
      </c>
      <c r="O48" s="12"/>
      <c r="P48" s="1">
        <f>SUM(OSRRefP22_7x_0)</f>
        <v>1269.1500000000001</v>
      </c>
      <c r="Q48" s="1"/>
      <c r="R48" s="5">
        <f t="shared" ref="R48:R49" si="41">IF(P$12=0,0,P48/P$12)</f>
        <v>6.0125899839531616E-3</v>
      </c>
      <c r="S48" s="1"/>
      <c r="T48" s="1">
        <f>SUM(OSRRefT22_7x_0)</f>
        <v>0</v>
      </c>
      <c r="U48" s="1"/>
      <c r="V48" s="5">
        <f t="shared" ref="V48:V49" si="42">IF(T$12=0,0,T48/T$12)</f>
        <v>0</v>
      </c>
      <c r="W48" s="1"/>
      <c r="X48" s="1">
        <f t="shared" ref="X48:X49" si="43">+P48-T48</f>
        <v>1269.1500000000001</v>
      </c>
      <c r="Y48" s="1"/>
      <c r="Z48" s="5">
        <f t="shared" ref="Z48:Z49" si="44">IF(T48=0,0,X48/T48)</f>
        <v>0</v>
      </c>
    </row>
    <row r="49" spans="1:26" s="24" customFormat="1" hidden="1" outlineLevel="2" x14ac:dyDescent="0.25">
      <c r="A49" s="27"/>
      <c r="B49" s="11" t="str">
        <f>CONCATENATE("          ", "6292", " - ", "TRAVEL/CONFERENCE")</f>
        <v xml:space="preserve">          6292 - TRAVEL/CONFERENCE</v>
      </c>
      <c r="C49" s="11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1"/>
      <c r="P49" s="6">
        <v>1269.1500000000001</v>
      </c>
      <c r="Q49" s="2"/>
      <c r="R49" s="7">
        <f t="shared" si="41"/>
        <v>6.0125899839531616E-3</v>
      </c>
      <c r="S49" s="2"/>
      <c r="T49" s="6"/>
      <c r="U49" s="2"/>
      <c r="V49" s="7">
        <f t="shared" si="42"/>
        <v>0</v>
      </c>
      <c r="W49" s="2"/>
      <c r="X49" s="6">
        <f t="shared" si="43"/>
        <v>1269.1500000000001</v>
      </c>
      <c r="Y49" s="2"/>
      <c r="Z49" s="7">
        <f t="shared" si="44"/>
        <v>0</v>
      </c>
    </row>
    <row r="50" spans="1:26" s="60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8" t="s">
        <v>0</v>
      </c>
      <c r="C51" s="10"/>
      <c r="D51" s="4">
        <f>SUM(0)</f>
        <v>0</v>
      </c>
      <c r="E51" s="4"/>
      <c r="F51" s="13">
        <f>IF(D$12=0,0,D51/D$12)</f>
        <v>0</v>
      </c>
      <c r="G51" s="4"/>
      <c r="H51" s="4">
        <f>SUM(0)</f>
        <v>0</v>
      </c>
      <c r="I51" s="4"/>
      <c r="J51" s="13">
        <f>IF(H$12=0,0,H51/H$12)</f>
        <v>0</v>
      </c>
      <c r="K51" s="4"/>
      <c r="L51" s="4">
        <f>+D51-H51</f>
        <v>0</v>
      </c>
      <c r="M51" s="4"/>
      <c r="N51" s="13">
        <f>IF(H51=0,0,L51/H51)</f>
        <v>0</v>
      </c>
      <c r="O51" s="10"/>
      <c r="P51" s="4">
        <f>SUM(0)</f>
        <v>0</v>
      </c>
      <c r="Q51" s="4"/>
      <c r="R51" s="13">
        <f>IF(P$12=0,0,P51/P$12)</f>
        <v>0</v>
      </c>
      <c r="S51" s="4"/>
      <c r="T51" s="4">
        <f>SUM(0)</f>
        <v>0</v>
      </c>
      <c r="U51" s="4"/>
      <c r="V51" s="13">
        <f>IF(T$12=0,0,T51/T$12)</f>
        <v>0</v>
      </c>
      <c r="W51" s="4"/>
      <c r="X51" s="4">
        <f>+P51-T51</f>
        <v>0</v>
      </c>
      <c r="Y51" s="4"/>
      <c r="Z51" s="13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2">
        <f>+D20-D22+D51</f>
        <v>538.16</v>
      </c>
      <c r="E53" s="14"/>
      <c r="F53" s="20">
        <f>IF(D$12=0,0,D53/D$12)</f>
        <v>0</v>
      </c>
      <c r="G53" s="14"/>
      <c r="H53" s="22">
        <f>+H20-H22+H51</f>
        <v>0</v>
      </c>
      <c r="I53" s="14"/>
      <c r="J53" s="20">
        <f>IF(H$12=0,0,H53/H$12)</f>
        <v>0</v>
      </c>
      <c r="K53" s="15"/>
      <c r="L53" s="22">
        <f>+D53-H53</f>
        <v>538.16</v>
      </c>
      <c r="M53" s="15"/>
      <c r="N53" s="20">
        <f>IF(H53=0,0,L53/H53)</f>
        <v>0</v>
      </c>
      <c r="O53" s="28"/>
      <c r="P53" s="22">
        <f>+P20-P22+P51</f>
        <v>1699.4600000000501</v>
      </c>
      <c r="Q53" s="14"/>
      <c r="R53" s="20">
        <f>IF(P$12=0,0,P53/P$12)</f>
        <v>8.0511808487013677E-3</v>
      </c>
      <c r="S53" s="14"/>
      <c r="T53" s="22">
        <f>+T20-T22+T51</f>
        <v>0</v>
      </c>
      <c r="U53" s="14"/>
      <c r="V53" s="20">
        <f>IF(T$12=0,0,T53/T$12)</f>
        <v>0</v>
      </c>
      <c r="W53" s="15"/>
      <c r="X53" s="22">
        <f>+P53-T53</f>
        <v>1699.4600000000501</v>
      </c>
      <c r="Y53" s="15"/>
      <c r="Z53" s="20">
        <f>IF(T53=0,0,X53/T53)</f>
        <v>0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>
        <v>6969.55</v>
      </c>
      <c r="E55" s="4"/>
      <c r="F55" s="13">
        <f>IF(D$12=0,0,D55/D$12)</f>
        <v>0</v>
      </c>
      <c r="G55" s="4"/>
      <c r="H55" s="4"/>
      <c r="I55" s="4"/>
      <c r="J55" s="13">
        <f>IF(H$12=0,0,H55/H$12)</f>
        <v>0</v>
      </c>
      <c r="K55" s="4"/>
      <c r="L55" s="4">
        <f>+D55-H55</f>
        <v>6969.55</v>
      </c>
      <c r="M55" s="4"/>
      <c r="N55" s="13">
        <f>IF(H55=0,0,L55/H55)</f>
        <v>0</v>
      </c>
      <c r="O55" s="10"/>
      <c r="P55" s="4">
        <v>31966.01</v>
      </c>
      <c r="Q55" s="4"/>
      <c r="R55" s="13">
        <f>IF(P$12=0,0,P55/P$12)</f>
        <v>0.15143876732690903</v>
      </c>
      <c r="S55" s="4"/>
      <c r="T55" s="4"/>
      <c r="U55" s="4"/>
      <c r="V55" s="13">
        <f>IF(T$12=0,0,T55/T$12)</f>
        <v>0</v>
      </c>
      <c r="W55" s="4"/>
      <c r="X55" s="4">
        <f>+P55-T55</f>
        <v>31966.01</v>
      </c>
      <c r="Y55" s="4"/>
      <c r="Z55" s="13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1">
        <f>+D53-D55</f>
        <v>-6431.39</v>
      </c>
      <c r="E57" s="14"/>
      <c r="F57" s="33">
        <f>IF(D$12=0,0,D57/D$12)</f>
        <v>0</v>
      </c>
      <c r="G57" s="14"/>
      <c r="H57" s="31">
        <f>+H53-H55</f>
        <v>0</v>
      </c>
      <c r="I57" s="14"/>
      <c r="J57" s="33">
        <f>IF(H$12=0,0,H57/H$12)</f>
        <v>0</v>
      </c>
      <c r="K57" s="15"/>
      <c r="L57" s="31">
        <f>D57-H57</f>
        <v>-6431.39</v>
      </c>
      <c r="M57" s="15"/>
      <c r="N57" s="33">
        <f>IF(H57=0,0,L57/H57)</f>
        <v>0</v>
      </c>
      <c r="O57" s="28"/>
      <c r="P57" s="31">
        <f>+P53-P55</f>
        <v>-30266.549999999948</v>
      </c>
      <c r="Q57" s="14"/>
      <c r="R57" s="33">
        <f>IF(P$12=0,0,P57/P$12)</f>
        <v>-0.14338758647820765</v>
      </c>
      <c r="S57" s="14"/>
      <c r="T57" s="31">
        <f>+T53-T55</f>
        <v>0</v>
      </c>
      <c r="U57" s="14"/>
      <c r="V57" s="33">
        <f>IF(T$12=0,0,T57/T$12)</f>
        <v>0</v>
      </c>
      <c r="W57" s="15"/>
      <c r="X57" s="31">
        <f>P57-T57</f>
        <v>-30266.549999999948</v>
      </c>
      <c r="Y57" s="15"/>
      <c r="Z57" s="33">
        <f>IF(T57=0,0,X57/T57)</f>
        <v>0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4">
        <f>SUM(D57:D59)</f>
        <v>-6431.39</v>
      </c>
      <c r="E60" s="14"/>
      <c r="F60" s="35">
        <f>IF(D$12=0,0,D60/D$12)</f>
        <v>0</v>
      </c>
      <c r="G60" s="14"/>
      <c r="H60" s="34">
        <f>SUM(H57:H59)</f>
        <v>0</v>
      </c>
      <c r="I60" s="14"/>
      <c r="J60" s="35">
        <f>IF(H$12=0,0,H60/H$12)</f>
        <v>0</v>
      </c>
      <c r="K60" s="15"/>
      <c r="L60" s="34">
        <f>+D60-H60</f>
        <v>-6431.39</v>
      </c>
      <c r="M60" s="15"/>
      <c r="N60" s="35">
        <f>IF(H60=0,0,L60/H60)</f>
        <v>0</v>
      </c>
      <c r="O60" s="28"/>
      <c r="P60" s="34">
        <f>SUM(P57:P59)</f>
        <v>-30266.549999999948</v>
      </c>
      <c r="Q60" s="14"/>
      <c r="R60" s="35">
        <f>IF(P$12=0,0,P60/P$12)</f>
        <v>-0.14338758647820765</v>
      </c>
      <c r="S60" s="14"/>
      <c r="T60" s="34">
        <f>SUM(T57:T59)</f>
        <v>0</v>
      </c>
      <c r="U60" s="14"/>
      <c r="V60" s="35">
        <f>IF(T$12=0,0,T60/T$12)</f>
        <v>0</v>
      </c>
      <c r="W60" s="15"/>
      <c r="X60" s="34">
        <f>+P60-T60</f>
        <v>-30266.549999999948</v>
      </c>
      <c r="Y60" s="15"/>
      <c r="Z60" s="35">
        <f>IF(T60=0,0,X60/T60)</f>
        <v>0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A62" s="9"/>
      <c r="B62" s="55">
        <v>44043.47384702546</v>
      </c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62" t="s">
        <v>314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63"/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4:24" x14ac:dyDescent="0.25"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","413", " - ", "Beach Walk")</f>
        <v>Department 413 - Beach Walk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6" si="0">+D12-H12</f>
        <v>0</v>
      </c>
      <c r="M12" s="4"/>
      <c r="N12" s="13">
        <f t="shared" ref="N12:N16" si="1">IF(H12=0,0,L12/H12)</f>
        <v>0</v>
      </c>
      <c r="O12" s="10"/>
      <c r="P12" s="4">
        <f>SUM(OSRRefP13x_0)</f>
        <v>255048.55</v>
      </c>
      <c r="Q12" s="4"/>
      <c r="R12" s="13"/>
      <c r="S12" s="4"/>
      <c r="T12" s="4">
        <f>SUM(OSRRefT13x_0)</f>
        <v>419036</v>
      </c>
      <c r="U12" s="4"/>
      <c r="V12" s="13"/>
      <c r="W12" s="4"/>
      <c r="X12" s="4">
        <f t="shared" ref="X12:X16" si="2">+P12-T12</f>
        <v>-163987.45000000001</v>
      </c>
      <c r="Y12" s="4"/>
      <c r="Z12" s="13">
        <f t="shared" ref="Z12:Z16" si="3">IF(T12=0,0,X12/T12)</f>
        <v>-0.39134453841674705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86211</v>
      </c>
      <c r="U13" s="2"/>
      <c r="V13" s="19"/>
      <c r="W13" s="2"/>
      <c r="X13" s="2">
        <f t="shared" si="2"/>
        <v>-86211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--57510.69</f>
        <v>57510.69</v>
      </c>
      <c r="Q14" s="2"/>
      <c r="R14" s="19"/>
      <c r="S14" s="2"/>
      <c r="T14" s="2"/>
      <c r="U14" s="2"/>
      <c r="V14" s="19"/>
      <c r="W14" s="2"/>
      <c r="X14" s="2">
        <f t="shared" si="2"/>
        <v>57510.69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332825</v>
      </c>
      <c r="U15" s="2"/>
      <c r="V15" s="19"/>
      <c r="W15" s="2"/>
      <c r="X15" s="2">
        <f t="shared" si="2"/>
        <v>-332825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--197537.86</f>
        <v>197537.86</v>
      </c>
      <c r="Q16" s="2"/>
      <c r="R16" s="19"/>
      <c r="S16" s="2"/>
      <c r="T16" s="2"/>
      <c r="U16" s="2"/>
      <c r="V16" s="19"/>
      <c r="W16" s="2"/>
      <c r="X16" s="2">
        <f t="shared" si="2"/>
        <v>197537.86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1514</v>
      </c>
      <c r="E18" s="4"/>
      <c r="F18" s="13">
        <f t="shared" ref="F18:F21" si="5">IF(D$12=0,0,D18/D$12)</f>
        <v>0</v>
      </c>
      <c r="G18" s="4"/>
      <c r="H18" s="4">
        <f>SUM(OSRRefH16x_0)</f>
        <v>0</v>
      </c>
      <c r="I18" s="4"/>
      <c r="J18" s="13">
        <f t="shared" ref="J18:J21" si="6">IF(H$12=0,0,H18/H$12)</f>
        <v>0</v>
      </c>
      <c r="K18" s="4"/>
      <c r="L18" s="4">
        <f t="shared" ref="L18:L21" si="7">+D18-H18</f>
        <v>1514</v>
      </c>
      <c r="M18" s="4"/>
      <c r="N18" s="13">
        <f t="shared" ref="N18:N21" si="8">IF(H18=0,0,L18/H18)</f>
        <v>0</v>
      </c>
      <c r="O18" s="10"/>
      <c r="P18" s="4">
        <f>SUM(OSRRefP16x_0)</f>
        <v>93796.459999999992</v>
      </c>
      <c r="Q18" s="4"/>
      <c r="R18" s="13">
        <f t="shared" ref="R18:R21" si="9">IF(P$12=0,0,P18/P$12)</f>
        <v>0.36775923642773112</v>
      </c>
      <c r="S18" s="4"/>
      <c r="T18" s="4">
        <f>SUM(OSRRefT16x_0)</f>
        <v>125869</v>
      </c>
      <c r="U18" s="4"/>
      <c r="V18" s="13">
        <f t="shared" ref="V18:V21" si="10">IF(T$12=0,0,T18/T$12)</f>
        <v>0.30037753319523858</v>
      </c>
      <c r="W18" s="4"/>
      <c r="X18" s="4">
        <f t="shared" ref="X18:X21" si="11">+P18-T18</f>
        <v>-32072.540000000008</v>
      </c>
      <c r="Y18" s="4"/>
      <c r="Z18" s="13">
        <f t="shared" ref="Z18:Z21" si="12">IF(T18=0,0,X18/T18)</f>
        <v>-0.25480888860640832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/>
      <c r="Q19" s="2"/>
      <c r="R19" s="19">
        <f t="shared" si="9"/>
        <v>0</v>
      </c>
      <c r="S19" s="2"/>
      <c r="T19" s="2">
        <v>125869</v>
      </c>
      <c r="U19" s="2"/>
      <c r="V19" s="19">
        <f t="shared" si="10"/>
        <v>0.30037753319523858</v>
      </c>
      <c r="W19" s="2"/>
      <c r="X19" s="2">
        <f t="shared" si="11"/>
        <v>-125869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90960.51999999999</v>
      </c>
      <c r="Q20" s="2"/>
      <c r="R20" s="19">
        <f t="shared" si="9"/>
        <v>0.3566400201059759</v>
      </c>
      <c r="S20" s="2"/>
      <c r="T20" s="2"/>
      <c r="U20" s="2"/>
      <c r="V20" s="19">
        <f t="shared" si="10"/>
        <v>0</v>
      </c>
      <c r="W20" s="2"/>
      <c r="X20" s="2">
        <f t="shared" si="11"/>
        <v>90960.51999999999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1514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1514</v>
      </c>
      <c r="M21" s="2"/>
      <c r="N21" s="19">
        <f t="shared" si="8"/>
        <v>0</v>
      </c>
      <c r="O21" s="11"/>
      <c r="P21" s="2">
        <v>2835.94</v>
      </c>
      <c r="Q21" s="2"/>
      <c r="R21" s="19">
        <f t="shared" si="9"/>
        <v>1.1119216321755212E-2</v>
      </c>
      <c r="S21" s="2"/>
      <c r="T21" s="2"/>
      <c r="U21" s="2"/>
      <c r="V21" s="19">
        <f t="shared" si="10"/>
        <v>0</v>
      </c>
      <c r="W21" s="2"/>
      <c r="X21" s="2">
        <f t="shared" si="11"/>
        <v>2835.94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-1514</v>
      </c>
      <c r="E23" s="14"/>
      <c r="F23" s="20">
        <f>IF(D$12=0,0,D23/D$12)</f>
        <v>0</v>
      </c>
      <c r="G23" s="14"/>
      <c r="H23" s="22">
        <f>H12-H18</f>
        <v>0</v>
      </c>
      <c r="I23" s="14"/>
      <c r="J23" s="20">
        <f>IF(H$12=0,0,H23/H$12)</f>
        <v>0</v>
      </c>
      <c r="K23" s="15"/>
      <c r="L23" s="22">
        <f>+D23-H23</f>
        <v>-1514</v>
      </c>
      <c r="M23" s="15"/>
      <c r="N23" s="20">
        <f>IF(H23=0,0,L23/H23)</f>
        <v>0</v>
      </c>
      <c r="O23" s="28"/>
      <c r="P23" s="22">
        <f>P12-P18</f>
        <v>161252.09</v>
      </c>
      <c r="Q23" s="14"/>
      <c r="R23" s="20">
        <f>IF(P$12=0,0,P23/P$12)</f>
        <v>0.63224076357226888</v>
      </c>
      <c r="S23" s="14"/>
      <c r="T23" s="22">
        <f>T12-T18</f>
        <v>293167</v>
      </c>
      <c r="U23" s="14"/>
      <c r="V23" s="20">
        <f>IF(T$12=0,0,T23/T$12)</f>
        <v>0.69962246680476137</v>
      </c>
      <c r="W23" s="15"/>
      <c r="X23" s="22">
        <f>+P23-T23</f>
        <v>-131914.91</v>
      </c>
      <c r="Y23" s="15"/>
      <c r="Z23" s="20">
        <f>IF(T23=0,0,X23/T23)</f>
        <v>-0.44996507110281853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6678.7</v>
      </c>
      <c r="E25" s="21"/>
      <c r="F25" s="32">
        <f t="shared" ref="F25:F35" si="13">IF(D$12=0,0,D25/D$12)</f>
        <v>0</v>
      </c>
      <c r="G25" s="21"/>
      <c r="H25" s="21">
        <f>SUM(OSRRefH22x_0)</f>
        <v>8959.8143117000018</v>
      </c>
      <c r="I25" s="21"/>
      <c r="J25" s="32">
        <f t="shared" ref="J25:J35" si="14">IF(H$12=0,0,H25/H$12)</f>
        <v>0</v>
      </c>
      <c r="K25" s="4"/>
      <c r="L25" s="21">
        <f t="shared" ref="L25:L35" si="15">+D25-H25</f>
        <v>-2281.114311700002</v>
      </c>
      <c r="M25" s="4"/>
      <c r="N25" s="32">
        <f t="shared" ref="N25:N35" si="16">IF(H25=0,0,L25/H25)</f>
        <v>-0.25459392709972267</v>
      </c>
      <c r="O25" s="10"/>
      <c r="P25" s="21">
        <f>SUM(OSRRefP22x_0)</f>
        <v>202889.50999999992</v>
      </c>
      <c r="Q25" s="21"/>
      <c r="R25" s="32">
        <f t="shared" ref="R25:R35" si="17">IF(P$12=0,0,P25/P$12)</f>
        <v>0.79549368149711075</v>
      </c>
      <c r="S25" s="21"/>
      <c r="T25" s="21">
        <f>SUM(OSRRefT22x_0)</f>
        <v>210515.06529160001</v>
      </c>
      <c r="U25" s="21"/>
      <c r="V25" s="32">
        <f t="shared" ref="V25:V35" si="18">IF(T$12=0,0,T25/T$12)</f>
        <v>0.50237942632995736</v>
      </c>
      <c r="W25" s="4"/>
      <c r="X25" s="21">
        <f t="shared" ref="X25:X35" si="19">+P25-T25</f>
        <v>-7625.5552916000888</v>
      </c>
      <c r="Y25" s="4"/>
      <c r="Z25" s="32">
        <f t="shared" ref="Z25:Z35" si="20">IF(T25=0,0,X25/T25)</f>
        <v>-3.6223323404609389E-2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1729.62</v>
      </c>
      <c r="E26" s="1"/>
      <c r="F26" s="5">
        <f t="shared" si="13"/>
        <v>0</v>
      </c>
      <c r="G26" s="1"/>
      <c r="H26" s="1">
        <f>SUM(OSRRefH22_0x_0)</f>
        <v>2801.7317732384618</v>
      </c>
      <c r="I26" s="1"/>
      <c r="J26" s="5">
        <f t="shared" si="14"/>
        <v>0</v>
      </c>
      <c r="K26" s="1"/>
      <c r="L26" s="1">
        <f t="shared" si="15"/>
        <v>-1072.1117732384619</v>
      </c>
      <c r="M26" s="1"/>
      <c r="N26" s="5">
        <f t="shared" si="16"/>
        <v>-0.38266039007696689</v>
      </c>
      <c r="O26" s="12"/>
      <c r="P26" s="1">
        <f>SUM(OSRRefP22_0x_0)</f>
        <v>39360.07</v>
      </c>
      <c r="Q26" s="1"/>
      <c r="R26" s="5">
        <f t="shared" si="17"/>
        <v>0.1543238336387327</v>
      </c>
      <c r="S26" s="1"/>
      <c r="T26" s="1">
        <f>SUM(OSRRefT22_0x_0)</f>
        <v>44389.782291600015</v>
      </c>
      <c r="U26" s="1"/>
      <c r="V26" s="5">
        <f t="shared" si="18"/>
        <v>0.10593309952271407</v>
      </c>
      <c r="W26" s="1"/>
      <c r="X26" s="1">
        <f t="shared" si="19"/>
        <v>-5029.7122916000153</v>
      </c>
      <c r="Y26" s="1"/>
      <c r="Z26" s="5">
        <f t="shared" si="20"/>
        <v>-0.11330788375035125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383.02</v>
      </c>
      <c r="E27" s="2"/>
      <c r="F27" s="7">
        <f t="shared" si="13"/>
        <v>0</v>
      </c>
      <c r="G27" s="2"/>
      <c r="H27" s="6">
        <v>357.74225185384603</v>
      </c>
      <c r="I27" s="2"/>
      <c r="J27" s="7">
        <f t="shared" si="14"/>
        <v>0</v>
      </c>
      <c r="K27" s="2"/>
      <c r="L27" s="6">
        <f t="shared" si="15"/>
        <v>25.277748146153954</v>
      </c>
      <c r="M27" s="2"/>
      <c r="N27" s="7">
        <f t="shared" si="16"/>
        <v>7.0659107262736928E-2</v>
      </c>
      <c r="O27" s="11"/>
      <c r="P27" s="6">
        <v>7681.8</v>
      </c>
      <c r="Q27" s="2"/>
      <c r="R27" s="7">
        <f t="shared" si="17"/>
        <v>3.0118971466412965E-2</v>
      </c>
      <c r="S27" s="2"/>
      <c r="T27" s="6">
        <v>8186.5151195999997</v>
      </c>
      <c r="U27" s="2"/>
      <c r="V27" s="7">
        <f t="shared" si="18"/>
        <v>1.9536543685029446E-2</v>
      </c>
      <c r="W27" s="2"/>
      <c r="X27" s="6">
        <f t="shared" si="19"/>
        <v>-504.71511959999953</v>
      </c>
      <c r="Y27" s="2"/>
      <c r="Z27" s="7">
        <f t="shared" si="20"/>
        <v>-6.1652010926067938E-2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194.26</v>
      </c>
      <c r="E28" s="2"/>
      <c r="F28" s="7">
        <f t="shared" si="13"/>
        <v>0</v>
      </c>
      <c r="G28" s="2"/>
      <c r="H28" s="6">
        <v>181.37200276923099</v>
      </c>
      <c r="I28" s="2"/>
      <c r="J28" s="7">
        <f t="shared" si="14"/>
        <v>0</v>
      </c>
      <c r="K28" s="2"/>
      <c r="L28" s="6">
        <f t="shared" si="15"/>
        <v>12.887997230769002</v>
      </c>
      <c r="M28" s="2"/>
      <c r="N28" s="7">
        <f t="shared" si="16"/>
        <v>7.1058360904615855E-2</v>
      </c>
      <c r="O28" s="11"/>
      <c r="P28" s="6">
        <v>4772.83</v>
      </c>
      <c r="Q28" s="2"/>
      <c r="R28" s="7">
        <f t="shared" si="17"/>
        <v>1.8713417504235958E-2</v>
      </c>
      <c r="S28" s="2"/>
      <c r="T28" s="6">
        <v>5516.3969840000027</v>
      </c>
      <c r="U28" s="2"/>
      <c r="V28" s="7">
        <f t="shared" si="18"/>
        <v>1.316449418188414E-2</v>
      </c>
      <c r="W28" s="2"/>
      <c r="X28" s="6">
        <f t="shared" si="19"/>
        <v>-743.56698400000278</v>
      </c>
      <c r="Y28" s="2"/>
      <c r="Z28" s="7">
        <f t="shared" si="20"/>
        <v>-0.13479214533629047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718.51</v>
      </c>
      <c r="E29" s="2"/>
      <c r="F29" s="7">
        <f t="shared" si="13"/>
        <v>0</v>
      </c>
      <c r="G29" s="2"/>
      <c r="H29" s="6">
        <v>1381</v>
      </c>
      <c r="I29" s="2"/>
      <c r="J29" s="7">
        <f t="shared" si="14"/>
        <v>0</v>
      </c>
      <c r="K29" s="2"/>
      <c r="L29" s="6">
        <f t="shared" si="15"/>
        <v>-662.49</v>
      </c>
      <c r="M29" s="2"/>
      <c r="N29" s="7">
        <f t="shared" si="16"/>
        <v>-0.47971759594496743</v>
      </c>
      <c r="O29" s="11"/>
      <c r="P29" s="6">
        <v>14100.93</v>
      </c>
      <c r="Q29" s="2"/>
      <c r="R29" s="7">
        <f t="shared" si="17"/>
        <v>5.5287238449307011E-2</v>
      </c>
      <c r="S29" s="2"/>
      <c r="T29" s="6">
        <v>16572</v>
      </c>
      <c r="U29" s="2"/>
      <c r="V29" s="7">
        <f t="shared" si="18"/>
        <v>3.9547914737635907E-2</v>
      </c>
      <c r="W29" s="2"/>
      <c r="X29" s="6">
        <f t="shared" si="19"/>
        <v>-2471.0699999999997</v>
      </c>
      <c r="Y29" s="2"/>
      <c r="Z29" s="7">
        <f t="shared" si="20"/>
        <v>-0.14911115133960895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-356.65</v>
      </c>
      <c r="E30" s="2"/>
      <c r="F30" s="7">
        <f t="shared" si="13"/>
        <v>0</v>
      </c>
      <c r="G30" s="2"/>
      <c r="H30" s="6">
        <v>12.153794</v>
      </c>
      <c r="I30" s="2"/>
      <c r="J30" s="7">
        <f t="shared" si="14"/>
        <v>0</v>
      </c>
      <c r="K30" s="2"/>
      <c r="L30" s="6">
        <f t="shared" si="15"/>
        <v>-368.80379399999998</v>
      </c>
      <c r="M30" s="2"/>
      <c r="N30" s="7">
        <f t="shared" si="16"/>
        <v>-30.344746175556374</v>
      </c>
      <c r="O30" s="11"/>
      <c r="P30" s="6">
        <v>0</v>
      </c>
      <c r="Q30" s="2"/>
      <c r="R30" s="7">
        <f t="shared" si="17"/>
        <v>0</v>
      </c>
      <c r="S30" s="2"/>
      <c r="T30" s="6">
        <v>369.65546799999998</v>
      </c>
      <c r="U30" s="2"/>
      <c r="V30" s="7">
        <f t="shared" si="18"/>
        <v>8.8215682662110169E-4</v>
      </c>
      <c r="W30" s="2"/>
      <c r="X30" s="6">
        <f t="shared" si="19"/>
        <v>-369.65546799999998</v>
      </c>
      <c r="Y30" s="2"/>
      <c r="Z30" s="7">
        <f t="shared" si="20"/>
        <v>-1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340.69</v>
      </c>
      <c r="E31" s="2"/>
      <c r="F31" s="7">
        <f t="shared" si="13"/>
        <v>0</v>
      </c>
      <c r="G31" s="2"/>
      <c r="H31" s="6">
        <v>402.01010923076899</v>
      </c>
      <c r="I31" s="2"/>
      <c r="J31" s="7">
        <f t="shared" si="14"/>
        <v>0</v>
      </c>
      <c r="K31" s="2"/>
      <c r="L31" s="6">
        <f t="shared" si="15"/>
        <v>-61.320109230768992</v>
      </c>
      <c r="M31" s="2"/>
      <c r="N31" s="7">
        <f t="shared" si="16"/>
        <v>-0.15253374933307692</v>
      </c>
      <c r="O31" s="11"/>
      <c r="P31" s="6">
        <v>4131.1000000000004</v>
      </c>
      <c r="Q31" s="2"/>
      <c r="R31" s="7">
        <f t="shared" si="17"/>
        <v>1.6197308316397017E-2</v>
      </c>
      <c r="S31" s="2"/>
      <c r="T31" s="6">
        <v>5226.1314200000006</v>
      </c>
      <c r="U31" s="2"/>
      <c r="V31" s="7">
        <f t="shared" si="18"/>
        <v>1.2471795788428681E-2</v>
      </c>
      <c r="W31" s="2"/>
      <c r="X31" s="6">
        <f t="shared" si="19"/>
        <v>-1095.0314200000003</v>
      </c>
      <c r="Y31" s="2"/>
      <c r="Z31" s="7">
        <f t="shared" si="20"/>
        <v>-0.20953001981722078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187.78</v>
      </c>
      <c r="E33" s="2"/>
      <c r="F33" s="7">
        <f t="shared" si="13"/>
        <v>0</v>
      </c>
      <c r="G33" s="2"/>
      <c r="H33" s="6">
        <v>233.72680769230803</v>
      </c>
      <c r="I33" s="2"/>
      <c r="J33" s="7">
        <f t="shared" si="14"/>
        <v>0</v>
      </c>
      <c r="K33" s="2"/>
      <c r="L33" s="6">
        <f t="shared" si="15"/>
        <v>-45.946807692308028</v>
      </c>
      <c r="M33" s="2"/>
      <c r="N33" s="7">
        <f t="shared" si="16"/>
        <v>-0.19658338787048835</v>
      </c>
      <c r="O33" s="11"/>
      <c r="P33" s="6">
        <v>3612.5</v>
      </c>
      <c r="Q33" s="2"/>
      <c r="R33" s="7">
        <f t="shared" si="17"/>
        <v>1.4163969957876648E-2</v>
      </c>
      <c r="S33" s="2"/>
      <c r="T33" s="6">
        <v>3038.4485000000041</v>
      </c>
      <c r="U33" s="2"/>
      <c r="V33" s="7">
        <f t="shared" si="18"/>
        <v>7.2510440630399395E-3</v>
      </c>
      <c r="W33" s="2"/>
      <c r="X33" s="6">
        <f t="shared" si="19"/>
        <v>574.05149999999594</v>
      </c>
      <c r="Y33" s="2"/>
      <c r="Z33" s="7">
        <f t="shared" si="20"/>
        <v>0.18892915249345024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224.98</v>
      </c>
      <c r="E34" s="2"/>
      <c r="F34" s="7">
        <f t="shared" si="13"/>
        <v>0</v>
      </c>
      <c r="G34" s="2"/>
      <c r="H34" s="6">
        <v>233.72680769230803</v>
      </c>
      <c r="I34" s="2"/>
      <c r="J34" s="7">
        <f t="shared" si="14"/>
        <v>0</v>
      </c>
      <c r="K34" s="2"/>
      <c r="L34" s="6">
        <f t="shared" si="15"/>
        <v>-8.7468076923080389</v>
      </c>
      <c r="M34" s="2"/>
      <c r="N34" s="7">
        <f t="shared" si="16"/>
        <v>-3.7423211221123E-2</v>
      </c>
      <c r="O34" s="11"/>
      <c r="P34" s="6">
        <v>3742.82</v>
      </c>
      <c r="Q34" s="2"/>
      <c r="R34" s="7">
        <f t="shared" si="17"/>
        <v>1.4674931498336298E-2</v>
      </c>
      <c r="S34" s="2"/>
      <c r="T34" s="6">
        <v>5480.6348000000044</v>
      </c>
      <c r="U34" s="2"/>
      <c r="V34" s="7">
        <f t="shared" si="18"/>
        <v>1.3079150240074848E-2</v>
      </c>
      <c r="W34" s="2"/>
      <c r="X34" s="6">
        <f t="shared" si="19"/>
        <v>-1737.8148000000042</v>
      </c>
      <c r="Y34" s="2"/>
      <c r="Z34" s="7">
        <f t="shared" si="20"/>
        <v>-0.31708275836952371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37.03</v>
      </c>
      <c r="E35" s="2"/>
      <c r="F35" s="7">
        <f t="shared" si="13"/>
        <v>0</v>
      </c>
      <c r="G35" s="2"/>
      <c r="H35" s="6"/>
      <c r="I35" s="2"/>
      <c r="J35" s="7">
        <f t="shared" si="14"/>
        <v>0</v>
      </c>
      <c r="K35" s="2"/>
      <c r="L35" s="6">
        <f t="shared" si="15"/>
        <v>37.03</v>
      </c>
      <c r="M35" s="2"/>
      <c r="N35" s="7">
        <f t="shared" si="16"/>
        <v>0</v>
      </c>
      <c r="O35" s="11"/>
      <c r="P35" s="6">
        <v>1318.09</v>
      </c>
      <c r="Q35" s="2"/>
      <c r="R35" s="7">
        <f t="shared" si="17"/>
        <v>5.1679964461668181E-3</v>
      </c>
      <c r="S35" s="2"/>
      <c r="T35" s="6"/>
      <c r="U35" s="2"/>
      <c r="V35" s="7">
        <f t="shared" si="18"/>
        <v>0</v>
      </c>
      <c r="W35" s="2"/>
      <c r="X35" s="6">
        <f t="shared" si="19"/>
        <v>1318.09</v>
      </c>
      <c r="Y35" s="2"/>
      <c r="Z35" s="7">
        <f t="shared" si="20"/>
        <v>0</v>
      </c>
    </row>
    <row r="36" spans="1:26" s="26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4793.3100000000004</v>
      </c>
      <c r="E36" s="1"/>
      <c r="F36" s="5">
        <f t="shared" ref="F36:F46" si="21">IF(D$12=0,0,D36/D$12)</f>
        <v>0</v>
      </c>
      <c r="G36" s="1"/>
      <c r="H36" s="1">
        <f>SUM(OSRRefH22_1x_0)</f>
        <v>4207.08253846154</v>
      </c>
      <c r="I36" s="1"/>
      <c r="J36" s="5">
        <f t="shared" ref="J36:J46" si="22">IF(H$12=0,0,H36/H$12)</f>
        <v>0</v>
      </c>
      <c r="K36" s="1"/>
      <c r="L36" s="1">
        <f t="shared" ref="L36:L46" si="23">+D36-H36</f>
        <v>586.22746153846037</v>
      </c>
      <c r="M36" s="1"/>
      <c r="N36" s="5">
        <f t="shared" ref="N36:N46" si="24">IF(H36=0,0,L36/H36)</f>
        <v>0.13934299034523673</v>
      </c>
      <c r="O36" s="12"/>
      <c r="P36" s="1">
        <f>SUM(OSRRefP22_1x_0)</f>
        <v>128335.54999999999</v>
      </c>
      <c r="Q36" s="1"/>
      <c r="R36" s="5">
        <f t="shared" ref="R36:R46" si="25">IF(P$12=0,0,P36/P$12)</f>
        <v>0.50318086497649173</v>
      </c>
      <c r="S36" s="1"/>
      <c r="T36" s="1">
        <f>SUM(OSRRefT22_1x_0)</f>
        <v>136098.283</v>
      </c>
      <c r="U36" s="1"/>
      <c r="V36" s="5">
        <f t="shared" ref="V36:V46" si="26">IF(T$12=0,0,T36/T$12)</f>
        <v>0.32478899903588238</v>
      </c>
      <c r="W36" s="1"/>
      <c r="X36" s="1">
        <f t="shared" ref="X36:X46" si="27">+P36-T36</f>
        <v>-7762.7330000000075</v>
      </c>
      <c r="Y36" s="1"/>
      <c r="Z36" s="5">
        <f t="shared" ref="Z36:Z46" si="28">IF(T36=0,0,X36/T36)</f>
        <v>-5.7037699733508085E-2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4793.3100000000004</v>
      </c>
      <c r="E38" s="2"/>
      <c r="F38" s="7">
        <f t="shared" si="21"/>
        <v>0</v>
      </c>
      <c r="G38" s="2"/>
      <c r="H38" s="6">
        <v>4207.08253846154</v>
      </c>
      <c r="I38" s="2"/>
      <c r="J38" s="7">
        <f t="shared" si="22"/>
        <v>0</v>
      </c>
      <c r="K38" s="2"/>
      <c r="L38" s="6">
        <f t="shared" si="23"/>
        <v>586.22746153846037</v>
      </c>
      <c r="M38" s="2"/>
      <c r="N38" s="7">
        <f t="shared" si="24"/>
        <v>0.13934299034523673</v>
      </c>
      <c r="O38" s="11"/>
      <c r="P38" s="6">
        <v>54888.729999999996</v>
      </c>
      <c r="Q38" s="2"/>
      <c r="R38" s="7">
        <f t="shared" si="25"/>
        <v>0.21520894747294192</v>
      </c>
      <c r="S38" s="2"/>
      <c r="T38" s="6">
        <v>54692.073000000004</v>
      </c>
      <c r="U38" s="2"/>
      <c r="V38" s="7">
        <f t="shared" si="26"/>
        <v>0.13051879313471876</v>
      </c>
      <c r="W38" s="2"/>
      <c r="X38" s="6">
        <f t="shared" si="27"/>
        <v>196.65699999999197</v>
      </c>
      <c r="Y38" s="2"/>
      <c r="Z38" s="7">
        <f t="shared" si="28"/>
        <v>3.5957130387065774E-3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2483.52</v>
      </c>
      <c r="Q40" s="2"/>
      <c r="R40" s="7">
        <f t="shared" si="25"/>
        <v>9.7374401854078366E-3</v>
      </c>
      <c r="S40" s="2"/>
      <c r="T40" s="6">
        <v>42482.35</v>
      </c>
      <c r="U40" s="2"/>
      <c r="V40" s="7">
        <f t="shared" si="26"/>
        <v>0.10138114624996419</v>
      </c>
      <c r="W40" s="2"/>
      <c r="X40" s="6">
        <f t="shared" si="27"/>
        <v>-39998.83</v>
      </c>
      <c r="Y40" s="2"/>
      <c r="Z40" s="7">
        <f t="shared" si="28"/>
        <v>-0.94153995718221806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29725.459999999995</v>
      </c>
      <c r="Q41" s="2"/>
      <c r="R41" s="7">
        <f t="shared" si="25"/>
        <v>0.11654824150147099</v>
      </c>
      <c r="S41" s="2"/>
      <c r="T41" s="6">
        <v>6726.9</v>
      </c>
      <c r="U41" s="2"/>
      <c r="V41" s="7">
        <f t="shared" si="26"/>
        <v>1.605327465897918E-2</v>
      </c>
      <c r="W41" s="2"/>
      <c r="X41" s="6">
        <f t="shared" si="27"/>
        <v>22998.559999999998</v>
      </c>
      <c r="Y41" s="2"/>
      <c r="Z41" s="7">
        <f t="shared" si="28"/>
        <v>3.4188942900890451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36868.25</v>
      </c>
      <c r="Q43" s="2"/>
      <c r="R43" s="7">
        <f t="shared" si="25"/>
        <v>0.14455385062961543</v>
      </c>
      <c r="S43" s="2"/>
      <c r="T43" s="6">
        <v>3720</v>
      </c>
      <c r="U43" s="2"/>
      <c r="V43" s="7">
        <f t="shared" si="26"/>
        <v>8.8775188766597613E-3</v>
      </c>
      <c r="W43" s="2"/>
      <c r="X43" s="6">
        <f t="shared" si="27"/>
        <v>33148.25</v>
      </c>
      <c r="Y43" s="2"/>
      <c r="Z43" s="7">
        <f t="shared" si="28"/>
        <v>8.9108198924731177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4369.59</v>
      </c>
      <c r="Q44" s="2"/>
      <c r="R44" s="7">
        <f t="shared" si="25"/>
        <v>1.7132385187055565E-2</v>
      </c>
      <c r="S44" s="2"/>
      <c r="T44" s="6">
        <v>28476.959999999999</v>
      </c>
      <c r="U44" s="2"/>
      <c r="V44" s="7">
        <f t="shared" si="26"/>
        <v>6.7958266115560481E-2</v>
      </c>
      <c r="W44" s="2"/>
      <c r="X44" s="6">
        <f t="shared" si="27"/>
        <v>-24107.37</v>
      </c>
      <c r="Y44" s="2"/>
      <c r="Z44" s="7">
        <f t="shared" si="28"/>
        <v>-0.84655700608491913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6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62" si="29">IF(D$12=0,0,D47/D$12)</f>
        <v>0</v>
      </c>
      <c r="G47" s="1"/>
      <c r="H47" s="1">
        <f>SUM(OSRRefH22_2x_0)</f>
        <v>0</v>
      </c>
      <c r="I47" s="1"/>
      <c r="J47" s="5">
        <f t="shared" ref="J47:J62" si="30">IF(H$12=0,0,H47/H$12)</f>
        <v>0</v>
      </c>
      <c r="K47" s="1"/>
      <c r="L47" s="1">
        <f t="shared" ref="L47:L62" si="31">+D47-H47</f>
        <v>0</v>
      </c>
      <c r="M47" s="1"/>
      <c r="N47" s="5">
        <f t="shared" ref="N47:N62" si="32">IF(H47=0,0,L47/H47)</f>
        <v>0</v>
      </c>
      <c r="O47" s="12"/>
      <c r="P47" s="1">
        <f>SUM(OSRRefP22_2x_0)</f>
        <v>2599.63</v>
      </c>
      <c r="Q47" s="1"/>
      <c r="R47" s="5">
        <f t="shared" ref="R47:R62" si="33">IF(P$12=0,0,P47/P$12)</f>
        <v>1.0192686843348061E-2</v>
      </c>
      <c r="S47" s="1"/>
      <c r="T47" s="1">
        <f>SUM(OSRRefT22_2x_0)</f>
        <v>1125</v>
      </c>
      <c r="U47" s="1"/>
      <c r="V47" s="5">
        <f t="shared" ref="V47:V62" si="34">IF(T$12=0,0,T47/T$12)</f>
        <v>2.6847335312479119E-3</v>
      </c>
      <c r="W47" s="1"/>
      <c r="X47" s="1">
        <f t="shared" ref="X47:X62" si="35">+P47-T47</f>
        <v>1474.63</v>
      </c>
      <c r="Y47" s="1"/>
      <c r="Z47" s="5">
        <f t="shared" ref="Z47:Z62" si="36">IF(T47=0,0,X47/T47)</f>
        <v>1.3107822222222223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2599.63</v>
      </c>
      <c r="Q48" s="2"/>
      <c r="R48" s="7">
        <f t="shared" si="33"/>
        <v>1.0192686843348061E-2</v>
      </c>
      <c r="S48" s="2"/>
      <c r="T48" s="6">
        <v>1125</v>
      </c>
      <c r="U48" s="2"/>
      <c r="V48" s="7">
        <f t="shared" si="34"/>
        <v>2.6847335312479119E-3</v>
      </c>
      <c r="W48" s="2"/>
      <c r="X48" s="6">
        <f t="shared" si="35"/>
        <v>1474.63</v>
      </c>
      <c r="Y48" s="2"/>
      <c r="Z48" s="7">
        <f t="shared" si="36"/>
        <v>1.3107822222222223</v>
      </c>
    </row>
    <row r="49" spans="1:26" s="26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20</v>
      </c>
      <c r="I49" s="1"/>
      <c r="J49" s="5">
        <f t="shared" si="30"/>
        <v>0</v>
      </c>
      <c r="K49" s="1"/>
      <c r="L49" s="1">
        <f t="shared" si="31"/>
        <v>-20</v>
      </c>
      <c r="M49" s="1"/>
      <c r="N49" s="5">
        <f t="shared" si="32"/>
        <v>-1</v>
      </c>
      <c r="O49" s="12"/>
      <c r="P49" s="1">
        <f>SUM(OSRRefP22_3x_0)</f>
        <v>-48.26</v>
      </c>
      <c r="Q49" s="1"/>
      <c r="R49" s="5">
        <f t="shared" si="33"/>
        <v>-1.8921887617083101E-4</v>
      </c>
      <c r="S49" s="1"/>
      <c r="T49" s="1">
        <f>SUM(OSRRefT22_3x_0)</f>
        <v>240</v>
      </c>
      <c r="U49" s="1"/>
      <c r="V49" s="5">
        <f t="shared" si="34"/>
        <v>5.7274315333288785E-4</v>
      </c>
      <c r="W49" s="1"/>
      <c r="X49" s="1">
        <f t="shared" si="35"/>
        <v>-288.26</v>
      </c>
      <c r="Y49" s="1"/>
      <c r="Z49" s="5">
        <f t="shared" si="36"/>
        <v>-1.2010833333333333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9"/>
        <v>0</v>
      </c>
      <c r="G50" s="2"/>
      <c r="H50" s="6">
        <v>20</v>
      </c>
      <c r="I50" s="2"/>
      <c r="J50" s="7">
        <f t="shared" si="30"/>
        <v>0</v>
      </c>
      <c r="K50" s="2"/>
      <c r="L50" s="6">
        <f t="shared" si="31"/>
        <v>-20</v>
      </c>
      <c r="M50" s="2"/>
      <c r="N50" s="7">
        <f t="shared" si="32"/>
        <v>-1</v>
      </c>
      <c r="O50" s="11"/>
      <c r="P50" s="6">
        <v>-48.26</v>
      </c>
      <c r="Q50" s="2"/>
      <c r="R50" s="7">
        <f t="shared" si="33"/>
        <v>-1.8921887617083101E-4</v>
      </c>
      <c r="S50" s="2"/>
      <c r="T50" s="6">
        <v>240</v>
      </c>
      <c r="U50" s="2"/>
      <c r="V50" s="7">
        <f t="shared" si="34"/>
        <v>5.7274315333288785E-4</v>
      </c>
      <c r="W50" s="2"/>
      <c r="X50" s="6">
        <f t="shared" si="35"/>
        <v>-288.26</v>
      </c>
      <c r="Y50" s="2"/>
      <c r="Z50" s="7">
        <f t="shared" si="36"/>
        <v>-1.2010833333333333</v>
      </c>
    </row>
    <row r="51" spans="1:26" s="26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2"/>
      <c r="P51" s="1">
        <f>SUM(OSRRefP22_4x_0)</f>
        <v>10000.31</v>
      </c>
      <c r="Q51" s="1"/>
      <c r="R51" s="5">
        <f t="shared" si="33"/>
        <v>3.9209436791544199E-2</v>
      </c>
      <c r="S51" s="1"/>
      <c r="T51" s="1">
        <f>SUM(OSRRefT22_4x_0)</f>
        <v>9700</v>
      </c>
      <c r="U51" s="1"/>
      <c r="V51" s="5">
        <f t="shared" si="34"/>
        <v>2.3148369113870883E-2</v>
      </c>
      <c r="W51" s="1"/>
      <c r="X51" s="1">
        <f t="shared" si="35"/>
        <v>300.30999999999949</v>
      </c>
      <c r="Y51" s="1"/>
      <c r="Z51" s="5">
        <f t="shared" si="36"/>
        <v>3.0959793814432937E-2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10000.31</v>
      </c>
      <c r="Q52" s="2"/>
      <c r="R52" s="7">
        <f t="shared" si="33"/>
        <v>3.9209436791544199E-2</v>
      </c>
      <c r="S52" s="2"/>
      <c r="T52" s="6">
        <v>9700</v>
      </c>
      <c r="U52" s="2"/>
      <c r="V52" s="7">
        <f t="shared" si="34"/>
        <v>2.3148369113870883E-2</v>
      </c>
      <c r="W52" s="2"/>
      <c r="X52" s="6">
        <f t="shared" si="35"/>
        <v>300.30999999999949</v>
      </c>
      <c r="Y52" s="2"/>
      <c r="Z52" s="7">
        <f t="shared" si="36"/>
        <v>3.0959793814432937E-2</v>
      </c>
    </row>
    <row r="53" spans="1:26" s="26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58.07</v>
      </c>
      <c r="E53" s="1"/>
      <c r="F53" s="5">
        <f t="shared" si="29"/>
        <v>0</v>
      </c>
      <c r="G53" s="1"/>
      <c r="H53" s="1">
        <f>SUM(OSRRefH22_5x_0)</f>
        <v>636</v>
      </c>
      <c r="I53" s="1"/>
      <c r="J53" s="5">
        <f t="shared" si="30"/>
        <v>0</v>
      </c>
      <c r="K53" s="1"/>
      <c r="L53" s="1">
        <f t="shared" si="31"/>
        <v>-577.92999999999995</v>
      </c>
      <c r="M53" s="1"/>
      <c r="N53" s="5">
        <f t="shared" si="32"/>
        <v>-0.90869496855345899</v>
      </c>
      <c r="O53" s="12"/>
      <c r="P53" s="1">
        <f>SUM(OSRRefP22_5x_0)</f>
        <v>5846.06</v>
      </c>
      <c r="Q53" s="1"/>
      <c r="R53" s="5">
        <f t="shared" si="33"/>
        <v>2.2921361442752766E-2</v>
      </c>
      <c r="S53" s="1"/>
      <c r="T53" s="1">
        <f>SUM(OSRRefT22_5x_0)</f>
        <v>7632</v>
      </c>
      <c r="U53" s="1"/>
      <c r="V53" s="5">
        <f t="shared" si="34"/>
        <v>1.8213232275985834E-2</v>
      </c>
      <c r="W53" s="1"/>
      <c r="X53" s="1">
        <f t="shared" si="35"/>
        <v>-1785.9399999999996</v>
      </c>
      <c r="Y53" s="1"/>
      <c r="Z53" s="5">
        <f t="shared" si="36"/>
        <v>-0.23400681341719073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58.07</v>
      </c>
      <c r="E54" s="2"/>
      <c r="F54" s="7">
        <f t="shared" si="29"/>
        <v>0</v>
      </c>
      <c r="G54" s="2"/>
      <c r="H54" s="6">
        <v>636</v>
      </c>
      <c r="I54" s="2"/>
      <c r="J54" s="7">
        <f t="shared" si="30"/>
        <v>0</v>
      </c>
      <c r="K54" s="2"/>
      <c r="L54" s="6">
        <f t="shared" si="31"/>
        <v>-577.92999999999995</v>
      </c>
      <c r="M54" s="2"/>
      <c r="N54" s="7">
        <f t="shared" si="32"/>
        <v>-0.90869496855345899</v>
      </c>
      <c r="O54" s="11"/>
      <c r="P54" s="6">
        <v>5846.06</v>
      </c>
      <c r="Q54" s="2"/>
      <c r="R54" s="7">
        <f t="shared" si="33"/>
        <v>2.2921361442752766E-2</v>
      </c>
      <c r="S54" s="2"/>
      <c r="T54" s="6">
        <v>7632</v>
      </c>
      <c r="U54" s="2"/>
      <c r="V54" s="7">
        <f t="shared" si="34"/>
        <v>1.8213232275985834E-2</v>
      </c>
      <c r="W54" s="2"/>
      <c r="X54" s="6">
        <f t="shared" si="35"/>
        <v>-1785.9399999999996</v>
      </c>
      <c r="Y54" s="2"/>
      <c r="Z54" s="7">
        <f t="shared" si="36"/>
        <v>-0.23400681341719073</v>
      </c>
    </row>
    <row r="55" spans="1:26" s="26" customFormat="1" outlineLevel="1" collapsed="1" x14ac:dyDescent="0.25">
      <c r="A55" s="25"/>
      <c r="B55" s="12" t="str">
        <f>CONCATENATE("     ","Employees' Appreciation                           ")</f>
        <v xml:space="preserve">     Employees' Appreciation                           </v>
      </c>
      <c r="C55" s="12"/>
      <c r="D55" s="1">
        <f>SUM(OSRRefD22_6x_0)</f>
        <v>0</v>
      </c>
      <c r="E55" s="1"/>
      <c r="F55" s="5">
        <f t="shared" si="29"/>
        <v>0</v>
      </c>
      <c r="G55" s="1"/>
      <c r="H55" s="1">
        <f>SUM(OSRRefH22_6x_0)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2"/>
      <c r="P55" s="1">
        <f>SUM(OSRRefP22_6x_0)</f>
        <v>0</v>
      </c>
      <c r="Q55" s="1"/>
      <c r="R55" s="5">
        <f t="shared" si="33"/>
        <v>0</v>
      </c>
      <c r="S55" s="1"/>
      <c r="T55" s="1">
        <f>SUM(OSRRefT22_6x_0)</f>
        <v>500</v>
      </c>
      <c r="U55" s="1"/>
      <c r="V55" s="5">
        <f t="shared" si="34"/>
        <v>1.1932149027768498E-3</v>
      </c>
      <c r="W55" s="1"/>
      <c r="X55" s="1">
        <f t="shared" si="35"/>
        <v>-500</v>
      </c>
      <c r="Y55" s="1"/>
      <c r="Z55" s="5">
        <f t="shared" si="36"/>
        <v>-1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/>
      <c r="Q56" s="2"/>
      <c r="R56" s="7">
        <f t="shared" si="33"/>
        <v>0</v>
      </c>
      <c r="S56" s="2"/>
      <c r="T56" s="6">
        <v>500</v>
      </c>
      <c r="U56" s="2"/>
      <c r="V56" s="7">
        <f t="shared" si="34"/>
        <v>1.1932149027768498E-3</v>
      </c>
      <c r="W56" s="2"/>
      <c r="X56" s="6">
        <f t="shared" si="35"/>
        <v>-500</v>
      </c>
      <c r="Y56" s="2"/>
      <c r="Z56" s="7">
        <f t="shared" si="36"/>
        <v>-1</v>
      </c>
    </row>
    <row r="57" spans="1:26" s="26" customFormat="1" outlineLevel="1" collapsed="1" x14ac:dyDescent="0.25">
      <c r="A57" s="25"/>
      <c r="B57" s="12" t="str">
        <f>CONCATENATE("     ","General                                           ")</f>
        <v xml:space="preserve">     General                                           </v>
      </c>
      <c r="C57" s="12"/>
      <c r="D57" s="1">
        <f>SUM(OSRRefD22_7x_0)</f>
        <v>0</v>
      </c>
      <c r="E57" s="1"/>
      <c r="F57" s="5">
        <f t="shared" si="29"/>
        <v>0</v>
      </c>
      <c r="G57" s="1"/>
      <c r="H57" s="1">
        <f>SUM(OSRRefH22_7x_0)</f>
        <v>0</v>
      </c>
      <c r="I57" s="1"/>
      <c r="J57" s="5">
        <f t="shared" si="30"/>
        <v>0</v>
      </c>
      <c r="K57" s="1"/>
      <c r="L57" s="1">
        <f t="shared" si="31"/>
        <v>0</v>
      </c>
      <c r="M57" s="1"/>
      <c r="N57" s="5">
        <f t="shared" si="32"/>
        <v>0</v>
      </c>
      <c r="O57" s="12"/>
      <c r="P57" s="1">
        <f>SUM(OSRRefP22_7x_0)</f>
        <v>901.75</v>
      </c>
      <c r="Q57" s="1"/>
      <c r="R57" s="5">
        <f t="shared" si="33"/>
        <v>3.535601359035368E-3</v>
      </c>
      <c r="S57" s="1"/>
      <c r="T57" s="1">
        <f>SUM(OSRRefT22_7x_0)</f>
        <v>0</v>
      </c>
      <c r="U57" s="1"/>
      <c r="V57" s="5">
        <f t="shared" si="34"/>
        <v>0</v>
      </c>
      <c r="W57" s="1"/>
      <c r="X57" s="1">
        <f t="shared" si="35"/>
        <v>901.75</v>
      </c>
      <c r="Y57" s="1"/>
      <c r="Z57" s="5">
        <f t="shared" si="36"/>
        <v>0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29"/>
        <v>0</v>
      </c>
      <c r="G58" s="2"/>
      <c r="H58" s="6"/>
      <c r="I58" s="2"/>
      <c r="J58" s="7">
        <f t="shared" si="30"/>
        <v>0</v>
      </c>
      <c r="K58" s="2"/>
      <c r="L58" s="6">
        <f t="shared" si="31"/>
        <v>0</v>
      </c>
      <c r="M58" s="2"/>
      <c r="N58" s="7">
        <f t="shared" si="32"/>
        <v>0</v>
      </c>
      <c r="O58" s="11"/>
      <c r="P58" s="6">
        <v>901.75</v>
      </c>
      <c r="Q58" s="2"/>
      <c r="R58" s="7">
        <f t="shared" si="33"/>
        <v>3.535601359035368E-3</v>
      </c>
      <c r="S58" s="2"/>
      <c r="T58" s="6"/>
      <c r="U58" s="2"/>
      <c r="V58" s="7">
        <f t="shared" si="34"/>
        <v>0</v>
      </c>
      <c r="W58" s="2"/>
      <c r="X58" s="6">
        <f t="shared" si="35"/>
        <v>901.75</v>
      </c>
      <c r="Y58" s="2"/>
      <c r="Z58" s="7">
        <f t="shared" si="36"/>
        <v>0</v>
      </c>
    </row>
    <row r="59" spans="1:26" s="26" customFormat="1" outlineLevel="1" collapsed="1" x14ac:dyDescent="0.25">
      <c r="A59" s="25"/>
      <c r="B59" s="12" t="str">
        <f>CONCATENATE("     ","Repair and Maintenance                            ")</f>
        <v xml:space="preserve">     Repair and Maintenance                            </v>
      </c>
      <c r="C59" s="12"/>
      <c r="D59" s="1">
        <f>SUM(OSRRefD22_8x_0)</f>
        <v>165.75</v>
      </c>
      <c r="E59" s="1"/>
      <c r="F59" s="5">
        <f t="shared" si="29"/>
        <v>0</v>
      </c>
      <c r="G59" s="1"/>
      <c r="H59" s="1">
        <f>SUM(OSRRefH22_8x_0)</f>
        <v>0</v>
      </c>
      <c r="I59" s="1"/>
      <c r="J59" s="5">
        <f t="shared" si="30"/>
        <v>0</v>
      </c>
      <c r="K59" s="1"/>
      <c r="L59" s="1">
        <f t="shared" si="31"/>
        <v>165.75</v>
      </c>
      <c r="M59" s="1"/>
      <c r="N59" s="5">
        <f t="shared" si="32"/>
        <v>0</v>
      </c>
      <c r="O59" s="12"/>
      <c r="P59" s="1">
        <f>SUM(OSRRefP22_8x_0)</f>
        <v>9042.86</v>
      </c>
      <c r="Q59" s="1"/>
      <c r="R59" s="5">
        <f t="shared" si="33"/>
        <v>3.5455445639663512E-2</v>
      </c>
      <c r="S59" s="1"/>
      <c r="T59" s="1">
        <f>SUM(OSRRefT22_8x_0)</f>
        <v>0</v>
      </c>
      <c r="U59" s="1"/>
      <c r="V59" s="5">
        <f t="shared" si="34"/>
        <v>0</v>
      </c>
      <c r="W59" s="1"/>
      <c r="X59" s="1">
        <f t="shared" si="35"/>
        <v>9042.86</v>
      </c>
      <c r="Y59" s="1"/>
      <c r="Z59" s="5">
        <f t="shared" si="36"/>
        <v>0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>
        <v>874.62</v>
      </c>
      <c r="Q60" s="2"/>
      <c r="R60" s="7">
        <f t="shared" si="33"/>
        <v>3.4292294545489477E-3</v>
      </c>
      <c r="S60" s="2"/>
      <c r="T60" s="6"/>
      <c r="U60" s="2"/>
      <c r="V60" s="7">
        <f t="shared" si="34"/>
        <v>0</v>
      </c>
      <c r="W60" s="2"/>
      <c r="X60" s="6">
        <f t="shared" si="35"/>
        <v>874.62</v>
      </c>
      <c r="Y60" s="2"/>
      <c r="Z60" s="7">
        <f t="shared" si="36"/>
        <v>0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>
        <v>165.75</v>
      </c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165.75</v>
      </c>
      <c r="M61" s="2"/>
      <c r="N61" s="7">
        <f t="shared" si="32"/>
        <v>0</v>
      </c>
      <c r="O61" s="11"/>
      <c r="P61" s="6">
        <v>1197.72</v>
      </c>
      <c r="Q61" s="2"/>
      <c r="R61" s="7">
        <f t="shared" si="33"/>
        <v>4.696047085937168E-3</v>
      </c>
      <c r="S61" s="2"/>
      <c r="T61" s="6"/>
      <c r="U61" s="2"/>
      <c r="V61" s="7">
        <f t="shared" si="34"/>
        <v>0</v>
      </c>
      <c r="W61" s="2"/>
      <c r="X61" s="6">
        <f t="shared" si="35"/>
        <v>1197.72</v>
      </c>
      <c r="Y61" s="2"/>
      <c r="Z61" s="7">
        <f t="shared" si="36"/>
        <v>0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>
        <v>6970.52</v>
      </c>
      <c r="Q62" s="2"/>
      <c r="R62" s="7">
        <f t="shared" si="33"/>
        <v>2.7330169099177393E-2</v>
      </c>
      <c r="S62" s="2"/>
      <c r="T62" s="6"/>
      <c r="U62" s="2"/>
      <c r="V62" s="7">
        <f t="shared" si="34"/>
        <v>0</v>
      </c>
      <c r="W62" s="2"/>
      <c r="X62" s="6">
        <f t="shared" si="35"/>
        <v>6970.52</v>
      </c>
      <c r="Y62" s="2"/>
      <c r="Z62" s="7">
        <f t="shared" si="36"/>
        <v>0</v>
      </c>
    </row>
    <row r="63" spans="1:26" s="26" customFormat="1" outlineLevel="1" collapsed="1" x14ac:dyDescent="0.25">
      <c r="A63" s="25"/>
      <c r="B63" s="12" t="str">
        <f>CONCATENATE("     ","Services                                          ")</f>
        <v xml:space="preserve">     Services                                          </v>
      </c>
      <c r="C63" s="12"/>
      <c r="D63" s="1">
        <f>SUM(OSRRefD22_9x_0)</f>
        <v>0</v>
      </c>
      <c r="E63" s="1"/>
      <c r="F63" s="5">
        <f t="shared" ref="F63:F65" si="37">IF(D$12=0,0,D63/D$12)</f>
        <v>0</v>
      </c>
      <c r="G63" s="1"/>
      <c r="H63" s="1">
        <f>SUM(OSRRefH22_9x_0)</f>
        <v>0</v>
      </c>
      <c r="I63" s="1"/>
      <c r="J63" s="5">
        <f t="shared" ref="J63:J65" si="38">IF(H$12=0,0,H63/H$12)</f>
        <v>0</v>
      </c>
      <c r="K63" s="1"/>
      <c r="L63" s="1">
        <f t="shared" ref="L63:L65" si="39">+D63-H63</f>
        <v>0</v>
      </c>
      <c r="M63" s="1"/>
      <c r="N63" s="5">
        <f t="shared" ref="N63:N65" si="40">IF(H63=0,0,L63/H63)</f>
        <v>0</v>
      </c>
      <c r="O63" s="12"/>
      <c r="P63" s="1">
        <f>SUM(OSRRefP22_9x_0)</f>
        <v>1368.82</v>
      </c>
      <c r="Q63" s="1"/>
      <c r="R63" s="5">
        <f t="shared" ref="R63:R65" si="41">IF(P$12=0,0,P63/P$12)</f>
        <v>5.3668997530078094E-3</v>
      </c>
      <c r="S63" s="1"/>
      <c r="T63" s="1">
        <f>SUM(OSRRefT22_9x_0)</f>
        <v>90</v>
      </c>
      <c r="U63" s="1"/>
      <c r="V63" s="5">
        <f t="shared" ref="V63:V65" si="42">IF(T$12=0,0,T63/T$12)</f>
        <v>2.1477868249983296E-4</v>
      </c>
      <c r="W63" s="1"/>
      <c r="X63" s="1">
        <f t="shared" ref="X63:X65" si="43">+P63-T63</f>
        <v>1278.82</v>
      </c>
      <c r="Y63" s="1"/>
      <c r="Z63" s="5">
        <f t="shared" ref="Z63:Z65" si="44">IF(T63=0,0,X63/T63)</f>
        <v>14.20911111111111</v>
      </c>
    </row>
    <row r="64" spans="1:26" s="24" customFormat="1" hidden="1" outlineLevel="2" x14ac:dyDescent="0.25">
      <c r="A64" s="27"/>
      <c r="B64" s="11" t="str">
        <f>CONCATENATE("          ", "6285", " - ", "JANITORIAL SERVICES")</f>
        <v xml:space="preserve">          6285 - JANITORIAL SERVICES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712.8</v>
      </c>
      <c r="Q64" s="2"/>
      <c r="R64" s="7">
        <f t="shared" si="41"/>
        <v>2.7947620168787472E-3</v>
      </c>
      <c r="S64" s="2"/>
      <c r="T64" s="6"/>
      <c r="U64" s="2"/>
      <c r="V64" s="7">
        <f t="shared" si="42"/>
        <v>0</v>
      </c>
      <c r="W64" s="2"/>
      <c r="X64" s="6">
        <f t="shared" si="43"/>
        <v>712.8</v>
      </c>
      <c r="Y64" s="2"/>
      <c r="Z64" s="7">
        <f t="shared" si="44"/>
        <v>0</v>
      </c>
    </row>
    <row r="65" spans="1:26" s="24" customFormat="1" hidden="1" outlineLevel="2" x14ac:dyDescent="0.25">
      <c r="A65" s="27"/>
      <c r="B65" s="11" t="str">
        <f>CONCATENATE("          ", "6286", " - ", "LAUNDRY EXPENSE")</f>
        <v xml:space="preserve">          6286 - LAUNDRY EXPENSE</v>
      </c>
      <c r="C65" s="11"/>
      <c r="D65" s="6"/>
      <c r="E65" s="2"/>
      <c r="F65" s="7">
        <f t="shared" si="37"/>
        <v>0</v>
      </c>
      <c r="G65" s="2"/>
      <c r="H65" s="6"/>
      <c r="I65" s="2"/>
      <c r="J65" s="7">
        <f t="shared" si="38"/>
        <v>0</v>
      </c>
      <c r="K65" s="2"/>
      <c r="L65" s="6">
        <f t="shared" si="39"/>
        <v>0</v>
      </c>
      <c r="M65" s="2"/>
      <c r="N65" s="7">
        <f t="shared" si="40"/>
        <v>0</v>
      </c>
      <c r="O65" s="11"/>
      <c r="P65" s="6">
        <v>656.02</v>
      </c>
      <c r="Q65" s="2"/>
      <c r="R65" s="7">
        <f t="shared" si="41"/>
        <v>2.5721377361290626E-3</v>
      </c>
      <c r="S65" s="2"/>
      <c r="T65" s="6">
        <v>90</v>
      </c>
      <c r="U65" s="2"/>
      <c r="V65" s="7">
        <f t="shared" si="42"/>
        <v>2.1477868249983296E-4</v>
      </c>
      <c r="W65" s="2"/>
      <c r="X65" s="6">
        <f t="shared" si="43"/>
        <v>566.02</v>
      </c>
      <c r="Y65" s="2"/>
      <c r="Z65" s="7">
        <f t="shared" si="44"/>
        <v>6.2891111111111107</v>
      </c>
    </row>
    <row r="66" spans="1:26" s="26" customFormat="1" outlineLevel="1" collapsed="1" x14ac:dyDescent="0.25">
      <c r="A66" s="25"/>
      <c r="B66" s="12" t="str">
        <f>CONCATENATE("     ","Supplies                                          ")</f>
        <v xml:space="preserve">     Supplies                                          </v>
      </c>
      <c r="C66" s="12"/>
      <c r="D66" s="1">
        <f>SUM(OSRRefD22_10x_0)</f>
        <v>-65.05</v>
      </c>
      <c r="E66" s="1"/>
      <c r="F66" s="5">
        <f t="shared" ref="F66:F73" si="45">IF(D$12=0,0,D66/D$12)</f>
        <v>0</v>
      </c>
      <c r="G66" s="1"/>
      <c r="H66" s="1">
        <f>SUM(OSRRefH22_10x_0)</f>
        <v>700</v>
      </c>
      <c r="I66" s="1"/>
      <c r="J66" s="5">
        <f t="shared" ref="J66:J73" si="46">IF(H$12=0,0,H66/H$12)</f>
        <v>0</v>
      </c>
      <c r="K66" s="1"/>
      <c r="L66" s="1">
        <f t="shared" ref="L66:L73" si="47">+D66-H66</f>
        <v>-765.05</v>
      </c>
      <c r="M66" s="1"/>
      <c r="N66" s="5">
        <f t="shared" ref="N66:N73" si="48">IF(H66=0,0,L66/H66)</f>
        <v>-1.0929285714285715</v>
      </c>
      <c r="O66" s="12"/>
      <c r="P66" s="1">
        <f>SUM(OSRRefP22_10x_0)</f>
        <v>4596.26</v>
      </c>
      <c r="Q66" s="1"/>
      <c r="R66" s="5">
        <f t="shared" ref="R66:R73" si="49">IF(P$12=0,0,P66/P$12)</f>
        <v>1.8021117940094152E-2</v>
      </c>
      <c r="S66" s="1"/>
      <c r="T66" s="1">
        <f>SUM(OSRRefT22_10x_0)</f>
        <v>7500</v>
      </c>
      <c r="U66" s="1"/>
      <c r="V66" s="5">
        <f t="shared" ref="V66:V73" si="50">IF(T$12=0,0,T66/T$12)</f>
        <v>1.7898223541652745E-2</v>
      </c>
      <c r="W66" s="1"/>
      <c r="X66" s="1">
        <f t="shared" ref="X66:X73" si="51">+P66-T66</f>
        <v>-2903.74</v>
      </c>
      <c r="Y66" s="1"/>
      <c r="Z66" s="5">
        <f t="shared" ref="Z66:Z73" si="52">IF(T66=0,0,X66/T66)</f>
        <v>-0.38716533333333331</v>
      </c>
    </row>
    <row r="67" spans="1:26" s="24" customFormat="1" hidden="1" outlineLevel="2" x14ac:dyDescent="0.25">
      <c r="A67" s="27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45"/>
        <v>0</v>
      </c>
      <c r="G67" s="2"/>
      <c r="H67" s="6">
        <v>200</v>
      </c>
      <c r="I67" s="2"/>
      <c r="J67" s="7">
        <f t="shared" si="46"/>
        <v>0</v>
      </c>
      <c r="K67" s="2"/>
      <c r="L67" s="6">
        <f t="shared" si="47"/>
        <v>-200</v>
      </c>
      <c r="M67" s="2"/>
      <c r="N67" s="7">
        <f t="shared" si="48"/>
        <v>-1</v>
      </c>
      <c r="O67" s="11"/>
      <c r="P67" s="6"/>
      <c r="Q67" s="2"/>
      <c r="R67" s="7">
        <f t="shared" si="49"/>
        <v>0</v>
      </c>
      <c r="S67" s="2"/>
      <c r="T67" s="6">
        <v>1040</v>
      </c>
      <c r="U67" s="2"/>
      <c r="V67" s="7">
        <f t="shared" si="50"/>
        <v>2.4818869977758476E-3</v>
      </c>
      <c r="W67" s="2"/>
      <c r="X67" s="6">
        <f t="shared" si="51"/>
        <v>-1040</v>
      </c>
      <c r="Y67" s="2"/>
      <c r="Z67" s="7">
        <f t="shared" si="52"/>
        <v>-1</v>
      </c>
    </row>
    <row r="68" spans="1:26" s="24" customFormat="1" hidden="1" outlineLevel="2" x14ac:dyDescent="0.25">
      <c r="A68" s="27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45"/>
        <v>0</v>
      </c>
      <c r="G68" s="2"/>
      <c r="H68" s="6">
        <v>100</v>
      </c>
      <c r="I68" s="2"/>
      <c r="J68" s="7">
        <f t="shared" si="46"/>
        <v>0</v>
      </c>
      <c r="K68" s="2"/>
      <c r="L68" s="6">
        <f t="shared" si="47"/>
        <v>-100</v>
      </c>
      <c r="M68" s="2"/>
      <c r="N68" s="7">
        <f t="shared" si="48"/>
        <v>-1</v>
      </c>
      <c r="O68" s="11"/>
      <c r="P68" s="6">
        <v>960.31</v>
      </c>
      <c r="Q68" s="2"/>
      <c r="R68" s="7">
        <f t="shared" si="49"/>
        <v>3.7652047031829822E-3</v>
      </c>
      <c r="S68" s="2"/>
      <c r="T68" s="6">
        <v>1090</v>
      </c>
      <c r="U68" s="2"/>
      <c r="V68" s="7">
        <f t="shared" si="50"/>
        <v>2.6012084880535323E-3</v>
      </c>
      <c r="W68" s="2"/>
      <c r="X68" s="6">
        <f t="shared" si="51"/>
        <v>-129.69000000000005</v>
      </c>
      <c r="Y68" s="2"/>
      <c r="Z68" s="7">
        <f t="shared" si="52"/>
        <v>-0.11898165137614684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6">
        <v>-65.05</v>
      </c>
      <c r="E69" s="2"/>
      <c r="F69" s="7">
        <f t="shared" si="45"/>
        <v>0</v>
      </c>
      <c r="G69" s="2"/>
      <c r="H69" s="6">
        <v>50</v>
      </c>
      <c r="I69" s="2"/>
      <c r="J69" s="7">
        <f t="shared" si="46"/>
        <v>0</v>
      </c>
      <c r="K69" s="2"/>
      <c r="L69" s="6">
        <f t="shared" si="47"/>
        <v>-115.05</v>
      </c>
      <c r="M69" s="2"/>
      <c r="N69" s="7">
        <f t="shared" si="48"/>
        <v>-2.3010000000000002</v>
      </c>
      <c r="O69" s="11"/>
      <c r="P69" s="6">
        <v>1153.24</v>
      </c>
      <c r="Q69" s="2"/>
      <c r="R69" s="7">
        <f t="shared" si="49"/>
        <v>4.5216489174316025E-3</v>
      </c>
      <c r="S69" s="2"/>
      <c r="T69" s="6">
        <v>540</v>
      </c>
      <c r="U69" s="2"/>
      <c r="V69" s="7">
        <f t="shared" si="50"/>
        <v>1.2886720949989976E-3</v>
      </c>
      <c r="W69" s="2"/>
      <c r="X69" s="6">
        <f t="shared" si="51"/>
        <v>613.24</v>
      </c>
      <c r="Y69" s="2"/>
      <c r="Z69" s="7">
        <f t="shared" si="52"/>
        <v>1.1356296296296295</v>
      </c>
    </row>
    <row r="70" spans="1:26" s="24" customFormat="1" hidden="1" outlineLevel="2" x14ac:dyDescent="0.25">
      <c r="A70" s="27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45"/>
        <v>0</v>
      </c>
      <c r="G70" s="2"/>
      <c r="H70" s="6">
        <v>300</v>
      </c>
      <c r="I70" s="2"/>
      <c r="J70" s="7">
        <f t="shared" si="46"/>
        <v>0</v>
      </c>
      <c r="K70" s="2"/>
      <c r="L70" s="6">
        <f t="shared" si="47"/>
        <v>-300</v>
      </c>
      <c r="M70" s="2"/>
      <c r="N70" s="7">
        <f t="shared" si="48"/>
        <v>-1</v>
      </c>
      <c r="O70" s="11"/>
      <c r="P70" s="6">
        <v>1490.35</v>
      </c>
      <c r="Q70" s="2"/>
      <c r="R70" s="7">
        <f t="shared" si="49"/>
        <v>5.8433972669125148E-3</v>
      </c>
      <c r="S70" s="2"/>
      <c r="T70" s="6">
        <v>3045</v>
      </c>
      <c r="U70" s="2"/>
      <c r="V70" s="7">
        <f t="shared" si="50"/>
        <v>7.2666787579110147E-3</v>
      </c>
      <c r="W70" s="2"/>
      <c r="X70" s="6">
        <f t="shared" si="51"/>
        <v>-1554.65</v>
      </c>
      <c r="Y70" s="2"/>
      <c r="Z70" s="7">
        <f t="shared" si="52"/>
        <v>-0.51055829228243022</v>
      </c>
    </row>
    <row r="71" spans="1:26" s="24" customFormat="1" hidden="1" outlineLevel="2" x14ac:dyDescent="0.25">
      <c r="A71" s="27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1"/>
      <c r="P71" s="6">
        <v>244.39</v>
      </c>
      <c r="Q71" s="2"/>
      <c r="R71" s="7">
        <f t="shared" si="49"/>
        <v>9.5820972124719002E-4</v>
      </c>
      <c r="S71" s="2"/>
      <c r="T71" s="6"/>
      <c r="U71" s="2"/>
      <c r="V71" s="7">
        <f t="shared" si="50"/>
        <v>0</v>
      </c>
      <c r="W71" s="2"/>
      <c r="X71" s="6">
        <f t="shared" si="51"/>
        <v>244.39</v>
      </c>
      <c r="Y71" s="2"/>
      <c r="Z71" s="7">
        <f t="shared" si="52"/>
        <v>0</v>
      </c>
    </row>
    <row r="72" spans="1:26" s="24" customFormat="1" hidden="1" outlineLevel="2" x14ac:dyDescent="0.25">
      <c r="A72" s="27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5"/>
        <v>0</v>
      </c>
      <c r="G72" s="2"/>
      <c r="H72" s="6">
        <v>50</v>
      </c>
      <c r="I72" s="2"/>
      <c r="J72" s="7">
        <f t="shared" si="46"/>
        <v>0</v>
      </c>
      <c r="K72" s="2"/>
      <c r="L72" s="6">
        <f t="shared" si="47"/>
        <v>-50</v>
      </c>
      <c r="M72" s="2"/>
      <c r="N72" s="7">
        <f t="shared" si="48"/>
        <v>-1</v>
      </c>
      <c r="O72" s="11"/>
      <c r="P72" s="6">
        <v>42.98</v>
      </c>
      <c r="Q72" s="2"/>
      <c r="R72" s="7">
        <f t="shared" si="49"/>
        <v>1.685169353050625E-4</v>
      </c>
      <c r="S72" s="2"/>
      <c r="T72" s="6">
        <v>1285</v>
      </c>
      <c r="U72" s="2"/>
      <c r="V72" s="7">
        <f t="shared" si="50"/>
        <v>3.0665623001365039E-3</v>
      </c>
      <c r="W72" s="2"/>
      <c r="X72" s="6">
        <f t="shared" si="51"/>
        <v>-1242.02</v>
      </c>
      <c r="Y72" s="2"/>
      <c r="Z72" s="7">
        <f t="shared" si="52"/>
        <v>-0.96655252918287937</v>
      </c>
    </row>
    <row r="73" spans="1:26" s="24" customFormat="1" hidden="1" outlineLevel="2" x14ac:dyDescent="0.25">
      <c r="A73" s="27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704.99</v>
      </c>
      <c r="Q73" s="2"/>
      <c r="R73" s="7">
        <f t="shared" si="49"/>
        <v>2.7641403960147982E-3</v>
      </c>
      <c r="S73" s="2"/>
      <c r="T73" s="6">
        <v>500</v>
      </c>
      <c r="U73" s="2"/>
      <c r="V73" s="7">
        <f t="shared" si="50"/>
        <v>1.1932149027768498E-3</v>
      </c>
      <c r="W73" s="2"/>
      <c r="X73" s="6">
        <f t="shared" si="51"/>
        <v>204.99</v>
      </c>
      <c r="Y73" s="2"/>
      <c r="Z73" s="7">
        <f t="shared" si="52"/>
        <v>0.40998000000000001</v>
      </c>
    </row>
    <row r="74" spans="1:26" s="26" customFormat="1" outlineLevel="1" collapsed="1" x14ac:dyDescent="0.25">
      <c r="A74" s="25"/>
      <c r="B74" s="12" t="str">
        <f>CONCATENATE("     ","Telephone/Data Lines                              ")</f>
        <v xml:space="preserve">     Telephone/Data Lines                              </v>
      </c>
      <c r="C74" s="12"/>
      <c r="D74" s="1">
        <f>SUM(OSRRefD22_11x_0)</f>
        <v>-3</v>
      </c>
      <c r="E74" s="1"/>
      <c r="F74" s="5">
        <f t="shared" ref="F74:F76" si="53">IF(D$12=0,0,D74/D$12)</f>
        <v>0</v>
      </c>
      <c r="G74" s="1"/>
      <c r="H74" s="1">
        <f>SUM(OSRRefH22_11x_0)</f>
        <v>95</v>
      </c>
      <c r="I74" s="1"/>
      <c r="J74" s="5">
        <f t="shared" ref="J74:J76" si="54">IF(H$12=0,0,H74/H$12)</f>
        <v>0</v>
      </c>
      <c r="K74" s="1"/>
      <c r="L74" s="1">
        <f t="shared" ref="L74:L76" si="55">+D74-H74</f>
        <v>-98</v>
      </c>
      <c r="M74" s="1"/>
      <c r="N74" s="5">
        <f t="shared" ref="N74:N76" si="56">IF(H74=0,0,L74/H74)</f>
        <v>-1.0315789473684212</v>
      </c>
      <c r="O74" s="12"/>
      <c r="P74" s="1">
        <f>SUM(OSRRefP22_11x_0)</f>
        <v>833.96</v>
      </c>
      <c r="Q74" s="1"/>
      <c r="R74" s="5">
        <f t="shared" ref="R74:R76" si="57">IF(P$12=0,0,P74/P$12)</f>
        <v>3.2698088265939959E-3</v>
      </c>
      <c r="S74" s="1"/>
      <c r="T74" s="1">
        <f>SUM(OSRRefT22_11x_0)</f>
        <v>1140</v>
      </c>
      <c r="U74" s="1"/>
      <c r="V74" s="5">
        <f t="shared" ref="V74:V76" si="58">IF(T$12=0,0,T74/T$12)</f>
        <v>2.7205299783312174E-3</v>
      </c>
      <c r="W74" s="1"/>
      <c r="X74" s="1">
        <f t="shared" ref="X74:X76" si="59">+P74-T74</f>
        <v>-306.03999999999996</v>
      </c>
      <c r="Y74" s="1"/>
      <c r="Z74" s="5">
        <f t="shared" ref="Z74:Z76" si="60">IF(T74=0,0,X74/T74)</f>
        <v>-0.26845614035087717</v>
      </c>
    </row>
    <row r="75" spans="1:26" s="24" customFormat="1" hidden="1" outlineLevel="2" x14ac:dyDescent="0.25">
      <c r="A75" s="27"/>
      <c r="B75" s="11" t="str">
        <f>CONCATENATE("          ", "6303", " - ", "DATA PHONE LINES")</f>
        <v xml:space="preserve">          6303 - DATA PHONE LINES</v>
      </c>
      <c r="C75" s="11"/>
      <c r="D75" s="6"/>
      <c r="E75" s="2"/>
      <c r="F75" s="7">
        <f t="shared" si="53"/>
        <v>0</v>
      </c>
      <c r="G75" s="2"/>
      <c r="H75" s="6">
        <v>50</v>
      </c>
      <c r="I75" s="2"/>
      <c r="J75" s="7">
        <f t="shared" si="54"/>
        <v>0</v>
      </c>
      <c r="K75" s="2"/>
      <c r="L75" s="6">
        <f t="shared" si="55"/>
        <v>-50</v>
      </c>
      <c r="M75" s="2"/>
      <c r="N75" s="7">
        <f t="shared" si="56"/>
        <v>-1</v>
      </c>
      <c r="O75" s="11"/>
      <c r="P75" s="6"/>
      <c r="Q75" s="2"/>
      <c r="R75" s="7">
        <f t="shared" si="57"/>
        <v>0</v>
      </c>
      <c r="S75" s="2"/>
      <c r="T75" s="6">
        <v>600</v>
      </c>
      <c r="U75" s="2"/>
      <c r="V75" s="7">
        <f t="shared" si="58"/>
        <v>1.4318578833322196E-3</v>
      </c>
      <c r="W75" s="2"/>
      <c r="X75" s="6">
        <f t="shared" si="59"/>
        <v>-600</v>
      </c>
      <c r="Y75" s="2"/>
      <c r="Z75" s="7">
        <f t="shared" si="60"/>
        <v>-1</v>
      </c>
    </row>
    <row r="76" spans="1:26" s="24" customFormat="1" hidden="1" outlineLevel="2" x14ac:dyDescent="0.25">
      <c r="A76" s="27"/>
      <c r="B76" s="11" t="str">
        <f>CONCATENATE("          ", "6309", " - ", "TELEPHONE")</f>
        <v xml:space="preserve">          6309 - TELEPHONE</v>
      </c>
      <c r="C76" s="11"/>
      <c r="D76" s="6">
        <v>-3</v>
      </c>
      <c r="E76" s="2"/>
      <c r="F76" s="7">
        <f t="shared" si="53"/>
        <v>0</v>
      </c>
      <c r="G76" s="2"/>
      <c r="H76" s="6">
        <v>45</v>
      </c>
      <c r="I76" s="2"/>
      <c r="J76" s="7">
        <f t="shared" si="54"/>
        <v>0</v>
      </c>
      <c r="K76" s="2"/>
      <c r="L76" s="6">
        <f t="shared" si="55"/>
        <v>-48</v>
      </c>
      <c r="M76" s="2"/>
      <c r="N76" s="7">
        <f t="shared" si="56"/>
        <v>-1.0666666666666667</v>
      </c>
      <c r="O76" s="11"/>
      <c r="P76" s="6">
        <v>833.96</v>
      </c>
      <c r="Q76" s="2"/>
      <c r="R76" s="7">
        <f t="shared" si="57"/>
        <v>3.2698088265939959E-3</v>
      </c>
      <c r="S76" s="2"/>
      <c r="T76" s="6">
        <v>540</v>
      </c>
      <c r="U76" s="2"/>
      <c r="V76" s="7">
        <f t="shared" si="58"/>
        <v>1.2886720949989976E-3</v>
      </c>
      <c r="W76" s="2"/>
      <c r="X76" s="6">
        <f t="shared" si="59"/>
        <v>293.96000000000004</v>
      </c>
      <c r="Y76" s="2"/>
      <c r="Z76" s="7">
        <f t="shared" si="60"/>
        <v>0.54437037037037039</v>
      </c>
    </row>
    <row r="77" spans="1:26" s="26" customFormat="1" outlineLevel="1" collapsed="1" x14ac:dyDescent="0.25">
      <c r="A77" s="25"/>
      <c r="B77" s="12" t="str">
        <f>CONCATENATE("     ","Training                                          ")</f>
        <v xml:space="preserve">     Training                                          </v>
      </c>
      <c r="C77" s="12"/>
      <c r="D77" s="1">
        <f>SUM(OSRRefD22_12x_0)</f>
        <v>0</v>
      </c>
      <c r="E77" s="1"/>
      <c r="F77" s="5">
        <f t="shared" ref="F77:F80" si="61">IF(D$12=0,0,D77/D$12)</f>
        <v>0</v>
      </c>
      <c r="G77" s="1"/>
      <c r="H77" s="1">
        <f>SUM(OSRRefH22_12x_0)</f>
        <v>0</v>
      </c>
      <c r="I77" s="1"/>
      <c r="J77" s="5">
        <f t="shared" ref="J77:J80" si="62">IF(H$12=0,0,H77/H$12)</f>
        <v>0</v>
      </c>
      <c r="K77" s="1"/>
      <c r="L77" s="1">
        <f t="shared" ref="L77:L80" si="63">+D77-H77</f>
        <v>0</v>
      </c>
      <c r="M77" s="1"/>
      <c r="N77" s="5">
        <f t="shared" ref="N77:N80" si="64">IF(H77=0,0,L77/H77)</f>
        <v>0</v>
      </c>
      <c r="O77" s="12"/>
      <c r="P77" s="1">
        <f>SUM(OSRRefP22_12x_0)</f>
        <v>52.5</v>
      </c>
      <c r="Q77" s="1"/>
      <c r="R77" s="5">
        <f t="shared" ref="R77:R80" si="65">IF(P$12=0,0,P77/P$12)</f>
        <v>2.058431620175845E-4</v>
      </c>
      <c r="S77" s="1"/>
      <c r="T77" s="1">
        <f>SUM(OSRRefT22_12x_0)</f>
        <v>600</v>
      </c>
      <c r="U77" s="1"/>
      <c r="V77" s="5">
        <f t="shared" ref="V77:V80" si="66">IF(T$12=0,0,T77/T$12)</f>
        <v>1.4318578833322196E-3</v>
      </c>
      <c r="W77" s="1"/>
      <c r="X77" s="1">
        <f t="shared" ref="X77:X80" si="67">+P77-T77</f>
        <v>-547.5</v>
      </c>
      <c r="Y77" s="1"/>
      <c r="Z77" s="5">
        <f t="shared" ref="Z77:Z80" si="68">IF(T77=0,0,X77/T77)</f>
        <v>-0.91249999999999998</v>
      </c>
    </row>
    <row r="78" spans="1:26" s="24" customFormat="1" hidden="1" outlineLevel="2" x14ac:dyDescent="0.25">
      <c r="A78" s="27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61"/>
        <v>0</v>
      </c>
      <c r="G78" s="2"/>
      <c r="H78" s="6"/>
      <c r="I78" s="2"/>
      <c r="J78" s="7">
        <f t="shared" si="62"/>
        <v>0</v>
      </c>
      <c r="K78" s="2"/>
      <c r="L78" s="6">
        <f t="shared" si="63"/>
        <v>0</v>
      </c>
      <c r="M78" s="2"/>
      <c r="N78" s="7">
        <f t="shared" si="64"/>
        <v>0</v>
      </c>
      <c r="O78" s="11"/>
      <c r="P78" s="6">
        <v>52.5</v>
      </c>
      <c r="Q78" s="2"/>
      <c r="R78" s="7">
        <f t="shared" si="65"/>
        <v>2.058431620175845E-4</v>
      </c>
      <c r="S78" s="2"/>
      <c r="T78" s="6">
        <v>600</v>
      </c>
      <c r="U78" s="2"/>
      <c r="V78" s="7">
        <f t="shared" si="66"/>
        <v>1.4318578833322196E-3</v>
      </c>
      <c r="W78" s="2"/>
      <c r="X78" s="6">
        <f t="shared" si="67"/>
        <v>-547.5</v>
      </c>
      <c r="Y78" s="2"/>
      <c r="Z78" s="7">
        <f t="shared" si="68"/>
        <v>-0.91249999999999998</v>
      </c>
    </row>
    <row r="79" spans="1:26" s="26" customFormat="1" outlineLevel="1" collapsed="1" x14ac:dyDescent="0.25">
      <c r="A79" s="25"/>
      <c r="B79" s="12" t="str">
        <f>CONCATENATE("     ","Travel                                            ")</f>
        <v xml:space="preserve">     Travel                                            </v>
      </c>
      <c r="C79" s="12"/>
      <c r="D79" s="1">
        <f>SUM(OSRRefD22_13x_0)</f>
        <v>0</v>
      </c>
      <c r="E79" s="1"/>
      <c r="F79" s="5">
        <f t="shared" si="61"/>
        <v>0</v>
      </c>
      <c r="G79" s="1"/>
      <c r="H79" s="1">
        <f>SUM(OSRRefH22_13x_0)</f>
        <v>500</v>
      </c>
      <c r="I79" s="1"/>
      <c r="J79" s="5">
        <f t="shared" si="62"/>
        <v>0</v>
      </c>
      <c r="K79" s="1"/>
      <c r="L79" s="1">
        <f t="shared" si="63"/>
        <v>-500</v>
      </c>
      <c r="M79" s="1"/>
      <c r="N79" s="5">
        <f t="shared" si="64"/>
        <v>-1</v>
      </c>
      <c r="O79" s="12"/>
      <c r="P79" s="1">
        <f>SUM(OSRRefP22_13x_0)</f>
        <v>0</v>
      </c>
      <c r="Q79" s="1"/>
      <c r="R79" s="5">
        <f t="shared" si="65"/>
        <v>0</v>
      </c>
      <c r="S79" s="1"/>
      <c r="T79" s="1">
        <f>SUM(OSRRefT22_13x_0)</f>
        <v>1500</v>
      </c>
      <c r="U79" s="1"/>
      <c r="V79" s="5">
        <f t="shared" si="66"/>
        <v>3.579644708330549E-3</v>
      </c>
      <c r="W79" s="1"/>
      <c r="X79" s="1">
        <f t="shared" si="67"/>
        <v>-1500</v>
      </c>
      <c r="Y79" s="1"/>
      <c r="Z79" s="5">
        <f t="shared" si="68"/>
        <v>-1</v>
      </c>
    </row>
    <row r="80" spans="1:26" s="24" customFormat="1" hidden="1" outlineLevel="2" x14ac:dyDescent="0.25">
      <c r="A80" s="27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61"/>
        <v>0</v>
      </c>
      <c r="G80" s="2"/>
      <c r="H80" s="6">
        <v>500</v>
      </c>
      <c r="I80" s="2"/>
      <c r="J80" s="7">
        <f t="shared" si="62"/>
        <v>0</v>
      </c>
      <c r="K80" s="2"/>
      <c r="L80" s="6">
        <f t="shared" si="63"/>
        <v>-500</v>
      </c>
      <c r="M80" s="2"/>
      <c r="N80" s="7">
        <f t="shared" si="64"/>
        <v>-1</v>
      </c>
      <c r="O80" s="11"/>
      <c r="P80" s="6"/>
      <c r="Q80" s="2"/>
      <c r="R80" s="7">
        <f t="shared" si="65"/>
        <v>0</v>
      </c>
      <c r="S80" s="2"/>
      <c r="T80" s="6">
        <v>1500</v>
      </c>
      <c r="U80" s="2"/>
      <c r="V80" s="7">
        <f t="shared" si="66"/>
        <v>3.579644708330549E-3</v>
      </c>
      <c r="W80" s="2"/>
      <c r="X80" s="6">
        <f t="shared" si="67"/>
        <v>-1500</v>
      </c>
      <c r="Y80" s="2"/>
      <c r="Z80" s="7">
        <f t="shared" si="68"/>
        <v>-1</v>
      </c>
    </row>
    <row r="81" spans="1:26" s="60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8" t="s">
        <v>0</v>
      </c>
      <c r="C82" s="10"/>
      <c r="D82" s="4">
        <f>SUM(OSRRefD25x_0)</f>
        <v>0</v>
      </c>
      <c r="E82" s="4"/>
      <c r="F82" s="13">
        <f t="shared" ref="F82:F83" si="69">IF(D$12=0,0,D82/D$12)</f>
        <v>0</v>
      </c>
      <c r="G82" s="4"/>
      <c r="H82" s="4">
        <f>SUM(OSRRefH25x_0)</f>
        <v>0</v>
      </c>
      <c r="I82" s="4"/>
      <c r="J82" s="13">
        <f t="shared" ref="J82:J83" si="70">IF(H$12=0,0,H82/H$12)</f>
        <v>0</v>
      </c>
      <c r="K82" s="4"/>
      <c r="L82" s="4">
        <f t="shared" ref="L82:L83" si="71">+D82-H82</f>
        <v>0</v>
      </c>
      <c r="M82" s="4"/>
      <c r="N82" s="13">
        <f t="shared" ref="N82:N83" si="72">IF(H82=0,0,L82/H82)</f>
        <v>0</v>
      </c>
      <c r="O82" s="10"/>
      <c r="P82" s="4">
        <f>SUM(OSRRefP25x_0)</f>
        <v>507</v>
      </c>
      <c r="Q82" s="4"/>
      <c r="R82" s="13">
        <f t="shared" ref="R82:R83" si="73">IF(P$12=0,0,P82/P$12)</f>
        <v>1.9878568217698159E-3</v>
      </c>
      <c r="S82" s="4"/>
      <c r="T82" s="4">
        <f>SUM(OSRRefT25x_0)</f>
        <v>0</v>
      </c>
      <c r="U82" s="4"/>
      <c r="V82" s="13">
        <f t="shared" ref="V82:V83" si="74">IF(T$12=0,0,T82/T$12)</f>
        <v>0</v>
      </c>
      <c r="W82" s="4"/>
      <c r="X82" s="4">
        <f t="shared" ref="X82:X83" si="75">+P82-T82</f>
        <v>507</v>
      </c>
      <c r="Y82" s="4"/>
      <c r="Z82" s="13">
        <f t="shared" ref="Z82:Z83" si="76">IF(T82=0,0,X82/T82)</f>
        <v>0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0</f>
        <v>0</v>
      </c>
      <c r="E83" s="2"/>
      <c r="F83" s="19">
        <f t="shared" si="69"/>
        <v>0</v>
      </c>
      <c r="G83" s="2"/>
      <c r="H83" s="2"/>
      <c r="I83" s="2"/>
      <c r="J83" s="19">
        <f t="shared" si="70"/>
        <v>0</v>
      </c>
      <c r="K83" s="2"/>
      <c r="L83" s="2">
        <f t="shared" si="71"/>
        <v>0</v>
      </c>
      <c r="M83" s="2"/>
      <c r="N83" s="19">
        <f t="shared" si="72"/>
        <v>0</v>
      </c>
      <c r="O83" s="11"/>
      <c r="P83" s="2">
        <f>--507</f>
        <v>507</v>
      </c>
      <c r="Q83" s="2"/>
      <c r="R83" s="19">
        <f t="shared" si="73"/>
        <v>1.9878568217698159E-3</v>
      </c>
      <c r="S83" s="2"/>
      <c r="T83" s="2"/>
      <c r="U83" s="2"/>
      <c r="V83" s="19">
        <f t="shared" si="74"/>
        <v>0</v>
      </c>
      <c r="W83" s="2"/>
      <c r="X83" s="2">
        <f t="shared" si="75"/>
        <v>507</v>
      </c>
      <c r="Y83" s="2"/>
      <c r="Z83" s="19">
        <f t="shared" si="76"/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2">
        <f>+D23-D25+D82</f>
        <v>-8192.7000000000007</v>
      </c>
      <c r="E85" s="14"/>
      <c r="F85" s="20">
        <f>IF(D$12=0,0,D85/D$12)</f>
        <v>0</v>
      </c>
      <c r="G85" s="14"/>
      <c r="H85" s="22">
        <f>+H23-H25+H82</f>
        <v>-8959.8143117000018</v>
      </c>
      <c r="I85" s="14"/>
      <c r="J85" s="20">
        <f>IF(H$12=0,0,H85/H$12)</f>
        <v>0</v>
      </c>
      <c r="K85" s="15"/>
      <c r="L85" s="22">
        <f>+D85-H85</f>
        <v>767.11431170000105</v>
      </c>
      <c r="M85" s="15"/>
      <c r="N85" s="20">
        <f>IF(H85=0,0,L85/H85)</f>
        <v>-8.5617210916779776E-2</v>
      </c>
      <c r="O85" s="28"/>
      <c r="P85" s="22">
        <f>+P23-P25+P82</f>
        <v>-41130.419999999925</v>
      </c>
      <c r="Q85" s="14"/>
      <c r="R85" s="20">
        <f>IF(P$12=0,0,P85/P$12)</f>
        <v>-0.16126506110307204</v>
      </c>
      <c r="S85" s="14"/>
      <c r="T85" s="22">
        <f>+T23-T25+T82</f>
        <v>82651.934708399989</v>
      </c>
      <c r="U85" s="14"/>
      <c r="V85" s="20">
        <f>IF(T$12=0,0,T85/T$12)</f>
        <v>0.19724304047480404</v>
      </c>
      <c r="W85" s="15"/>
      <c r="X85" s="22">
        <f>+P85-T85</f>
        <v>-123782.35470839991</v>
      </c>
      <c r="Y85" s="15"/>
      <c r="Z85" s="20">
        <f>IF(T85=0,0,X85/T85)</f>
        <v>-1.4976340861845525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8421.23</v>
      </c>
      <c r="E87" s="4"/>
      <c r="F87" s="13">
        <f>IF(D$12=0,0,D87/D$12)</f>
        <v>0</v>
      </c>
      <c r="G87" s="4"/>
      <c r="H87" s="4">
        <v>5676</v>
      </c>
      <c r="I87" s="4"/>
      <c r="J87" s="13">
        <f>IF(H$12=0,0,H87/H$12)</f>
        <v>0</v>
      </c>
      <c r="K87" s="4"/>
      <c r="L87" s="4">
        <f>+D87-H87</f>
        <v>2745.2299999999996</v>
      </c>
      <c r="M87" s="4"/>
      <c r="N87" s="13">
        <f>IF(H87=0,0,L87/H87)</f>
        <v>0.48365574348132478</v>
      </c>
      <c r="O87" s="10"/>
      <c r="P87" s="4">
        <v>38624.230000000003</v>
      </c>
      <c r="Q87" s="4"/>
      <c r="R87" s="13">
        <f>IF(P$12=0,0,P87/P$12)</f>
        <v>0.15143873587989426</v>
      </c>
      <c r="S87" s="4"/>
      <c r="T87" s="4">
        <v>54211</v>
      </c>
      <c r="U87" s="4"/>
      <c r="V87" s="13">
        <f>IF(T$12=0,0,T87/T$12)</f>
        <v>0.12937074618887159</v>
      </c>
      <c r="W87" s="4"/>
      <c r="X87" s="4">
        <f>+P87-T87</f>
        <v>-15586.769999999997</v>
      </c>
      <c r="Y87" s="4"/>
      <c r="Z87" s="13">
        <f>IF(T87=0,0,X87/T87)</f>
        <v>-0.28752042943314082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1">
        <f>+D85-D87</f>
        <v>-16613.93</v>
      </c>
      <c r="E89" s="14"/>
      <c r="F89" s="33">
        <f>IF(D$12=0,0,D89/D$12)</f>
        <v>0</v>
      </c>
      <c r="G89" s="14"/>
      <c r="H89" s="31">
        <f>+H85-H87</f>
        <v>-14635.814311700002</v>
      </c>
      <c r="I89" s="14"/>
      <c r="J89" s="33">
        <f>IF(H$12=0,0,H89/H$12)</f>
        <v>0</v>
      </c>
      <c r="K89" s="15"/>
      <c r="L89" s="31">
        <f>D89-H89</f>
        <v>-1978.1156882999985</v>
      </c>
      <c r="M89" s="15"/>
      <c r="N89" s="33">
        <f>IF(H89=0,0,L89/H89)</f>
        <v>0.13515583391343486</v>
      </c>
      <c r="O89" s="28"/>
      <c r="P89" s="31">
        <f>+P85-P87</f>
        <v>-79754.649999999936</v>
      </c>
      <c r="Q89" s="14"/>
      <c r="R89" s="33">
        <f>IF(P$12=0,0,P89/P$12)</f>
        <v>-0.31270379698296635</v>
      </c>
      <c r="S89" s="14"/>
      <c r="T89" s="31">
        <f>+T85-T87</f>
        <v>28440.934708399989</v>
      </c>
      <c r="U89" s="14"/>
      <c r="V89" s="33">
        <f>IF(T$12=0,0,T89/T$12)</f>
        <v>6.7872294285932444E-2</v>
      </c>
      <c r="W89" s="15"/>
      <c r="X89" s="31">
        <f>P89-T89</f>
        <v>-108195.58470839993</v>
      </c>
      <c r="Y89" s="15"/>
      <c r="Z89" s="33">
        <f>IF(T89=0,0,X89/T89)</f>
        <v>-3.8042204244589932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4">
        <f>SUM(D89:D91)</f>
        <v>-16613.93</v>
      </c>
      <c r="E92" s="14"/>
      <c r="F92" s="35">
        <f>IF(D$12=0,0,D92/D$12)</f>
        <v>0</v>
      </c>
      <c r="G92" s="14"/>
      <c r="H92" s="34">
        <f>SUM(H89:H91)</f>
        <v>-14635.814311700002</v>
      </c>
      <c r="I92" s="14"/>
      <c r="J92" s="35">
        <f>IF(H$12=0,0,H92/H$12)</f>
        <v>0</v>
      </c>
      <c r="K92" s="15"/>
      <c r="L92" s="34">
        <f>+D92-H92</f>
        <v>-1978.1156882999985</v>
      </c>
      <c r="M92" s="15"/>
      <c r="N92" s="35">
        <f>IF(H92=0,0,L92/H92)</f>
        <v>0.13515583391343486</v>
      </c>
      <c r="O92" s="28"/>
      <c r="P92" s="34">
        <f>SUM(P89:P91)</f>
        <v>-79754.649999999936</v>
      </c>
      <c r="Q92" s="14"/>
      <c r="R92" s="35">
        <f>IF(P$12=0,0,P92/P$12)</f>
        <v>-0.31270379698296635</v>
      </c>
      <c r="S92" s="14"/>
      <c r="T92" s="34">
        <f>SUM(T89:T91)</f>
        <v>28440.934708399989</v>
      </c>
      <c r="U92" s="14"/>
      <c r="V92" s="35">
        <f>IF(T$12=0,0,T92/T$12)</f>
        <v>6.7872294285932444E-2</v>
      </c>
      <c r="W92" s="15"/>
      <c r="X92" s="34">
        <f>+P92-T92</f>
        <v>-108195.58470839993</v>
      </c>
      <c r="Y92" s="15"/>
      <c r="Z92" s="35">
        <f>IF(T92=0,0,X92/T92)</f>
        <v>-3.8042204244589932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5">
        <v>44043.473766319446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2" t="s">
        <v>314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63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4:24" x14ac:dyDescent="0.25"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","414", " - ", "Starbucks UDP")</f>
        <v>Department 414 - Starbucks UDP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24000</v>
      </c>
      <c r="I12" s="4"/>
      <c r="J12" s="13"/>
      <c r="K12" s="4"/>
      <c r="L12" s="4">
        <f t="shared" ref="L12:L16" si="0">+D12-H12</f>
        <v>-24000</v>
      </c>
      <c r="M12" s="4"/>
      <c r="N12" s="13">
        <f t="shared" ref="N12:N16" si="1">IF(H12=0,0,L12/H12)</f>
        <v>-1</v>
      </c>
      <c r="O12" s="10"/>
      <c r="P12" s="4">
        <f>SUM(OSRRefP13x_0)</f>
        <v>591931.24</v>
      </c>
      <c r="Q12" s="4"/>
      <c r="R12" s="13"/>
      <c r="S12" s="4"/>
      <c r="T12" s="4">
        <f>SUM(OSRRefT13x_0)</f>
        <v>893600</v>
      </c>
      <c r="U12" s="4"/>
      <c r="V12" s="13"/>
      <c r="W12" s="4"/>
      <c r="X12" s="4">
        <f t="shared" ref="X12:X16" si="2">+P12-T12</f>
        <v>-301668.76</v>
      </c>
      <c r="Y12" s="4"/>
      <c r="Z12" s="13">
        <f t="shared" ref="Z12:Z16" si="3">IF(T12=0,0,X12/T12)</f>
        <v>-0.33758813786929276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9600</v>
      </c>
      <c r="I13" s="2"/>
      <c r="J13" s="19"/>
      <c r="K13" s="2"/>
      <c r="L13" s="2">
        <f t="shared" si="0"/>
        <v>-9600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353800</v>
      </c>
      <c r="U13" s="2"/>
      <c r="V13" s="19"/>
      <c r="W13" s="2"/>
      <c r="X13" s="2">
        <f t="shared" si="2"/>
        <v>-353800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--117077.57</f>
        <v>117077.57</v>
      </c>
      <c r="Q14" s="2"/>
      <c r="R14" s="19"/>
      <c r="S14" s="2"/>
      <c r="T14" s="2"/>
      <c r="U14" s="2"/>
      <c r="V14" s="19"/>
      <c r="W14" s="2"/>
      <c r="X14" s="2">
        <f t="shared" si="2"/>
        <v>117077.57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14400</v>
      </c>
      <c r="I15" s="2"/>
      <c r="J15" s="19"/>
      <c r="K15" s="2"/>
      <c r="L15" s="2">
        <f t="shared" si="0"/>
        <v>-14400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539800</v>
      </c>
      <c r="U15" s="2"/>
      <c r="V15" s="19"/>
      <c r="W15" s="2"/>
      <c r="X15" s="2">
        <f t="shared" si="2"/>
        <v>-539800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"4158", " - ", "NON-TAXABLE SALES-FOOD")</f>
        <v xml:space="preserve">          4158 -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--474853.67</f>
        <v>474853.67</v>
      </c>
      <c r="Q16" s="2"/>
      <c r="R16" s="19"/>
      <c r="S16" s="2"/>
      <c r="T16" s="2"/>
      <c r="U16" s="2"/>
      <c r="V16" s="19"/>
      <c r="W16" s="2"/>
      <c r="X16" s="2">
        <f t="shared" si="2"/>
        <v>474853.67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5913</v>
      </c>
      <c r="E18" s="4"/>
      <c r="F18" s="13">
        <f t="shared" ref="F18:F21" si="5">IF(D$12=0,0,D18/D$12)</f>
        <v>0</v>
      </c>
      <c r="G18" s="4"/>
      <c r="H18" s="4">
        <f>SUM(OSRRefH16x_0)</f>
        <v>3000</v>
      </c>
      <c r="I18" s="4"/>
      <c r="J18" s="13">
        <f t="shared" ref="J18:J21" si="6">IF(H$12=0,0,H18/H$12)</f>
        <v>0.125</v>
      </c>
      <c r="K18" s="4"/>
      <c r="L18" s="4">
        <f t="shared" ref="L18:L21" si="7">+D18-H18</f>
        <v>2913</v>
      </c>
      <c r="M18" s="4"/>
      <c r="N18" s="13">
        <f t="shared" ref="N18:N21" si="8">IF(H18=0,0,L18/H18)</f>
        <v>0.97099999999999997</v>
      </c>
      <c r="O18" s="10"/>
      <c r="P18" s="4">
        <f>SUM(OSRRefP16x_0)</f>
        <v>217798.36</v>
      </c>
      <c r="Q18" s="4"/>
      <c r="R18" s="13">
        <f t="shared" ref="R18:R21" si="9">IF(P$12=0,0,P18/P$12)</f>
        <v>0.36794537149281054</v>
      </c>
      <c r="S18" s="4"/>
      <c r="T18" s="4">
        <f>SUM(OSRRefT16x_0)</f>
        <v>282300</v>
      </c>
      <c r="U18" s="4"/>
      <c r="V18" s="13">
        <f t="shared" ref="V18:V21" si="10">IF(T$12=0,0,T18/T$12)</f>
        <v>0.31591316025067145</v>
      </c>
      <c r="W18" s="4"/>
      <c r="X18" s="4">
        <f t="shared" ref="X18:X21" si="11">+P18-T18</f>
        <v>-64501.640000000014</v>
      </c>
      <c r="Y18" s="4"/>
      <c r="Z18" s="13">
        <f t="shared" ref="Z18:Z21" si="12">IF(T18=0,0,X18/T18)</f>
        <v>-0.22848614948636209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3000</v>
      </c>
      <c r="I19" s="2"/>
      <c r="J19" s="19">
        <f t="shared" si="6"/>
        <v>0.125</v>
      </c>
      <c r="K19" s="2"/>
      <c r="L19" s="2">
        <f t="shared" si="7"/>
        <v>-3000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282300</v>
      </c>
      <c r="U19" s="2"/>
      <c r="V19" s="19">
        <f t="shared" si="10"/>
        <v>0.31591316025067145</v>
      </c>
      <c r="W19" s="2"/>
      <c r="X19" s="2">
        <f t="shared" si="11"/>
        <v>-282300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202040.36</v>
      </c>
      <c r="Q20" s="2"/>
      <c r="R20" s="19">
        <f t="shared" si="9"/>
        <v>0.34132403621744983</v>
      </c>
      <c r="S20" s="2"/>
      <c r="T20" s="2"/>
      <c r="U20" s="2"/>
      <c r="V20" s="19">
        <f t="shared" si="10"/>
        <v>0</v>
      </c>
      <c r="W20" s="2"/>
      <c r="X20" s="2">
        <f t="shared" si="11"/>
        <v>202040.36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5913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5913</v>
      </c>
      <c r="M21" s="2"/>
      <c r="N21" s="19">
        <f t="shared" si="8"/>
        <v>0</v>
      </c>
      <c r="O21" s="11"/>
      <c r="P21" s="2">
        <v>15758</v>
      </c>
      <c r="Q21" s="2"/>
      <c r="R21" s="19">
        <f t="shared" si="9"/>
        <v>2.6621335275360699E-2</v>
      </c>
      <c r="S21" s="2"/>
      <c r="T21" s="2"/>
      <c r="U21" s="2"/>
      <c r="V21" s="19">
        <f t="shared" si="10"/>
        <v>0</v>
      </c>
      <c r="W21" s="2"/>
      <c r="X21" s="2">
        <f t="shared" si="11"/>
        <v>15758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-5913</v>
      </c>
      <c r="E23" s="14"/>
      <c r="F23" s="20">
        <f>IF(D$12=0,0,D23/D$12)</f>
        <v>0</v>
      </c>
      <c r="G23" s="14"/>
      <c r="H23" s="22">
        <f>H12-H18</f>
        <v>21000</v>
      </c>
      <c r="I23" s="14"/>
      <c r="J23" s="20">
        <f>IF(H$12=0,0,H23/H$12)</f>
        <v>0.875</v>
      </c>
      <c r="K23" s="15"/>
      <c r="L23" s="22">
        <f>+D23-H23</f>
        <v>-26913</v>
      </c>
      <c r="M23" s="15"/>
      <c r="N23" s="20">
        <f>IF(H23=0,0,L23/H23)</f>
        <v>-1.2815714285714286</v>
      </c>
      <c r="O23" s="28"/>
      <c r="P23" s="22">
        <f>P12-P18</f>
        <v>374132.88</v>
      </c>
      <c r="Q23" s="14"/>
      <c r="R23" s="20">
        <f>IF(P$12=0,0,P23/P$12)</f>
        <v>0.63205462850718952</v>
      </c>
      <c r="S23" s="14"/>
      <c r="T23" s="22">
        <f>T12-T18</f>
        <v>611300</v>
      </c>
      <c r="U23" s="14"/>
      <c r="V23" s="20">
        <f>IF(T$12=0,0,T23/T$12)</f>
        <v>0.6840868397493286</v>
      </c>
      <c r="W23" s="15"/>
      <c r="X23" s="22">
        <f>+P23-T23</f>
        <v>-237167.12</v>
      </c>
      <c r="Y23" s="15"/>
      <c r="Z23" s="20">
        <f>IF(T23=0,0,X23/T23)</f>
        <v>-0.38797173237362997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2324.31</v>
      </c>
      <c r="E25" s="21"/>
      <c r="F25" s="32">
        <f t="shared" ref="F25:F35" si="13">IF(D$12=0,0,D25/D$12)</f>
        <v>0</v>
      </c>
      <c r="G25" s="21"/>
      <c r="H25" s="21">
        <f>SUM(OSRRefH22x_0)</f>
        <v>23946.658097200001</v>
      </c>
      <c r="I25" s="21"/>
      <c r="J25" s="32">
        <f t="shared" ref="J25:J35" si="14">IF(H$12=0,0,H25/H$12)</f>
        <v>0.99777742071666675</v>
      </c>
      <c r="K25" s="4"/>
      <c r="L25" s="21">
        <f t="shared" ref="L25:L35" si="15">+D25-H25</f>
        <v>-21622.3480972</v>
      </c>
      <c r="M25" s="4"/>
      <c r="N25" s="32">
        <f t="shared" ref="N25:N35" si="16">IF(H25=0,0,L25/H25)</f>
        <v>-0.90293802205862805</v>
      </c>
      <c r="O25" s="10"/>
      <c r="P25" s="21">
        <f>SUM(OSRRefP22x_0)</f>
        <v>332325.94999999995</v>
      </c>
      <c r="Q25" s="21"/>
      <c r="R25" s="32">
        <f t="shared" ref="R25:R35" si="17">IF(P$12=0,0,P25/P$12)</f>
        <v>0.56142661096920643</v>
      </c>
      <c r="S25" s="21"/>
      <c r="T25" s="21">
        <f>SUM(OSRRefT22x_0)</f>
        <v>425965.89861659997</v>
      </c>
      <c r="U25" s="21"/>
      <c r="V25" s="32">
        <f t="shared" ref="V25:V35" si="18">IF(T$12=0,0,T25/T$12)</f>
        <v>0.476685204360564</v>
      </c>
      <c r="W25" s="4"/>
      <c r="X25" s="21">
        <f t="shared" ref="X25:X35" si="19">+P25-T25</f>
        <v>-93639.948616600013</v>
      </c>
      <c r="Y25" s="4"/>
      <c r="Z25" s="32">
        <f t="shared" ref="Z25:Z35" si="20">IF(T25=0,0,X25/T25)</f>
        <v>-0.21982968336365047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272.70999999999998</v>
      </c>
      <c r="E26" s="1"/>
      <c r="F26" s="5">
        <f t="shared" si="13"/>
        <v>0</v>
      </c>
      <c r="G26" s="1"/>
      <c r="H26" s="1">
        <f>SUM(OSRRefH22_0x_0)</f>
        <v>4042.3220972000004</v>
      </c>
      <c r="I26" s="1"/>
      <c r="J26" s="5">
        <f t="shared" si="14"/>
        <v>0.16843008738333334</v>
      </c>
      <c r="K26" s="1"/>
      <c r="L26" s="1">
        <f t="shared" si="15"/>
        <v>-3769.6120972000003</v>
      </c>
      <c r="M26" s="1"/>
      <c r="N26" s="5">
        <f t="shared" si="16"/>
        <v>-0.93253630130342702</v>
      </c>
      <c r="O26" s="12"/>
      <c r="P26" s="1">
        <f>SUM(OSRRefP22_0x_0)</f>
        <v>27827.83</v>
      </c>
      <c r="Q26" s="1"/>
      <c r="R26" s="5">
        <f t="shared" si="17"/>
        <v>4.7011929966730599E-2</v>
      </c>
      <c r="S26" s="1"/>
      <c r="T26" s="1">
        <f>SUM(OSRRefT22_0x_0)</f>
        <v>53559.010616599997</v>
      </c>
      <c r="U26" s="1"/>
      <c r="V26" s="5">
        <f t="shared" si="18"/>
        <v>5.9936224951432401E-2</v>
      </c>
      <c r="W26" s="1"/>
      <c r="X26" s="1">
        <f t="shared" si="19"/>
        <v>-25731.180616599995</v>
      </c>
      <c r="Y26" s="1"/>
      <c r="Z26" s="5">
        <f t="shared" si="20"/>
        <v>-0.480426735303152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3"/>
        <v>0</v>
      </c>
      <c r="G27" s="2"/>
      <c r="H27" s="6">
        <v>742.03794119999998</v>
      </c>
      <c r="I27" s="2"/>
      <c r="J27" s="7">
        <f t="shared" si="14"/>
        <v>3.091824755E-2</v>
      </c>
      <c r="K27" s="2"/>
      <c r="L27" s="6">
        <f t="shared" si="15"/>
        <v>-742.03794119999998</v>
      </c>
      <c r="M27" s="2"/>
      <c r="N27" s="7">
        <f t="shared" si="16"/>
        <v>-1</v>
      </c>
      <c r="O27" s="11"/>
      <c r="P27" s="6">
        <v>5995.86</v>
      </c>
      <c r="Q27" s="2"/>
      <c r="R27" s="7">
        <f t="shared" si="17"/>
        <v>1.0129318398535612E-2</v>
      </c>
      <c r="S27" s="2"/>
      <c r="T27" s="6">
        <v>9328.2814956000002</v>
      </c>
      <c r="U27" s="2"/>
      <c r="V27" s="7">
        <f t="shared" si="18"/>
        <v>1.0438990035362578E-2</v>
      </c>
      <c r="W27" s="2"/>
      <c r="X27" s="6">
        <f t="shared" si="19"/>
        <v>-3332.4214956000005</v>
      </c>
      <c r="Y27" s="2"/>
      <c r="Z27" s="7">
        <f t="shared" si="20"/>
        <v>-0.35723852214063756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577.90427199999999</v>
      </c>
      <c r="I28" s="2"/>
      <c r="J28" s="7">
        <f t="shared" si="14"/>
        <v>2.4079344666666665E-2</v>
      </c>
      <c r="K28" s="2"/>
      <c r="L28" s="6">
        <f t="shared" si="15"/>
        <v>-577.90427199999999</v>
      </c>
      <c r="M28" s="2"/>
      <c r="N28" s="7">
        <f t="shared" si="16"/>
        <v>-1</v>
      </c>
      <c r="O28" s="11"/>
      <c r="P28" s="6">
        <v>5901.84</v>
      </c>
      <c r="Q28" s="2"/>
      <c r="R28" s="7">
        <f t="shared" si="17"/>
        <v>9.9704823823794139E-3</v>
      </c>
      <c r="S28" s="2"/>
      <c r="T28" s="6">
        <v>8905.8121119999996</v>
      </c>
      <c r="U28" s="2"/>
      <c r="V28" s="7">
        <f t="shared" si="18"/>
        <v>9.9662176723366146E-3</v>
      </c>
      <c r="W28" s="2"/>
      <c r="X28" s="6">
        <f t="shared" si="19"/>
        <v>-3003.9721119999995</v>
      </c>
      <c r="Y28" s="2"/>
      <c r="Z28" s="7">
        <f t="shared" si="20"/>
        <v>-0.33730468083335641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702.51</v>
      </c>
      <c r="E29" s="2"/>
      <c r="F29" s="7">
        <f t="shared" si="13"/>
        <v>0</v>
      </c>
      <c r="G29" s="2"/>
      <c r="H29" s="6">
        <v>1381</v>
      </c>
      <c r="I29" s="2"/>
      <c r="J29" s="7">
        <f t="shared" si="14"/>
        <v>5.7541666666666665E-2</v>
      </c>
      <c r="K29" s="2"/>
      <c r="L29" s="6">
        <f t="shared" si="15"/>
        <v>-678.49</v>
      </c>
      <c r="M29" s="2"/>
      <c r="N29" s="7">
        <f t="shared" si="16"/>
        <v>-0.49130340333091965</v>
      </c>
      <c r="O29" s="11"/>
      <c r="P29" s="6">
        <v>9111.33</v>
      </c>
      <c r="Q29" s="2"/>
      <c r="R29" s="7">
        <f t="shared" si="17"/>
        <v>1.5392547958779807E-2</v>
      </c>
      <c r="S29" s="2"/>
      <c r="T29" s="6">
        <v>16572</v>
      </c>
      <c r="U29" s="2"/>
      <c r="V29" s="7">
        <f t="shared" si="18"/>
        <v>1.8545210384959713E-2</v>
      </c>
      <c r="W29" s="2"/>
      <c r="X29" s="6">
        <f t="shared" si="19"/>
        <v>-7460.67</v>
      </c>
      <c r="Y29" s="2"/>
      <c r="Z29" s="7">
        <f t="shared" si="20"/>
        <v>-0.450197320782042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-479.62</v>
      </c>
      <c r="E30" s="2"/>
      <c r="F30" s="7">
        <f t="shared" si="13"/>
        <v>0</v>
      </c>
      <c r="G30" s="2"/>
      <c r="H30" s="6">
        <v>45.879443999999999</v>
      </c>
      <c r="I30" s="2"/>
      <c r="J30" s="7">
        <f t="shared" si="14"/>
        <v>1.9116434999999999E-3</v>
      </c>
      <c r="K30" s="2"/>
      <c r="L30" s="6">
        <f t="shared" si="15"/>
        <v>-525.49944400000004</v>
      </c>
      <c r="M30" s="2"/>
      <c r="N30" s="7">
        <f t="shared" si="16"/>
        <v>-11.453919188732977</v>
      </c>
      <c r="O30" s="11"/>
      <c r="P30" s="6">
        <v>0</v>
      </c>
      <c r="Q30" s="2"/>
      <c r="R30" s="7">
        <f t="shared" si="17"/>
        <v>0</v>
      </c>
      <c r="S30" s="2"/>
      <c r="T30" s="6">
        <v>711.357439</v>
      </c>
      <c r="U30" s="2"/>
      <c r="V30" s="7">
        <f t="shared" si="18"/>
        <v>7.9605801141450312E-4</v>
      </c>
      <c r="W30" s="2"/>
      <c r="X30" s="6">
        <f t="shared" si="19"/>
        <v>-711.357439</v>
      </c>
      <c r="Y30" s="2"/>
      <c r="Z30" s="7">
        <f t="shared" si="20"/>
        <v>-1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422.34944000000002</v>
      </c>
      <c r="I31" s="2"/>
      <c r="J31" s="7">
        <f t="shared" si="14"/>
        <v>1.7597893333333333E-2</v>
      </c>
      <c r="K31" s="2"/>
      <c r="L31" s="6">
        <f t="shared" si="15"/>
        <v>-422.34944000000002</v>
      </c>
      <c r="M31" s="2"/>
      <c r="N31" s="7">
        <f t="shared" si="16"/>
        <v>-1</v>
      </c>
      <c r="O31" s="11"/>
      <c r="P31" s="6">
        <v>711.9</v>
      </c>
      <c r="Q31" s="2"/>
      <c r="R31" s="7">
        <f t="shared" si="17"/>
        <v>1.2026734726824015E-3</v>
      </c>
      <c r="S31" s="2"/>
      <c r="T31" s="6">
        <v>5490.5427200000004</v>
      </c>
      <c r="U31" s="2"/>
      <c r="V31" s="7">
        <f t="shared" si="18"/>
        <v>6.1442957923008058E-3</v>
      </c>
      <c r="W31" s="2"/>
      <c r="X31" s="6">
        <f t="shared" si="19"/>
        <v>-4778.6427200000007</v>
      </c>
      <c r="Y31" s="2"/>
      <c r="Z31" s="7">
        <f t="shared" si="20"/>
        <v>-0.87034068646678342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245.55199999999999</v>
      </c>
      <c r="I33" s="2"/>
      <c r="J33" s="7">
        <f t="shared" si="14"/>
        <v>1.0231333333333334E-2</v>
      </c>
      <c r="K33" s="2"/>
      <c r="L33" s="6">
        <f t="shared" si="15"/>
        <v>-245.55199999999999</v>
      </c>
      <c r="M33" s="2"/>
      <c r="N33" s="7">
        <f t="shared" si="16"/>
        <v>-1</v>
      </c>
      <c r="O33" s="11"/>
      <c r="P33" s="6">
        <v>2037.11</v>
      </c>
      <c r="Q33" s="2"/>
      <c r="R33" s="7">
        <f t="shared" si="17"/>
        <v>3.4414639105717752E-3</v>
      </c>
      <c r="S33" s="2"/>
      <c r="T33" s="6">
        <v>3192.1759999999999</v>
      </c>
      <c r="U33" s="2"/>
      <c r="V33" s="7">
        <f t="shared" si="18"/>
        <v>3.5722649955237241E-3</v>
      </c>
      <c r="W33" s="2"/>
      <c r="X33" s="6">
        <f t="shared" si="19"/>
        <v>-1155.066</v>
      </c>
      <c r="Y33" s="2"/>
      <c r="Z33" s="7">
        <f t="shared" si="20"/>
        <v>-0.36184283072111312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627.59900000000005</v>
      </c>
      <c r="I34" s="2"/>
      <c r="J34" s="7">
        <f t="shared" si="14"/>
        <v>2.6149958333333334E-2</v>
      </c>
      <c r="K34" s="2"/>
      <c r="L34" s="6">
        <f t="shared" si="15"/>
        <v>-627.59900000000005</v>
      </c>
      <c r="M34" s="2"/>
      <c r="N34" s="7">
        <f t="shared" si="16"/>
        <v>-1</v>
      </c>
      <c r="O34" s="11"/>
      <c r="P34" s="6">
        <v>2440.5100000000002</v>
      </c>
      <c r="Q34" s="2"/>
      <c r="R34" s="7">
        <f t="shared" si="17"/>
        <v>4.1229619845710459E-3</v>
      </c>
      <c r="S34" s="2"/>
      <c r="T34" s="6">
        <v>9358.8408500000005</v>
      </c>
      <c r="U34" s="2"/>
      <c r="V34" s="7">
        <f t="shared" si="18"/>
        <v>1.0473188059534467E-2</v>
      </c>
      <c r="W34" s="2"/>
      <c r="X34" s="6">
        <f t="shared" si="19"/>
        <v>-6918.3308500000003</v>
      </c>
      <c r="Y34" s="2"/>
      <c r="Z34" s="7">
        <f t="shared" si="20"/>
        <v>-0.73922945810110663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49.82</v>
      </c>
      <c r="E35" s="2"/>
      <c r="F35" s="7">
        <f t="shared" si="13"/>
        <v>0</v>
      </c>
      <c r="G35" s="2"/>
      <c r="H35" s="6"/>
      <c r="I35" s="2"/>
      <c r="J35" s="7">
        <f t="shared" si="14"/>
        <v>0</v>
      </c>
      <c r="K35" s="2"/>
      <c r="L35" s="6">
        <f t="shared" si="15"/>
        <v>49.82</v>
      </c>
      <c r="M35" s="2"/>
      <c r="N35" s="7">
        <f t="shared" si="16"/>
        <v>0</v>
      </c>
      <c r="O35" s="11"/>
      <c r="P35" s="6">
        <v>1629.28</v>
      </c>
      <c r="Q35" s="2"/>
      <c r="R35" s="7">
        <f t="shared" si="17"/>
        <v>2.7524818592105393E-3</v>
      </c>
      <c r="S35" s="2"/>
      <c r="T35" s="6"/>
      <c r="U35" s="2"/>
      <c r="V35" s="7">
        <f t="shared" si="18"/>
        <v>0</v>
      </c>
      <c r="W35" s="2"/>
      <c r="X35" s="6">
        <f t="shared" si="19"/>
        <v>1629.28</v>
      </c>
      <c r="Y35" s="2"/>
      <c r="Z35" s="7">
        <f t="shared" si="20"/>
        <v>0</v>
      </c>
    </row>
    <row r="36" spans="1:26" s="26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0</v>
      </c>
      <c r="E36" s="1"/>
      <c r="F36" s="5">
        <f t="shared" ref="F36:F46" si="21">IF(D$12=0,0,D36/D$12)</f>
        <v>0</v>
      </c>
      <c r="G36" s="1"/>
      <c r="H36" s="1">
        <f>SUM(OSRRefH22_1x_0)</f>
        <v>14403.335999999999</v>
      </c>
      <c r="I36" s="1"/>
      <c r="J36" s="5">
        <f t="shared" ref="J36:J46" si="22">IF(H$12=0,0,H36/H$12)</f>
        <v>0.60013899999999998</v>
      </c>
      <c r="K36" s="1"/>
      <c r="L36" s="1">
        <f t="shared" ref="L36:L46" si="23">+D36-H36</f>
        <v>-14403.335999999999</v>
      </c>
      <c r="M36" s="1"/>
      <c r="N36" s="5">
        <f t="shared" ref="N36:N46" si="24">IF(H36=0,0,L36/H36)</f>
        <v>-1</v>
      </c>
      <c r="O36" s="12"/>
      <c r="P36" s="1">
        <f>SUM(OSRRefP22_1x_0)</f>
        <v>187328.1</v>
      </c>
      <c r="Q36" s="1"/>
      <c r="R36" s="5">
        <f t="shared" ref="R36:R46" si="25">IF(P$12=0,0,P36/P$12)</f>
        <v>0.31646935883971933</v>
      </c>
      <c r="S36" s="1"/>
      <c r="T36" s="1">
        <f>SUM(OSRRefT22_1x_0)</f>
        <v>223146.88800000001</v>
      </c>
      <c r="U36" s="1"/>
      <c r="V36" s="5">
        <f t="shared" ref="V36:V46" si="26">IF(T$12=0,0,T36/T$12)</f>
        <v>0.24971675022381379</v>
      </c>
      <c r="W36" s="1"/>
      <c r="X36" s="1">
        <f t="shared" ref="X36:X46" si="27">+P36-T36</f>
        <v>-35818.788</v>
      </c>
      <c r="Y36" s="1"/>
      <c r="Z36" s="5">
        <f t="shared" ref="Z36:Z46" si="28">IF(T36=0,0,X36/T36)</f>
        <v>-0.16051663691585966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1"/>
        <v>0</v>
      </c>
      <c r="G38" s="2"/>
      <c r="H38" s="6">
        <v>4419.9359999999997</v>
      </c>
      <c r="I38" s="2"/>
      <c r="J38" s="7">
        <f t="shared" si="22"/>
        <v>0.18416399999999999</v>
      </c>
      <c r="K38" s="2"/>
      <c r="L38" s="6">
        <f t="shared" si="23"/>
        <v>-4419.9359999999997</v>
      </c>
      <c r="M38" s="2"/>
      <c r="N38" s="7">
        <f t="shared" si="24"/>
        <v>-1</v>
      </c>
      <c r="O38" s="11"/>
      <c r="P38" s="6">
        <v>9754.9500000000007</v>
      </c>
      <c r="Q38" s="2"/>
      <c r="R38" s="7">
        <f t="shared" si="25"/>
        <v>1.6479870195734221E-2</v>
      </c>
      <c r="S38" s="2"/>
      <c r="T38" s="6">
        <v>57459.167999999998</v>
      </c>
      <c r="U38" s="2"/>
      <c r="V38" s="7">
        <f t="shared" si="26"/>
        <v>6.4300769919427028E-2</v>
      </c>
      <c r="W38" s="2"/>
      <c r="X38" s="6">
        <f t="shared" si="27"/>
        <v>-47704.217999999993</v>
      </c>
      <c r="Y38" s="2"/>
      <c r="Z38" s="7">
        <f t="shared" si="28"/>
        <v>-0.83022813696153752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1"/>
        <v>0</v>
      </c>
      <c r="G40" s="2"/>
      <c r="H40" s="6">
        <v>4785</v>
      </c>
      <c r="I40" s="2"/>
      <c r="J40" s="7">
        <f t="shared" si="22"/>
        <v>0.199375</v>
      </c>
      <c r="K40" s="2"/>
      <c r="L40" s="6">
        <f t="shared" si="23"/>
        <v>-4785</v>
      </c>
      <c r="M40" s="2"/>
      <c r="N40" s="7">
        <f t="shared" si="24"/>
        <v>-1</v>
      </c>
      <c r="O40" s="11"/>
      <c r="P40" s="6">
        <v>53258.29</v>
      </c>
      <c r="Q40" s="2"/>
      <c r="R40" s="7">
        <f t="shared" si="25"/>
        <v>8.9973778035435339E-2</v>
      </c>
      <c r="S40" s="2"/>
      <c r="T40" s="6">
        <v>50127</v>
      </c>
      <c r="U40" s="2"/>
      <c r="V40" s="7">
        <f t="shared" si="26"/>
        <v>5.6095568487018799E-2</v>
      </c>
      <c r="W40" s="2"/>
      <c r="X40" s="6">
        <f t="shared" si="27"/>
        <v>3131.2900000000009</v>
      </c>
      <c r="Y40" s="2"/>
      <c r="Z40" s="7">
        <f t="shared" si="28"/>
        <v>6.2467133480958385E-2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1997.5</v>
      </c>
      <c r="Q41" s="2"/>
      <c r="R41" s="7">
        <f t="shared" si="25"/>
        <v>3.3745473545204337E-3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1997.5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29.25</v>
      </c>
      <c r="Q42" s="2"/>
      <c r="R42" s="7">
        <f t="shared" si="25"/>
        <v>4.9414523213878695E-5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29.25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121057.65999999999</v>
      </c>
      <c r="Q43" s="2"/>
      <c r="R43" s="7">
        <f t="shared" si="25"/>
        <v>0.20451304445428492</v>
      </c>
      <c r="S43" s="2"/>
      <c r="T43" s="6">
        <v>3720</v>
      </c>
      <c r="U43" s="2"/>
      <c r="V43" s="7">
        <f t="shared" si="26"/>
        <v>4.162936436884512E-3</v>
      </c>
      <c r="W43" s="2"/>
      <c r="X43" s="6">
        <f t="shared" si="27"/>
        <v>117337.65999999999</v>
      </c>
      <c r="Y43" s="2"/>
      <c r="Z43" s="7">
        <f t="shared" si="28"/>
        <v>31.542381720430104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5198.3999999999996</v>
      </c>
      <c r="I44" s="2"/>
      <c r="J44" s="7">
        <f t="shared" si="22"/>
        <v>0.21659999999999999</v>
      </c>
      <c r="K44" s="2"/>
      <c r="L44" s="6">
        <f t="shared" si="23"/>
        <v>-5198.3999999999996</v>
      </c>
      <c r="M44" s="2"/>
      <c r="N44" s="7">
        <f t="shared" si="24"/>
        <v>-1</v>
      </c>
      <c r="O44" s="11"/>
      <c r="P44" s="6">
        <v>1230.45</v>
      </c>
      <c r="Q44" s="2"/>
      <c r="R44" s="7">
        <f t="shared" si="25"/>
        <v>2.0787042765304971E-3</v>
      </c>
      <c r="S44" s="2"/>
      <c r="T44" s="6">
        <v>111840.72</v>
      </c>
      <c r="U44" s="2"/>
      <c r="V44" s="7">
        <f t="shared" si="26"/>
        <v>0.12515747538048344</v>
      </c>
      <c r="W44" s="2"/>
      <c r="X44" s="6">
        <f t="shared" si="27"/>
        <v>-110610.27</v>
      </c>
      <c r="Y44" s="2"/>
      <c r="Z44" s="7">
        <f t="shared" si="28"/>
        <v>-0.98899819314467941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6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55" si="29">IF(D$12=0,0,D47/D$12)</f>
        <v>0</v>
      </c>
      <c r="G47" s="1"/>
      <c r="H47" s="1">
        <f>SUM(OSRRefH22_2x_0)</f>
        <v>0</v>
      </c>
      <c r="I47" s="1"/>
      <c r="J47" s="5">
        <f t="shared" ref="J47:J55" si="30">IF(H$12=0,0,H47/H$12)</f>
        <v>0</v>
      </c>
      <c r="K47" s="1"/>
      <c r="L47" s="1">
        <f t="shared" ref="L47:L55" si="31">+D47-H47</f>
        <v>0</v>
      </c>
      <c r="M47" s="1"/>
      <c r="N47" s="5">
        <f t="shared" ref="N47:N55" si="32">IF(H47=0,0,L47/H47)</f>
        <v>0</v>
      </c>
      <c r="O47" s="12"/>
      <c r="P47" s="1">
        <f>SUM(OSRRefP22_2x_0)</f>
        <v>830.37</v>
      </c>
      <c r="Q47" s="1"/>
      <c r="R47" s="5">
        <f t="shared" ref="R47:R55" si="33">IF(P$12=0,0,P47/P$12)</f>
        <v>1.4028149620891779E-3</v>
      </c>
      <c r="S47" s="1"/>
      <c r="T47" s="1">
        <f>SUM(OSRRefT22_2x_0)</f>
        <v>1955</v>
      </c>
      <c r="U47" s="1"/>
      <c r="V47" s="5">
        <f t="shared" ref="V47:V55" si="34">IF(T$12=0,0,T47/T$12)</f>
        <v>2.1877797672336615E-3</v>
      </c>
      <c r="W47" s="1"/>
      <c r="X47" s="1">
        <f t="shared" ref="X47:X55" si="35">+P47-T47</f>
        <v>-1124.6300000000001</v>
      </c>
      <c r="Y47" s="1"/>
      <c r="Z47" s="5">
        <f t="shared" ref="Z47:Z55" si="36">IF(T47=0,0,X47/T47)</f>
        <v>-0.57525831202046041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830.37</v>
      </c>
      <c r="Q48" s="2"/>
      <c r="R48" s="7">
        <f t="shared" si="33"/>
        <v>1.4028149620891779E-3</v>
      </c>
      <c r="S48" s="2"/>
      <c r="T48" s="6">
        <v>1955</v>
      </c>
      <c r="U48" s="2"/>
      <c r="V48" s="7">
        <f t="shared" si="34"/>
        <v>2.1877797672336615E-3</v>
      </c>
      <c r="W48" s="2"/>
      <c r="X48" s="6">
        <f t="shared" si="35"/>
        <v>-1124.6300000000001</v>
      </c>
      <c r="Y48" s="2"/>
      <c r="Z48" s="7">
        <f t="shared" si="36"/>
        <v>-0.57525831202046041</v>
      </c>
    </row>
    <row r="49" spans="1:26" s="26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10</v>
      </c>
      <c r="I49" s="1"/>
      <c r="J49" s="5">
        <f t="shared" si="30"/>
        <v>4.1666666666666669E-4</v>
      </c>
      <c r="K49" s="1"/>
      <c r="L49" s="1">
        <f t="shared" si="31"/>
        <v>-10</v>
      </c>
      <c r="M49" s="1"/>
      <c r="N49" s="5">
        <f t="shared" si="32"/>
        <v>-1</v>
      </c>
      <c r="O49" s="12"/>
      <c r="P49" s="1">
        <f>SUM(OSRRefP22_3x_0)</f>
        <v>125.23</v>
      </c>
      <c r="Q49" s="1"/>
      <c r="R49" s="5">
        <f t="shared" si="33"/>
        <v>2.1156173477176167E-4</v>
      </c>
      <c r="S49" s="1"/>
      <c r="T49" s="1">
        <f>SUM(OSRRefT22_3x_0)</f>
        <v>100</v>
      </c>
      <c r="U49" s="1"/>
      <c r="V49" s="5">
        <f t="shared" si="34"/>
        <v>1.1190689346463742E-4</v>
      </c>
      <c r="W49" s="1"/>
      <c r="X49" s="1">
        <f t="shared" si="35"/>
        <v>25.230000000000004</v>
      </c>
      <c r="Y49" s="1"/>
      <c r="Z49" s="5">
        <f t="shared" si="36"/>
        <v>0.25230000000000002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9"/>
        <v>0</v>
      </c>
      <c r="G50" s="2"/>
      <c r="H50" s="6">
        <v>10</v>
      </c>
      <c r="I50" s="2"/>
      <c r="J50" s="7">
        <f t="shared" si="30"/>
        <v>4.1666666666666669E-4</v>
      </c>
      <c r="K50" s="2"/>
      <c r="L50" s="6">
        <f t="shared" si="31"/>
        <v>-10</v>
      </c>
      <c r="M50" s="2"/>
      <c r="N50" s="7">
        <f t="shared" si="32"/>
        <v>-1</v>
      </c>
      <c r="O50" s="11"/>
      <c r="P50" s="6">
        <v>125.23</v>
      </c>
      <c r="Q50" s="2"/>
      <c r="R50" s="7">
        <f t="shared" si="33"/>
        <v>2.1156173477176167E-4</v>
      </c>
      <c r="S50" s="2"/>
      <c r="T50" s="6">
        <v>100</v>
      </c>
      <c r="U50" s="2"/>
      <c r="V50" s="7">
        <f t="shared" si="34"/>
        <v>1.1190689346463742E-4</v>
      </c>
      <c r="W50" s="2"/>
      <c r="X50" s="6">
        <f t="shared" si="35"/>
        <v>25.230000000000004</v>
      </c>
      <c r="Y50" s="2"/>
      <c r="Z50" s="7">
        <f t="shared" si="36"/>
        <v>0.25230000000000002</v>
      </c>
    </row>
    <row r="51" spans="1:26" s="26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460</v>
      </c>
      <c r="I51" s="1"/>
      <c r="J51" s="5">
        <f t="shared" si="30"/>
        <v>1.9166666666666665E-2</v>
      </c>
      <c r="K51" s="1"/>
      <c r="L51" s="1">
        <f t="shared" si="31"/>
        <v>-460</v>
      </c>
      <c r="M51" s="1"/>
      <c r="N51" s="5">
        <f t="shared" si="32"/>
        <v>-1</v>
      </c>
      <c r="O51" s="12"/>
      <c r="P51" s="1">
        <f>SUM(OSRRefP22_4x_0)</f>
        <v>18857.060000000001</v>
      </c>
      <c r="Q51" s="1"/>
      <c r="R51" s="5">
        <f t="shared" si="33"/>
        <v>3.1856842021042851E-2</v>
      </c>
      <c r="S51" s="1"/>
      <c r="T51" s="1">
        <f>SUM(OSRRefT22_4x_0)</f>
        <v>18646</v>
      </c>
      <c r="U51" s="1"/>
      <c r="V51" s="5">
        <f t="shared" si="34"/>
        <v>2.0866159355416292E-2</v>
      </c>
      <c r="W51" s="1"/>
      <c r="X51" s="1">
        <f t="shared" si="35"/>
        <v>211.06000000000131</v>
      </c>
      <c r="Y51" s="1"/>
      <c r="Z51" s="5">
        <f t="shared" si="36"/>
        <v>1.131931781615367E-2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/>
      <c r="E52" s="2"/>
      <c r="F52" s="7">
        <f t="shared" si="29"/>
        <v>0</v>
      </c>
      <c r="G52" s="2"/>
      <c r="H52" s="6">
        <v>460</v>
      </c>
      <c r="I52" s="2"/>
      <c r="J52" s="7">
        <f t="shared" si="30"/>
        <v>1.9166666666666665E-2</v>
      </c>
      <c r="K52" s="2"/>
      <c r="L52" s="6">
        <f t="shared" si="31"/>
        <v>-460</v>
      </c>
      <c r="M52" s="2"/>
      <c r="N52" s="7">
        <f t="shared" si="32"/>
        <v>-1</v>
      </c>
      <c r="O52" s="11"/>
      <c r="P52" s="6">
        <v>18857.060000000001</v>
      </c>
      <c r="Q52" s="2"/>
      <c r="R52" s="7">
        <f t="shared" si="33"/>
        <v>3.1856842021042851E-2</v>
      </c>
      <c r="S52" s="2"/>
      <c r="T52" s="6">
        <v>18646</v>
      </c>
      <c r="U52" s="2"/>
      <c r="V52" s="7">
        <f t="shared" si="34"/>
        <v>2.0866159355416292E-2</v>
      </c>
      <c r="W52" s="2"/>
      <c r="X52" s="6">
        <f t="shared" si="35"/>
        <v>211.06000000000131</v>
      </c>
      <c r="Y52" s="2"/>
      <c r="Z52" s="7">
        <f t="shared" si="36"/>
        <v>1.131931781615367E-2</v>
      </c>
    </row>
    <row r="53" spans="1:26" s="26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1972.02</v>
      </c>
      <c r="E53" s="1"/>
      <c r="F53" s="5">
        <f t="shared" si="29"/>
        <v>0</v>
      </c>
      <c r="G53" s="1"/>
      <c r="H53" s="1">
        <f>SUM(OSRRefH22_5x_0)</f>
        <v>2401</v>
      </c>
      <c r="I53" s="1"/>
      <c r="J53" s="5">
        <f t="shared" si="30"/>
        <v>0.10004166666666667</v>
      </c>
      <c r="K53" s="1"/>
      <c r="L53" s="1">
        <f t="shared" si="31"/>
        <v>-428.98</v>
      </c>
      <c r="M53" s="1"/>
      <c r="N53" s="5">
        <f t="shared" si="32"/>
        <v>-0.17866722199083715</v>
      </c>
      <c r="O53" s="12"/>
      <c r="P53" s="1">
        <f>SUM(OSRRefP22_5x_0)</f>
        <v>22529.94</v>
      </c>
      <c r="Q53" s="1"/>
      <c r="R53" s="5">
        <f t="shared" si="33"/>
        <v>3.8061751902129709E-2</v>
      </c>
      <c r="S53" s="1"/>
      <c r="T53" s="1">
        <f>SUM(OSRRefT22_5x_0)</f>
        <v>27478</v>
      </c>
      <c r="U53" s="1"/>
      <c r="V53" s="5">
        <f t="shared" si="34"/>
        <v>3.0749776186213072E-2</v>
      </c>
      <c r="W53" s="1"/>
      <c r="X53" s="1">
        <f t="shared" si="35"/>
        <v>-4948.0600000000013</v>
      </c>
      <c r="Y53" s="1"/>
      <c r="Z53" s="5">
        <f t="shared" si="36"/>
        <v>-0.1800735133561395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1972.02</v>
      </c>
      <c r="E54" s="2"/>
      <c r="F54" s="7">
        <f t="shared" si="29"/>
        <v>0</v>
      </c>
      <c r="G54" s="2"/>
      <c r="H54" s="6">
        <v>1674</v>
      </c>
      <c r="I54" s="2"/>
      <c r="J54" s="7">
        <f t="shared" si="30"/>
        <v>6.9750000000000006E-2</v>
      </c>
      <c r="K54" s="2"/>
      <c r="L54" s="6">
        <f t="shared" si="31"/>
        <v>298.02</v>
      </c>
      <c r="M54" s="2"/>
      <c r="N54" s="7">
        <f t="shared" si="32"/>
        <v>0.17802867383512544</v>
      </c>
      <c r="O54" s="11"/>
      <c r="P54" s="6">
        <v>22529.94</v>
      </c>
      <c r="Q54" s="2"/>
      <c r="R54" s="7">
        <f t="shared" si="33"/>
        <v>3.8061751902129709E-2</v>
      </c>
      <c r="S54" s="2"/>
      <c r="T54" s="6">
        <v>20088</v>
      </c>
      <c r="U54" s="2"/>
      <c r="V54" s="7">
        <f t="shared" si="34"/>
        <v>2.2479856759176364E-2</v>
      </c>
      <c r="W54" s="2"/>
      <c r="X54" s="6">
        <f t="shared" si="35"/>
        <v>2441.9399999999987</v>
      </c>
      <c r="Y54" s="2"/>
      <c r="Z54" s="7">
        <f t="shared" si="36"/>
        <v>0.12156212664277175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727</v>
      </c>
      <c r="I55" s="2"/>
      <c r="J55" s="7">
        <f t="shared" si="30"/>
        <v>3.0291666666666668E-2</v>
      </c>
      <c r="K55" s="2"/>
      <c r="L55" s="6">
        <f t="shared" si="31"/>
        <v>-727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7390</v>
      </c>
      <c r="U55" s="2"/>
      <c r="V55" s="7">
        <f t="shared" si="34"/>
        <v>8.2699194270367052E-3</v>
      </c>
      <c r="W55" s="2"/>
      <c r="X55" s="6">
        <f t="shared" si="35"/>
        <v>-7390</v>
      </c>
      <c r="Y55" s="2"/>
      <c r="Z55" s="7">
        <f t="shared" si="36"/>
        <v>-1</v>
      </c>
    </row>
    <row r="56" spans="1:26" s="26" customFormat="1" outlineLevel="1" collapsed="1" x14ac:dyDescent="0.25">
      <c r="A56" s="25"/>
      <c r="B56" s="12" t="str">
        <f>CONCATENATE("     ","Employees' Appreciation                           ")</f>
        <v xml:space="preserve">     Employees' Appreciation                           </v>
      </c>
      <c r="C56" s="12"/>
      <c r="D56" s="1">
        <f>SUM(OSRRefD22_6x_0)</f>
        <v>0</v>
      </c>
      <c r="E56" s="1"/>
      <c r="F56" s="5">
        <f t="shared" ref="F56:F64" si="37">IF(D$12=0,0,D56/D$12)</f>
        <v>0</v>
      </c>
      <c r="G56" s="1"/>
      <c r="H56" s="1">
        <f>SUM(OSRRefH22_6x_0)</f>
        <v>0</v>
      </c>
      <c r="I56" s="1"/>
      <c r="J56" s="5">
        <f t="shared" ref="J56:J64" si="38">IF(H$12=0,0,H56/H$12)</f>
        <v>0</v>
      </c>
      <c r="K56" s="1"/>
      <c r="L56" s="1">
        <f t="shared" ref="L56:L64" si="39">+D56-H56</f>
        <v>0</v>
      </c>
      <c r="M56" s="1"/>
      <c r="N56" s="5">
        <f t="shared" ref="N56:N64" si="40">IF(H56=0,0,L56/H56)</f>
        <v>0</v>
      </c>
      <c r="O56" s="12"/>
      <c r="P56" s="1">
        <f>SUM(OSRRefP22_6x_0)</f>
        <v>236.02</v>
      </c>
      <c r="Q56" s="1"/>
      <c r="R56" s="5">
        <f t="shared" ref="R56:R64" si="41">IF(P$12=0,0,P56/P$12)</f>
        <v>3.9872874423725298E-4</v>
      </c>
      <c r="S56" s="1"/>
      <c r="T56" s="1">
        <f>SUM(OSRRefT22_6x_0)</f>
        <v>300</v>
      </c>
      <c r="U56" s="1"/>
      <c r="V56" s="5">
        <f t="shared" ref="V56:V64" si="42">IF(T$12=0,0,T56/T$12)</f>
        <v>3.3572068039391229E-4</v>
      </c>
      <c r="W56" s="1"/>
      <c r="X56" s="1">
        <f t="shared" ref="X56:X64" si="43">+P56-T56</f>
        <v>-63.97999999999999</v>
      </c>
      <c r="Y56" s="1"/>
      <c r="Z56" s="5">
        <f t="shared" ref="Z56:Z64" si="44">IF(T56=0,0,X56/T56)</f>
        <v>-0.21326666666666663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7"/>
        <v>0</v>
      </c>
      <c r="G57" s="2"/>
      <c r="H57" s="6"/>
      <c r="I57" s="2"/>
      <c r="J57" s="7">
        <f t="shared" si="38"/>
        <v>0</v>
      </c>
      <c r="K57" s="2"/>
      <c r="L57" s="6">
        <f t="shared" si="39"/>
        <v>0</v>
      </c>
      <c r="M57" s="2"/>
      <c r="N57" s="7">
        <f t="shared" si="40"/>
        <v>0</v>
      </c>
      <c r="O57" s="11"/>
      <c r="P57" s="6">
        <v>236.02</v>
      </c>
      <c r="Q57" s="2"/>
      <c r="R57" s="7">
        <f t="shared" si="41"/>
        <v>3.9872874423725298E-4</v>
      </c>
      <c r="S57" s="2"/>
      <c r="T57" s="6">
        <v>300</v>
      </c>
      <c r="U57" s="2"/>
      <c r="V57" s="7">
        <f t="shared" si="42"/>
        <v>3.3572068039391229E-4</v>
      </c>
      <c r="W57" s="2"/>
      <c r="X57" s="6">
        <f t="shared" si="43"/>
        <v>-63.97999999999999</v>
      </c>
      <c r="Y57" s="2"/>
      <c r="Z57" s="7">
        <f t="shared" si="44"/>
        <v>-0.21326666666666663</v>
      </c>
    </row>
    <row r="58" spans="1:26" s="26" customFormat="1" outlineLevel="1" collapsed="1" x14ac:dyDescent="0.25">
      <c r="A58" s="25"/>
      <c r="B58" s="12" t="str">
        <f>CONCATENATE("     ","Equipment Rental                                  ")</f>
        <v xml:space="preserve">     Equipment Rental                                  </v>
      </c>
      <c r="C58" s="12"/>
      <c r="D58" s="1">
        <f>SUM(OSRRefD22_7x_0)</f>
        <v>0</v>
      </c>
      <c r="E58" s="1"/>
      <c r="F58" s="5">
        <f t="shared" si="37"/>
        <v>0</v>
      </c>
      <c r="G58" s="1"/>
      <c r="H58" s="1">
        <f>SUM(OSRRefH22_7x_0)</f>
        <v>0</v>
      </c>
      <c r="I58" s="1"/>
      <c r="J58" s="5">
        <f t="shared" si="38"/>
        <v>0</v>
      </c>
      <c r="K58" s="1"/>
      <c r="L58" s="1">
        <f t="shared" si="39"/>
        <v>0</v>
      </c>
      <c r="M58" s="1"/>
      <c r="N58" s="5">
        <f t="shared" si="40"/>
        <v>0</v>
      </c>
      <c r="O58" s="12"/>
      <c r="P58" s="1">
        <f>SUM(OSRRefP22_7x_0)</f>
        <v>1191.5999999999999</v>
      </c>
      <c r="Q58" s="1"/>
      <c r="R58" s="5">
        <f t="shared" si="41"/>
        <v>2.0130716533900118E-3</v>
      </c>
      <c r="S58" s="1"/>
      <c r="T58" s="1">
        <f>SUM(OSRRefT22_7x_0)</f>
        <v>0</v>
      </c>
      <c r="U58" s="1"/>
      <c r="V58" s="5">
        <f t="shared" si="42"/>
        <v>0</v>
      </c>
      <c r="W58" s="1"/>
      <c r="X58" s="1">
        <f t="shared" si="43"/>
        <v>1191.5999999999999</v>
      </c>
      <c r="Y58" s="1"/>
      <c r="Z58" s="5">
        <f t="shared" si="44"/>
        <v>0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>
        <v>1191.5999999999999</v>
      </c>
      <c r="Q59" s="2"/>
      <c r="R59" s="7">
        <f t="shared" si="41"/>
        <v>2.0130716533900118E-3</v>
      </c>
      <c r="S59" s="2"/>
      <c r="T59" s="6"/>
      <c r="U59" s="2"/>
      <c r="V59" s="7">
        <f t="shared" si="42"/>
        <v>0</v>
      </c>
      <c r="W59" s="2"/>
      <c r="X59" s="6">
        <f t="shared" si="43"/>
        <v>1191.5999999999999</v>
      </c>
      <c r="Y59" s="2"/>
      <c r="Z59" s="7">
        <f t="shared" si="44"/>
        <v>0</v>
      </c>
    </row>
    <row r="60" spans="1:26" s="26" customFormat="1" outlineLevel="1" collapsed="1" x14ac:dyDescent="0.25">
      <c r="A60" s="25"/>
      <c r="B60" s="12" t="str">
        <f>CONCATENATE("     ","General                                           ")</f>
        <v xml:space="preserve">     General                                           </v>
      </c>
      <c r="C60" s="12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300</v>
      </c>
      <c r="I60" s="1"/>
      <c r="J60" s="5">
        <f t="shared" si="38"/>
        <v>1.2500000000000001E-2</v>
      </c>
      <c r="K60" s="1"/>
      <c r="L60" s="1">
        <f t="shared" si="39"/>
        <v>-300</v>
      </c>
      <c r="M60" s="1"/>
      <c r="N60" s="5">
        <f t="shared" si="40"/>
        <v>-1</v>
      </c>
      <c r="O60" s="12"/>
      <c r="P60" s="1">
        <f>SUM(OSRRefP22_8x_0)</f>
        <v>9129.7800000000007</v>
      </c>
      <c r="Q60" s="1"/>
      <c r="R60" s="5">
        <f t="shared" si="41"/>
        <v>1.5423717119576255E-2</v>
      </c>
      <c r="S60" s="1"/>
      <c r="T60" s="1">
        <f>SUM(OSRRefT22_8x_0)</f>
        <v>12700</v>
      </c>
      <c r="U60" s="1"/>
      <c r="V60" s="5">
        <f t="shared" si="42"/>
        <v>1.4212175470008952E-2</v>
      </c>
      <c r="W60" s="1"/>
      <c r="X60" s="1">
        <f t="shared" si="43"/>
        <v>-3570.2199999999993</v>
      </c>
      <c r="Y60" s="1"/>
      <c r="Z60" s="5">
        <f t="shared" si="44"/>
        <v>-0.28111968503937002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7"/>
        <v>0</v>
      </c>
      <c r="G61" s="2"/>
      <c r="H61" s="6">
        <v>300</v>
      </c>
      <c r="I61" s="2"/>
      <c r="J61" s="7">
        <f t="shared" si="38"/>
        <v>1.2500000000000001E-2</v>
      </c>
      <c r="K61" s="2"/>
      <c r="L61" s="6">
        <f t="shared" si="39"/>
        <v>-300</v>
      </c>
      <c r="M61" s="2"/>
      <c r="N61" s="7">
        <f t="shared" si="40"/>
        <v>-1</v>
      </c>
      <c r="O61" s="11"/>
      <c r="P61" s="6">
        <v>9129.7800000000007</v>
      </c>
      <c r="Q61" s="2"/>
      <c r="R61" s="7">
        <f t="shared" si="41"/>
        <v>1.5423717119576255E-2</v>
      </c>
      <c r="S61" s="2"/>
      <c r="T61" s="6">
        <v>12700</v>
      </c>
      <c r="U61" s="2"/>
      <c r="V61" s="7">
        <f t="shared" si="42"/>
        <v>1.4212175470008952E-2</v>
      </c>
      <c r="W61" s="2"/>
      <c r="X61" s="6">
        <f t="shared" si="43"/>
        <v>-3570.2199999999993</v>
      </c>
      <c r="Y61" s="2"/>
      <c r="Z61" s="7">
        <f t="shared" si="44"/>
        <v>-0.28111968503937002</v>
      </c>
    </row>
    <row r="62" spans="1:26" s="26" customFormat="1" outlineLevel="1" collapsed="1" x14ac:dyDescent="0.25">
      <c r="A62" s="25"/>
      <c r="B62" s="12" t="str">
        <f>CONCATENATE("     ","Repair and Maintenance                            ")</f>
        <v xml:space="preserve">     Repair and Maintenance                            </v>
      </c>
      <c r="C62" s="12"/>
      <c r="D62" s="1">
        <f>SUM(OSRRefD22_9x_0)</f>
        <v>129.58000000000001</v>
      </c>
      <c r="E62" s="1"/>
      <c r="F62" s="5">
        <f t="shared" si="37"/>
        <v>0</v>
      </c>
      <c r="G62" s="1"/>
      <c r="H62" s="1">
        <f>SUM(OSRRefH22_9x_0)</f>
        <v>100</v>
      </c>
      <c r="I62" s="1"/>
      <c r="J62" s="5">
        <f t="shared" si="38"/>
        <v>4.1666666666666666E-3</v>
      </c>
      <c r="K62" s="1"/>
      <c r="L62" s="1">
        <f t="shared" si="39"/>
        <v>29.580000000000013</v>
      </c>
      <c r="M62" s="1"/>
      <c r="N62" s="5">
        <f t="shared" si="40"/>
        <v>0.29580000000000012</v>
      </c>
      <c r="O62" s="12"/>
      <c r="P62" s="1">
        <f>SUM(OSRRefP22_9x_0)</f>
        <v>7706.76</v>
      </c>
      <c r="Q62" s="1"/>
      <c r="R62" s="5">
        <f t="shared" si="41"/>
        <v>1.3019687894830488E-2</v>
      </c>
      <c r="S62" s="1"/>
      <c r="T62" s="1">
        <f>SUM(OSRRefT22_9x_0)</f>
        <v>4700</v>
      </c>
      <c r="U62" s="1"/>
      <c r="V62" s="5">
        <f t="shared" si="42"/>
        <v>5.2596239928379591E-3</v>
      </c>
      <c r="W62" s="1"/>
      <c r="X62" s="1">
        <f t="shared" si="43"/>
        <v>3006.76</v>
      </c>
      <c r="Y62" s="1"/>
      <c r="Z62" s="5">
        <f t="shared" si="44"/>
        <v>0.63973617021276596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6">
        <v>129.58000000000001</v>
      </c>
      <c r="E63" s="2"/>
      <c r="F63" s="7">
        <f t="shared" si="37"/>
        <v>0</v>
      </c>
      <c r="G63" s="2"/>
      <c r="H63" s="6"/>
      <c r="I63" s="2"/>
      <c r="J63" s="7">
        <f t="shared" si="38"/>
        <v>0</v>
      </c>
      <c r="K63" s="2"/>
      <c r="L63" s="6">
        <f t="shared" si="39"/>
        <v>129.58000000000001</v>
      </c>
      <c r="M63" s="2"/>
      <c r="N63" s="7">
        <f t="shared" si="40"/>
        <v>0</v>
      </c>
      <c r="O63" s="11"/>
      <c r="P63" s="6">
        <v>499.55</v>
      </c>
      <c r="Q63" s="2"/>
      <c r="R63" s="7">
        <f t="shared" si="41"/>
        <v>8.439324810766872E-4</v>
      </c>
      <c r="S63" s="2"/>
      <c r="T63" s="6"/>
      <c r="U63" s="2"/>
      <c r="V63" s="7">
        <f t="shared" si="42"/>
        <v>0</v>
      </c>
      <c r="W63" s="2"/>
      <c r="X63" s="6">
        <f t="shared" si="43"/>
        <v>499.55</v>
      </c>
      <c r="Y63" s="2"/>
      <c r="Z63" s="7">
        <f t="shared" si="44"/>
        <v>0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7"/>
        <v>0</v>
      </c>
      <c r="G64" s="2"/>
      <c r="H64" s="6">
        <v>100</v>
      </c>
      <c r="I64" s="2"/>
      <c r="J64" s="7">
        <f t="shared" si="38"/>
        <v>4.1666666666666666E-3</v>
      </c>
      <c r="K64" s="2"/>
      <c r="L64" s="6">
        <f t="shared" si="39"/>
        <v>-100</v>
      </c>
      <c r="M64" s="2"/>
      <c r="N64" s="7">
        <f t="shared" si="40"/>
        <v>-1</v>
      </c>
      <c r="O64" s="11"/>
      <c r="P64" s="6">
        <v>7207.21</v>
      </c>
      <c r="Q64" s="2"/>
      <c r="R64" s="7">
        <f t="shared" si="41"/>
        <v>1.21757554137538E-2</v>
      </c>
      <c r="S64" s="2"/>
      <c r="T64" s="6">
        <v>4700</v>
      </c>
      <c r="U64" s="2"/>
      <c r="V64" s="7">
        <f t="shared" si="42"/>
        <v>5.2596239928379591E-3</v>
      </c>
      <c r="W64" s="2"/>
      <c r="X64" s="6">
        <f t="shared" si="43"/>
        <v>2507.21</v>
      </c>
      <c r="Y64" s="2"/>
      <c r="Z64" s="7">
        <f t="shared" si="44"/>
        <v>0.53344893617021283</v>
      </c>
    </row>
    <row r="65" spans="1:26" s="26" customFormat="1" outlineLevel="1" collapsed="1" x14ac:dyDescent="0.25">
      <c r="A65" s="25"/>
      <c r="B65" s="12" t="str">
        <f>CONCATENATE("     ","Royalty &amp; Commissions                             ")</f>
        <v xml:space="preserve">     Royalty &amp; Commissions                             </v>
      </c>
      <c r="C65" s="12"/>
      <c r="D65" s="1">
        <f>SUM(OSRRefD22_10x_0)</f>
        <v>0</v>
      </c>
      <c r="E65" s="1"/>
      <c r="F65" s="5">
        <f t="shared" ref="F65:F78" si="45">IF(D$12=0,0,D65/D$12)</f>
        <v>0</v>
      </c>
      <c r="G65" s="1"/>
      <c r="H65" s="1">
        <f>SUM(OSRRefH22_10x_0)</f>
        <v>1840</v>
      </c>
      <c r="I65" s="1"/>
      <c r="J65" s="5">
        <f t="shared" ref="J65:J78" si="46">IF(H$12=0,0,H65/H$12)</f>
        <v>7.6666666666666661E-2</v>
      </c>
      <c r="K65" s="1"/>
      <c r="L65" s="1">
        <f t="shared" ref="L65:L78" si="47">+D65-H65</f>
        <v>-1840</v>
      </c>
      <c r="M65" s="1"/>
      <c r="N65" s="5">
        <f t="shared" ref="N65:N78" si="48">IF(H65=0,0,L65/H65)</f>
        <v>-1</v>
      </c>
      <c r="O65" s="12"/>
      <c r="P65" s="1">
        <f>SUM(OSRRefP22_10x_0)</f>
        <v>44134.64</v>
      </c>
      <c r="Q65" s="1"/>
      <c r="R65" s="5">
        <f t="shared" ref="R65:R78" si="49">IF(P$12=0,0,P65/P$12)</f>
        <v>7.4560416848416383E-2</v>
      </c>
      <c r="S65" s="1"/>
      <c r="T65" s="1">
        <f>SUM(OSRRefT22_10x_0)</f>
        <v>68960</v>
      </c>
      <c r="U65" s="1"/>
      <c r="V65" s="5">
        <f t="shared" ref="V65:V78" si="50">IF(T$12=0,0,T65/T$12)</f>
        <v>7.7170993733213969E-2</v>
      </c>
      <c r="W65" s="1"/>
      <c r="X65" s="1">
        <f t="shared" ref="X65:X78" si="51">+P65-T65</f>
        <v>-24825.360000000001</v>
      </c>
      <c r="Y65" s="1"/>
      <c r="Z65" s="5">
        <f t="shared" ref="Z65:Z78" si="52">IF(T65=0,0,X65/T65)</f>
        <v>-0.35999651972157776</v>
      </c>
    </row>
    <row r="66" spans="1:26" s="24" customFormat="1" hidden="1" outlineLevel="2" x14ac:dyDescent="0.25">
      <c r="A66" s="27"/>
      <c r="B66" s="11" t="str">
        <f>CONCATENATE("          ", "6259", " - ", "ROYALTY &amp; COMMISSIONS")</f>
        <v xml:space="preserve">          6259 - ROYALTY &amp; COMMISSIONS</v>
      </c>
      <c r="C66" s="11"/>
      <c r="D66" s="6"/>
      <c r="E66" s="2"/>
      <c r="F66" s="7">
        <f t="shared" si="45"/>
        <v>0</v>
      </c>
      <c r="G66" s="2"/>
      <c r="H66" s="6">
        <v>1840</v>
      </c>
      <c r="I66" s="2"/>
      <c r="J66" s="7">
        <f t="shared" si="46"/>
        <v>7.6666666666666661E-2</v>
      </c>
      <c r="K66" s="2"/>
      <c r="L66" s="6">
        <f t="shared" si="47"/>
        <v>-1840</v>
      </c>
      <c r="M66" s="2"/>
      <c r="N66" s="7">
        <f t="shared" si="48"/>
        <v>-1</v>
      </c>
      <c r="O66" s="11"/>
      <c r="P66" s="6">
        <v>44134.64</v>
      </c>
      <c r="Q66" s="2"/>
      <c r="R66" s="7">
        <f t="shared" si="49"/>
        <v>7.4560416848416383E-2</v>
      </c>
      <c r="S66" s="2"/>
      <c r="T66" s="6">
        <v>68960</v>
      </c>
      <c r="U66" s="2"/>
      <c r="V66" s="7">
        <f t="shared" si="50"/>
        <v>7.7170993733213969E-2</v>
      </c>
      <c r="W66" s="2"/>
      <c r="X66" s="6">
        <f t="shared" si="51"/>
        <v>-24825.360000000001</v>
      </c>
      <c r="Y66" s="2"/>
      <c r="Z66" s="7">
        <f t="shared" si="52"/>
        <v>-0.35999651972157776</v>
      </c>
    </row>
    <row r="67" spans="1:26" s="26" customFormat="1" outlineLevel="1" collapsed="1" x14ac:dyDescent="0.25">
      <c r="A67" s="25"/>
      <c r="B67" s="12" t="str">
        <f>CONCATENATE("     ","Services                                          ")</f>
        <v xml:space="preserve">     Services                                          </v>
      </c>
      <c r="C67" s="12"/>
      <c r="D67" s="1">
        <f>SUM(OSRRefD22_11x_0)</f>
        <v>0</v>
      </c>
      <c r="E67" s="1"/>
      <c r="F67" s="5">
        <f t="shared" si="45"/>
        <v>0</v>
      </c>
      <c r="G67" s="1"/>
      <c r="H67" s="1">
        <f>SUM(OSRRefH22_11x_0)</f>
        <v>120</v>
      </c>
      <c r="I67" s="1"/>
      <c r="J67" s="5">
        <f t="shared" si="46"/>
        <v>5.0000000000000001E-3</v>
      </c>
      <c r="K67" s="1"/>
      <c r="L67" s="1">
        <f t="shared" si="47"/>
        <v>-120</v>
      </c>
      <c r="M67" s="1"/>
      <c r="N67" s="5">
        <f t="shared" si="48"/>
        <v>-1</v>
      </c>
      <c r="O67" s="12"/>
      <c r="P67" s="1">
        <f>SUM(OSRRefP22_11x_0)</f>
        <v>508.6</v>
      </c>
      <c r="Q67" s="1"/>
      <c r="R67" s="5">
        <f t="shared" si="49"/>
        <v>8.5922141902833175E-4</v>
      </c>
      <c r="S67" s="1"/>
      <c r="T67" s="1">
        <f>SUM(OSRRefT22_11x_0)</f>
        <v>1440</v>
      </c>
      <c r="U67" s="1"/>
      <c r="V67" s="5">
        <f t="shared" si="50"/>
        <v>1.6114592658907788E-3</v>
      </c>
      <c r="W67" s="1"/>
      <c r="X67" s="1">
        <f t="shared" si="51"/>
        <v>-931.4</v>
      </c>
      <c r="Y67" s="1"/>
      <c r="Z67" s="5">
        <f t="shared" si="52"/>
        <v>-0.64680555555555552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45"/>
        <v>0</v>
      </c>
      <c r="G68" s="2"/>
      <c r="H68" s="6">
        <v>120</v>
      </c>
      <c r="I68" s="2"/>
      <c r="J68" s="7">
        <f t="shared" si="46"/>
        <v>5.0000000000000001E-3</v>
      </c>
      <c r="K68" s="2"/>
      <c r="L68" s="6">
        <f t="shared" si="47"/>
        <v>-120</v>
      </c>
      <c r="M68" s="2"/>
      <c r="N68" s="7">
        <f t="shared" si="48"/>
        <v>-1</v>
      </c>
      <c r="O68" s="11"/>
      <c r="P68" s="6">
        <v>508.6</v>
      </c>
      <c r="Q68" s="2"/>
      <c r="R68" s="7">
        <f t="shared" si="49"/>
        <v>8.5922141902833175E-4</v>
      </c>
      <c r="S68" s="2"/>
      <c r="T68" s="6">
        <v>1440</v>
      </c>
      <c r="U68" s="2"/>
      <c r="V68" s="7">
        <f t="shared" si="50"/>
        <v>1.6114592658907788E-3</v>
      </c>
      <c r="W68" s="2"/>
      <c r="X68" s="6">
        <f t="shared" si="51"/>
        <v>-931.4</v>
      </c>
      <c r="Y68" s="2"/>
      <c r="Z68" s="7">
        <f t="shared" si="52"/>
        <v>-0.64680555555555552</v>
      </c>
    </row>
    <row r="69" spans="1:26" s="26" customFormat="1" outlineLevel="1" collapsed="1" x14ac:dyDescent="0.25">
      <c r="A69" s="25"/>
      <c r="B69" s="12" t="str">
        <f>CONCATENATE("     ","Subscriptions &amp; Dues                              ")</f>
        <v xml:space="preserve">     Subscriptions &amp; Dues                              </v>
      </c>
      <c r="C69" s="12"/>
      <c r="D69" s="1">
        <f>SUM(OSRRefD22_12x_0)</f>
        <v>0</v>
      </c>
      <c r="E69" s="1"/>
      <c r="F69" s="5">
        <f t="shared" si="45"/>
        <v>0</v>
      </c>
      <c r="G69" s="1"/>
      <c r="H69" s="1">
        <f>SUM(OSRRefH22_12x_0)</f>
        <v>0</v>
      </c>
      <c r="I69" s="1"/>
      <c r="J69" s="5">
        <f t="shared" si="46"/>
        <v>0</v>
      </c>
      <c r="K69" s="1"/>
      <c r="L69" s="1">
        <f t="shared" si="47"/>
        <v>0</v>
      </c>
      <c r="M69" s="1"/>
      <c r="N69" s="5">
        <f t="shared" si="48"/>
        <v>0</v>
      </c>
      <c r="O69" s="12"/>
      <c r="P69" s="1">
        <f>SUM(OSRRefP22_12x_0)</f>
        <v>122.72</v>
      </c>
      <c r="Q69" s="1"/>
      <c r="R69" s="5">
        <f t="shared" si="49"/>
        <v>2.0732137739511771E-4</v>
      </c>
      <c r="S69" s="1"/>
      <c r="T69" s="1">
        <f>SUM(OSRRefT22_12x_0)</f>
        <v>0</v>
      </c>
      <c r="U69" s="1"/>
      <c r="V69" s="5">
        <f t="shared" si="50"/>
        <v>0</v>
      </c>
      <c r="W69" s="1"/>
      <c r="X69" s="1">
        <f t="shared" si="51"/>
        <v>122.72</v>
      </c>
      <c r="Y69" s="1"/>
      <c r="Z69" s="5">
        <f t="shared" si="52"/>
        <v>0</v>
      </c>
    </row>
    <row r="70" spans="1:26" s="24" customFormat="1" hidden="1" outlineLevel="2" x14ac:dyDescent="0.25">
      <c r="A70" s="27"/>
      <c r="B70" s="11" t="str">
        <f>CONCATENATE("          ", "6275", " - ", "SUBSCRIPTIONS")</f>
        <v xml:space="preserve">          6275 - SUBSCRIPTIONS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>
        <v>122.72</v>
      </c>
      <c r="Q70" s="2"/>
      <c r="R70" s="7">
        <f t="shared" si="49"/>
        <v>2.0732137739511771E-4</v>
      </c>
      <c r="S70" s="2"/>
      <c r="T70" s="6"/>
      <c r="U70" s="2"/>
      <c r="V70" s="7">
        <f t="shared" si="50"/>
        <v>0</v>
      </c>
      <c r="W70" s="2"/>
      <c r="X70" s="6">
        <f t="shared" si="51"/>
        <v>122.72</v>
      </c>
      <c r="Y70" s="2"/>
      <c r="Z70" s="7">
        <f t="shared" si="52"/>
        <v>0</v>
      </c>
    </row>
    <row r="71" spans="1:26" s="26" customFormat="1" outlineLevel="1" collapsed="1" x14ac:dyDescent="0.25">
      <c r="A71" s="25"/>
      <c r="B71" s="12" t="str">
        <f>CONCATENATE("     ","Supplies                                          ")</f>
        <v xml:space="preserve">     Supplies                                          </v>
      </c>
      <c r="C71" s="12"/>
      <c r="D71" s="1">
        <f>SUM(OSRRefD22_13x_0)</f>
        <v>0</v>
      </c>
      <c r="E71" s="1"/>
      <c r="F71" s="5">
        <f t="shared" si="45"/>
        <v>0</v>
      </c>
      <c r="G71" s="1"/>
      <c r="H71" s="1">
        <f>SUM(OSRRefH22_13x_0)</f>
        <v>220</v>
      </c>
      <c r="I71" s="1"/>
      <c r="J71" s="5">
        <f t="shared" si="46"/>
        <v>9.1666666666666667E-3</v>
      </c>
      <c r="K71" s="1"/>
      <c r="L71" s="1">
        <f t="shared" si="47"/>
        <v>-220</v>
      </c>
      <c r="M71" s="1"/>
      <c r="N71" s="5">
        <f t="shared" si="48"/>
        <v>-1</v>
      </c>
      <c r="O71" s="12"/>
      <c r="P71" s="1">
        <f>SUM(OSRRefP22_13x_0)</f>
        <v>11646.3</v>
      </c>
      <c r="Q71" s="1"/>
      <c r="R71" s="5">
        <f t="shared" si="49"/>
        <v>1.9675089289087021E-2</v>
      </c>
      <c r="S71" s="1"/>
      <c r="T71" s="1">
        <f>SUM(OSRRefT22_13x_0)</f>
        <v>12221</v>
      </c>
      <c r="U71" s="1"/>
      <c r="V71" s="5">
        <f t="shared" si="50"/>
        <v>1.367614145031334E-2</v>
      </c>
      <c r="W71" s="1"/>
      <c r="X71" s="1">
        <f t="shared" si="51"/>
        <v>-574.70000000000073</v>
      </c>
      <c r="Y71" s="1"/>
      <c r="Z71" s="5">
        <f t="shared" si="52"/>
        <v>-4.7025611652074355E-2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>
        <v>315.58999999999997</v>
      </c>
      <c r="Q72" s="2"/>
      <c r="R72" s="7">
        <f t="shared" si="49"/>
        <v>5.3315314123309322E-4</v>
      </c>
      <c r="S72" s="2"/>
      <c r="T72" s="6"/>
      <c r="U72" s="2"/>
      <c r="V72" s="7">
        <f t="shared" si="50"/>
        <v>0</v>
      </c>
      <c r="W72" s="2"/>
      <c r="X72" s="6">
        <f t="shared" si="51"/>
        <v>315.58999999999997</v>
      </c>
      <c r="Y72" s="2"/>
      <c r="Z72" s="7">
        <f t="shared" si="52"/>
        <v>0</v>
      </c>
    </row>
    <row r="73" spans="1:26" s="24" customFormat="1" hidden="1" outlineLevel="2" x14ac:dyDescent="0.25">
      <c r="A73" s="27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45"/>
        <v>0</v>
      </c>
      <c r="G73" s="2"/>
      <c r="H73" s="6">
        <v>100</v>
      </c>
      <c r="I73" s="2"/>
      <c r="J73" s="7">
        <f t="shared" si="46"/>
        <v>4.1666666666666666E-3</v>
      </c>
      <c r="K73" s="2"/>
      <c r="L73" s="6">
        <f t="shared" si="47"/>
        <v>-100</v>
      </c>
      <c r="M73" s="2"/>
      <c r="N73" s="7">
        <f t="shared" si="48"/>
        <v>-1</v>
      </c>
      <c r="O73" s="11"/>
      <c r="P73" s="6">
        <v>2024.76</v>
      </c>
      <c r="Q73" s="2"/>
      <c r="R73" s="7">
        <f t="shared" si="49"/>
        <v>3.4206000007703597E-3</v>
      </c>
      <c r="S73" s="2"/>
      <c r="T73" s="6">
        <v>7836</v>
      </c>
      <c r="U73" s="2"/>
      <c r="V73" s="7">
        <f t="shared" si="50"/>
        <v>8.7690241718889877E-3</v>
      </c>
      <c r="W73" s="2"/>
      <c r="X73" s="6">
        <f t="shared" si="51"/>
        <v>-5811.24</v>
      </c>
      <c r="Y73" s="2"/>
      <c r="Z73" s="7">
        <f t="shared" si="52"/>
        <v>-0.74160796324655431</v>
      </c>
    </row>
    <row r="74" spans="1:26" s="24" customFormat="1" hidden="1" outlineLevel="2" x14ac:dyDescent="0.25">
      <c r="A74" s="27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45"/>
        <v>0</v>
      </c>
      <c r="G74" s="2"/>
      <c r="H74" s="6">
        <v>20</v>
      </c>
      <c r="I74" s="2"/>
      <c r="J74" s="7">
        <f t="shared" si="46"/>
        <v>8.3333333333333339E-4</v>
      </c>
      <c r="K74" s="2"/>
      <c r="L74" s="6">
        <f t="shared" si="47"/>
        <v>-20</v>
      </c>
      <c r="M74" s="2"/>
      <c r="N74" s="7">
        <f t="shared" si="48"/>
        <v>-1</v>
      </c>
      <c r="O74" s="11"/>
      <c r="P74" s="6">
        <v>1499.6</v>
      </c>
      <c r="Q74" s="2"/>
      <c r="R74" s="7">
        <f t="shared" si="49"/>
        <v>2.5334023593686318E-3</v>
      </c>
      <c r="S74" s="2"/>
      <c r="T74" s="6">
        <v>240</v>
      </c>
      <c r="U74" s="2"/>
      <c r="V74" s="7">
        <f t="shared" si="50"/>
        <v>2.6857654431512983E-4</v>
      </c>
      <c r="W74" s="2"/>
      <c r="X74" s="6">
        <f t="shared" si="51"/>
        <v>1259.5999999999999</v>
      </c>
      <c r="Y74" s="2"/>
      <c r="Z74" s="7">
        <f t="shared" si="52"/>
        <v>5.2483333333333331</v>
      </c>
    </row>
    <row r="75" spans="1:26" s="24" customFormat="1" hidden="1" outlineLevel="2" x14ac:dyDescent="0.25">
      <c r="A75" s="27"/>
      <c r="B75" s="11" t="str">
        <f>CONCATENATE("          ", "6243", " - ", "PAPER SUPPLIES")</f>
        <v xml:space="preserve">          6243 - PAPER SUPPLIES</v>
      </c>
      <c r="C75" s="11"/>
      <c r="D75" s="6"/>
      <c r="E75" s="2"/>
      <c r="F75" s="7">
        <f t="shared" si="45"/>
        <v>0</v>
      </c>
      <c r="G75" s="2"/>
      <c r="H75" s="6">
        <v>100</v>
      </c>
      <c r="I75" s="2"/>
      <c r="J75" s="7">
        <f t="shared" si="46"/>
        <v>4.1666666666666666E-3</v>
      </c>
      <c r="K75" s="2"/>
      <c r="L75" s="6">
        <f t="shared" si="47"/>
        <v>-100</v>
      </c>
      <c r="M75" s="2"/>
      <c r="N75" s="7">
        <f t="shared" si="48"/>
        <v>-1</v>
      </c>
      <c r="O75" s="11"/>
      <c r="P75" s="6">
        <v>3812.89</v>
      </c>
      <c r="Q75" s="2"/>
      <c r="R75" s="7">
        <f t="shared" si="49"/>
        <v>6.4414407322039629E-3</v>
      </c>
      <c r="S75" s="2"/>
      <c r="T75" s="6">
        <v>4145</v>
      </c>
      <c r="U75" s="2"/>
      <c r="V75" s="7">
        <f t="shared" si="50"/>
        <v>4.6385407341092214E-3</v>
      </c>
      <c r="W75" s="2"/>
      <c r="X75" s="6">
        <f t="shared" si="51"/>
        <v>-332.11000000000013</v>
      </c>
      <c r="Y75" s="2"/>
      <c r="Z75" s="7">
        <f t="shared" si="52"/>
        <v>-8.0123039806996407E-2</v>
      </c>
    </row>
    <row r="76" spans="1:26" s="24" customFormat="1" hidden="1" outlineLevel="2" x14ac:dyDescent="0.25">
      <c r="A76" s="27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1"/>
      <c r="P76" s="6">
        <v>181.92</v>
      </c>
      <c r="Q76" s="2"/>
      <c r="R76" s="7">
        <f t="shared" si="49"/>
        <v>3.0733299360919016E-4</v>
      </c>
      <c r="S76" s="2"/>
      <c r="T76" s="6"/>
      <c r="U76" s="2"/>
      <c r="V76" s="7">
        <f t="shared" si="50"/>
        <v>0</v>
      </c>
      <c r="W76" s="2"/>
      <c r="X76" s="6">
        <f t="shared" si="51"/>
        <v>181.92</v>
      </c>
      <c r="Y76" s="2"/>
      <c r="Z76" s="7">
        <f t="shared" si="52"/>
        <v>0</v>
      </c>
    </row>
    <row r="77" spans="1:26" s="24" customFormat="1" hidden="1" outlineLevel="2" x14ac:dyDescent="0.25">
      <c r="A77" s="27"/>
      <c r="B77" s="11" t="str">
        <f>CONCATENATE("          ", "6247", " - ", "STORE SUPPLIES")</f>
        <v xml:space="preserve">          6247 - STORE SUPPLIES</v>
      </c>
      <c r="C77" s="11"/>
      <c r="D77" s="6"/>
      <c r="E77" s="2"/>
      <c r="F77" s="7">
        <f t="shared" si="45"/>
        <v>0</v>
      </c>
      <c r="G77" s="2"/>
      <c r="H77" s="6"/>
      <c r="I77" s="2"/>
      <c r="J77" s="7">
        <f t="shared" si="46"/>
        <v>0</v>
      </c>
      <c r="K77" s="2"/>
      <c r="L77" s="6">
        <f t="shared" si="47"/>
        <v>0</v>
      </c>
      <c r="M77" s="2"/>
      <c r="N77" s="7">
        <f t="shared" si="48"/>
        <v>0</v>
      </c>
      <c r="O77" s="11"/>
      <c r="P77" s="6">
        <v>3638.57</v>
      </c>
      <c r="Q77" s="2"/>
      <c r="R77" s="7">
        <f t="shared" si="49"/>
        <v>6.1469470677033367E-3</v>
      </c>
      <c r="S77" s="2"/>
      <c r="T77" s="6"/>
      <c r="U77" s="2"/>
      <c r="V77" s="7">
        <f t="shared" si="50"/>
        <v>0</v>
      </c>
      <c r="W77" s="2"/>
      <c r="X77" s="6">
        <f t="shared" si="51"/>
        <v>3638.57</v>
      </c>
      <c r="Y77" s="2"/>
      <c r="Z77" s="7">
        <f t="shared" si="52"/>
        <v>0</v>
      </c>
    </row>
    <row r="78" spans="1:26" s="24" customFormat="1" hidden="1" outlineLevel="2" x14ac:dyDescent="0.25">
      <c r="A78" s="27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45"/>
        <v>0</v>
      </c>
      <c r="G78" s="2"/>
      <c r="H78" s="6"/>
      <c r="I78" s="2"/>
      <c r="J78" s="7">
        <f t="shared" si="46"/>
        <v>0</v>
      </c>
      <c r="K78" s="2"/>
      <c r="L78" s="6">
        <f t="shared" si="47"/>
        <v>0</v>
      </c>
      <c r="M78" s="2"/>
      <c r="N78" s="7">
        <f t="shared" si="48"/>
        <v>0</v>
      </c>
      <c r="O78" s="11"/>
      <c r="P78" s="6">
        <v>172.97</v>
      </c>
      <c r="Q78" s="2"/>
      <c r="R78" s="7">
        <f t="shared" si="49"/>
        <v>2.9221299419844777E-4</v>
      </c>
      <c r="S78" s="2"/>
      <c r="T78" s="6"/>
      <c r="U78" s="2"/>
      <c r="V78" s="7">
        <f t="shared" si="50"/>
        <v>0</v>
      </c>
      <c r="W78" s="2"/>
      <c r="X78" s="6">
        <f t="shared" si="51"/>
        <v>172.97</v>
      </c>
      <c r="Y78" s="2"/>
      <c r="Z78" s="7">
        <f t="shared" si="52"/>
        <v>0</v>
      </c>
    </row>
    <row r="79" spans="1:26" s="26" customFormat="1" outlineLevel="1" collapsed="1" x14ac:dyDescent="0.25">
      <c r="A79" s="25"/>
      <c r="B79" s="12" t="str">
        <f>CONCATENATE("     ","Telephone/Data Lines                              ")</f>
        <v xml:space="preserve">     Telephone/Data Lines                              </v>
      </c>
      <c r="C79" s="12"/>
      <c r="D79" s="1">
        <f>SUM(OSRRefD22_14x_0)</f>
        <v>-50</v>
      </c>
      <c r="E79" s="1"/>
      <c r="F79" s="5">
        <f t="shared" ref="F79:F82" si="53">IF(D$12=0,0,D79/D$12)</f>
        <v>0</v>
      </c>
      <c r="G79" s="1"/>
      <c r="H79" s="1">
        <f>SUM(OSRRefH22_14x_0)</f>
        <v>50</v>
      </c>
      <c r="I79" s="1"/>
      <c r="J79" s="5">
        <f t="shared" ref="J79:J82" si="54">IF(H$12=0,0,H79/H$12)</f>
        <v>2.0833333333333333E-3</v>
      </c>
      <c r="K79" s="1"/>
      <c r="L79" s="1">
        <f t="shared" ref="L79:L82" si="55">+D79-H79</f>
        <v>-100</v>
      </c>
      <c r="M79" s="1"/>
      <c r="N79" s="5">
        <f t="shared" ref="N79:N82" si="56">IF(H79=0,0,L79/H79)</f>
        <v>-2</v>
      </c>
      <c r="O79" s="12"/>
      <c r="P79" s="1">
        <f>SUM(OSRRefP22_14x_0)</f>
        <v>55</v>
      </c>
      <c r="Q79" s="1"/>
      <c r="R79" s="5">
        <f t="shared" ref="R79:R82" si="57">IF(P$12=0,0,P79/P$12)</f>
        <v>9.2916197496182158E-5</v>
      </c>
      <c r="S79" s="1"/>
      <c r="T79" s="1">
        <f>SUM(OSRRefT22_14x_0)</f>
        <v>600</v>
      </c>
      <c r="U79" s="1"/>
      <c r="V79" s="5">
        <f t="shared" ref="V79:V82" si="58">IF(T$12=0,0,T79/T$12)</f>
        <v>6.7144136078782458E-4</v>
      </c>
      <c r="W79" s="1"/>
      <c r="X79" s="1">
        <f t="shared" ref="X79:X82" si="59">+P79-T79</f>
        <v>-545</v>
      </c>
      <c r="Y79" s="1"/>
      <c r="Z79" s="5">
        <f t="shared" ref="Z79:Z82" si="60">IF(T79=0,0,X79/T79)</f>
        <v>-0.90833333333333333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6">
        <v>-50</v>
      </c>
      <c r="E80" s="2"/>
      <c r="F80" s="7">
        <f t="shared" si="53"/>
        <v>0</v>
      </c>
      <c r="G80" s="2"/>
      <c r="H80" s="6">
        <v>50</v>
      </c>
      <c r="I80" s="2"/>
      <c r="J80" s="7">
        <f t="shared" si="54"/>
        <v>2.0833333333333333E-3</v>
      </c>
      <c r="K80" s="2"/>
      <c r="L80" s="6">
        <f t="shared" si="55"/>
        <v>-100</v>
      </c>
      <c r="M80" s="2"/>
      <c r="N80" s="7">
        <f t="shared" si="56"/>
        <v>-2</v>
      </c>
      <c r="O80" s="11"/>
      <c r="P80" s="6">
        <v>55</v>
      </c>
      <c r="Q80" s="2"/>
      <c r="R80" s="7">
        <f t="shared" si="57"/>
        <v>9.2916197496182158E-5</v>
      </c>
      <c r="S80" s="2"/>
      <c r="T80" s="6">
        <v>600</v>
      </c>
      <c r="U80" s="2"/>
      <c r="V80" s="7">
        <f t="shared" si="58"/>
        <v>6.7144136078782458E-4</v>
      </c>
      <c r="W80" s="2"/>
      <c r="X80" s="6">
        <f t="shared" si="59"/>
        <v>-545</v>
      </c>
      <c r="Y80" s="2"/>
      <c r="Z80" s="7">
        <f t="shared" si="60"/>
        <v>-0.90833333333333333</v>
      </c>
    </row>
    <row r="81" spans="1:26" s="26" customFormat="1" outlineLevel="1" collapsed="1" x14ac:dyDescent="0.25">
      <c r="A81" s="25"/>
      <c r="B81" s="12" t="str">
        <f>CONCATENATE("     ","Training                                          ")</f>
        <v xml:space="preserve">     Training                                          </v>
      </c>
      <c r="C81" s="12"/>
      <c r="D81" s="1">
        <f>SUM(OSRRefD22_15x_0)</f>
        <v>0</v>
      </c>
      <c r="E81" s="1"/>
      <c r="F81" s="5">
        <f t="shared" si="53"/>
        <v>0</v>
      </c>
      <c r="G81" s="1"/>
      <c r="H81" s="1">
        <f>SUM(OSRRefH22_15x_0)</f>
        <v>0</v>
      </c>
      <c r="I81" s="1"/>
      <c r="J81" s="5">
        <f t="shared" si="54"/>
        <v>0</v>
      </c>
      <c r="K81" s="1"/>
      <c r="L81" s="1">
        <f t="shared" si="55"/>
        <v>0</v>
      </c>
      <c r="M81" s="1"/>
      <c r="N81" s="5">
        <f t="shared" si="56"/>
        <v>0</v>
      </c>
      <c r="O81" s="12"/>
      <c r="P81" s="1">
        <f>SUM(OSRRefP22_15x_0)</f>
        <v>96</v>
      </c>
      <c r="Q81" s="1"/>
      <c r="R81" s="5">
        <f t="shared" si="57"/>
        <v>1.6218099926606342E-4</v>
      </c>
      <c r="S81" s="1"/>
      <c r="T81" s="1">
        <f>SUM(OSRRefT22_15x_0)</f>
        <v>160</v>
      </c>
      <c r="U81" s="1"/>
      <c r="V81" s="5">
        <f t="shared" si="58"/>
        <v>1.7905102954341988E-4</v>
      </c>
      <c r="W81" s="1"/>
      <c r="X81" s="1">
        <f t="shared" si="59"/>
        <v>-64</v>
      </c>
      <c r="Y81" s="1"/>
      <c r="Z81" s="5">
        <f t="shared" si="60"/>
        <v>-0.4</v>
      </c>
    </row>
    <row r="82" spans="1:26" s="24" customFormat="1" hidden="1" outlineLevel="2" x14ac:dyDescent="0.25">
      <c r="A82" s="27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3"/>
        <v>0</v>
      </c>
      <c r="G82" s="2"/>
      <c r="H82" s="6"/>
      <c r="I82" s="2"/>
      <c r="J82" s="7">
        <f t="shared" si="54"/>
        <v>0</v>
      </c>
      <c r="K82" s="2"/>
      <c r="L82" s="6">
        <f t="shared" si="55"/>
        <v>0</v>
      </c>
      <c r="M82" s="2"/>
      <c r="N82" s="7">
        <f t="shared" si="56"/>
        <v>0</v>
      </c>
      <c r="O82" s="11"/>
      <c r="P82" s="6">
        <v>96</v>
      </c>
      <c r="Q82" s="2"/>
      <c r="R82" s="7">
        <f t="shared" si="57"/>
        <v>1.6218099926606342E-4</v>
      </c>
      <c r="S82" s="2"/>
      <c r="T82" s="6">
        <v>160</v>
      </c>
      <c r="U82" s="2"/>
      <c r="V82" s="7">
        <f t="shared" si="58"/>
        <v>1.7905102954341988E-4</v>
      </c>
      <c r="W82" s="2"/>
      <c r="X82" s="6">
        <f t="shared" si="59"/>
        <v>-64</v>
      </c>
      <c r="Y82" s="2"/>
      <c r="Z82" s="7">
        <f t="shared" si="60"/>
        <v>-0.4</v>
      </c>
    </row>
    <row r="83" spans="1:26" s="60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3">
        <f>IF(D$12=0,0,D84/D$12)</f>
        <v>0</v>
      </c>
      <c r="G84" s="4"/>
      <c r="H84" s="4">
        <f>SUM(0)</f>
        <v>0</v>
      </c>
      <c r="I84" s="4"/>
      <c r="J84" s="13">
        <f>IF(H$12=0,0,H84/H$12)</f>
        <v>0</v>
      </c>
      <c r="K84" s="4"/>
      <c r="L84" s="4">
        <f>+D84-H84</f>
        <v>0</v>
      </c>
      <c r="M84" s="4"/>
      <c r="N84" s="13">
        <f>IF(H84=0,0,L84/H84)</f>
        <v>0</v>
      </c>
      <c r="O84" s="10"/>
      <c r="P84" s="4">
        <f>SUM(0)</f>
        <v>0</v>
      </c>
      <c r="Q84" s="4"/>
      <c r="R84" s="13">
        <f>IF(P$12=0,0,P84/P$12)</f>
        <v>0</v>
      </c>
      <c r="S84" s="4"/>
      <c r="T84" s="4">
        <f>SUM(0)</f>
        <v>0</v>
      </c>
      <c r="U84" s="4"/>
      <c r="V84" s="13">
        <f>IF(T$12=0,0,T84/T$12)</f>
        <v>0</v>
      </c>
      <c r="W84" s="4"/>
      <c r="X84" s="4">
        <f>+P84-T84</f>
        <v>0</v>
      </c>
      <c r="Y84" s="4"/>
      <c r="Z84" s="13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2">
        <f>+D23-D25+D84</f>
        <v>-8237.31</v>
      </c>
      <c r="E86" s="14"/>
      <c r="F86" s="20">
        <f>IF(D$12=0,0,D86/D$12)</f>
        <v>0</v>
      </c>
      <c r="G86" s="14"/>
      <c r="H86" s="22">
        <f>+H23-H25+H84</f>
        <v>-2946.6580972000011</v>
      </c>
      <c r="I86" s="14"/>
      <c r="J86" s="20">
        <f>IF(H$12=0,0,H86/H$12)</f>
        <v>-0.12277742071666671</v>
      </c>
      <c r="K86" s="15"/>
      <c r="L86" s="22">
        <f>+D86-H86</f>
        <v>-5290.6519027999984</v>
      </c>
      <c r="M86" s="15"/>
      <c r="N86" s="20">
        <f>IF(H86=0,0,L86/H86)</f>
        <v>1.7954753243436445</v>
      </c>
      <c r="O86" s="28"/>
      <c r="P86" s="22">
        <f>+P23-P25+P84</f>
        <v>41806.930000000051</v>
      </c>
      <c r="Q86" s="14"/>
      <c r="R86" s="20">
        <f>IF(P$12=0,0,P86/P$12)</f>
        <v>7.0628017537983048E-2</v>
      </c>
      <c r="S86" s="14"/>
      <c r="T86" s="22">
        <f>+T23-T25+T84</f>
        <v>185334.10138340003</v>
      </c>
      <c r="U86" s="14"/>
      <c r="V86" s="20">
        <f>IF(T$12=0,0,T86/T$12)</f>
        <v>0.20740163538876458</v>
      </c>
      <c r="W86" s="15"/>
      <c r="X86" s="22">
        <f>+P86-T86</f>
        <v>-143527.17138339998</v>
      </c>
      <c r="Y86" s="15"/>
      <c r="Z86" s="20">
        <f>IF(T86=0,0,X86/T86)</f>
        <v>-0.77442397439036759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19544.489999999998</v>
      </c>
      <c r="E88" s="4"/>
      <c r="F88" s="13">
        <f>IF(D$12=0,0,D88/D$12)</f>
        <v>0</v>
      </c>
      <c r="G88" s="4"/>
      <c r="H88" s="4">
        <v>14884</v>
      </c>
      <c r="I88" s="4"/>
      <c r="J88" s="13">
        <f>IF(H$12=0,0,H88/H$12)</f>
        <v>0.62016666666666664</v>
      </c>
      <c r="K88" s="4"/>
      <c r="L88" s="4">
        <f>+D88-H88</f>
        <v>4660.489999999998</v>
      </c>
      <c r="M88" s="4"/>
      <c r="N88" s="13">
        <f>IF(H88=0,0,L88/H88)</f>
        <v>0.31312080085998373</v>
      </c>
      <c r="O88" s="10"/>
      <c r="P88" s="4">
        <v>89641.33</v>
      </c>
      <c r="Q88" s="4"/>
      <c r="R88" s="13">
        <f>IF(P$12=0,0,P88/P$12)</f>
        <v>0.15143875494728071</v>
      </c>
      <c r="S88" s="4"/>
      <c r="T88" s="4">
        <v>115606</v>
      </c>
      <c r="U88" s="4"/>
      <c r="V88" s="13">
        <f>IF(T$12=0,0,T88/T$12)</f>
        <v>0.12937108325872873</v>
      </c>
      <c r="W88" s="4"/>
      <c r="X88" s="4">
        <f>+P88-T88</f>
        <v>-25964.67</v>
      </c>
      <c r="Y88" s="4"/>
      <c r="Z88" s="13">
        <f>IF(T88=0,0,X88/T88)</f>
        <v>-0.2245962147293393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1">
        <f>+D86-D88</f>
        <v>-27781.799999999996</v>
      </c>
      <c r="E90" s="14"/>
      <c r="F90" s="33">
        <f>IF(D$12=0,0,D90/D$12)</f>
        <v>0</v>
      </c>
      <c r="G90" s="14"/>
      <c r="H90" s="31">
        <f>+H86-H88</f>
        <v>-17830.658097200001</v>
      </c>
      <c r="I90" s="14"/>
      <c r="J90" s="33">
        <f>IF(H$12=0,0,H90/H$12)</f>
        <v>-0.7429440873833334</v>
      </c>
      <c r="K90" s="15"/>
      <c r="L90" s="31">
        <f>D90-H90</f>
        <v>-9951.1419027999946</v>
      </c>
      <c r="M90" s="15"/>
      <c r="N90" s="33">
        <f>IF(H90=0,0,L90/H90)</f>
        <v>0.55809167830786066</v>
      </c>
      <c r="O90" s="28"/>
      <c r="P90" s="31">
        <f>+P86-P88</f>
        <v>-47834.399999999951</v>
      </c>
      <c r="Q90" s="14"/>
      <c r="R90" s="33">
        <f>IF(P$12=0,0,P90/P$12)</f>
        <v>-8.0810737409297659E-2</v>
      </c>
      <c r="S90" s="14"/>
      <c r="T90" s="31">
        <f>+T86-T88</f>
        <v>69728.101383400033</v>
      </c>
      <c r="U90" s="14"/>
      <c r="V90" s="33">
        <f>IF(T$12=0,0,T90/T$12)</f>
        <v>7.8030552130035846E-2</v>
      </c>
      <c r="W90" s="15"/>
      <c r="X90" s="31">
        <f>P90-T90</f>
        <v>-117562.50138339998</v>
      </c>
      <c r="Y90" s="15"/>
      <c r="Z90" s="33">
        <f>IF(T90=0,0,X90/T90)</f>
        <v>-1.6860132292572036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4">
        <f>SUM(D90:D92)</f>
        <v>-27781.799999999996</v>
      </c>
      <c r="E93" s="14"/>
      <c r="F93" s="35">
        <f>IF(D$12=0,0,D93/D$12)</f>
        <v>0</v>
      </c>
      <c r="G93" s="14"/>
      <c r="H93" s="34">
        <f>SUM(H90:H92)</f>
        <v>-17830.658097200001</v>
      </c>
      <c r="I93" s="14"/>
      <c r="J93" s="35">
        <f>IF(H$12=0,0,H93/H$12)</f>
        <v>-0.7429440873833334</v>
      </c>
      <c r="K93" s="15"/>
      <c r="L93" s="34">
        <f>+D93-H93</f>
        <v>-9951.1419027999946</v>
      </c>
      <c r="M93" s="15"/>
      <c r="N93" s="35">
        <f>IF(H93=0,0,L93/H93)</f>
        <v>0.55809167830786066</v>
      </c>
      <c r="O93" s="28"/>
      <c r="P93" s="34">
        <f>SUM(P90:P92)</f>
        <v>-47834.399999999951</v>
      </c>
      <c r="Q93" s="14"/>
      <c r="R93" s="35">
        <f>IF(P$12=0,0,P93/P$12)</f>
        <v>-8.0810737409297659E-2</v>
      </c>
      <c r="S93" s="14"/>
      <c r="T93" s="34">
        <f>SUM(T90:T92)</f>
        <v>69728.101383400033</v>
      </c>
      <c r="U93" s="14"/>
      <c r="V93" s="35">
        <f>IF(T$12=0,0,T93/T$12)</f>
        <v>7.8030552130035846E-2</v>
      </c>
      <c r="W93" s="15"/>
      <c r="X93" s="34">
        <f>+P93-T93</f>
        <v>-117562.50138339998</v>
      </c>
      <c r="Y93" s="15"/>
      <c r="Z93" s="35">
        <f>IF(T93=0,0,X93/T93)</f>
        <v>-1.6860132292572036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5">
        <v>44043.473781828703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62" t="s">
        <v>314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63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5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","415", " - ", "Outpost")</f>
        <v>Department 415 - Outpost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23850</v>
      </c>
      <c r="I12" s="4"/>
      <c r="J12" s="13"/>
      <c r="K12" s="4"/>
      <c r="L12" s="4">
        <f t="shared" ref="L12:L15" si="0">+D12-H12</f>
        <v>-23850</v>
      </c>
      <c r="M12" s="4"/>
      <c r="N12" s="13">
        <f t="shared" ref="N12:N15" si="1">IF(H12=0,0,L12/H12)</f>
        <v>-1</v>
      </c>
      <c r="O12" s="10"/>
      <c r="P12" s="4">
        <f>SUM(OSRRefP13x_0)</f>
        <v>651784.93999999994</v>
      </c>
      <c r="Q12" s="4"/>
      <c r="R12" s="13"/>
      <c r="S12" s="4"/>
      <c r="T12" s="4">
        <f>SUM(OSRRefT13x_0)</f>
        <v>945080</v>
      </c>
      <c r="U12" s="4"/>
      <c r="V12" s="13"/>
      <c r="W12" s="4"/>
      <c r="X12" s="4">
        <f t="shared" ref="X12:X15" si="2">+P12-T12</f>
        <v>-293295.06000000006</v>
      </c>
      <c r="Y12" s="4"/>
      <c r="Z12" s="13">
        <f t="shared" ref="Z12:Z15" si="3">IF(T12=0,0,X12/T12)</f>
        <v>-0.31033887078342581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--203771.51</f>
        <v>203771.51</v>
      </c>
      <c r="Q13" s="2"/>
      <c r="R13" s="19"/>
      <c r="S13" s="2"/>
      <c r="T13" s="2"/>
      <c r="U13" s="2"/>
      <c r="V13" s="19"/>
      <c r="W13" s="2"/>
      <c r="X13" s="2">
        <f t="shared" si="2"/>
        <v>203771.51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23850</v>
      </c>
      <c r="I14" s="2"/>
      <c r="J14" s="19"/>
      <c r="K14" s="2"/>
      <c r="L14" s="2">
        <f t="shared" si="0"/>
        <v>-23850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945080</v>
      </c>
      <c r="U14" s="2"/>
      <c r="V14" s="19"/>
      <c r="W14" s="2"/>
      <c r="X14" s="2">
        <f t="shared" si="2"/>
        <v>-945080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--448013.43</f>
        <v>448013.43</v>
      </c>
      <c r="Q15" s="2"/>
      <c r="R15" s="19"/>
      <c r="S15" s="2"/>
      <c r="T15" s="2"/>
      <c r="U15" s="2"/>
      <c r="V15" s="19"/>
      <c r="W15" s="2"/>
      <c r="X15" s="2">
        <f t="shared" si="2"/>
        <v>448013.43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3734</v>
      </c>
      <c r="E17" s="4"/>
      <c r="F17" s="13">
        <f t="shared" ref="F17:F20" si="5">IF(D$12=0,0,D17/D$12)</f>
        <v>0</v>
      </c>
      <c r="G17" s="4"/>
      <c r="H17" s="4">
        <f>SUM(OSRRefH16x_0)</f>
        <v>8109</v>
      </c>
      <c r="I17" s="4"/>
      <c r="J17" s="13">
        <f t="shared" ref="J17:J20" si="6">IF(H$12=0,0,H17/H$12)</f>
        <v>0.34</v>
      </c>
      <c r="K17" s="4"/>
      <c r="L17" s="4">
        <f t="shared" ref="L17:L20" si="7">+D17-H17</f>
        <v>-4375</v>
      </c>
      <c r="M17" s="4"/>
      <c r="N17" s="13">
        <f t="shared" ref="N17:N20" si="8">IF(H17=0,0,L17/H17)</f>
        <v>-0.53952398569490689</v>
      </c>
      <c r="O17" s="10"/>
      <c r="P17" s="4">
        <f>SUM(OSRRefP16x_0)</f>
        <v>220251.97999999998</v>
      </c>
      <c r="Q17" s="4"/>
      <c r="R17" s="13">
        <f t="shared" ref="R17:R20" si="9">IF(P$12=0,0,P17/P$12)</f>
        <v>0.337921247459323</v>
      </c>
      <c r="S17" s="4"/>
      <c r="T17" s="4">
        <f>SUM(OSRRefT16x_0)</f>
        <v>316159</v>
      </c>
      <c r="U17" s="4"/>
      <c r="V17" s="13">
        <f t="shared" ref="V17:V20" si="10">IF(T$12=0,0,T17/T$12)</f>
        <v>0.33453146823549329</v>
      </c>
      <c r="W17" s="4"/>
      <c r="X17" s="4">
        <f t="shared" ref="X17:X20" si="11">+P17-T17</f>
        <v>-95907.020000000019</v>
      </c>
      <c r="Y17" s="4"/>
      <c r="Z17" s="13">
        <f t="shared" ref="Z17:Z20" si="12">IF(T17=0,0,X17/T17)</f>
        <v>-0.30335059258158087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8109</v>
      </c>
      <c r="I18" s="2"/>
      <c r="J18" s="19">
        <f t="shared" si="6"/>
        <v>0.34</v>
      </c>
      <c r="K18" s="2"/>
      <c r="L18" s="2">
        <f t="shared" si="7"/>
        <v>-8109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316159</v>
      </c>
      <c r="U18" s="2"/>
      <c r="V18" s="19">
        <f t="shared" si="10"/>
        <v>0.33453146823549329</v>
      </c>
      <c r="W18" s="2"/>
      <c r="X18" s="2">
        <f t="shared" si="11"/>
        <v>-316159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214473.97999999998</v>
      </c>
      <c r="Q19" s="2"/>
      <c r="R19" s="19">
        <f t="shared" si="9"/>
        <v>0.32905636021599394</v>
      </c>
      <c r="S19" s="2"/>
      <c r="T19" s="2"/>
      <c r="U19" s="2"/>
      <c r="V19" s="19">
        <f t="shared" si="10"/>
        <v>0</v>
      </c>
      <c r="W19" s="2"/>
      <c r="X19" s="2">
        <f t="shared" si="11"/>
        <v>214473.97999999998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3734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3734</v>
      </c>
      <c r="M20" s="2"/>
      <c r="N20" s="19">
        <f t="shared" si="8"/>
        <v>0</v>
      </c>
      <c r="O20" s="11"/>
      <c r="P20" s="2">
        <v>5778</v>
      </c>
      <c r="Q20" s="2"/>
      <c r="R20" s="19">
        <f t="shared" si="9"/>
        <v>8.8648872433290653E-3</v>
      </c>
      <c r="S20" s="2"/>
      <c r="T20" s="2"/>
      <c r="U20" s="2"/>
      <c r="V20" s="19">
        <f t="shared" si="10"/>
        <v>0</v>
      </c>
      <c r="W20" s="2"/>
      <c r="X20" s="2">
        <f t="shared" si="11"/>
        <v>5778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-3734</v>
      </c>
      <c r="E22" s="14"/>
      <c r="F22" s="20">
        <f>IF(D$12=0,0,D22/D$12)</f>
        <v>0</v>
      </c>
      <c r="G22" s="14"/>
      <c r="H22" s="22">
        <f>H12-H17</f>
        <v>15741</v>
      </c>
      <c r="I22" s="14"/>
      <c r="J22" s="20">
        <f>IF(H$12=0,0,H22/H$12)</f>
        <v>0.66</v>
      </c>
      <c r="K22" s="15"/>
      <c r="L22" s="22">
        <f>+D22-H22</f>
        <v>-19475</v>
      </c>
      <c r="M22" s="15"/>
      <c r="N22" s="20">
        <f>IF(H22=0,0,L22/H22)</f>
        <v>-1.2372149164601995</v>
      </c>
      <c r="O22" s="28"/>
      <c r="P22" s="22">
        <f>P12-P17</f>
        <v>431532.95999999996</v>
      </c>
      <c r="Q22" s="14"/>
      <c r="R22" s="20">
        <f>IF(P$12=0,0,P22/P$12)</f>
        <v>0.66207875254067694</v>
      </c>
      <c r="S22" s="14"/>
      <c r="T22" s="22">
        <f>T12-T17</f>
        <v>628921</v>
      </c>
      <c r="U22" s="14"/>
      <c r="V22" s="20">
        <f>IF(T$12=0,0,T22/T$12)</f>
        <v>0.66546853176450671</v>
      </c>
      <c r="W22" s="15"/>
      <c r="X22" s="22">
        <f>+P22-T22</f>
        <v>-197388.04000000004</v>
      </c>
      <c r="Y22" s="15"/>
      <c r="Z22" s="20">
        <f>IF(T22=0,0,X22/T22)</f>
        <v>-0.313851882827891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39647.93</v>
      </c>
      <c r="E24" s="21"/>
      <c r="F24" s="32">
        <f t="shared" ref="F24:F34" si="13">IF(D$12=0,0,D24/D$12)</f>
        <v>0</v>
      </c>
      <c r="G24" s="21"/>
      <c r="H24" s="21">
        <f>SUM(OSRRefH22x_0)</f>
        <v>52377.977053884621</v>
      </c>
      <c r="I24" s="21"/>
      <c r="J24" s="32">
        <f t="shared" ref="J24:J34" si="14">IF(H$12=0,0,H24/H$12)</f>
        <v>2.196141595550718</v>
      </c>
      <c r="K24" s="4"/>
      <c r="L24" s="21">
        <f t="shared" ref="L24:L34" si="15">+D24-H24</f>
        <v>-12730.04705388462</v>
      </c>
      <c r="M24" s="4"/>
      <c r="N24" s="32">
        <f t="shared" ref="N24:N34" si="16">IF(H24=0,0,L24/H24)</f>
        <v>-0.24304197622577892</v>
      </c>
      <c r="O24" s="10"/>
      <c r="P24" s="21">
        <f>SUM(OSRRefP22x_0)</f>
        <v>749438.4600000002</v>
      </c>
      <c r="Q24" s="21"/>
      <c r="R24" s="32">
        <f t="shared" ref="R24:R34" si="17">IF(P$12=0,0,P24/P$12)</f>
        <v>1.1498247566137387</v>
      </c>
      <c r="S24" s="21"/>
      <c r="T24" s="21">
        <f>SUM(OSRRefT22x_0)</f>
        <v>767157.24750891083</v>
      </c>
      <c r="U24" s="21"/>
      <c r="V24" s="32">
        <f t="shared" ref="V24:V34" si="18">IF(T$12=0,0,T24/T$12)</f>
        <v>0.8117378925687887</v>
      </c>
      <c r="W24" s="4"/>
      <c r="X24" s="21">
        <f t="shared" ref="X24:X34" si="19">+P24-T24</f>
        <v>-17718.787508910638</v>
      </c>
      <c r="Y24" s="4"/>
      <c r="Z24" s="32">
        <f t="shared" ref="Z24:Z34" si="20">IF(T24=0,0,X24/T24)</f>
        <v>-2.3096682676786974E-2</v>
      </c>
    </row>
    <row r="25" spans="1:26" s="26" customFormat="1" outlineLevel="1" collapsed="1" x14ac:dyDescent="0.25">
      <c r="A25" s="25"/>
      <c r="B25" s="12" t="str">
        <f>CONCATENATE("     ","*Benefits                                         ")</f>
        <v xml:space="preserve">     *Benefits                                         </v>
      </c>
      <c r="C25" s="12"/>
      <c r="D25" s="1">
        <f>SUM(OSRRefD22_0x_0)</f>
        <v>4395.12</v>
      </c>
      <c r="E25" s="1"/>
      <c r="F25" s="5">
        <f t="shared" si="13"/>
        <v>0</v>
      </c>
      <c r="G25" s="1"/>
      <c r="H25" s="1">
        <f>SUM(OSRRefH22_0x_0)</f>
        <v>6779.8479769615424</v>
      </c>
      <c r="I25" s="1"/>
      <c r="J25" s="5">
        <f t="shared" si="14"/>
        <v>0.28427035542815693</v>
      </c>
      <c r="K25" s="1"/>
      <c r="L25" s="1">
        <f t="shared" si="15"/>
        <v>-2384.7279769615425</v>
      </c>
      <c r="M25" s="1"/>
      <c r="N25" s="5">
        <f t="shared" si="16"/>
        <v>-0.35173767687196467</v>
      </c>
      <c r="O25" s="12"/>
      <c r="P25" s="1">
        <f>SUM(OSRRefP22_0x_0)</f>
        <v>89133.300000000017</v>
      </c>
      <c r="Q25" s="1"/>
      <c r="R25" s="5">
        <f t="shared" si="17"/>
        <v>0.13675262272859515</v>
      </c>
      <c r="S25" s="1"/>
      <c r="T25" s="1">
        <f>SUM(OSRRefT22_0x_0)</f>
        <v>87487.208608910834</v>
      </c>
      <c r="U25" s="1"/>
      <c r="V25" s="5">
        <f t="shared" si="18"/>
        <v>9.2571220011968131E-2</v>
      </c>
      <c r="W25" s="1"/>
      <c r="X25" s="1">
        <f t="shared" si="19"/>
        <v>1646.0913910891832</v>
      </c>
      <c r="Y25" s="1"/>
      <c r="Z25" s="5">
        <f t="shared" si="20"/>
        <v>1.8815223588257494E-2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386.22</v>
      </c>
      <c r="E26" s="2"/>
      <c r="F26" s="7">
        <f t="shared" si="13"/>
        <v>0</v>
      </c>
      <c r="G26" s="2"/>
      <c r="H26" s="6">
        <v>855.38670080769202</v>
      </c>
      <c r="I26" s="2"/>
      <c r="J26" s="7">
        <f t="shared" si="14"/>
        <v>3.5865270474117063E-2</v>
      </c>
      <c r="K26" s="2"/>
      <c r="L26" s="6">
        <f t="shared" si="15"/>
        <v>-469.166700807692</v>
      </c>
      <c r="M26" s="2"/>
      <c r="N26" s="7">
        <f t="shared" si="16"/>
        <v>-0.54848491374098418</v>
      </c>
      <c r="O26" s="11"/>
      <c r="P26" s="6">
        <v>14083.42</v>
      </c>
      <c r="Q26" s="2"/>
      <c r="R26" s="7">
        <f t="shared" si="17"/>
        <v>2.1607464572593531E-2</v>
      </c>
      <c r="S26" s="2"/>
      <c r="T26" s="6">
        <v>9293.4952432799964</v>
      </c>
      <c r="U26" s="2"/>
      <c r="V26" s="7">
        <f t="shared" si="18"/>
        <v>9.8335540306429044E-3</v>
      </c>
      <c r="W26" s="2"/>
      <c r="X26" s="6">
        <f t="shared" si="19"/>
        <v>4789.9247567200036</v>
      </c>
      <c r="Y26" s="2"/>
      <c r="Z26" s="7">
        <f t="shared" si="20"/>
        <v>0.51540616649947013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195.88</v>
      </c>
      <c r="E27" s="2"/>
      <c r="F27" s="7">
        <f t="shared" si="13"/>
        <v>0</v>
      </c>
      <c r="G27" s="2"/>
      <c r="H27" s="6">
        <v>623.32752153846195</v>
      </c>
      <c r="I27" s="2"/>
      <c r="J27" s="7">
        <f t="shared" si="14"/>
        <v>2.6135325850669265E-2</v>
      </c>
      <c r="K27" s="2"/>
      <c r="L27" s="6">
        <f t="shared" si="15"/>
        <v>-427.44752153846196</v>
      </c>
      <c r="M27" s="2"/>
      <c r="N27" s="7">
        <f t="shared" si="16"/>
        <v>-0.68575108072151225</v>
      </c>
      <c r="O27" s="11"/>
      <c r="P27" s="6">
        <v>8055.46</v>
      </c>
      <c r="Q27" s="2"/>
      <c r="R27" s="7">
        <f t="shared" si="17"/>
        <v>1.2359076599714011E-2</v>
      </c>
      <c r="S27" s="2"/>
      <c r="T27" s="6">
        <v>12038.876648800006</v>
      </c>
      <c r="U27" s="2"/>
      <c r="V27" s="7">
        <f t="shared" si="18"/>
        <v>1.273847362001101E-2</v>
      </c>
      <c r="W27" s="2"/>
      <c r="X27" s="6">
        <f t="shared" si="19"/>
        <v>-3983.4166488000055</v>
      </c>
      <c r="Y27" s="2"/>
      <c r="Z27" s="7">
        <f t="shared" si="20"/>
        <v>-0.33087943044894136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3371.81</v>
      </c>
      <c r="E28" s="2"/>
      <c r="F28" s="7">
        <f t="shared" si="13"/>
        <v>0</v>
      </c>
      <c r="G28" s="2"/>
      <c r="H28" s="6">
        <v>3377.0096153846202</v>
      </c>
      <c r="I28" s="2"/>
      <c r="J28" s="7">
        <f t="shared" si="14"/>
        <v>0.14159369456539289</v>
      </c>
      <c r="K28" s="2"/>
      <c r="L28" s="6">
        <f t="shared" si="15"/>
        <v>-5.1996153846203015</v>
      </c>
      <c r="M28" s="2"/>
      <c r="N28" s="7">
        <f t="shared" si="16"/>
        <v>-1.5397099732652368E-3</v>
      </c>
      <c r="O28" s="11"/>
      <c r="P28" s="6">
        <v>38508.720000000001</v>
      </c>
      <c r="Q28" s="2"/>
      <c r="R28" s="7">
        <f t="shared" si="17"/>
        <v>5.9081941966931617E-2</v>
      </c>
      <c r="S28" s="2"/>
      <c r="T28" s="6">
        <v>38676.380769230804</v>
      </c>
      <c r="U28" s="2"/>
      <c r="V28" s="7">
        <f t="shared" si="18"/>
        <v>4.092392259833115E-2</v>
      </c>
      <c r="W28" s="2"/>
      <c r="X28" s="6">
        <f t="shared" si="19"/>
        <v>-167.66076923080254</v>
      </c>
      <c r="Y28" s="2"/>
      <c r="Z28" s="7">
        <f t="shared" si="20"/>
        <v>-4.3349653172353175E-3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-632.02</v>
      </c>
      <c r="E29" s="2"/>
      <c r="F29" s="7">
        <f t="shared" si="13"/>
        <v>0</v>
      </c>
      <c r="G29" s="2"/>
      <c r="H29" s="6">
        <v>41.769370000000002</v>
      </c>
      <c r="I29" s="2"/>
      <c r="J29" s="7">
        <f t="shared" si="14"/>
        <v>1.7513362683438155E-3</v>
      </c>
      <c r="K29" s="2"/>
      <c r="L29" s="6">
        <f t="shared" si="15"/>
        <v>-673.78936999999996</v>
      </c>
      <c r="M29" s="2"/>
      <c r="N29" s="7">
        <f t="shared" si="16"/>
        <v>-16.131183448541357</v>
      </c>
      <c r="O29" s="11"/>
      <c r="P29" s="6">
        <v>0</v>
      </c>
      <c r="Q29" s="2"/>
      <c r="R29" s="7">
        <f t="shared" si="17"/>
        <v>0</v>
      </c>
      <c r="S29" s="2"/>
      <c r="T29" s="6">
        <v>806.72884759999999</v>
      </c>
      <c r="U29" s="2"/>
      <c r="V29" s="7">
        <f t="shared" si="18"/>
        <v>8.5360905701104667E-4</v>
      </c>
      <c r="W29" s="2"/>
      <c r="X29" s="6">
        <f t="shared" si="19"/>
        <v>-806.72884759999999</v>
      </c>
      <c r="Y29" s="2"/>
      <c r="Z29" s="7">
        <f t="shared" si="20"/>
        <v>-1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352.64</v>
      </c>
      <c r="E30" s="2"/>
      <c r="F30" s="7">
        <f t="shared" si="13"/>
        <v>0</v>
      </c>
      <c r="G30" s="2"/>
      <c r="H30" s="6">
        <v>463.34153846153902</v>
      </c>
      <c r="I30" s="2"/>
      <c r="J30" s="7">
        <f t="shared" si="14"/>
        <v>1.942731817448801E-2</v>
      </c>
      <c r="K30" s="2"/>
      <c r="L30" s="6">
        <f t="shared" si="15"/>
        <v>-110.70153846153903</v>
      </c>
      <c r="M30" s="2"/>
      <c r="N30" s="7">
        <f t="shared" si="16"/>
        <v>-0.23891995271804911</v>
      </c>
      <c r="O30" s="11"/>
      <c r="P30" s="6">
        <v>6682.96</v>
      </c>
      <c r="Q30" s="2"/>
      <c r="R30" s="7">
        <f t="shared" si="17"/>
        <v>1.0253320673533821E-2</v>
      </c>
      <c r="S30" s="2"/>
      <c r="T30" s="6">
        <v>6023.4400000000041</v>
      </c>
      <c r="U30" s="2"/>
      <c r="V30" s="7">
        <f t="shared" si="18"/>
        <v>6.3734710289076102E-3</v>
      </c>
      <c r="W30" s="2"/>
      <c r="X30" s="6">
        <f t="shared" si="19"/>
        <v>659.51999999999589</v>
      </c>
      <c r="Y30" s="2"/>
      <c r="Z30" s="7">
        <f t="shared" si="20"/>
        <v>0.10949225027558927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290.92</v>
      </c>
      <c r="E32" s="2"/>
      <c r="F32" s="7">
        <f t="shared" si="13"/>
        <v>0</v>
      </c>
      <c r="G32" s="2"/>
      <c r="H32" s="6">
        <v>455.04211538461499</v>
      </c>
      <c r="I32" s="2"/>
      <c r="J32" s="7">
        <f t="shared" si="14"/>
        <v>1.9079333978390567E-2</v>
      </c>
      <c r="K32" s="2"/>
      <c r="L32" s="6">
        <f t="shared" si="15"/>
        <v>-164.12211538461497</v>
      </c>
      <c r="M32" s="2"/>
      <c r="N32" s="7">
        <f t="shared" si="16"/>
        <v>-0.36067456139943033</v>
      </c>
      <c r="O32" s="11"/>
      <c r="P32" s="6">
        <v>9445.0300000000007</v>
      </c>
      <c r="Q32" s="2"/>
      <c r="R32" s="7">
        <f t="shared" si="17"/>
        <v>1.4491022146047132E-2</v>
      </c>
      <c r="S32" s="2"/>
      <c r="T32" s="6">
        <v>5528.4837999999963</v>
      </c>
      <c r="U32" s="2"/>
      <c r="V32" s="7">
        <f t="shared" si="18"/>
        <v>5.8497521902907655E-3</v>
      </c>
      <c r="W32" s="2"/>
      <c r="X32" s="6">
        <f t="shared" si="19"/>
        <v>3916.5462000000043</v>
      </c>
      <c r="Y32" s="2"/>
      <c r="Z32" s="7">
        <f t="shared" si="20"/>
        <v>0.7084304380162979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232.86</v>
      </c>
      <c r="E33" s="2"/>
      <c r="F33" s="7">
        <f t="shared" si="13"/>
        <v>0</v>
      </c>
      <c r="G33" s="2"/>
      <c r="H33" s="6">
        <v>663.97111538461502</v>
      </c>
      <c r="I33" s="2"/>
      <c r="J33" s="7">
        <f t="shared" si="14"/>
        <v>2.7839459764554087E-2</v>
      </c>
      <c r="K33" s="2"/>
      <c r="L33" s="6">
        <f t="shared" si="15"/>
        <v>-431.111115384615</v>
      </c>
      <c r="M33" s="2"/>
      <c r="N33" s="7">
        <f t="shared" si="16"/>
        <v>-0.64929197279144824</v>
      </c>
      <c r="O33" s="11"/>
      <c r="P33" s="6">
        <v>9126.6299999999992</v>
      </c>
      <c r="Q33" s="2"/>
      <c r="R33" s="7">
        <f t="shared" si="17"/>
        <v>1.4002517456141285E-2</v>
      </c>
      <c r="S33" s="2"/>
      <c r="T33" s="6">
        <v>11519.803300000012</v>
      </c>
      <c r="U33" s="2"/>
      <c r="V33" s="7">
        <f t="shared" si="18"/>
        <v>1.2189236149320706E-2</v>
      </c>
      <c r="W33" s="2"/>
      <c r="X33" s="6">
        <f t="shared" si="19"/>
        <v>-2393.1733000000131</v>
      </c>
      <c r="Y33" s="2"/>
      <c r="Z33" s="7">
        <f t="shared" si="20"/>
        <v>-0.20774428500875622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196.81</v>
      </c>
      <c r="E34" s="2"/>
      <c r="F34" s="7">
        <f t="shared" si="13"/>
        <v>0</v>
      </c>
      <c r="G34" s="2"/>
      <c r="H34" s="6">
        <v>300</v>
      </c>
      <c r="I34" s="2"/>
      <c r="J34" s="7">
        <f t="shared" si="14"/>
        <v>1.2578616352201259E-2</v>
      </c>
      <c r="K34" s="2"/>
      <c r="L34" s="6">
        <f t="shared" si="15"/>
        <v>-103.19</v>
      </c>
      <c r="M34" s="2"/>
      <c r="N34" s="7">
        <f t="shared" si="16"/>
        <v>-0.34396666666666664</v>
      </c>
      <c r="O34" s="11"/>
      <c r="P34" s="6">
        <v>3231.08</v>
      </c>
      <c r="Q34" s="2"/>
      <c r="R34" s="7">
        <f t="shared" si="17"/>
        <v>4.9572793136337277E-3</v>
      </c>
      <c r="S34" s="2"/>
      <c r="T34" s="6">
        <v>3600</v>
      </c>
      <c r="U34" s="2"/>
      <c r="V34" s="7">
        <f t="shared" si="18"/>
        <v>3.809201337452914E-3</v>
      </c>
      <c r="W34" s="2"/>
      <c r="X34" s="6">
        <f t="shared" si="19"/>
        <v>-368.92000000000007</v>
      </c>
      <c r="Y34" s="2"/>
      <c r="Z34" s="7">
        <f t="shared" si="20"/>
        <v>-0.10247777777777779</v>
      </c>
    </row>
    <row r="35" spans="1:26" s="26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5048.58</v>
      </c>
      <c r="E35" s="1"/>
      <c r="F35" s="5">
        <f t="shared" ref="F35:F45" si="21">IF(D$12=0,0,D35/D$12)</f>
        <v>0</v>
      </c>
      <c r="G35" s="1"/>
      <c r="H35" s="1">
        <f>SUM(OSRRefH22_1x_0)</f>
        <v>14946.12907692308</v>
      </c>
      <c r="I35" s="1"/>
      <c r="J35" s="5">
        <f t="shared" ref="J35:J45" si="22">IF(H$12=0,0,H35/H$12)</f>
        <v>0.62667207869698449</v>
      </c>
      <c r="K35" s="1"/>
      <c r="L35" s="1">
        <f t="shared" ref="L35:L45" si="23">+D35-H35</f>
        <v>-9897.5490769230801</v>
      </c>
      <c r="M35" s="1"/>
      <c r="N35" s="5">
        <f t="shared" ref="N35:N45" si="24">IF(H35=0,0,L35/H35)</f>
        <v>-0.66221488025317266</v>
      </c>
      <c r="O35" s="12"/>
      <c r="P35" s="1">
        <f>SUM(OSRRefP22_1x_0)</f>
        <v>235600.61</v>
      </c>
      <c r="Q35" s="1"/>
      <c r="R35" s="5">
        <f t="shared" ref="R35:R45" si="25">IF(P$12=0,0,P35/P$12)</f>
        <v>0.36146985844748114</v>
      </c>
      <c r="S35" s="1"/>
      <c r="T35" s="1">
        <f>SUM(OSRRefT22_1x_0)</f>
        <v>293232.03890000004</v>
      </c>
      <c r="U35" s="1"/>
      <c r="V35" s="5">
        <f t="shared" ref="V35:V45" si="26">IF(T$12=0,0,T35/T$12)</f>
        <v>0.31027218743386809</v>
      </c>
      <c r="W35" s="1"/>
      <c r="X35" s="1">
        <f t="shared" ref="X35:X45" si="27">+P35-T35</f>
        <v>-57631.428900000057</v>
      </c>
      <c r="Y35" s="1"/>
      <c r="Z35" s="5">
        <f t="shared" ref="Z35:Z45" si="28">IF(T35=0,0,X35/T35)</f>
        <v>-0.19653864944701324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5048.58</v>
      </c>
      <c r="E37" s="2"/>
      <c r="F37" s="7">
        <f t="shared" si="21"/>
        <v>0</v>
      </c>
      <c r="G37" s="2"/>
      <c r="H37" s="6">
        <v>4848.9230769230799</v>
      </c>
      <c r="I37" s="2"/>
      <c r="J37" s="7">
        <f t="shared" si="22"/>
        <v>0.2033091436865023</v>
      </c>
      <c r="K37" s="2"/>
      <c r="L37" s="6">
        <f t="shared" si="23"/>
        <v>199.65692307692007</v>
      </c>
      <c r="M37" s="2"/>
      <c r="N37" s="7">
        <f t="shared" si="24"/>
        <v>4.1175518751189154E-2</v>
      </c>
      <c r="O37" s="11"/>
      <c r="P37" s="6">
        <v>57401.88</v>
      </c>
      <c r="Q37" s="2"/>
      <c r="R37" s="7">
        <f t="shared" si="25"/>
        <v>8.8068742429059502E-2</v>
      </c>
      <c r="S37" s="2"/>
      <c r="T37" s="6">
        <v>63036.000000000036</v>
      </c>
      <c r="U37" s="2"/>
      <c r="V37" s="7">
        <f t="shared" si="26"/>
        <v>6.6699115418800567E-2</v>
      </c>
      <c r="W37" s="2"/>
      <c r="X37" s="6">
        <f t="shared" si="27"/>
        <v>-5634.120000000039</v>
      </c>
      <c r="Y37" s="2"/>
      <c r="Z37" s="7">
        <f t="shared" si="28"/>
        <v>-8.937940224633599E-2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3341.835</v>
      </c>
      <c r="I39" s="2"/>
      <c r="J39" s="7">
        <f t="shared" si="22"/>
        <v>0.1401188679245283</v>
      </c>
      <c r="K39" s="2"/>
      <c r="L39" s="6">
        <f t="shared" si="23"/>
        <v>-3341.835</v>
      </c>
      <c r="M39" s="2"/>
      <c r="N39" s="7">
        <f t="shared" si="24"/>
        <v>-1</v>
      </c>
      <c r="O39" s="11"/>
      <c r="P39" s="6">
        <v>30886.32</v>
      </c>
      <c r="Q39" s="2"/>
      <c r="R39" s="7">
        <f t="shared" si="25"/>
        <v>4.7387286978431878E-2</v>
      </c>
      <c r="S39" s="2"/>
      <c r="T39" s="6">
        <v>36476.708400000003</v>
      </c>
      <c r="U39" s="2"/>
      <c r="V39" s="7">
        <f t="shared" si="26"/>
        <v>3.8596424006433323E-2</v>
      </c>
      <c r="W39" s="2"/>
      <c r="X39" s="6">
        <f t="shared" si="27"/>
        <v>-5590.3884000000035</v>
      </c>
      <c r="Y39" s="2"/>
      <c r="Z39" s="7">
        <f t="shared" si="28"/>
        <v>-0.15325912466378142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4741.3599999999997</v>
      </c>
      <c r="I40" s="2"/>
      <c r="J40" s="7">
        <f t="shared" si="22"/>
        <v>0.19879916142557649</v>
      </c>
      <c r="K40" s="2"/>
      <c r="L40" s="6">
        <f t="shared" si="23"/>
        <v>-4741.3599999999997</v>
      </c>
      <c r="M40" s="2"/>
      <c r="N40" s="7">
        <f t="shared" si="24"/>
        <v>-1</v>
      </c>
      <c r="O40" s="11"/>
      <c r="P40" s="6">
        <v>71622.42</v>
      </c>
      <c r="Q40" s="2"/>
      <c r="R40" s="7">
        <f t="shared" si="25"/>
        <v>0.10988658314197933</v>
      </c>
      <c r="S40" s="2"/>
      <c r="T40" s="6">
        <v>106423.25899999999</v>
      </c>
      <c r="U40" s="2"/>
      <c r="V40" s="7">
        <f t="shared" si="26"/>
        <v>0.1126076723663605</v>
      </c>
      <c r="W40" s="2"/>
      <c r="X40" s="6">
        <f t="shared" si="27"/>
        <v>-34800.838999999993</v>
      </c>
      <c r="Y40" s="2"/>
      <c r="Z40" s="7">
        <f t="shared" si="28"/>
        <v>-0.32700407154417244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200.5</v>
      </c>
      <c r="Q41" s="2"/>
      <c r="R41" s="7">
        <f t="shared" si="25"/>
        <v>3.0761680378807161E-4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200.5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2014.011</v>
      </c>
      <c r="I42" s="2"/>
      <c r="J42" s="7">
        <f t="shared" si="22"/>
        <v>8.4444905660377351E-2</v>
      </c>
      <c r="K42" s="2"/>
      <c r="L42" s="6">
        <f t="shared" si="23"/>
        <v>-2014.011</v>
      </c>
      <c r="M42" s="2"/>
      <c r="N42" s="7">
        <f t="shared" si="24"/>
        <v>-1</v>
      </c>
      <c r="O42" s="11"/>
      <c r="P42" s="6">
        <v>73786.490000000005</v>
      </c>
      <c r="Q42" s="2"/>
      <c r="R42" s="7">
        <f t="shared" si="25"/>
        <v>0.11320680407252123</v>
      </c>
      <c r="S42" s="2"/>
      <c r="T42" s="6">
        <v>10540.311000000002</v>
      </c>
      <c r="U42" s="2"/>
      <c r="V42" s="7">
        <f t="shared" si="26"/>
        <v>1.115282409954713E-2</v>
      </c>
      <c r="W42" s="2"/>
      <c r="X42" s="6">
        <f t="shared" si="27"/>
        <v>63246.179000000004</v>
      </c>
      <c r="Y42" s="2"/>
      <c r="Z42" s="7">
        <f t="shared" si="28"/>
        <v>6.0004091909622019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1703</v>
      </c>
      <c r="Q43" s="2"/>
      <c r="R43" s="7">
        <f t="shared" si="25"/>
        <v>2.6128250217011765E-3</v>
      </c>
      <c r="S43" s="2"/>
      <c r="T43" s="6">
        <v>76755.760500000004</v>
      </c>
      <c r="U43" s="2"/>
      <c r="V43" s="7">
        <f t="shared" si="26"/>
        <v>8.1216151542726545E-2</v>
      </c>
      <c r="W43" s="2"/>
      <c r="X43" s="6">
        <f t="shared" si="27"/>
        <v>-75052.760500000004</v>
      </c>
      <c r="Y43" s="2"/>
      <c r="Z43" s="7">
        <f t="shared" si="28"/>
        <v>-0.97781274019166287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6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55" si="29">IF(D$12=0,0,D46/D$12)</f>
        <v>0</v>
      </c>
      <c r="G46" s="1"/>
      <c r="H46" s="1">
        <f>SUM(OSRRefH22_2x_0)</f>
        <v>100</v>
      </c>
      <c r="I46" s="1"/>
      <c r="J46" s="5">
        <f t="shared" ref="J46:J55" si="30">IF(H$12=0,0,H46/H$12)</f>
        <v>4.1928721174004195E-3</v>
      </c>
      <c r="K46" s="1"/>
      <c r="L46" s="1">
        <f t="shared" ref="L46:L55" si="31">+D46-H46</f>
        <v>-100</v>
      </c>
      <c r="M46" s="1"/>
      <c r="N46" s="5">
        <f t="shared" ref="N46:N55" si="32">IF(H46=0,0,L46/H46)</f>
        <v>-1</v>
      </c>
      <c r="O46" s="12"/>
      <c r="P46" s="1">
        <f>SUM(OSRRefP22_2x_0)</f>
        <v>6418.96</v>
      </c>
      <c r="Q46" s="1"/>
      <c r="R46" s="5">
        <f t="shared" ref="R46:R55" si="33">IF(P$12=0,0,P46/P$12)</f>
        <v>9.8482790964762104E-3</v>
      </c>
      <c r="S46" s="1"/>
      <c r="T46" s="1">
        <f>SUM(OSRRefT22_2x_0)</f>
        <v>3275</v>
      </c>
      <c r="U46" s="1"/>
      <c r="V46" s="5">
        <f t="shared" ref="V46:V55" si="34">IF(T$12=0,0,T46/T$12)</f>
        <v>3.4653151055995261E-3</v>
      </c>
      <c r="W46" s="1"/>
      <c r="X46" s="1">
        <f t="shared" ref="X46:X55" si="35">+P46-T46</f>
        <v>3143.96</v>
      </c>
      <c r="Y46" s="1"/>
      <c r="Z46" s="5">
        <f t="shared" ref="Z46:Z55" si="36">IF(T46=0,0,X46/T46)</f>
        <v>0.95998778625954195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100</v>
      </c>
      <c r="I47" s="2"/>
      <c r="J47" s="7">
        <f t="shared" si="30"/>
        <v>4.1928721174004195E-3</v>
      </c>
      <c r="K47" s="2"/>
      <c r="L47" s="6">
        <f t="shared" si="31"/>
        <v>-100</v>
      </c>
      <c r="M47" s="2"/>
      <c r="N47" s="7">
        <f t="shared" si="32"/>
        <v>-1</v>
      </c>
      <c r="O47" s="11"/>
      <c r="P47" s="6">
        <v>6418.96</v>
      </c>
      <c r="Q47" s="2"/>
      <c r="R47" s="7">
        <f t="shared" si="33"/>
        <v>9.8482790964762104E-3</v>
      </c>
      <c r="S47" s="2"/>
      <c r="T47" s="6">
        <v>3275</v>
      </c>
      <c r="U47" s="2"/>
      <c r="V47" s="7">
        <f t="shared" si="34"/>
        <v>3.4653151055995261E-3</v>
      </c>
      <c r="W47" s="2"/>
      <c r="X47" s="6">
        <f t="shared" si="35"/>
        <v>3143.96</v>
      </c>
      <c r="Y47" s="2"/>
      <c r="Z47" s="7">
        <f t="shared" si="36"/>
        <v>0.95998778625954195</v>
      </c>
    </row>
    <row r="48" spans="1:26" s="26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10</v>
      </c>
      <c r="I48" s="1"/>
      <c r="J48" s="5">
        <f t="shared" si="30"/>
        <v>4.1928721174004191E-4</v>
      </c>
      <c r="K48" s="1"/>
      <c r="L48" s="1">
        <f t="shared" si="31"/>
        <v>-10</v>
      </c>
      <c r="M48" s="1"/>
      <c r="N48" s="5">
        <f t="shared" si="32"/>
        <v>-1</v>
      </c>
      <c r="O48" s="12"/>
      <c r="P48" s="1">
        <f>SUM(OSRRefP22_3x_0)</f>
        <v>-37.450000000000003</v>
      </c>
      <c r="Q48" s="1"/>
      <c r="R48" s="5">
        <f t="shared" si="33"/>
        <v>-5.7457602503058765E-5</v>
      </c>
      <c r="S48" s="1"/>
      <c r="T48" s="1">
        <f>SUM(OSRRefT22_3x_0)</f>
        <v>120</v>
      </c>
      <c r="U48" s="1"/>
      <c r="V48" s="5">
        <f t="shared" si="34"/>
        <v>1.2697337791509714E-4</v>
      </c>
      <c r="W48" s="1"/>
      <c r="X48" s="1">
        <f t="shared" si="35"/>
        <v>-157.44999999999999</v>
      </c>
      <c r="Y48" s="1"/>
      <c r="Z48" s="5">
        <f t="shared" si="36"/>
        <v>-1.3120833333333333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10</v>
      </c>
      <c r="I49" s="2"/>
      <c r="J49" s="7">
        <f t="shared" si="30"/>
        <v>4.1928721174004191E-4</v>
      </c>
      <c r="K49" s="2"/>
      <c r="L49" s="6">
        <f t="shared" si="31"/>
        <v>-10</v>
      </c>
      <c r="M49" s="2"/>
      <c r="N49" s="7">
        <f t="shared" si="32"/>
        <v>-1</v>
      </c>
      <c r="O49" s="11"/>
      <c r="P49" s="6">
        <v>-37.450000000000003</v>
      </c>
      <c r="Q49" s="2"/>
      <c r="R49" s="7">
        <f t="shared" si="33"/>
        <v>-5.7457602503058765E-5</v>
      </c>
      <c r="S49" s="2"/>
      <c r="T49" s="6">
        <v>120</v>
      </c>
      <c r="U49" s="2"/>
      <c r="V49" s="7">
        <f t="shared" si="34"/>
        <v>1.2697337791509714E-4</v>
      </c>
      <c r="W49" s="2"/>
      <c r="X49" s="6">
        <f t="shared" si="35"/>
        <v>-157.44999999999999</v>
      </c>
      <c r="Y49" s="2"/>
      <c r="Z49" s="7">
        <f t="shared" si="36"/>
        <v>-1.3120833333333333</v>
      </c>
    </row>
    <row r="50" spans="1:26" s="26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2"/>
      <c r="P50" s="1">
        <f>SUM(OSRRefP22_4x_0)</f>
        <v>27203.670000000002</v>
      </c>
      <c r="Q50" s="1"/>
      <c r="R50" s="5">
        <f t="shared" si="33"/>
        <v>4.1737187115737907E-2</v>
      </c>
      <c r="S50" s="1"/>
      <c r="T50" s="1">
        <f>SUM(OSRRefT22_4x_0)</f>
        <v>850</v>
      </c>
      <c r="U50" s="1"/>
      <c r="V50" s="5">
        <f t="shared" si="34"/>
        <v>8.9939476023193803E-4</v>
      </c>
      <c r="W50" s="1"/>
      <c r="X50" s="1">
        <f t="shared" si="35"/>
        <v>26353.670000000002</v>
      </c>
      <c r="Y50" s="1"/>
      <c r="Z50" s="5">
        <f t="shared" si="36"/>
        <v>31.004317647058826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27203.670000000002</v>
      </c>
      <c r="Q51" s="2"/>
      <c r="R51" s="7">
        <f t="shared" si="33"/>
        <v>4.1737187115737907E-2</v>
      </c>
      <c r="S51" s="2"/>
      <c r="T51" s="6">
        <v>850</v>
      </c>
      <c r="U51" s="2"/>
      <c r="V51" s="7">
        <f t="shared" si="34"/>
        <v>8.9939476023193803E-4</v>
      </c>
      <c r="W51" s="2"/>
      <c r="X51" s="6">
        <f t="shared" si="35"/>
        <v>26353.670000000002</v>
      </c>
      <c r="Y51" s="2"/>
      <c r="Z51" s="7">
        <f t="shared" si="36"/>
        <v>31.004317647058826</v>
      </c>
    </row>
    <row r="52" spans="1:26" s="26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13686.800000000001</v>
      </c>
      <c r="E52" s="1"/>
      <c r="F52" s="5">
        <f t="shared" si="29"/>
        <v>0</v>
      </c>
      <c r="G52" s="1"/>
      <c r="H52" s="1">
        <f>SUM(OSRRefH22_5x_0)</f>
        <v>13683</v>
      </c>
      <c r="I52" s="1"/>
      <c r="J52" s="5">
        <f t="shared" si="30"/>
        <v>0.57371069182389933</v>
      </c>
      <c r="K52" s="1"/>
      <c r="L52" s="1">
        <f t="shared" si="31"/>
        <v>3.8000000000010914</v>
      </c>
      <c r="M52" s="1"/>
      <c r="N52" s="5">
        <f t="shared" si="32"/>
        <v>2.7771687495440267E-4</v>
      </c>
      <c r="O52" s="12"/>
      <c r="P52" s="1">
        <f>SUM(OSRRefP22_5x_0)</f>
        <v>161961.41999999998</v>
      </c>
      <c r="Q52" s="1"/>
      <c r="R52" s="5">
        <f t="shared" si="33"/>
        <v>0.24848904916397729</v>
      </c>
      <c r="S52" s="1"/>
      <c r="T52" s="1">
        <f>SUM(OSRRefT22_5x_0)</f>
        <v>162945</v>
      </c>
      <c r="U52" s="1"/>
      <c r="V52" s="5">
        <f t="shared" si="34"/>
        <v>0.17241397553646251</v>
      </c>
      <c r="W52" s="1"/>
      <c r="X52" s="1">
        <f t="shared" si="35"/>
        <v>-983.5800000000163</v>
      </c>
      <c r="Y52" s="1"/>
      <c r="Z52" s="5">
        <f t="shared" si="36"/>
        <v>-6.0362699070239424E-3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10597.27</v>
      </c>
      <c r="E53" s="2"/>
      <c r="F53" s="7">
        <f t="shared" si="29"/>
        <v>0</v>
      </c>
      <c r="G53" s="2"/>
      <c r="H53" s="6">
        <v>10612</v>
      </c>
      <c r="I53" s="2"/>
      <c r="J53" s="7">
        <f t="shared" si="30"/>
        <v>0.44494758909853249</v>
      </c>
      <c r="K53" s="2"/>
      <c r="L53" s="6">
        <f t="shared" si="31"/>
        <v>-14.729999999999563</v>
      </c>
      <c r="M53" s="2"/>
      <c r="N53" s="7">
        <f t="shared" si="32"/>
        <v>-1.3880512627214062E-3</v>
      </c>
      <c r="O53" s="11"/>
      <c r="P53" s="6">
        <v>127334.33</v>
      </c>
      <c r="Q53" s="2"/>
      <c r="R53" s="7">
        <f t="shared" si="33"/>
        <v>0.19536249180596288</v>
      </c>
      <c r="S53" s="2"/>
      <c r="T53" s="6">
        <v>127344</v>
      </c>
      <c r="U53" s="2"/>
      <c r="V53" s="7">
        <f t="shared" si="34"/>
        <v>0.13474414864350107</v>
      </c>
      <c r="W53" s="2"/>
      <c r="X53" s="6">
        <f t="shared" si="35"/>
        <v>-9.6699999999982538</v>
      </c>
      <c r="Y53" s="2"/>
      <c r="Z53" s="7">
        <f t="shared" si="36"/>
        <v>-7.593604724210213E-5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3089.53</v>
      </c>
      <c r="E54" s="2"/>
      <c r="F54" s="7">
        <f t="shared" si="29"/>
        <v>0</v>
      </c>
      <c r="G54" s="2"/>
      <c r="H54" s="6">
        <v>2654</v>
      </c>
      <c r="I54" s="2"/>
      <c r="J54" s="7">
        <f t="shared" si="30"/>
        <v>0.11127882599580713</v>
      </c>
      <c r="K54" s="2"/>
      <c r="L54" s="6">
        <f t="shared" si="31"/>
        <v>435.5300000000002</v>
      </c>
      <c r="M54" s="2"/>
      <c r="N54" s="7">
        <f t="shared" si="32"/>
        <v>0.16410324039186142</v>
      </c>
      <c r="O54" s="11"/>
      <c r="P54" s="6">
        <v>34627.089999999997</v>
      </c>
      <c r="Q54" s="2"/>
      <c r="R54" s="7">
        <f t="shared" si="33"/>
        <v>5.3126557358014435E-2</v>
      </c>
      <c r="S54" s="2"/>
      <c r="T54" s="6">
        <v>31848</v>
      </c>
      <c r="U54" s="2"/>
      <c r="V54" s="7">
        <f t="shared" si="34"/>
        <v>3.3698734498666782E-2</v>
      </c>
      <c r="W54" s="2"/>
      <c r="X54" s="6">
        <f t="shared" si="35"/>
        <v>2779.0899999999965</v>
      </c>
      <c r="Y54" s="2"/>
      <c r="Z54" s="7">
        <f t="shared" si="36"/>
        <v>8.7261052499371911E-2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417</v>
      </c>
      <c r="I55" s="2"/>
      <c r="J55" s="7">
        <f t="shared" si="30"/>
        <v>1.7484276729559749E-2</v>
      </c>
      <c r="K55" s="2"/>
      <c r="L55" s="6">
        <f t="shared" si="31"/>
        <v>-417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3753</v>
      </c>
      <c r="U55" s="2"/>
      <c r="V55" s="7">
        <f t="shared" si="34"/>
        <v>3.9710923942946627E-3</v>
      </c>
      <c r="W55" s="2"/>
      <c r="X55" s="6">
        <f t="shared" si="35"/>
        <v>-3753</v>
      </c>
      <c r="Y55" s="2"/>
      <c r="Z55" s="7">
        <f t="shared" si="36"/>
        <v>-1</v>
      </c>
    </row>
    <row r="56" spans="1:26" s="26" customFormat="1" outlineLevel="1" collapsed="1" x14ac:dyDescent="0.25">
      <c r="A56" s="25"/>
      <c r="B56" s="12" t="str">
        <f>CONCATENATE("     ","Employees' Appreciation                           ")</f>
        <v xml:space="preserve">     Employees' Appreciation                           </v>
      </c>
      <c r="C56" s="12"/>
      <c r="D56" s="1">
        <f>SUM(OSRRefD22_6x_0)</f>
        <v>0</v>
      </c>
      <c r="E56" s="1"/>
      <c r="F56" s="5">
        <f t="shared" ref="F56:F70" si="37">IF(D$12=0,0,D56/D$12)</f>
        <v>0</v>
      </c>
      <c r="G56" s="1"/>
      <c r="H56" s="1">
        <f>SUM(OSRRefH22_6x_0)</f>
        <v>25</v>
      </c>
      <c r="I56" s="1"/>
      <c r="J56" s="5">
        <f t="shared" ref="J56:J70" si="38">IF(H$12=0,0,H56/H$12)</f>
        <v>1.0482180293501049E-3</v>
      </c>
      <c r="K56" s="1"/>
      <c r="L56" s="1">
        <f t="shared" ref="L56:L70" si="39">+D56-H56</f>
        <v>-25</v>
      </c>
      <c r="M56" s="1"/>
      <c r="N56" s="5">
        <f t="shared" ref="N56:N70" si="40">IF(H56=0,0,L56/H56)</f>
        <v>-1</v>
      </c>
      <c r="O56" s="12"/>
      <c r="P56" s="1">
        <f>SUM(OSRRefP22_6x_0)</f>
        <v>146.37</v>
      </c>
      <c r="Q56" s="1"/>
      <c r="R56" s="5">
        <f t="shared" ref="R56:R70" si="41">IF(P$12=0,0,P56/P$12)</f>
        <v>2.2456793800728199E-4</v>
      </c>
      <c r="S56" s="1"/>
      <c r="T56" s="1">
        <f>SUM(OSRRefT22_6x_0)</f>
        <v>300</v>
      </c>
      <c r="U56" s="1"/>
      <c r="V56" s="5">
        <f t="shared" ref="V56:V70" si="42">IF(T$12=0,0,T56/T$12)</f>
        <v>3.1743344478774282E-4</v>
      </c>
      <c r="W56" s="1"/>
      <c r="X56" s="1">
        <f t="shared" ref="X56:X70" si="43">+P56-T56</f>
        <v>-153.63</v>
      </c>
      <c r="Y56" s="1"/>
      <c r="Z56" s="5">
        <f t="shared" ref="Z56:Z70" si="44">IF(T56=0,0,X56/T56)</f>
        <v>-0.5121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7"/>
        <v>0</v>
      </c>
      <c r="G57" s="2"/>
      <c r="H57" s="6">
        <v>25</v>
      </c>
      <c r="I57" s="2"/>
      <c r="J57" s="7">
        <f t="shared" si="38"/>
        <v>1.0482180293501049E-3</v>
      </c>
      <c r="K57" s="2"/>
      <c r="L57" s="6">
        <f t="shared" si="39"/>
        <v>-25</v>
      </c>
      <c r="M57" s="2"/>
      <c r="N57" s="7">
        <f t="shared" si="40"/>
        <v>-1</v>
      </c>
      <c r="O57" s="11"/>
      <c r="P57" s="6">
        <v>146.37</v>
      </c>
      <c r="Q57" s="2"/>
      <c r="R57" s="7">
        <f t="shared" si="41"/>
        <v>2.2456793800728199E-4</v>
      </c>
      <c r="S57" s="2"/>
      <c r="T57" s="6">
        <v>300</v>
      </c>
      <c r="U57" s="2"/>
      <c r="V57" s="7">
        <f t="shared" si="42"/>
        <v>3.1743344478774282E-4</v>
      </c>
      <c r="W57" s="2"/>
      <c r="X57" s="6">
        <f t="shared" si="43"/>
        <v>-153.63</v>
      </c>
      <c r="Y57" s="2"/>
      <c r="Z57" s="7">
        <f t="shared" si="44"/>
        <v>-0.5121</v>
      </c>
    </row>
    <row r="58" spans="1:26" s="26" customFormat="1" outlineLevel="1" collapsed="1" x14ac:dyDescent="0.25">
      <c r="A58" s="25"/>
      <c r="B58" s="12" t="str">
        <f>CONCATENATE("     ","Equipment Rental                                  ")</f>
        <v xml:space="preserve">     Equipment Rental                                  </v>
      </c>
      <c r="C58" s="12"/>
      <c r="D58" s="1">
        <f>SUM(OSRRefD22_7x_0)</f>
        <v>36.270000000000003</v>
      </c>
      <c r="E58" s="1"/>
      <c r="F58" s="5">
        <f t="shared" si="37"/>
        <v>0</v>
      </c>
      <c r="G58" s="1"/>
      <c r="H58" s="1">
        <f>SUM(OSRRefH22_7x_0)</f>
        <v>125</v>
      </c>
      <c r="I58" s="1"/>
      <c r="J58" s="5">
        <f t="shared" si="38"/>
        <v>5.2410901467505244E-3</v>
      </c>
      <c r="K58" s="1"/>
      <c r="L58" s="1">
        <f t="shared" si="39"/>
        <v>-88.72999999999999</v>
      </c>
      <c r="M58" s="1"/>
      <c r="N58" s="5">
        <f t="shared" si="40"/>
        <v>-0.70983999999999992</v>
      </c>
      <c r="O58" s="12"/>
      <c r="P58" s="1">
        <f>SUM(OSRRefP22_7x_0)</f>
        <v>1082.9000000000001</v>
      </c>
      <c r="Q58" s="1"/>
      <c r="R58" s="5">
        <f t="shared" si="41"/>
        <v>1.661437590135176E-3</v>
      </c>
      <c r="S58" s="1"/>
      <c r="T58" s="1">
        <f>SUM(OSRRefT22_7x_0)</f>
        <v>1500</v>
      </c>
      <c r="U58" s="1"/>
      <c r="V58" s="5">
        <f t="shared" si="42"/>
        <v>1.5871672239387141E-3</v>
      </c>
      <c r="W58" s="1"/>
      <c r="X58" s="1">
        <f t="shared" si="43"/>
        <v>-417.09999999999991</v>
      </c>
      <c r="Y58" s="1"/>
      <c r="Z58" s="5">
        <f t="shared" si="44"/>
        <v>-0.27806666666666663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36.270000000000003</v>
      </c>
      <c r="E59" s="2"/>
      <c r="F59" s="7">
        <f t="shared" si="37"/>
        <v>0</v>
      </c>
      <c r="G59" s="2"/>
      <c r="H59" s="6">
        <v>125</v>
      </c>
      <c r="I59" s="2"/>
      <c r="J59" s="7">
        <f t="shared" si="38"/>
        <v>5.2410901467505244E-3</v>
      </c>
      <c r="K59" s="2"/>
      <c r="L59" s="6">
        <f t="shared" si="39"/>
        <v>-88.72999999999999</v>
      </c>
      <c r="M59" s="2"/>
      <c r="N59" s="7">
        <f t="shared" si="40"/>
        <v>-0.70983999999999992</v>
      </c>
      <c r="O59" s="11"/>
      <c r="P59" s="6">
        <v>1082.9000000000001</v>
      </c>
      <c r="Q59" s="2"/>
      <c r="R59" s="7">
        <f t="shared" si="41"/>
        <v>1.661437590135176E-3</v>
      </c>
      <c r="S59" s="2"/>
      <c r="T59" s="6">
        <v>1500</v>
      </c>
      <c r="U59" s="2"/>
      <c r="V59" s="7">
        <f t="shared" si="42"/>
        <v>1.5871672239387141E-3</v>
      </c>
      <c r="W59" s="2"/>
      <c r="X59" s="6">
        <f t="shared" si="43"/>
        <v>-417.09999999999991</v>
      </c>
      <c r="Y59" s="2"/>
      <c r="Z59" s="7">
        <f t="shared" si="44"/>
        <v>-0.27806666666666663</v>
      </c>
    </row>
    <row r="60" spans="1:26" s="26" customFormat="1" outlineLevel="1" collapsed="1" x14ac:dyDescent="0.25">
      <c r="A60" s="25"/>
      <c r="B60" s="12" t="str">
        <f>CONCATENATE("     ","General                                           ")</f>
        <v xml:space="preserve">     General                                           </v>
      </c>
      <c r="C60" s="12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2"/>
      <c r="P60" s="1">
        <f>SUM(OSRRefP22_8x_0)</f>
        <v>1937.01</v>
      </c>
      <c r="Q60" s="1"/>
      <c r="R60" s="5">
        <f t="shared" si="41"/>
        <v>2.9718544893044016E-3</v>
      </c>
      <c r="S60" s="1"/>
      <c r="T60" s="1">
        <f>SUM(OSRRefT22_8x_0)</f>
        <v>1400</v>
      </c>
      <c r="U60" s="1"/>
      <c r="V60" s="5">
        <f t="shared" si="42"/>
        <v>1.4813560756761332E-3</v>
      </c>
      <c r="W60" s="1"/>
      <c r="X60" s="1">
        <f t="shared" si="43"/>
        <v>537.01</v>
      </c>
      <c r="Y60" s="1"/>
      <c r="Z60" s="5">
        <f t="shared" si="44"/>
        <v>0.38357857142857144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1937.01</v>
      </c>
      <c r="Q61" s="2"/>
      <c r="R61" s="7">
        <f t="shared" si="41"/>
        <v>2.9718544893044016E-3</v>
      </c>
      <c r="S61" s="2"/>
      <c r="T61" s="6">
        <v>1400</v>
      </c>
      <c r="U61" s="2"/>
      <c r="V61" s="7">
        <f t="shared" si="42"/>
        <v>1.4813560756761332E-3</v>
      </c>
      <c r="W61" s="2"/>
      <c r="X61" s="6">
        <f t="shared" si="43"/>
        <v>537.01</v>
      </c>
      <c r="Y61" s="2"/>
      <c r="Z61" s="7">
        <f t="shared" si="44"/>
        <v>0.38357857142857144</v>
      </c>
    </row>
    <row r="62" spans="1:26" s="26" customFormat="1" outlineLevel="1" collapsed="1" x14ac:dyDescent="0.25">
      <c r="A62" s="25"/>
      <c r="B62" s="12" t="str">
        <f>CONCATENATE("     ","Insurance                                         ")</f>
        <v xml:space="preserve">     Insurance                                         </v>
      </c>
      <c r="C62" s="12"/>
      <c r="D62" s="1">
        <f>SUM(OSRRefD22_9x_0)</f>
        <v>641.28</v>
      </c>
      <c r="E62" s="1"/>
      <c r="F62" s="5">
        <f t="shared" si="37"/>
        <v>0</v>
      </c>
      <c r="G62" s="1"/>
      <c r="H62" s="1">
        <f>SUM(OSRRefH22_9x_0)</f>
        <v>604</v>
      </c>
      <c r="I62" s="1"/>
      <c r="J62" s="5">
        <f t="shared" si="38"/>
        <v>2.5324947589098531E-2</v>
      </c>
      <c r="K62" s="1"/>
      <c r="L62" s="1">
        <f t="shared" si="39"/>
        <v>37.279999999999973</v>
      </c>
      <c r="M62" s="1"/>
      <c r="N62" s="5">
        <f t="shared" si="40"/>
        <v>6.1721854304635719E-2</v>
      </c>
      <c r="O62" s="12"/>
      <c r="P62" s="1">
        <f>SUM(OSRRefP22_9x_0)</f>
        <v>7695.36</v>
      </c>
      <c r="Q62" s="1"/>
      <c r="R62" s="5">
        <f t="shared" si="41"/>
        <v>1.1806593751613838E-2</v>
      </c>
      <c r="S62" s="1"/>
      <c r="T62" s="1">
        <f>SUM(OSRRefT22_9x_0)</f>
        <v>7248</v>
      </c>
      <c r="U62" s="1"/>
      <c r="V62" s="5">
        <f t="shared" si="42"/>
        <v>7.6691920260718669E-3</v>
      </c>
      <c r="W62" s="1"/>
      <c r="X62" s="1">
        <f t="shared" si="43"/>
        <v>447.35999999999967</v>
      </c>
      <c r="Y62" s="1"/>
      <c r="Z62" s="5">
        <f t="shared" si="44"/>
        <v>6.1721854304635719E-2</v>
      </c>
    </row>
    <row r="63" spans="1:26" s="24" customFormat="1" hidden="1" outlineLevel="2" x14ac:dyDescent="0.25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641.28</v>
      </c>
      <c r="E63" s="2"/>
      <c r="F63" s="7">
        <f t="shared" si="37"/>
        <v>0</v>
      </c>
      <c r="G63" s="2"/>
      <c r="H63" s="6">
        <v>604</v>
      </c>
      <c r="I63" s="2"/>
      <c r="J63" s="7">
        <f t="shared" si="38"/>
        <v>2.5324947589098531E-2</v>
      </c>
      <c r="K63" s="2"/>
      <c r="L63" s="6">
        <f t="shared" si="39"/>
        <v>37.279999999999973</v>
      </c>
      <c r="M63" s="2"/>
      <c r="N63" s="7">
        <f t="shared" si="40"/>
        <v>6.1721854304635719E-2</v>
      </c>
      <c r="O63" s="11"/>
      <c r="P63" s="6">
        <v>7695.36</v>
      </c>
      <c r="Q63" s="2"/>
      <c r="R63" s="7">
        <f t="shared" si="41"/>
        <v>1.1806593751613838E-2</v>
      </c>
      <c r="S63" s="2"/>
      <c r="T63" s="6">
        <v>7248</v>
      </c>
      <c r="U63" s="2"/>
      <c r="V63" s="7">
        <f t="shared" si="42"/>
        <v>7.6691920260718669E-3</v>
      </c>
      <c r="W63" s="2"/>
      <c r="X63" s="6">
        <f t="shared" si="43"/>
        <v>447.35999999999967</v>
      </c>
      <c r="Y63" s="2"/>
      <c r="Z63" s="7">
        <f t="shared" si="44"/>
        <v>6.1721854304635719E-2</v>
      </c>
    </row>
    <row r="64" spans="1:26" s="26" customFormat="1" outlineLevel="1" collapsed="1" x14ac:dyDescent="0.25">
      <c r="A64" s="25"/>
      <c r="B64" s="12" t="str">
        <f>CONCATENATE("     ","Interest                                          ")</f>
        <v xml:space="preserve">     Interest                                          </v>
      </c>
      <c r="C64" s="12"/>
      <c r="D64" s="1">
        <f>SUM(OSRRefD22_10x_0)</f>
        <v>7754</v>
      </c>
      <c r="E64" s="1"/>
      <c r="F64" s="5">
        <f t="shared" si="37"/>
        <v>0</v>
      </c>
      <c r="G64" s="1"/>
      <c r="H64" s="1">
        <f>SUM(OSRRefH22_10x_0)</f>
        <v>7510</v>
      </c>
      <c r="I64" s="1"/>
      <c r="J64" s="5">
        <f t="shared" si="38"/>
        <v>0.31488469601677149</v>
      </c>
      <c r="K64" s="1"/>
      <c r="L64" s="1">
        <f t="shared" si="39"/>
        <v>244</v>
      </c>
      <c r="M64" s="1"/>
      <c r="N64" s="5">
        <f t="shared" si="40"/>
        <v>3.2490013315579228E-2</v>
      </c>
      <c r="O64" s="12"/>
      <c r="P64" s="1">
        <f>SUM(OSRRefP22_10x_0)</f>
        <v>90704.280000000013</v>
      </c>
      <c r="Q64" s="1"/>
      <c r="R64" s="5">
        <f t="shared" si="41"/>
        <v>0.13916289627679956</v>
      </c>
      <c r="S64" s="1"/>
      <c r="T64" s="1">
        <f>SUM(OSRRefT22_10x_0)</f>
        <v>92560</v>
      </c>
      <c r="U64" s="1"/>
      <c r="V64" s="5">
        <f t="shared" si="42"/>
        <v>9.793879883184492E-2</v>
      </c>
      <c r="W64" s="1"/>
      <c r="X64" s="1">
        <f t="shared" si="43"/>
        <v>-1855.7199999999866</v>
      </c>
      <c r="Y64" s="1"/>
      <c r="Z64" s="5">
        <f t="shared" si="44"/>
        <v>-2.0048833189282484E-2</v>
      </c>
    </row>
    <row r="65" spans="1:26" s="24" customFormat="1" hidden="1" outlineLevel="2" x14ac:dyDescent="0.25">
      <c r="A65" s="27"/>
      <c r="B65" s="11" t="str">
        <f>CONCATENATE("          ", "6401", " - ", "INTEREST EXPENSE")</f>
        <v xml:space="preserve">          6401 - INTEREST EXPENSE</v>
      </c>
      <c r="C65" s="11"/>
      <c r="D65" s="6">
        <v>7754</v>
      </c>
      <c r="E65" s="2"/>
      <c r="F65" s="7">
        <f t="shared" si="37"/>
        <v>0</v>
      </c>
      <c r="G65" s="2"/>
      <c r="H65" s="6">
        <v>7510</v>
      </c>
      <c r="I65" s="2"/>
      <c r="J65" s="7">
        <f t="shared" si="38"/>
        <v>0.31488469601677149</v>
      </c>
      <c r="K65" s="2"/>
      <c r="L65" s="6">
        <f t="shared" si="39"/>
        <v>244</v>
      </c>
      <c r="M65" s="2"/>
      <c r="N65" s="7">
        <f t="shared" si="40"/>
        <v>3.2490013315579228E-2</v>
      </c>
      <c r="O65" s="11"/>
      <c r="P65" s="6">
        <v>90704.280000000013</v>
      </c>
      <c r="Q65" s="2"/>
      <c r="R65" s="7">
        <f t="shared" si="41"/>
        <v>0.13916289627679956</v>
      </c>
      <c r="S65" s="2"/>
      <c r="T65" s="6">
        <v>92560</v>
      </c>
      <c r="U65" s="2"/>
      <c r="V65" s="7">
        <f t="shared" si="42"/>
        <v>9.793879883184492E-2</v>
      </c>
      <c r="W65" s="2"/>
      <c r="X65" s="6">
        <f t="shared" si="43"/>
        <v>-1855.7199999999866</v>
      </c>
      <c r="Y65" s="2"/>
      <c r="Z65" s="7">
        <f t="shared" si="44"/>
        <v>-2.0048833189282484E-2</v>
      </c>
    </row>
    <row r="66" spans="1:26" s="26" customFormat="1" outlineLevel="1" collapsed="1" x14ac:dyDescent="0.25">
      <c r="A66" s="25"/>
      <c r="B66" s="12" t="str">
        <f>CONCATENATE("     ","Repair and Maintenance                            ")</f>
        <v xml:space="preserve">     Repair and Maintenance                            </v>
      </c>
      <c r="C66" s="12"/>
      <c r="D66" s="1">
        <f>SUM(OSRRefD22_11x_0)</f>
        <v>108.52</v>
      </c>
      <c r="E66" s="1"/>
      <c r="F66" s="5">
        <f t="shared" si="37"/>
        <v>0</v>
      </c>
      <c r="G66" s="1"/>
      <c r="H66" s="1">
        <f>SUM(OSRRefH22_11x_0)</f>
        <v>1200</v>
      </c>
      <c r="I66" s="1"/>
      <c r="J66" s="5">
        <f t="shared" si="38"/>
        <v>5.0314465408805034E-2</v>
      </c>
      <c r="K66" s="1"/>
      <c r="L66" s="1">
        <f t="shared" si="39"/>
        <v>-1091.48</v>
      </c>
      <c r="M66" s="1"/>
      <c r="N66" s="5">
        <f t="shared" si="40"/>
        <v>-0.90956666666666663</v>
      </c>
      <c r="O66" s="12"/>
      <c r="P66" s="1">
        <f>SUM(OSRRefP22_11x_0)</f>
        <v>24724.98</v>
      </c>
      <c r="Q66" s="1"/>
      <c r="R66" s="5">
        <f t="shared" si="41"/>
        <v>3.7934260954234383E-2</v>
      </c>
      <c r="S66" s="1"/>
      <c r="T66" s="1">
        <f>SUM(OSRRefT22_11x_0)</f>
        <v>16200</v>
      </c>
      <c r="U66" s="1"/>
      <c r="V66" s="5">
        <f t="shared" si="42"/>
        <v>1.7141406018538113E-2</v>
      </c>
      <c r="W66" s="1"/>
      <c r="X66" s="1">
        <f t="shared" si="43"/>
        <v>8524.98</v>
      </c>
      <c r="Y66" s="1"/>
      <c r="Z66" s="5">
        <f t="shared" si="44"/>
        <v>0.52623333333333333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2623.84</v>
      </c>
      <c r="Q67" s="2"/>
      <c r="R67" s="7">
        <f t="shared" si="41"/>
        <v>4.0256223164653058E-3</v>
      </c>
      <c r="S67" s="2"/>
      <c r="T67" s="6"/>
      <c r="U67" s="2"/>
      <c r="V67" s="7">
        <f t="shared" si="42"/>
        <v>0</v>
      </c>
      <c r="W67" s="2"/>
      <c r="X67" s="6">
        <f t="shared" si="43"/>
        <v>2623.84</v>
      </c>
      <c r="Y67" s="2"/>
      <c r="Z67" s="7">
        <f t="shared" si="44"/>
        <v>0</v>
      </c>
    </row>
    <row r="68" spans="1:26" s="24" customFormat="1" hidden="1" outlineLevel="2" x14ac:dyDescent="0.25">
      <c r="A68" s="27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37"/>
        <v>0</v>
      </c>
      <c r="G68" s="2"/>
      <c r="H68" s="6"/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>
        <v>-0.01</v>
      </c>
      <c r="Q68" s="2"/>
      <c r="R68" s="7">
        <f t="shared" si="41"/>
        <v>-1.5342483979454943E-8</v>
      </c>
      <c r="S68" s="2"/>
      <c r="T68" s="6"/>
      <c r="U68" s="2"/>
      <c r="V68" s="7">
        <f t="shared" si="42"/>
        <v>0</v>
      </c>
      <c r="W68" s="2"/>
      <c r="X68" s="6">
        <f t="shared" si="43"/>
        <v>-0.01</v>
      </c>
      <c r="Y68" s="2"/>
      <c r="Z68" s="7">
        <f t="shared" si="44"/>
        <v>0</v>
      </c>
    </row>
    <row r="69" spans="1:26" s="24" customFormat="1" hidden="1" outlineLevel="2" x14ac:dyDescent="0.25">
      <c r="A69" s="27"/>
      <c r="B69" s="11" t="str">
        <f>CONCATENATE("          ", "6373", " - ", "MAINTENANCE CONTRACTS")</f>
        <v xml:space="preserve">          6373 - MAINTENANCE CONTRACTS</v>
      </c>
      <c r="C69" s="11"/>
      <c r="D69" s="6">
        <v>108.52</v>
      </c>
      <c r="E69" s="2"/>
      <c r="F69" s="7">
        <f t="shared" si="37"/>
        <v>0</v>
      </c>
      <c r="G69" s="2"/>
      <c r="H69" s="6"/>
      <c r="I69" s="2"/>
      <c r="J69" s="7">
        <f t="shared" si="38"/>
        <v>0</v>
      </c>
      <c r="K69" s="2"/>
      <c r="L69" s="6">
        <f t="shared" si="39"/>
        <v>108.52</v>
      </c>
      <c r="M69" s="2"/>
      <c r="N69" s="7">
        <f t="shared" si="40"/>
        <v>0</v>
      </c>
      <c r="O69" s="11"/>
      <c r="P69" s="6">
        <v>3985.78</v>
      </c>
      <c r="Q69" s="2"/>
      <c r="R69" s="7">
        <f t="shared" si="41"/>
        <v>6.1151765795631925E-3</v>
      </c>
      <c r="S69" s="2"/>
      <c r="T69" s="6"/>
      <c r="U69" s="2"/>
      <c r="V69" s="7">
        <f t="shared" si="42"/>
        <v>0</v>
      </c>
      <c r="W69" s="2"/>
      <c r="X69" s="6">
        <f t="shared" si="43"/>
        <v>3985.78</v>
      </c>
      <c r="Y69" s="2"/>
      <c r="Z69" s="7">
        <f t="shared" si="44"/>
        <v>0</v>
      </c>
    </row>
    <row r="70" spans="1:26" s="24" customFormat="1" hidden="1" outlineLevel="2" x14ac:dyDescent="0.25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6"/>
      <c r="E70" s="2"/>
      <c r="F70" s="7">
        <f t="shared" si="37"/>
        <v>0</v>
      </c>
      <c r="G70" s="2"/>
      <c r="H70" s="6">
        <v>1200</v>
      </c>
      <c r="I70" s="2"/>
      <c r="J70" s="7">
        <f t="shared" si="38"/>
        <v>5.0314465408805034E-2</v>
      </c>
      <c r="K70" s="2"/>
      <c r="L70" s="6">
        <f t="shared" si="39"/>
        <v>-1200</v>
      </c>
      <c r="M70" s="2"/>
      <c r="N70" s="7">
        <f t="shared" si="40"/>
        <v>-1</v>
      </c>
      <c r="O70" s="11"/>
      <c r="P70" s="6">
        <v>18115.37</v>
      </c>
      <c r="Q70" s="2"/>
      <c r="R70" s="7">
        <f t="shared" si="41"/>
        <v>2.7793477400689867E-2</v>
      </c>
      <c r="S70" s="2"/>
      <c r="T70" s="6">
        <v>16200</v>
      </c>
      <c r="U70" s="2"/>
      <c r="V70" s="7">
        <f t="shared" si="42"/>
        <v>1.7141406018538113E-2</v>
      </c>
      <c r="W70" s="2"/>
      <c r="X70" s="6">
        <f t="shared" si="43"/>
        <v>1915.369999999999</v>
      </c>
      <c r="Y70" s="2"/>
      <c r="Z70" s="7">
        <f t="shared" si="44"/>
        <v>0.11823271604938265</v>
      </c>
    </row>
    <row r="71" spans="1:26" s="26" customFormat="1" outlineLevel="1" collapsed="1" x14ac:dyDescent="0.25">
      <c r="A71" s="25"/>
      <c r="B71" s="12" t="str">
        <f>CONCATENATE("     ","Services                                          ")</f>
        <v xml:space="preserve">     Services                                          </v>
      </c>
      <c r="C71" s="12"/>
      <c r="D71" s="1">
        <f>SUM(OSRRefD22_12x_0)</f>
        <v>5772.78</v>
      </c>
      <c r="E71" s="1"/>
      <c r="F71" s="5">
        <f t="shared" ref="F71:F76" si="45">IF(D$12=0,0,D71/D$12)</f>
        <v>0</v>
      </c>
      <c r="G71" s="1"/>
      <c r="H71" s="1">
        <f>SUM(OSRRefH22_12x_0)</f>
        <v>4035</v>
      </c>
      <c r="I71" s="1"/>
      <c r="J71" s="5">
        <f t="shared" ref="J71:J76" si="46">IF(H$12=0,0,H71/H$12)</f>
        <v>0.16918238993710691</v>
      </c>
      <c r="K71" s="1"/>
      <c r="L71" s="1">
        <f t="shared" ref="L71:L76" si="47">+D71-H71</f>
        <v>1737.7799999999997</v>
      </c>
      <c r="M71" s="1"/>
      <c r="N71" s="5">
        <f t="shared" ref="N71:N76" si="48">IF(H71=0,0,L71/H71)</f>
        <v>0.4306765799256505</v>
      </c>
      <c r="O71" s="12"/>
      <c r="P71" s="1">
        <f>SUM(OSRRefP22_12x_0)</f>
        <v>49703.85</v>
      </c>
      <c r="Q71" s="1"/>
      <c r="R71" s="5">
        <f t="shared" ref="R71:R76" si="49">IF(P$12=0,0,P71/P$12)</f>
        <v>7.6258052234223148E-2</v>
      </c>
      <c r="S71" s="1"/>
      <c r="T71" s="1">
        <f>SUM(OSRRefT22_12x_0)</f>
        <v>49020</v>
      </c>
      <c r="U71" s="1"/>
      <c r="V71" s="5">
        <f t="shared" ref="V71:V76" si="50">IF(T$12=0,0,T71/T$12)</f>
        <v>5.1868624878317178E-2</v>
      </c>
      <c r="W71" s="1"/>
      <c r="X71" s="1">
        <f t="shared" ref="X71:X76" si="51">+P71-T71</f>
        <v>683.84999999999854</v>
      </c>
      <c r="Y71" s="1"/>
      <c r="Z71" s="5">
        <f t="shared" ref="Z71:Z76" si="52">IF(T71=0,0,X71/T71)</f>
        <v>1.3950428396572798E-2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657.08</v>
      </c>
      <c r="E72" s="2"/>
      <c r="F72" s="7">
        <f t="shared" si="45"/>
        <v>0</v>
      </c>
      <c r="G72" s="2"/>
      <c r="H72" s="6">
        <v>350</v>
      </c>
      <c r="I72" s="2"/>
      <c r="J72" s="7">
        <f t="shared" si="46"/>
        <v>1.4675052410901468E-2</v>
      </c>
      <c r="K72" s="2"/>
      <c r="L72" s="6">
        <f t="shared" si="47"/>
        <v>307.08000000000004</v>
      </c>
      <c r="M72" s="2"/>
      <c r="N72" s="7">
        <f t="shared" si="48"/>
        <v>0.87737142857142869</v>
      </c>
      <c r="O72" s="11"/>
      <c r="P72" s="6">
        <v>3942.48</v>
      </c>
      <c r="Q72" s="2"/>
      <c r="R72" s="7">
        <f t="shared" si="49"/>
        <v>6.0487436239321521E-3</v>
      </c>
      <c r="S72" s="2"/>
      <c r="T72" s="6">
        <v>4200</v>
      </c>
      <c r="U72" s="2"/>
      <c r="V72" s="7">
        <f t="shared" si="50"/>
        <v>4.4440682270283994E-3</v>
      </c>
      <c r="W72" s="2"/>
      <c r="X72" s="6">
        <f t="shared" si="51"/>
        <v>-257.52</v>
      </c>
      <c r="Y72" s="2"/>
      <c r="Z72" s="7">
        <f t="shared" si="52"/>
        <v>-6.131428571428571E-2</v>
      </c>
    </row>
    <row r="73" spans="1:26" s="24" customFormat="1" hidden="1" outlineLevel="2" x14ac:dyDescent="0.25">
      <c r="A73" s="27"/>
      <c r="B73" s="11" t="str">
        <f>CONCATENATE("          ", "6283", " - ", "PLANT SERVICE")</f>
        <v xml:space="preserve">          6283 - PLANT SERVICE</v>
      </c>
      <c r="C73" s="11"/>
      <c r="D73" s="6"/>
      <c r="E73" s="2"/>
      <c r="F73" s="7">
        <f t="shared" si="45"/>
        <v>0</v>
      </c>
      <c r="G73" s="2"/>
      <c r="H73" s="6">
        <v>60</v>
      </c>
      <c r="I73" s="2"/>
      <c r="J73" s="7">
        <f t="shared" si="46"/>
        <v>2.5157232704402514E-3</v>
      </c>
      <c r="K73" s="2"/>
      <c r="L73" s="6">
        <f t="shared" si="47"/>
        <v>-60</v>
      </c>
      <c r="M73" s="2"/>
      <c r="N73" s="7">
        <f t="shared" si="48"/>
        <v>-1</v>
      </c>
      <c r="O73" s="11"/>
      <c r="P73" s="6">
        <v>553.95000000000005</v>
      </c>
      <c r="Q73" s="2"/>
      <c r="R73" s="7">
        <f t="shared" si="49"/>
        <v>8.4989690004190661E-4</v>
      </c>
      <c r="S73" s="2"/>
      <c r="T73" s="6">
        <v>720</v>
      </c>
      <c r="U73" s="2"/>
      <c r="V73" s="7">
        <f t="shared" si="50"/>
        <v>7.6184026749058281E-4</v>
      </c>
      <c r="W73" s="2"/>
      <c r="X73" s="6">
        <f t="shared" si="51"/>
        <v>-166.04999999999995</v>
      </c>
      <c r="Y73" s="2"/>
      <c r="Z73" s="7">
        <f t="shared" si="52"/>
        <v>-0.23062499999999994</v>
      </c>
    </row>
    <row r="74" spans="1:26" s="24" customFormat="1" hidden="1" outlineLevel="2" x14ac:dyDescent="0.25">
      <c r="A74" s="27"/>
      <c r="B74" s="11" t="str">
        <f>CONCATENATE("          ", "6284", " - ", "TRASH REMOVAL EXPENSE")</f>
        <v xml:space="preserve">          6284 - TRASH REMOVAL EXPENSE</v>
      </c>
      <c r="C74" s="11"/>
      <c r="D74" s="6">
        <v>761</v>
      </c>
      <c r="E74" s="2"/>
      <c r="F74" s="7">
        <f t="shared" si="45"/>
        <v>0</v>
      </c>
      <c r="G74" s="2"/>
      <c r="H74" s="6">
        <v>475</v>
      </c>
      <c r="I74" s="2"/>
      <c r="J74" s="7">
        <f t="shared" si="46"/>
        <v>1.9916142557651992E-2</v>
      </c>
      <c r="K74" s="2"/>
      <c r="L74" s="6">
        <f t="shared" si="47"/>
        <v>286</v>
      </c>
      <c r="M74" s="2"/>
      <c r="N74" s="7">
        <f t="shared" si="48"/>
        <v>0.6021052631578947</v>
      </c>
      <c r="O74" s="11"/>
      <c r="P74" s="6">
        <v>9124</v>
      </c>
      <c r="Q74" s="2"/>
      <c r="R74" s="7">
        <f t="shared" si="49"/>
        <v>1.399848238285469E-2</v>
      </c>
      <c r="S74" s="2"/>
      <c r="T74" s="6">
        <v>5700</v>
      </c>
      <c r="U74" s="2"/>
      <c r="V74" s="7">
        <f t="shared" si="50"/>
        <v>6.0312354509671137E-3</v>
      </c>
      <c r="W74" s="2"/>
      <c r="X74" s="6">
        <f t="shared" si="51"/>
        <v>3424</v>
      </c>
      <c r="Y74" s="2"/>
      <c r="Z74" s="7">
        <f t="shared" si="52"/>
        <v>0.60070175438596496</v>
      </c>
    </row>
    <row r="75" spans="1:26" s="24" customFormat="1" hidden="1" outlineLevel="2" x14ac:dyDescent="0.25">
      <c r="A75" s="27"/>
      <c r="B75" s="11" t="str">
        <f>CONCATENATE("          ", "6285", " - ", "JANITORIAL SERVICES")</f>
        <v xml:space="preserve">          6285 - JANITORIAL SERVICES</v>
      </c>
      <c r="C75" s="11"/>
      <c r="D75" s="6">
        <v>4354.7</v>
      </c>
      <c r="E75" s="2"/>
      <c r="F75" s="7">
        <f t="shared" si="45"/>
        <v>0</v>
      </c>
      <c r="G75" s="2"/>
      <c r="H75" s="6">
        <v>3000</v>
      </c>
      <c r="I75" s="2"/>
      <c r="J75" s="7">
        <f t="shared" si="46"/>
        <v>0.12578616352201258</v>
      </c>
      <c r="K75" s="2"/>
      <c r="L75" s="6">
        <f t="shared" si="47"/>
        <v>1354.6999999999998</v>
      </c>
      <c r="M75" s="2"/>
      <c r="N75" s="7">
        <f t="shared" si="48"/>
        <v>0.45156666666666662</v>
      </c>
      <c r="O75" s="11"/>
      <c r="P75" s="6">
        <v>34137</v>
      </c>
      <c r="Q75" s="2"/>
      <c r="R75" s="7">
        <f t="shared" si="49"/>
        <v>5.2374637560665335E-2</v>
      </c>
      <c r="S75" s="2"/>
      <c r="T75" s="6">
        <v>36000</v>
      </c>
      <c r="U75" s="2"/>
      <c r="V75" s="7">
        <f t="shared" si="50"/>
        <v>3.8092013374529138E-2</v>
      </c>
      <c r="W75" s="2"/>
      <c r="X75" s="6">
        <f t="shared" si="51"/>
        <v>-1863</v>
      </c>
      <c r="Y75" s="2"/>
      <c r="Z75" s="7">
        <f t="shared" si="52"/>
        <v>-5.1749999999999997E-2</v>
      </c>
    </row>
    <row r="76" spans="1:26" s="24" customFormat="1" hidden="1" outlineLevel="2" x14ac:dyDescent="0.25">
      <c r="A76" s="27"/>
      <c r="B76" s="11" t="str">
        <f>CONCATENATE("          ", "6286", " - ", "LAUNDRY EXPENSE")</f>
        <v xml:space="preserve">          6286 - LAUNDRY EXPENSE</v>
      </c>
      <c r="C76" s="11"/>
      <c r="D76" s="6"/>
      <c r="E76" s="2"/>
      <c r="F76" s="7">
        <f t="shared" si="45"/>
        <v>0</v>
      </c>
      <c r="G76" s="2"/>
      <c r="H76" s="6">
        <v>150</v>
      </c>
      <c r="I76" s="2"/>
      <c r="J76" s="7">
        <f t="shared" si="46"/>
        <v>6.2893081761006293E-3</v>
      </c>
      <c r="K76" s="2"/>
      <c r="L76" s="6">
        <f t="shared" si="47"/>
        <v>-150</v>
      </c>
      <c r="M76" s="2"/>
      <c r="N76" s="7">
        <f t="shared" si="48"/>
        <v>-1</v>
      </c>
      <c r="O76" s="11"/>
      <c r="P76" s="6">
        <v>1946.42</v>
      </c>
      <c r="Q76" s="2"/>
      <c r="R76" s="7">
        <f t="shared" si="49"/>
        <v>2.986291766729069E-3</v>
      </c>
      <c r="S76" s="2"/>
      <c r="T76" s="6">
        <v>2400</v>
      </c>
      <c r="U76" s="2"/>
      <c r="V76" s="7">
        <f t="shared" si="50"/>
        <v>2.5394675583019426E-3</v>
      </c>
      <c r="W76" s="2"/>
      <c r="X76" s="6">
        <f t="shared" si="51"/>
        <v>-453.57999999999993</v>
      </c>
      <c r="Y76" s="2"/>
      <c r="Z76" s="7">
        <f t="shared" si="52"/>
        <v>-0.18899166666666664</v>
      </c>
    </row>
    <row r="77" spans="1:26" s="26" customFormat="1" outlineLevel="1" collapsed="1" x14ac:dyDescent="0.25">
      <c r="A77" s="25"/>
      <c r="B77" s="12" t="str">
        <f>CONCATENATE("     ","Subscriptions &amp; Dues                              ")</f>
        <v xml:space="preserve">     Subscriptions &amp; Dues                              </v>
      </c>
      <c r="C77" s="12"/>
      <c r="D77" s="1">
        <f>SUM(OSRRefD22_13x_0)</f>
        <v>0</v>
      </c>
      <c r="E77" s="1"/>
      <c r="F77" s="5">
        <f t="shared" ref="F77:F79" si="53">IF(D$12=0,0,D77/D$12)</f>
        <v>0</v>
      </c>
      <c r="G77" s="1"/>
      <c r="H77" s="1">
        <f>SUM(OSRRefH22_13x_0)</f>
        <v>200</v>
      </c>
      <c r="I77" s="1"/>
      <c r="J77" s="5">
        <f t="shared" ref="J77:J79" si="54">IF(H$12=0,0,H77/H$12)</f>
        <v>8.385744234800839E-3</v>
      </c>
      <c r="K77" s="1"/>
      <c r="L77" s="1">
        <f t="shared" ref="L77:L79" si="55">+D77-H77</f>
        <v>-200</v>
      </c>
      <c r="M77" s="1"/>
      <c r="N77" s="5">
        <f t="shared" ref="N77:N79" si="56">IF(H77=0,0,L77/H77)</f>
        <v>-1</v>
      </c>
      <c r="O77" s="12"/>
      <c r="P77" s="1">
        <f>SUM(OSRRefP22_13x_0)</f>
        <v>2638.42</v>
      </c>
      <c r="Q77" s="1"/>
      <c r="R77" s="5">
        <f t="shared" ref="R77:R79" si="57">IF(P$12=0,0,P77/P$12)</f>
        <v>4.0479916581073506E-3</v>
      </c>
      <c r="S77" s="1"/>
      <c r="T77" s="1">
        <f>SUM(OSRRefT22_13x_0)</f>
        <v>2400</v>
      </c>
      <c r="U77" s="1"/>
      <c r="V77" s="5">
        <f t="shared" ref="V77:V79" si="58">IF(T$12=0,0,T77/T$12)</f>
        <v>2.5394675583019426E-3</v>
      </c>
      <c r="W77" s="1"/>
      <c r="X77" s="1">
        <f t="shared" ref="X77:X79" si="59">+P77-T77</f>
        <v>238.42000000000007</v>
      </c>
      <c r="Y77" s="1"/>
      <c r="Z77" s="5">
        <f t="shared" ref="Z77:Z79" si="60">IF(T77=0,0,X77/T77)</f>
        <v>9.9341666666666703E-2</v>
      </c>
    </row>
    <row r="78" spans="1:26" s="24" customFormat="1" hidden="1" outlineLevel="2" x14ac:dyDescent="0.25">
      <c r="A78" s="27"/>
      <c r="B78" s="11" t="str">
        <f>CONCATENATE("          ", "6258", " - ", "MEMBERSHIP DUES")</f>
        <v xml:space="preserve">          6258 - MEMBERSHIP DUES</v>
      </c>
      <c r="C78" s="11"/>
      <c r="D78" s="6"/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0</v>
      </c>
      <c r="M78" s="2"/>
      <c r="N78" s="7">
        <f t="shared" si="56"/>
        <v>0</v>
      </c>
      <c r="O78" s="11"/>
      <c r="P78" s="6">
        <v>978</v>
      </c>
      <c r="Q78" s="2"/>
      <c r="R78" s="7">
        <f t="shared" si="57"/>
        <v>1.5004949331906933E-3</v>
      </c>
      <c r="S78" s="2"/>
      <c r="T78" s="6"/>
      <c r="U78" s="2"/>
      <c r="V78" s="7">
        <f t="shared" si="58"/>
        <v>0</v>
      </c>
      <c r="W78" s="2"/>
      <c r="X78" s="6">
        <f t="shared" si="59"/>
        <v>978</v>
      </c>
      <c r="Y78" s="2"/>
      <c r="Z78" s="7">
        <f t="shared" si="60"/>
        <v>0</v>
      </c>
    </row>
    <row r="79" spans="1:26" s="24" customFormat="1" hidden="1" outlineLevel="2" x14ac:dyDescent="0.25">
      <c r="A79" s="27"/>
      <c r="B79" s="11" t="str">
        <f>CONCATENATE("          ", "6275", " - ", "SUBSCRIPTIONS")</f>
        <v xml:space="preserve">          6275 - SUBSCRIPTIONS</v>
      </c>
      <c r="C79" s="11"/>
      <c r="D79" s="6"/>
      <c r="E79" s="2"/>
      <c r="F79" s="7">
        <f t="shared" si="53"/>
        <v>0</v>
      </c>
      <c r="G79" s="2"/>
      <c r="H79" s="6">
        <v>200</v>
      </c>
      <c r="I79" s="2"/>
      <c r="J79" s="7">
        <f t="shared" si="54"/>
        <v>8.385744234800839E-3</v>
      </c>
      <c r="K79" s="2"/>
      <c r="L79" s="6">
        <f t="shared" si="55"/>
        <v>-200</v>
      </c>
      <c r="M79" s="2"/>
      <c r="N79" s="7">
        <f t="shared" si="56"/>
        <v>-1</v>
      </c>
      <c r="O79" s="11"/>
      <c r="P79" s="6">
        <v>1660.42</v>
      </c>
      <c r="Q79" s="2"/>
      <c r="R79" s="7">
        <f t="shared" si="57"/>
        <v>2.5474967249166577E-3</v>
      </c>
      <c r="S79" s="2"/>
      <c r="T79" s="6">
        <v>2400</v>
      </c>
      <c r="U79" s="2"/>
      <c r="V79" s="7">
        <f t="shared" si="58"/>
        <v>2.5394675583019426E-3</v>
      </c>
      <c r="W79" s="2"/>
      <c r="X79" s="6">
        <f t="shared" si="59"/>
        <v>-739.57999999999993</v>
      </c>
      <c r="Y79" s="2"/>
      <c r="Z79" s="7">
        <f t="shared" si="60"/>
        <v>-0.30815833333333331</v>
      </c>
    </row>
    <row r="80" spans="1:26" s="26" customFormat="1" outlineLevel="1" collapsed="1" x14ac:dyDescent="0.25">
      <c r="A80" s="25"/>
      <c r="B80" s="12" t="str">
        <f>CONCATENATE("     ","Supplies                                          ")</f>
        <v xml:space="preserve">     Supplies                                          </v>
      </c>
      <c r="C80" s="12"/>
      <c r="D80" s="1">
        <f>SUM(OSRRefD22_14x_0)</f>
        <v>-171.42</v>
      </c>
      <c r="E80" s="1"/>
      <c r="F80" s="5">
        <f t="shared" ref="F80:F89" si="61">IF(D$12=0,0,D80/D$12)</f>
        <v>0</v>
      </c>
      <c r="G80" s="1"/>
      <c r="H80" s="1">
        <f>SUM(OSRRefH22_14x_0)</f>
        <v>910</v>
      </c>
      <c r="I80" s="1"/>
      <c r="J80" s="5">
        <f t="shared" ref="J80:J89" si="62">IF(H$12=0,0,H80/H$12)</f>
        <v>3.8155136268343819E-2</v>
      </c>
      <c r="K80" s="1"/>
      <c r="L80" s="1">
        <f t="shared" ref="L80:L89" si="63">+D80-H80</f>
        <v>-1081.42</v>
      </c>
      <c r="M80" s="1"/>
      <c r="N80" s="5">
        <f t="shared" ref="N80:N89" si="64">IF(H80=0,0,L80/H80)</f>
        <v>-1.1883736263736264</v>
      </c>
      <c r="O80" s="12"/>
      <c r="P80" s="1">
        <f>SUM(OSRRefP22_14x_0)</f>
        <v>21603.140000000003</v>
      </c>
      <c r="Q80" s="1"/>
      <c r="R80" s="5">
        <f t="shared" ref="R80:R89" si="65">IF(P$12=0,0,P80/P$12)</f>
        <v>3.3144582935592228E-2</v>
      </c>
      <c r="S80" s="1"/>
      <c r="T80" s="1">
        <f>SUM(OSRRefT22_14x_0)</f>
        <v>19220</v>
      </c>
      <c r="U80" s="1"/>
      <c r="V80" s="5">
        <f t="shared" ref="V80:V89" si="66">IF(T$12=0,0,T80/T$12)</f>
        <v>2.0336902696068058E-2</v>
      </c>
      <c r="W80" s="1"/>
      <c r="X80" s="1">
        <f t="shared" ref="X80:X89" si="67">+P80-T80</f>
        <v>2383.1400000000031</v>
      </c>
      <c r="Y80" s="1"/>
      <c r="Z80" s="5">
        <f t="shared" ref="Z80:Z89" si="68">IF(T80=0,0,X80/T80)</f>
        <v>0.12399271592091587</v>
      </c>
    </row>
    <row r="81" spans="1:26" s="24" customFormat="1" hidden="1" outlineLevel="2" x14ac:dyDescent="0.25">
      <c r="A81" s="27"/>
      <c r="B81" s="11" t="str">
        <f>CONCATENATE("          ", "6234", " - ", "EXPENDABLE SUPPLIES &amp; EQUIPMEN")</f>
        <v xml:space="preserve">          6234 - EXPENDABLE SUPPLIES &amp; EQUIPMEN</v>
      </c>
      <c r="C81" s="11"/>
      <c r="D81" s="6"/>
      <c r="E81" s="2"/>
      <c r="F81" s="7">
        <f t="shared" si="61"/>
        <v>0</v>
      </c>
      <c r="G81" s="2"/>
      <c r="H81" s="6"/>
      <c r="I81" s="2"/>
      <c r="J81" s="7">
        <f t="shared" si="62"/>
        <v>0</v>
      </c>
      <c r="K81" s="2"/>
      <c r="L81" s="6">
        <f t="shared" si="63"/>
        <v>0</v>
      </c>
      <c r="M81" s="2"/>
      <c r="N81" s="7">
        <f t="shared" si="64"/>
        <v>0</v>
      </c>
      <c r="O81" s="11"/>
      <c r="P81" s="6">
        <v>1090.83</v>
      </c>
      <c r="Q81" s="2"/>
      <c r="R81" s="7">
        <f t="shared" si="65"/>
        <v>1.6736041799308833E-3</v>
      </c>
      <c r="S81" s="2"/>
      <c r="T81" s="6">
        <v>800</v>
      </c>
      <c r="U81" s="2"/>
      <c r="V81" s="7">
        <f t="shared" si="66"/>
        <v>8.4648918610064755E-4</v>
      </c>
      <c r="W81" s="2"/>
      <c r="X81" s="6">
        <f t="shared" si="67"/>
        <v>290.82999999999993</v>
      </c>
      <c r="Y81" s="2"/>
      <c r="Z81" s="7">
        <f t="shared" si="68"/>
        <v>0.3635374999999999</v>
      </c>
    </row>
    <row r="82" spans="1:26" s="24" customFormat="1" hidden="1" outlineLevel="2" x14ac:dyDescent="0.25">
      <c r="A82" s="27"/>
      <c r="B82" s="11" t="str">
        <f>CONCATENATE("          ", "6237", " - ", "JANITORIAL SUPPLIES")</f>
        <v xml:space="preserve">          6237 - JANITORIAL SUPPLIES</v>
      </c>
      <c r="C82" s="11"/>
      <c r="D82" s="6"/>
      <c r="E82" s="2"/>
      <c r="F82" s="7">
        <f t="shared" si="61"/>
        <v>0</v>
      </c>
      <c r="G82" s="2"/>
      <c r="H82" s="6">
        <v>250</v>
      </c>
      <c r="I82" s="2"/>
      <c r="J82" s="7">
        <f t="shared" si="62"/>
        <v>1.0482180293501049E-2</v>
      </c>
      <c r="K82" s="2"/>
      <c r="L82" s="6">
        <f t="shared" si="63"/>
        <v>-250</v>
      </c>
      <c r="M82" s="2"/>
      <c r="N82" s="7">
        <f t="shared" si="64"/>
        <v>-1</v>
      </c>
      <c r="O82" s="11"/>
      <c r="P82" s="6">
        <v>8948.91</v>
      </c>
      <c r="Q82" s="2"/>
      <c r="R82" s="7">
        <f t="shared" si="65"/>
        <v>1.3729850830858413E-2</v>
      </c>
      <c r="S82" s="2"/>
      <c r="T82" s="6">
        <v>4500</v>
      </c>
      <c r="U82" s="2"/>
      <c r="V82" s="7">
        <f t="shared" si="66"/>
        <v>4.7615016718161422E-3</v>
      </c>
      <c r="W82" s="2"/>
      <c r="X82" s="6">
        <f t="shared" si="67"/>
        <v>4448.91</v>
      </c>
      <c r="Y82" s="2"/>
      <c r="Z82" s="7">
        <f t="shared" si="68"/>
        <v>0.98864666666666667</v>
      </c>
    </row>
    <row r="83" spans="1:26" s="24" customFormat="1" hidden="1" outlineLevel="2" x14ac:dyDescent="0.25">
      <c r="A83" s="27"/>
      <c r="B83" s="11" t="str">
        <f>CONCATENATE("          ", "6239", " - ", "KITCHEN SUPPLIES")</f>
        <v xml:space="preserve">          6239 - KITCHEN SUPPLIES</v>
      </c>
      <c r="C83" s="11"/>
      <c r="D83" s="6"/>
      <c r="E83" s="2"/>
      <c r="F83" s="7">
        <f t="shared" si="61"/>
        <v>0</v>
      </c>
      <c r="G83" s="2"/>
      <c r="H83" s="6"/>
      <c r="I83" s="2"/>
      <c r="J83" s="7">
        <f t="shared" si="62"/>
        <v>0</v>
      </c>
      <c r="K83" s="2"/>
      <c r="L83" s="6">
        <f t="shared" si="63"/>
        <v>0</v>
      </c>
      <c r="M83" s="2"/>
      <c r="N83" s="7">
        <f t="shared" si="64"/>
        <v>0</v>
      </c>
      <c r="O83" s="11"/>
      <c r="P83" s="6">
        <v>425.78</v>
      </c>
      <c r="Q83" s="2"/>
      <c r="R83" s="7">
        <f t="shared" si="65"/>
        <v>6.5325228287723249E-4</v>
      </c>
      <c r="S83" s="2"/>
      <c r="T83" s="6">
        <v>850</v>
      </c>
      <c r="U83" s="2"/>
      <c r="V83" s="7">
        <f t="shared" si="66"/>
        <v>8.9939476023193803E-4</v>
      </c>
      <c r="W83" s="2"/>
      <c r="X83" s="6">
        <f t="shared" si="67"/>
        <v>-424.22</v>
      </c>
      <c r="Y83" s="2"/>
      <c r="Z83" s="7">
        <f t="shared" si="68"/>
        <v>-0.49908235294117648</v>
      </c>
    </row>
    <row r="84" spans="1:26" s="24" customFormat="1" hidden="1" outlineLevel="2" x14ac:dyDescent="0.25">
      <c r="A84" s="27"/>
      <c r="B84" s="11" t="str">
        <f>CONCATENATE("          ", "6241", " - ", "OFFICE EXPENSE")</f>
        <v xml:space="preserve">          6241 - OFFICE EXPENSE</v>
      </c>
      <c r="C84" s="11"/>
      <c r="D84" s="6">
        <v>-171.42</v>
      </c>
      <c r="E84" s="2"/>
      <c r="F84" s="7">
        <f t="shared" si="61"/>
        <v>0</v>
      </c>
      <c r="G84" s="2"/>
      <c r="H84" s="6">
        <v>100</v>
      </c>
      <c r="I84" s="2"/>
      <c r="J84" s="7">
        <f t="shared" si="62"/>
        <v>4.1928721174004195E-3</v>
      </c>
      <c r="K84" s="2"/>
      <c r="L84" s="6">
        <f t="shared" si="63"/>
        <v>-271.41999999999996</v>
      </c>
      <c r="M84" s="2"/>
      <c r="N84" s="7">
        <f t="shared" si="64"/>
        <v>-2.7141999999999995</v>
      </c>
      <c r="O84" s="11"/>
      <c r="P84" s="6">
        <v>5531.92</v>
      </c>
      <c r="Q84" s="2"/>
      <c r="R84" s="7">
        <f t="shared" si="65"/>
        <v>8.4873393975626391E-3</v>
      </c>
      <c r="S84" s="2"/>
      <c r="T84" s="6">
        <v>1350</v>
      </c>
      <c r="U84" s="2"/>
      <c r="V84" s="7">
        <f t="shared" si="66"/>
        <v>1.4284505015448427E-3</v>
      </c>
      <c r="W84" s="2"/>
      <c r="X84" s="6">
        <f t="shared" si="67"/>
        <v>4181.92</v>
      </c>
      <c r="Y84" s="2"/>
      <c r="Z84" s="7">
        <f t="shared" si="68"/>
        <v>3.0977185185185188</v>
      </c>
    </row>
    <row r="85" spans="1:26" s="24" customFormat="1" hidden="1" outlineLevel="2" x14ac:dyDescent="0.25">
      <c r="A85" s="27"/>
      <c r="B85" s="11" t="str">
        <f>CONCATENATE("          ", "6243", " - ", "PAPER SUPPLIES")</f>
        <v xml:space="preserve">          6243 - PAPER SUPPLIES</v>
      </c>
      <c r="C85" s="11"/>
      <c r="D85" s="6"/>
      <c r="E85" s="2"/>
      <c r="F85" s="7">
        <f t="shared" si="61"/>
        <v>0</v>
      </c>
      <c r="G85" s="2"/>
      <c r="H85" s="6">
        <v>500</v>
      </c>
      <c r="I85" s="2"/>
      <c r="J85" s="7">
        <f t="shared" si="62"/>
        <v>2.0964360587002098E-2</v>
      </c>
      <c r="K85" s="2"/>
      <c r="L85" s="6">
        <f t="shared" si="63"/>
        <v>-500</v>
      </c>
      <c r="M85" s="2"/>
      <c r="N85" s="7">
        <f t="shared" si="64"/>
        <v>-1</v>
      </c>
      <c r="O85" s="11"/>
      <c r="P85" s="6">
        <v>5123.8</v>
      </c>
      <c r="Q85" s="2"/>
      <c r="R85" s="7">
        <f t="shared" si="65"/>
        <v>7.8611819413931232E-3</v>
      </c>
      <c r="S85" s="2"/>
      <c r="T85" s="6">
        <v>9000</v>
      </c>
      <c r="U85" s="2"/>
      <c r="V85" s="7">
        <f t="shared" si="66"/>
        <v>9.5230033436322845E-3</v>
      </c>
      <c r="W85" s="2"/>
      <c r="X85" s="6">
        <f t="shared" si="67"/>
        <v>-3876.2</v>
      </c>
      <c r="Y85" s="2"/>
      <c r="Z85" s="7">
        <f t="shared" si="68"/>
        <v>-0.43068888888888884</v>
      </c>
    </row>
    <row r="86" spans="1:26" s="24" customFormat="1" hidden="1" outlineLevel="2" x14ac:dyDescent="0.25">
      <c r="A86" s="27"/>
      <c r="B86" s="11" t="str">
        <f>CONCATENATE("          ", "6244", " - ", "SAFETY SUPPLY EXPENSE")</f>
        <v xml:space="preserve">          6244 - SAFETY SUPPLY EXPENSE</v>
      </c>
      <c r="C86" s="11"/>
      <c r="D86" s="6"/>
      <c r="E86" s="2"/>
      <c r="F86" s="7">
        <f t="shared" si="61"/>
        <v>0</v>
      </c>
      <c r="G86" s="2"/>
      <c r="H86" s="6">
        <v>60</v>
      </c>
      <c r="I86" s="2"/>
      <c r="J86" s="7">
        <f t="shared" si="62"/>
        <v>2.5157232704402514E-3</v>
      </c>
      <c r="K86" s="2"/>
      <c r="L86" s="6">
        <f t="shared" si="63"/>
        <v>-60</v>
      </c>
      <c r="M86" s="2"/>
      <c r="N86" s="7">
        <f t="shared" si="64"/>
        <v>-1</v>
      </c>
      <c r="O86" s="11"/>
      <c r="P86" s="6"/>
      <c r="Q86" s="2"/>
      <c r="R86" s="7">
        <f t="shared" si="65"/>
        <v>0</v>
      </c>
      <c r="S86" s="2"/>
      <c r="T86" s="6">
        <v>720</v>
      </c>
      <c r="U86" s="2"/>
      <c r="V86" s="7">
        <f t="shared" si="66"/>
        <v>7.6184026749058281E-4</v>
      </c>
      <c r="W86" s="2"/>
      <c r="X86" s="6">
        <f t="shared" si="67"/>
        <v>-720</v>
      </c>
      <c r="Y86" s="2"/>
      <c r="Z86" s="7">
        <f t="shared" si="68"/>
        <v>-1</v>
      </c>
    </row>
    <row r="87" spans="1:26" s="24" customFormat="1" hidden="1" outlineLevel="2" x14ac:dyDescent="0.25">
      <c r="A87" s="27"/>
      <c r="B87" s="11" t="str">
        <f>CONCATENATE("          ", "6246", " - ", "REPLACEMENTS")</f>
        <v xml:space="preserve">          6246 - REPLACEMENTS</v>
      </c>
      <c r="C87" s="11"/>
      <c r="D87" s="6"/>
      <c r="E87" s="2"/>
      <c r="F87" s="7">
        <f t="shared" si="61"/>
        <v>0</v>
      </c>
      <c r="G87" s="2"/>
      <c r="H87" s="6"/>
      <c r="I87" s="2"/>
      <c r="J87" s="7">
        <f t="shared" si="62"/>
        <v>0</v>
      </c>
      <c r="K87" s="2"/>
      <c r="L87" s="6">
        <f t="shared" si="63"/>
        <v>0</v>
      </c>
      <c r="M87" s="2"/>
      <c r="N87" s="7">
        <f t="shared" si="64"/>
        <v>0</v>
      </c>
      <c r="O87" s="11"/>
      <c r="P87" s="6">
        <v>25.87</v>
      </c>
      <c r="Q87" s="2"/>
      <c r="R87" s="7">
        <f t="shared" si="65"/>
        <v>3.9691006054849937E-5</v>
      </c>
      <c r="S87" s="2"/>
      <c r="T87" s="6"/>
      <c r="U87" s="2"/>
      <c r="V87" s="7">
        <f t="shared" si="66"/>
        <v>0</v>
      </c>
      <c r="W87" s="2"/>
      <c r="X87" s="6">
        <f t="shared" si="67"/>
        <v>25.87</v>
      </c>
      <c r="Y87" s="2"/>
      <c r="Z87" s="7">
        <f t="shared" si="68"/>
        <v>0</v>
      </c>
    </row>
    <row r="88" spans="1:26" s="24" customFormat="1" hidden="1" outlineLevel="2" x14ac:dyDescent="0.25">
      <c r="A88" s="27"/>
      <c r="B88" s="11" t="str">
        <f>CONCATENATE("          ", "6247", " - ", "STORE SUPPLIES")</f>
        <v xml:space="preserve">          6247 - STORE SUPPLIES</v>
      </c>
      <c r="C88" s="11"/>
      <c r="D88" s="6"/>
      <c r="E88" s="2"/>
      <c r="F88" s="7">
        <f t="shared" si="61"/>
        <v>0</v>
      </c>
      <c r="G88" s="2"/>
      <c r="H88" s="6"/>
      <c r="I88" s="2"/>
      <c r="J88" s="7">
        <f t="shared" si="62"/>
        <v>0</v>
      </c>
      <c r="K88" s="2"/>
      <c r="L88" s="6">
        <f t="shared" si="63"/>
        <v>0</v>
      </c>
      <c r="M88" s="2"/>
      <c r="N88" s="7">
        <f t="shared" si="64"/>
        <v>0</v>
      </c>
      <c r="O88" s="11"/>
      <c r="P88" s="6">
        <v>440.56</v>
      </c>
      <c r="Q88" s="2"/>
      <c r="R88" s="7">
        <f t="shared" si="65"/>
        <v>6.7592847419886692E-4</v>
      </c>
      <c r="S88" s="2"/>
      <c r="T88" s="6">
        <v>400</v>
      </c>
      <c r="U88" s="2"/>
      <c r="V88" s="7">
        <f t="shared" si="66"/>
        <v>4.2324459305032378E-4</v>
      </c>
      <c r="W88" s="2"/>
      <c r="X88" s="6">
        <f t="shared" si="67"/>
        <v>40.56</v>
      </c>
      <c r="Y88" s="2"/>
      <c r="Z88" s="7">
        <f t="shared" si="68"/>
        <v>0.1014</v>
      </c>
    </row>
    <row r="89" spans="1:26" s="24" customFormat="1" hidden="1" outlineLevel="2" x14ac:dyDescent="0.25">
      <c r="A89" s="27"/>
      <c r="B89" s="11" t="str">
        <f>CONCATENATE("          ", "6248", " - ", "UNIFORMS")</f>
        <v xml:space="preserve">          6248 - UNIFORMS</v>
      </c>
      <c r="C89" s="11"/>
      <c r="D89" s="6"/>
      <c r="E89" s="2"/>
      <c r="F89" s="7">
        <f t="shared" si="61"/>
        <v>0</v>
      </c>
      <c r="G89" s="2"/>
      <c r="H89" s="6"/>
      <c r="I89" s="2"/>
      <c r="J89" s="7">
        <f t="shared" si="62"/>
        <v>0</v>
      </c>
      <c r="K89" s="2"/>
      <c r="L89" s="6">
        <f t="shared" si="63"/>
        <v>0</v>
      </c>
      <c r="M89" s="2"/>
      <c r="N89" s="7">
        <f t="shared" si="64"/>
        <v>0</v>
      </c>
      <c r="O89" s="11"/>
      <c r="P89" s="6">
        <v>15.47</v>
      </c>
      <c r="Q89" s="2"/>
      <c r="R89" s="7">
        <f t="shared" si="65"/>
        <v>2.3734822716216798E-5</v>
      </c>
      <c r="S89" s="2"/>
      <c r="T89" s="6">
        <v>1600</v>
      </c>
      <c r="U89" s="2"/>
      <c r="V89" s="7">
        <f t="shared" si="66"/>
        <v>1.6929783722012951E-3</v>
      </c>
      <c r="W89" s="2"/>
      <c r="X89" s="6">
        <f t="shared" si="67"/>
        <v>-1584.53</v>
      </c>
      <c r="Y89" s="2"/>
      <c r="Z89" s="7">
        <f t="shared" si="68"/>
        <v>-0.99033125</v>
      </c>
    </row>
    <row r="90" spans="1:26" s="26" customFormat="1" outlineLevel="1" collapsed="1" x14ac:dyDescent="0.25">
      <c r="A90" s="25"/>
      <c r="B90" s="12" t="str">
        <f>CONCATENATE("     ","Telephone/Data Lines                              ")</f>
        <v xml:space="preserve">     Telephone/Data Lines                              </v>
      </c>
      <c r="C90" s="12"/>
      <c r="D90" s="1">
        <f>SUM(OSRRefD22_15x_0)</f>
        <v>64</v>
      </c>
      <c r="E90" s="1"/>
      <c r="F90" s="5">
        <f t="shared" ref="F90:F96" si="69">IF(D$12=0,0,D90/D$12)</f>
        <v>0</v>
      </c>
      <c r="G90" s="1"/>
      <c r="H90" s="1">
        <f>SUM(OSRRefH22_15x_0)</f>
        <v>150</v>
      </c>
      <c r="I90" s="1"/>
      <c r="J90" s="5">
        <f t="shared" ref="J90:J96" si="70">IF(H$12=0,0,H90/H$12)</f>
        <v>6.2893081761006293E-3</v>
      </c>
      <c r="K90" s="1"/>
      <c r="L90" s="1">
        <f t="shared" ref="L90:L96" si="71">+D90-H90</f>
        <v>-86</v>
      </c>
      <c r="M90" s="1"/>
      <c r="N90" s="5">
        <f t="shared" ref="N90:N96" si="72">IF(H90=0,0,L90/H90)</f>
        <v>-0.57333333333333336</v>
      </c>
      <c r="O90" s="12"/>
      <c r="P90" s="1">
        <f>SUM(OSRRefP22_15x_0)</f>
        <v>1652.64</v>
      </c>
      <c r="Q90" s="1"/>
      <c r="R90" s="5">
        <f t="shared" ref="R90:R96" si="73">IF(P$12=0,0,P90/P$12)</f>
        <v>2.5355602723806415E-3</v>
      </c>
      <c r="S90" s="1"/>
      <c r="T90" s="1">
        <f>SUM(OSRRefT22_15x_0)</f>
        <v>1800</v>
      </c>
      <c r="U90" s="1"/>
      <c r="V90" s="5">
        <f t="shared" ref="V90:V96" si="74">IF(T$12=0,0,T90/T$12)</f>
        <v>1.904600668726457E-3</v>
      </c>
      <c r="W90" s="1"/>
      <c r="X90" s="1">
        <f t="shared" ref="X90:X96" si="75">+P90-T90</f>
        <v>-147.3599999999999</v>
      </c>
      <c r="Y90" s="1"/>
      <c r="Z90" s="5">
        <f t="shared" ref="Z90:Z96" si="76">IF(T90=0,0,X90/T90)</f>
        <v>-8.1866666666666615E-2</v>
      </c>
    </row>
    <row r="91" spans="1:26" s="24" customFormat="1" hidden="1" outlineLevel="2" x14ac:dyDescent="0.25">
      <c r="A91" s="27"/>
      <c r="B91" s="11" t="str">
        <f>CONCATENATE("          ", "6309", " - ", "TELEPHONE")</f>
        <v xml:space="preserve">          6309 - TELEPHONE</v>
      </c>
      <c r="C91" s="11"/>
      <c r="D91" s="6">
        <v>64</v>
      </c>
      <c r="E91" s="2"/>
      <c r="F91" s="7">
        <f t="shared" si="69"/>
        <v>0</v>
      </c>
      <c r="G91" s="2"/>
      <c r="H91" s="6">
        <v>150</v>
      </c>
      <c r="I91" s="2"/>
      <c r="J91" s="7">
        <f t="shared" si="70"/>
        <v>6.2893081761006293E-3</v>
      </c>
      <c r="K91" s="2"/>
      <c r="L91" s="6">
        <f t="shared" si="71"/>
        <v>-86</v>
      </c>
      <c r="M91" s="2"/>
      <c r="N91" s="7">
        <f t="shared" si="72"/>
        <v>-0.57333333333333336</v>
      </c>
      <c r="O91" s="11"/>
      <c r="P91" s="6">
        <v>1652.64</v>
      </c>
      <c r="Q91" s="2"/>
      <c r="R91" s="7">
        <f t="shared" si="73"/>
        <v>2.5355602723806415E-3</v>
      </c>
      <c r="S91" s="2"/>
      <c r="T91" s="6">
        <v>1800</v>
      </c>
      <c r="U91" s="2"/>
      <c r="V91" s="7">
        <f t="shared" si="74"/>
        <v>1.904600668726457E-3</v>
      </c>
      <c r="W91" s="2"/>
      <c r="X91" s="6">
        <f t="shared" si="75"/>
        <v>-147.3599999999999</v>
      </c>
      <c r="Y91" s="2"/>
      <c r="Z91" s="7">
        <f t="shared" si="76"/>
        <v>-8.1866666666666615E-2</v>
      </c>
    </row>
    <row r="92" spans="1:26" s="26" customFormat="1" outlineLevel="1" collapsed="1" x14ac:dyDescent="0.25">
      <c r="A92" s="25"/>
      <c r="B92" s="12" t="str">
        <f>CONCATENATE("     ","Training                                          ")</f>
        <v xml:space="preserve">     Training                                          </v>
      </c>
      <c r="C92" s="12"/>
      <c r="D92" s="1">
        <f>SUM(OSRRefD22_16x_0)</f>
        <v>0</v>
      </c>
      <c r="E92" s="1"/>
      <c r="F92" s="5">
        <f t="shared" si="69"/>
        <v>0</v>
      </c>
      <c r="G92" s="1"/>
      <c r="H92" s="1">
        <f>SUM(OSRRefH22_16x_0)</f>
        <v>0</v>
      </c>
      <c r="I92" s="1"/>
      <c r="J92" s="5">
        <f t="shared" si="70"/>
        <v>0</v>
      </c>
      <c r="K92" s="1"/>
      <c r="L92" s="1">
        <f t="shared" si="71"/>
        <v>0</v>
      </c>
      <c r="M92" s="1"/>
      <c r="N92" s="5">
        <f t="shared" si="72"/>
        <v>0</v>
      </c>
      <c r="O92" s="12"/>
      <c r="P92" s="1">
        <f>SUM(OSRRefP22_16x_0)</f>
        <v>185</v>
      </c>
      <c r="Q92" s="1"/>
      <c r="R92" s="5">
        <f t="shared" si="73"/>
        <v>2.8383595361991645E-4</v>
      </c>
      <c r="S92" s="1"/>
      <c r="T92" s="1">
        <f>SUM(OSRRefT22_16x_0)</f>
        <v>0</v>
      </c>
      <c r="U92" s="1"/>
      <c r="V92" s="5">
        <f t="shared" si="74"/>
        <v>0</v>
      </c>
      <c r="W92" s="1"/>
      <c r="X92" s="1">
        <f t="shared" si="75"/>
        <v>185</v>
      </c>
      <c r="Y92" s="1"/>
      <c r="Z92" s="5">
        <f t="shared" si="76"/>
        <v>0</v>
      </c>
    </row>
    <row r="93" spans="1:26" s="24" customFormat="1" hidden="1" outlineLevel="2" x14ac:dyDescent="0.25">
      <c r="A93" s="27"/>
      <c r="B93" s="11" t="str">
        <f>CONCATENATE("          ", "6376", " - ", "TRAINING")</f>
        <v xml:space="preserve">          6376 - TRAINING</v>
      </c>
      <c r="C93" s="11"/>
      <c r="D93" s="6"/>
      <c r="E93" s="2"/>
      <c r="F93" s="7">
        <f t="shared" si="69"/>
        <v>0</v>
      </c>
      <c r="G93" s="2"/>
      <c r="H93" s="6"/>
      <c r="I93" s="2"/>
      <c r="J93" s="7">
        <f t="shared" si="70"/>
        <v>0</v>
      </c>
      <c r="K93" s="2"/>
      <c r="L93" s="6">
        <f t="shared" si="71"/>
        <v>0</v>
      </c>
      <c r="M93" s="2"/>
      <c r="N93" s="7">
        <f t="shared" si="72"/>
        <v>0</v>
      </c>
      <c r="O93" s="11"/>
      <c r="P93" s="6">
        <v>185</v>
      </c>
      <c r="Q93" s="2"/>
      <c r="R93" s="7">
        <f t="shared" si="73"/>
        <v>2.8383595361991645E-4</v>
      </c>
      <c r="S93" s="2"/>
      <c r="T93" s="6"/>
      <c r="U93" s="2"/>
      <c r="V93" s="7">
        <f t="shared" si="74"/>
        <v>0</v>
      </c>
      <c r="W93" s="2"/>
      <c r="X93" s="6">
        <f t="shared" si="75"/>
        <v>185</v>
      </c>
      <c r="Y93" s="2"/>
      <c r="Z93" s="7">
        <f t="shared" si="76"/>
        <v>0</v>
      </c>
    </row>
    <row r="94" spans="1:26" s="26" customFormat="1" outlineLevel="1" collapsed="1" x14ac:dyDescent="0.25">
      <c r="A94" s="25"/>
      <c r="B94" s="12" t="str">
        <f>CONCATENATE("     ","Travel                                            ")</f>
        <v xml:space="preserve">     Travel                                            </v>
      </c>
      <c r="C94" s="12"/>
      <c r="D94" s="1">
        <f>SUM(OSRRefD22_17x_0)</f>
        <v>0</v>
      </c>
      <c r="E94" s="1"/>
      <c r="F94" s="5">
        <f t="shared" si="69"/>
        <v>0</v>
      </c>
      <c r="G94" s="1"/>
      <c r="H94" s="1">
        <f>SUM(OSRRefH22_17x_0)</f>
        <v>0</v>
      </c>
      <c r="I94" s="1"/>
      <c r="J94" s="5">
        <f t="shared" si="70"/>
        <v>0</v>
      </c>
      <c r="K94" s="1"/>
      <c r="L94" s="1">
        <f t="shared" si="71"/>
        <v>0</v>
      </c>
      <c r="M94" s="1"/>
      <c r="N94" s="5">
        <f t="shared" si="72"/>
        <v>0</v>
      </c>
      <c r="O94" s="12"/>
      <c r="P94" s="1">
        <f>SUM(OSRRefP22_17x_0)</f>
        <v>0</v>
      </c>
      <c r="Q94" s="1"/>
      <c r="R94" s="5">
        <f t="shared" si="73"/>
        <v>0</v>
      </c>
      <c r="S94" s="1"/>
      <c r="T94" s="1">
        <f>SUM(OSRRefT22_17x_0)</f>
        <v>2400</v>
      </c>
      <c r="U94" s="1"/>
      <c r="V94" s="5">
        <f t="shared" si="74"/>
        <v>2.5394675583019426E-3</v>
      </c>
      <c r="W94" s="1"/>
      <c r="X94" s="1">
        <f t="shared" si="75"/>
        <v>-2400</v>
      </c>
      <c r="Y94" s="1"/>
      <c r="Z94" s="5">
        <f t="shared" si="76"/>
        <v>-1</v>
      </c>
    </row>
    <row r="95" spans="1:26" s="24" customFormat="1" hidden="1" outlineLevel="2" x14ac:dyDescent="0.25">
      <c r="A95" s="27"/>
      <c r="B95" s="11" t="str">
        <f>CONCATENATE("          ", "6292", " - ", "TRAVEL/CONFERENCE")</f>
        <v xml:space="preserve">          6292 - TRAVEL/CONFERENCE</v>
      </c>
      <c r="C95" s="11"/>
      <c r="D95" s="6"/>
      <c r="E95" s="2"/>
      <c r="F95" s="7">
        <f t="shared" si="69"/>
        <v>0</v>
      </c>
      <c r="G95" s="2"/>
      <c r="H95" s="6"/>
      <c r="I95" s="2"/>
      <c r="J95" s="7">
        <f t="shared" si="70"/>
        <v>0</v>
      </c>
      <c r="K95" s="2"/>
      <c r="L95" s="6">
        <f t="shared" si="71"/>
        <v>0</v>
      </c>
      <c r="M95" s="2"/>
      <c r="N95" s="7">
        <f t="shared" si="72"/>
        <v>0</v>
      </c>
      <c r="O95" s="11"/>
      <c r="P95" s="6"/>
      <c r="Q95" s="2"/>
      <c r="R95" s="7">
        <f t="shared" si="73"/>
        <v>0</v>
      </c>
      <c r="S95" s="2"/>
      <c r="T95" s="6">
        <v>2400</v>
      </c>
      <c r="U95" s="2"/>
      <c r="V95" s="7">
        <f t="shared" si="74"/>
        <v>2.5394675583019426E-3</v>
      </c>
      <c r="W95" s="2"/>
      <c r="X95" s="6">
        <f t="shared" si="75"/>
        <v>-2400</v>
      </c>
      <c r="Y95" s="2"/>
      <c r="Z95" s="7">
        <f t="shared" si="76"/>
        <v>-1</v>
      </c>
    </row>
    <row r="96" spans="1:26" s="24" customFormat="1" hidden="1" outlineLevel="2" x14ac:dyDescent="0.25">
      <c r="A96" s="27"/>
      <c r="B96" s="11" t="str">
        <f>CONCATENATE("          ", "6298", " - ", "VEHICLE MILEAGE")</f>
        <v xml:space="preserve">          6298 - VEHICLE MILEAGE</v>
      </c>
      <c r="C96" s="11"/>
      <c r="D96" s="6"/>
      <c r="E96" s="2"/>
      <c r="F96" s="7">
        <f t="shared" si="69"/>
        <v>0</v>
      </c>
      <c r="G96" s="2"/>
      <c r="H96" s="6">
        <v>0</v>
      </c>
      <c r="I96" s="2"/>
      <c r="J96" s="7">
        <f t="shared" si="70"/>
        <v>0</v>
      </c>
      <c r="K96" s="2"/>
      <c r="L96" s="6">
        <f t="shared" si="71"/>
        <v>0</v>
      </c>
      <c r="M96" s="2"/>
      <c r="N96" s="7">
        <f t="shared" si="72"/>
        <v>0</v>
      </c>
      <c r="O96" s="11"/>
      <c r="P96" s="6"/>
      <c r="Q96" s="2"/>
      <c r="R96" s="7">
        <f t="shared" si="73"/>
        <v>0</v>
      </c>
      <c r="S96" s="2"/>
      <c r="T96" s="6">
        <v>0</v>
      </c>
      <c r="U96" s="2"/>
      <c r="V96" s="7">
        <f t="shared" si="74"/>
        <v>0</v>
      </c>
      <c r="W96" s="2"/>
      <c r="X96" s="6">
        <f t="shared" si="75"/>
        <v>0</v>
      </c>
      <c r="Y96" s="2"/>
      <c r="Z96" s="7">
        <f t="shared" si="76"/>
        <v>0</v>
      </c>
    </row>
    <row r="97" spans="1:26" s="26" customFormat="1" outlineLevel="1" collapsed="1" x14ac:dyDescent="0.25">
      <c r="A97" s="25"/>
      <c r="B97" s="12" t="str">
        <f>CONCATENATE("     ","Utilities                                         ")</f>
        <v xml:space="preserve">     Utilities                                         </v>
      </c>
      <c r="C97" s="12"/>
      <c r="D97" s="1">
        <f>SUM(OSRRefD22_18x_0)</f>
        <v>2312</v>
      </c>
      <c r="E97" s="1"/>
      <c r="F97" s="5">
        <f t="shared" ref="F97:F98" si="77">IF(D$12=0,0,D97/D$12)</f>
        <v>0</v>
      </c>
      <c r="G97" s="1"/>
      <c r="H97" s="1">
        <f>SUM(OSRRefH22_18x_0)</f>
        <v>2100</v>
      </c>
      <c r="I97" s="1"/>
      <c r="J97" s="5">
        <f t="shared" ref="J97:J98" si="78">IF(H$12=0,0,H97/H$12)</f>
        <v>8.8050314465408799E-2</v>
      </c>
      <c r="K97" s="1"/>
      <c r="L97" s="1">
        <f t="shared" ref="L97:L98" si="79">+D97-H97</f>
        <v>212</v>
      </c>
      <c r="M97" s="1"/>
      <c r="N97" s="5">
        <f t="shared" ref="N97:N98" si="80">IF(H97=0,0,L97/H97)</f>
        <v>0.10095238095238095</v>
      </c>
      <c r="O97" s="12"/>
      <c r="P97" s="1">
        <f>SUM(OSRRefP22_18x_0)</f>
        <v>27084</v>
      </c>
      <c r="Q97" s="1"/>
      <c r="R97" s="5">
        <f t="shared" ref="R97:R98" si="81">IF(P$12=0,0,P97/P$12)</f>
        <v>4.1553583609955765E-2</v>
      </c>
      <c r="S97" s="1"/>
      <c r="T97" s="1">
        <f>SUM(OSRRefT22_18x_0)</f>
        <v>25200</v>
      </c>
      <c r="U97" s="1"/>
      <c r="V97" s="5">
        <f t="shared" ref="V97:V98" si="82">IF(T$12=0,0,T97/T$12)</f>
        <v>2.6664409362170398E-2</v>
      </c>
      <c r="W97" s="1"/>
      <c r="X97" s="1">
        <f t="shared" ref="X97:X98" si="83">+P97-T97</f>
        <v>1884</v>
      </c>
      <c r="Y97" s="1"/>
      <c r="Z97" s="5">
        <f t="shared" ref="Z97:Z98" si="84">IF(T97=0,0,X97/T97)</f>
        <v>7.4761904761904766E-2</v>
      </c>
    </row>
    <row r="98" spans="1:26" s="24" customFormat="1" hidden="1" outlineLevel="2" x14ac:dyDescent="0.25">
      <c r="A98" s="27"/>
      <c r="B98" s="11" t="str">
        <f>CONCATENATE("          ", "6274", " - ", "UTILITIES")</f>
        <v xml:space="preserve">          6274 - UTILITIES</v>
      </c>
      <c r="C98" s="11"/>
      <c r="D98" s="6">
        <v>2312</v>
      </c>
      <c r="E98" s="2"/>
      <c r="F98" s="7">
        <f t="shared" si="77"/>
        <v>0</v>
      </c>
      <c r="G98" s="2"/>
      <c r="H98" s="6">
        <v>2100</v>
      </c>
      <c r="I98" s="2"/>
      <c r="J98" s="7">
        <f t="shared" si="78"/>
        <v>8.8050314465408799E-2</v>
      </c>
      <c r="K98" s="2"/>
      <c r="L98" s="6">
        <f t="shared" si="79"/>
        <v>212</v>
      </c>
      <c r="M98" s="2"/>
      <c r="N98" s="7">
        <f t="shared" si="80"/>
        <v>0.10095238095238095</v>
      </c>
      <c r="O98" s="11"/>
      <c r="P98" s="6">
        <v>27084</v>
      </c>
      <c r="Q98" s="2"/>
      <c r="R98" s="7">
        <f t="shared" si="81"/>
        <v>4.1553583609955765E-2</v>
      </c>
      <c r="S98" s="2"/>
      <c r="T98" s="6">
        <v>25200</v>
      </c>
      <c r="U98" s="2"/>
      <c r="V98" s="7">
        <f t="shared" si="82"/>
        <v>2.6664409362170398E-2</v>
      </c>
      <c r="W98" s="2"/>
      <c r="X98" s="6">
        <f t="shared" si="83"/>
        <v>1884</v>
      </c>
      <c r="Y98" s="2"/>
      <c r="Z98" s="7">
        <f t="shared" si="84"/>
        <v>7.4761904761904766E-2</v>
      </c>
    </row>
    <row r="99" spans="1:26" s="60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8" t="s">
        <v>0</v>
      </c>
      <c r="C100" s="10"/>
      <c r="D100" s="4">
        <f>SUM(OSRRefD25x_0)</f>
        <v>0</v>
      </c>
      <c r="E100" s="4"/>
      <c r="F100" s="13">
        <f t="shared" ref="F100:F101" si="85">IF(D$12=0,0,D100/D$12)</f>
        <v>0</v>
      </c>
      <c r="G100" s="4"/>
      <c r="H100" s="4">
        <f>SUM(OSRRefH25x_0)</f>
        <v>0</v>
      </c>
      <c r="I100" s="4"/>
      <c r="J100" s="13">
        <f t="shared" ref="J100:J101" si="86">IF(H$12=0,0,H100/H$12)</f>
        <v>0</v>
      </c>
      <c r="K100" s="4"/>
      <c r="L100" s="4">
        <f t="shared" ref="L100:L101" si="87">+D100-H100</f>
        <v>0</v>
      </c>
      <c r="M100" s="4"/>
      <c r="N100" s="13">
        <f t="shared" ref="N100:N101" si="88">IF(H100=0,0,L100/H100)</f>
        <v>0</v>
      </c>
      <c r="O100" s="10"/>
      <c r="P100" s="4">
        <f>SUM(OSRRefP25x_0)</f>
        <v>68.760000000000005</v>
      </c>
      <c r="Q100" s="4"/>
      <c r="R100" s="13">
        <f t="shared" ref="R100:R101" si="89">IF(P$12=0,0,P100/P$12)</f>
        <v>1.0549491984273219E-4</v>
      </c>
      <c r="S100" s="4"/>
      <c r="T100" s="4">
        <f>SUM(OSRRefT25x_0)</f>
        <v>0</v>
      </c>
      <c r="U100" s="4"/>
      <c r="V100" s="13">
        <f t="shared" ref="V100:V101" si="90">IF(T$12=0,0,T100/T$12)</f>
        <v>0</v>
      </c>
      <c r="W100" s="4"/>
      <c r="X100" s="4">
        <f t="shared" ref="X100:X101" si="91">+P100-T100</f>
        <v>68.760000000000005</v>
      </c>
      <c r="Y100" s="4"/>
      <c r="Z100" s="13">
        <f t="shared" ref="Z100:Z101" si="92">IF(T100=0,0,X100/T100)</f>
        <v>0</v>
      </c>
    </row>
    <row r="101" spans="1:26" s="24" customFormat="1" hidden="1" outlineLevel="1" x14ac:dyDescent="0.25">
      <c r="A101" s="44"/>
      <c r="B101" s="11" t="str">
        <f>CONCATENATE("          ", "9150", " - ", "MISC. INCOME")</f>
        <v xml:space="preserve">          9150 - MISC. INCOME</v>
      </c>
      <c r="C101" s="11"/>
      <c r="D101" s="2">
        <f>0</f>
        <v>0</v>
      </c>
      <c r="E101" s="2"/>
      <c r="F101" s="19">
        <f t="shared" si="85"/>
        <v>0</v>
      </c>
      <c r="G101" s="2"/>
      <c r="H101" s="2"/>
      <c r="I101" s="2"/>
      <c r="J101" s="19">
        <f t="shared" si="86"/>
        <v>0</v>
      </c>
      <c r="K101" s="2"/>
      <c r="L101" s="2">
        <f t="shared" si="87"/>
        <v>0</v>
      </c>
      <c r="M101" s="2"/>
      <c r="N101" s="19">
        <f t="shared" si="88"/>
        <v>0</v>
      </c>
      <c r="O101" s="11"/>
      <c r="P101" s="2">
        <f>--68.76</f>
        <v>68.760000000000005</v>
      </c>
      <c r="Q101" s="2"/>
      <c r="R101" s="19">
        <f t="shared" si="89"/>
        <v>1.0549491984273219E-4</v>
      </c>
      <c r="S101" s="2"/>
      <c r="T101" s="2"/>
      <c r="U101" s="2"/>
      <c r="V101" s="19">
        <f t="shared" si="90"/>
        <v>0</v>
      </c>
      <c r="W101" s="2"/>
      <c r="X101" s="2">
        <f t="shared" si="91"/>
        <v>68.760000000000005</v>
      </c>
      <c r="Y101" s="2"/>
      <c r="Z101" s="19">
        <f t="shared" si="92"/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2">
        <f>+D22-D24+D100</f>
        <v>-43381.93</v>
      </c>
      <c r="E103" s="14"/>
      <c r="F103" s="20">
        <f>IF(D$12=0,0,D103/D$12)</f>
        <v>0</v>
      </c>
      <c r="G103" s="14"/>
      <c r="H103" s="22">
        <f>+H22-H24+H100</f>
        <v>-36636.977053884621</v>
      </c>
      <c r="I103" s="14"/>
      <c r="J103" s="20">
        <f>IF(H$12=0,0,H103/H$12)</f>
        <v>-1.5361415955507178</v>
      </c>
      <c r="K103" s="15"/>
      <c r="L103" s="22">
        <f>+D103-H103</f>
        <v>-6744.9529461153797</v>
      </c>
      <c r="M103" s="15"/>
      <c r="N103" s="20">
        <f>IF(H103=0,0,L103/H103)</f>
        <v>0.18410233290249617</v>
      </c>
      <c r="O103" s="28"/>
      <c r="P103" s="22">
        <f>+P22-P24+P100</f>
        <v>-317836.74000000022</v>
      </c>
      <c r="Q103" s="14"/>
      <c r="R103" s="20">
        <f>IF(P$12=0,0,P103/P$12)</f>
        <v>-0.48764050915321894</v>
      </c>
      <c r="S103" s="14"/>
      <c r="T103" s="22">
        <f>+T22-T24+T100</f>
        <v>-138236.24750891083</v>
      </c>
      <c r="U103" s="14"/>
      <c r="V103" s="20">
        <f>IF(T$12=0,0,T103/T$12)</f>
        <v>-0.14626936080428199</v>
      </c>
      <c r="W103" s="15"/>
      <c r="X103" s="22">
        <f>+P103-T103</f>
        <v>-179600.49249108939</v>
      </c>
      <c r="Y103" s="15"/>
      <c r="Z103" s="20">
        <f>IF(T103=0,0,X103/T103)</f>
        <v>1.2992286446397656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>
        <v>21520.75</v>
      </c>
      <c r="E105" s="4"/>
      <c r="F105" s="13">
        <f>IF(D$12=0,0,D105/D$12)</f>
        <v>0</v>
      </c>
      <c r="G105" s="4"/>
      <c r="H105" s="4">
        <v>15564</v>
      </c>
      <c r="I105" s="4"/>
      <c r="J105" s="13">
        <f>IF(H$12=0,0,H105/H$12)</f>
        <v>0.65257861635220127</v>
      </c>
      <c r="K105" s="4"/>
      <c r="L105" s="4">
        <f>+D105-H105</f>
        <v>5956.75</v>
      </c>
      <c r="M105" s="4"/>
      <c r="N105" s="13">
        <f>IF(H105=0,0,L105/H105)</f>
        <v>0.38272616294011824</v>
      </c>
      <c r="O105" s="10"/>
      <c r="P105" s="4">
        <v>98705.5</v>
      </c>
      <c r="Q105" s="4"/>
      <c r="R105" s="13">
        <f>IF(P$12=0,0,P105/P$12)</f>
        <v>0.15143875524340897</v>
      </c>
      <c r="S105" s="4"/>
      <c r="T105" s="4">
        <v>122265.99999999999</v>
      </c>
      <c r="U105" s="4"/>
      <c r="V105" s="13">
        <f>IF(T$12=0,0,T105/T$12)</f>
        <v>0.12937105853472719</v>
      </c>
      <c r="W105" s="4"/>
      <c r="X105" s="4">
        <f>+P105-T105</f>
        <v>-23560.499999999985</v>
      </c>
      <c r="Y105" s="4"/>
      <c r="Z105" s="13">
        <f>IF(T105=0,0,X105/T105)</f>
        <v>-0.19269870609981507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1">
        <f>+D103-D105</f>
        <v>-64902.68</v>
      </c>
      <c r="E107" s="14"/>
      <c r="F107" s="33">
        <f>IF(D$12=0,0,D107/D$12)</f>
        <v>0</v>
      </c>
      <c r="G107" s="14"/>
      <c r="H107" s="31">
        <f>+H103-H105</f>
        <v>-52200.977053884621</v>
      </c>
      <c r="I107" s="14"/>
      <c r="J107" s="33">
        <f>IF(H$12=0,0,H107/H$12)</f>
        <v>-2.1887202119029192</v>
      </c>
      <c r="K107" s="15"/>
      <c r="L107" s="31">
        <f>D107-H107</f>
        <v>-12701.70294611538</v>
      </c>
      <c r="M107" s="15"/>
      <c r="N107" s="33">
        <f>IF(H107=0,0,L107/H107)</f>
        <v>0.24332308824419144</v>
      </c>
      <c r="O107" s="28"/>
      <c r="P107" s="31">
        <f>+P103-P105</f>
        <v>-416542.24000000022</v>
      </c>
      <c r="Q107" s="14"/>
      <c r="R107" s="33">
        <f>IF(P$12=0,0,P107/P$12)</f>
        <v>-0.63907926439662788</v>
      </c>
      <c r="S107" s="14"/>
      <c r="T107" s="31">
        <f>+T103-T105</f>
        <v>-260502.24750891083</v>
      </c>
      <c r="U107" s="14"/>
      <c r="V107" s="33">
        <f>IF(T$12=0,0,T107/T$12)</f>
        <v>-0.27564041933900923</v>
      </c>
      <c r="W107" s="15"/>
      <c r="X107" s="31">
        <f>P107-T107</f>
        <v>-156039.99249108939</v>
      </c>
      <c r="Y107" s="15"/>
      <c r="Z107" s="33">
        <f>IF(T107=0,0,X107/T107)</f>
        <v>0.59899672261273607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4">
        <f>SUM(D107:D109)</f>
        <v>-64902.68</v>
      </c>
      <c r="E110" s="14"/>
      <c r="F110" s="35">
        <f>IF(D$12=0,0,D110/D$12)</f>
        <v>0</v>
      </c>
      <c r="G110" s="14"/>
      <c r="H110" s="34">
        <f>SUM(H107:H109)</f>
        <v>-52200.977053884621</v>
      </c>
      <c r="I110" s="14"/>
      <c r="J110" s="35">
        <f>IF(H$12=0,0,H110/H$12)</f>
        <v>-2.1887202119029192</v>
      </c>
      <c r="K110" s="15"/>
      <c r="L110" s="34">
        <f>+D110-H110</f>
        <v>-12701.70294611538</v>
      </c>
      <c r="M110" s="15"/>
      <c r="N110" s="35">
        <f>IF(H110=0,0,L110/H110)</f>
        <v>0.24332308824419144</v>
      </c>
      <c r="O110" s="28"/>
      <c r="P110" s="34">
        <f>SUM(P107:P109)</f>
        <v>-416542.24000000022</v>
      </c>
      <c r="Q110" s="14"/>
      <c r="R110" s="35">
        <f>IF(P$12=0,0,P110/P$12)</f>
        <v>-0.63907926439662788</v>
      </c>
      <c r="S110" s="14"/>
      <c r="T110" s="34">
        <f>SUM(T107:T109)</f>
        <v>-260502.24750891083</v>
      </c>
      <c r="U110" s="14"/>
      <c r="V110" s="35">
        <f>IF(T$12=0,0,T110/T$12)</f>
        <v>-0.27564041933900923</v>
      </c>
      <c r="W110" s="15"/>
      <c r="X110" s="34">
        <f>+P110-T110</f>
        <v>-156039.99249108939</v>
      </c>
      <c r="Y110" s="15"/>
      <c r="Z110" s="35">
        <f>IF(T110=0,0,X110/T110)</f>
        <v>0.59899672261273607</v>
      </c>
    </row>
    <row r="111" spans="1:26" ht="15.75" thickTop="1" x14ac:dyDescent="0.25">
      <c r="A111" s="9"/>
      <c r="C111" s="9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55">
        <v>44043.473796990744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62" t="s">
        <v>314</v>
      </c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A114" s="9"/>
      <c r="B114" s="63"/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25"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0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","418", " - ", "Nugget")</f>
        <v>Department 418 - Nugget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51500</v>
      </c>
      <c r="I12" s="4"/>
      <c r="J12" s="13"/>
      <c r="K12" s="4"/>
      <c r="L12" s="4">
        <f t="shared" ref="L12:L16" si="0">+D12-H12</f>
        <v>-51500</v>
      </c>
      <c r="M12" s="4"/>
      <c r="N12" s="13">
        <f t="shared" ref="N12:N16" si="1">IF(H12=0,0,L12/H12)</f>
        <v>-1</v>
      </c>
      <c r="O12" s="10"/>
      <c r="P12" s="4">
        <f>SUM(OSRRefP13x_0)</f>
        <v>1068795.77</v>
      </c>
      <c r="Q12" s="4"/>
      <c r="R12" s="13"/>
      <c r="S12" s="4"/>
      <c r="T12" s="4">
        <f>SUM(OSRRefT13x_0)</f>
        <v>1600150</v>
      </c>
      <c r="U12" s="4"/>
      <c r="V12" s="13"/>
      <c r="W12" s="4"/>
      <c r="X12" s="4">
        <f t="shared" ref="X12:X16" si="2">+P12-T12</f>
        <v>-531354.23</v>
      </c>
      <c r="Y12" s="4"/>
      <c r="Z12" s="13">
        <f t="shared" ref="Z12:Z16" si="3">IF(T12=0,0,X12/T12)</f>
        <v>-0.33206526263162828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19400</v>
      </c>
      <c r="I13" s="2"/>
      <c r="J13" s="19"/>
      <c r="K13" s="2"/>
      <c r="L13" s="2">
        <f t="shared" si="0"/>
        <v>-19400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626780</v>
      </c>
      <c r="U13" s="2"/>
      <c r="V13" s="19"/>
      <c r="W13" s="2"/>
      <c r="X13" s="2">
        <f t="shared" si="2"/>
        <v>-626780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--381406.04</f>
        <v>381406.04</v>
      </c>
      <c r="Q14" s="2"/>
      <c r="R14" s="19"/>
      <c r="S14" s="2"/>
      <c r="T14" s="2"/>
      <c r="U14" s="2"/>
      <c r="V14" s="19"/>
      <c r="W14" s="2"/>
      <c r="X14" s="2">
        <f t="shared" si="2"/>
        <v>381406.04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32100</v>
      </c>
      <c r="I15" s="2"/>
      <c r="J15" s="19"/>
      <c r="K15" s="2"/>
      <c r="L15" s="2">
        <f t="shared" si="0"/>
        <v>-32100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973370</v>
      </c>
      <c r="U15" s="2"/>
      <c r="V15" s="19"/>
      <c r="W15" s="2"/>
      <c r="X15" s="2">
        <f t="shared" si="2"/>
        <v>-973370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--687389.73</f>
        <v>687389.73</v>
      </c>
      <c r="Q16" s="2"/>
      <c r="R16" s="19"/>
      <c r="S16" s="2"/>
      <c r="T16" s="2"/>
      <c r="U16" s="2"/>
      <c r="V16" s="19"/>
      <c r="W16" s="2"/>
      <c r="X16" s="2">
        <f t="shared" si="2"/>
        <v>687389.73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9455</v>
      </c>
      <c r="E18" s="4"/>
      <c r="F18" s="13">
        <f t="shared" ref="F18:F21" si="5">IF(D$12=0,0,D18/D$12)</f>
        <v>0</v>
      </c>
      <c r="G18" s="4"/>
      <c r="H18" s="4">
        <f>SUM(OSRRefH16x_0)</f>
        <v>15229</v>
      </c>
      <c r="I18" s="4"/>
      <c r="J18" s="13">
        <f t="shared" ref="J18:J21" si="6">IF(H$12=0,0,H18/H$12)</f>
        <v>0.2957087378640777</v>
      </c>
      <c r="K18" s="4"/>
      <c r="L18" s="4">
        <f t="shared" ref="L18:L21" si="7">+D18-H18</f>
        <v>-5774</v>
      </c>
      <c r="M18" s="4"/>
      <c r="N18" s="13">
        <f t="shared" ref="N18:N21" si="8">IF(H18=0,0,L18/H18)</f>
        <v>-0.37914505220303368</v>
      </c>
      <c r="O18" s="10"/>
      <c r="P18" s="4">
        <f>SUM(OSRRefP16x_0)</f>
        <v>371630.06999999995</v>
      </c>
      <c r="Q18" s="4"/>
      <c r="R18" s="13">
        <f t="shared" ref="R18:R21" si="9">IF(P$12=0,0,P18/P$12)</f>
        <v>0.34770915120668933</v>
      </c>
      <c r="S18" s="4"/>
      <c r="T18" s="4">
        <f>SUM(OSRRefT16x_0)</f>
        <v>492068.99999999994</v>
      </c>
      <c r="U18" s="4"/>
      <c r="V18" s="13">
        <f t="shared" ref="V18:V21" si="10">IF(T$12=0,0,T18/T$12)</f>
        <v>0.30751429553479359</v>
      </c>
      <c r="W18" s="4"/>
      <c r="X18" s="4">
        <f t="shared" ref="X18:X21" si="11">+P18-T18</f>
        <v>-120438.93</v>
      </c>
      <c r="Y18" s="4"/>
      <c r="Z18" s="13">
        <f t="shared" ref="Z18:Z21" si="12">IF(T18=0,0,X18/T18)</f>
        <v>-0.24476024703852509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15229</v>
      </c>
      <c r="I19" s="2"/>
      <c r="J19" s="19">
        <f t="shared" si="6"/>
        <v>0.2957087378640777</v>
      </c>
      <c r="K19" s="2"/>
      <c r="L19" s="2">
        <f t="shared" si="7"/>
        <v>-15229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492068.99999999994</v>
      </c>
      <c r="U19" s="2"/>
      <c r="V19" s="19">
        <f t="shared" si="10"/>
        <v>0.30751429553479359</v>
      </c>
      <c r="W19" s="2"/>
      <c r="X19" s="2">
        <f t="shared" si="11"/>
        <v>-492068.99999999994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360936.39999999997</v>
      </c>
      <c r="Q20" s="2"/>
      <c r="R20" s="19">
        <f t="shared" si="9"/>
        <v>0.33770380659347105</v>
      </c>
      <c r="S20" s="2"/>
      <c r="T20" s="2"/>
      <c r="U20" s="2"/>
      <c r="V20" s="19">
        <f t="shared" si="10"/>
        <v>0</v>
      </c>
      <c r="W20" s="2"/>
      <c r="X20" s="2">
        <f t="shared" si="11"/>
        <v>360936.39999999997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9455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9455</v>
      </c>
      <c r="M21" s="2"/>
      <c r="N21" s="19">
        <f t="shared" si="8"/>
        <v>0</v>
      </c>
      <c r="O21" s="11"/>
      <c r="P21" s="2">
        <v>10693.67</v>
      </c>
      <c r="Q21" s="2"/>
      <c r="R21" s="19">
        <f t="shared" si="9"/>
        <v>1.0005344613218295E-2</v>
      </c>
      <c r="S21" s="2"/>
      <c r="T21" s="2"/>
      <c r="U21" s="2"/>
      <c r="V21" s="19">
        <f t="shared" si="10"/>
        <v>0</v>
      </c>
      <c r="W21" s="2"/>
      <c r="X21" s="2">
        <f t="shared" si="11"/>
        <v>10693.67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-9455</v>
      </c>
      <c r="E23" s="14"/>
      <c r="F23" s="20">
        <f>IF(D$12=0,0,D23/D$12)</f>
        <v>0</v>
      </c>
      <c r="G23" s="14"/>
      <c r="H23" s="22">
        <f>H12-H18</f>
        <v>36271</v>
      </c>
      <c r="I23" s="14"/>
      <c r="J23" s="20">
        <f>IF(H$12=0,0,H23/H$12)</f>
        <v>0.7042912621359223</v>
      </c>
      <c r="K23" s="15"/>
      <c r="L23" s="22">
        <f>+D23-H23</f>
        <v>-45726</v>
      </c>
      <c r="M23" s="15"/>
      <c r="N23" s="20">
        <f>IF(H23=0,0,L23/H23)</f>
        <v>-1.2606765735711725</v>
      </c>
      <c r="O23" s="28"/>
      <c r="P23" s="22">
        <f>P12-P18</f>
        <v>697165.70000000007</v>
      </c>
      <c r="Q23" s="14"/>
      <c r="R23" s="20">
        <f>IF(P$12=0,0,P23/P$12)</f>
        <v>0.65229084879331067</v>
      </c>
      <c r="S23" s="14"/>
      <c r="T23" s="22">
        <f>T12-T18</f>
        <v>1108081</v>
      </c>
      <c r="U23" s="14"/>
      <c r="V23" s="20">
        <f>IF(T$12=0,0,T23/T$12)</f>
        <v>0.69248570446520641</v>
      </c>
      <c r="W23" s="15"/>
      <c r="X23" s="22">
        <f>+P23-T23</f>
        <v>-410915.29999999993</v>
      </c>
      <c r="Y23" s="15"/>
      <c r="Z23" s="20">
        <f>IF(T23=0,0,X23/T23)</f>
        <v>-0.3708350743312086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19199.530000000002</v>
      </c>
      <c r="E25" s="21"/>
      <c r="F25" s="32">
        <f t="shared" ref="F25:F35" si="13">IF(D$12=0,0,D25/D$12)</f>
        <v>0</v>
      </c>
      <c r="G25" s="21"/>
      <c r="H25" s="21">
        <f>SUM(OSRRefH22x_0)</f>
        <v>34227.277435707692</v>
      </c>
      <c r="I25" s="21"/>
      <c r="J25" s="32">
        <f t="shared" ref="J25:J35" si="14">IF(H$12=0,0,H25/H$12)</f>
        <v>0.664607328848693</v>
      </c>
      <c r="K25" s="4"/>
      <c r="L25" s="21">
        <f t="shared" ref="L25:L35" si="15">+D25-H25</f>
        <v>-15027.74743570769</v>
      </c>
      <c r="M25" s="4"/>
      <c r="N25" s="32">
        <f t="shared" ref="N25:N35" si="16">IF(H25=0,0,L25/H25)</f>
        <v>-0.43905763360628719</v>
      </c>
      <c r="O25" s="10"/>
      <c r="P25" s="21">
        <f>SUM(OSRRefP22x_0)</f>
        <v>613821.81999999995</v>
      </c>
      <c r="Q25" s="21"/>
      <c r="R25" s="32">
        <f t="shared" ref="R25:R35" si="17">IF(P$12=0,0,P25/P$12)</f>
        <v>0.57431161053341362</v>
      </c>
      <c r="S25" s="21"/>
      <c r="T25" s="21">
        <f>SUM(OSRRefT22x_0)</f>
        <v>749757.10382345389</v>
      </c>
      <c r="U25" s="21"/>
      <c r="V25" s="32">
        <f t="shared" ref="V25:V35" si="18">IF(T$12=0,0,T25/T$12)</f>
        <v>0.46855426292750924</v>
      </c>
      <c r="W25" s="4"/>
      <c r="X25" s="21">
        <f t="shared" ref="X25:X35" si="19">+P25-T25</f>
        <v>-135935.28382345394</v>
      </c>
      <c r="Y25" s="4"/>
      <c r="Z25" s="32">
        <f t="shared" ref="Z25:Z35" si="20">IF(T25=0,0,X25/T25)</f>
        <v>-0.18130576306678484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5667.1100000000006</v>
      </c>
      <c r="E26" s="1"/>
      <c r="F26" s="5">
        <f t="shared" si="13"/>
        <v>0</v>
      </c>
      <c r="G26" s="1"/>
      <c r="H26" s="1">
        <f>SUM(OSRRefH22_0x_0)</f>
        <v>6662.8831280153836</v>
      </c>
      <c r="I26" s="1"/>
      <c r="J26" s="5">
        <f t="shared" si="14"/>
        <v>0.12937637141777444</v>
      </c>
      <c r="K26" s="1"/>
      <c r="L26" s="1">
        <f t="shared" si="15"/>
        <v>-995.77312801538301</v>
      </c>
      <c r="M26" s="1"/>
      <c r="N26" s="5">
        <f t="shared" si="16"/>
        <v>-0.14945078712674126</v>
      </c>
      <c r="O26" s="12"/>
      <c r="P26" s="1">
        <f>SUM(OSRRefP22_0x_0)</f>
        <v>92443.250000000015</v>
      </c>
      <c r="Q26" s="1"/>
      <c r="R26" s="5">
        <f t="shared" si="17"/>
        <v>8.6492904065292114E-2</v>
      </c>
      <c r="S26" s="1"/>
      <c r="T26" s="1">
        <f>SUM(OSRRefT22_0x_0)</f>
        <v>123327.85443883845</v>
      </c>
      <c r="U26" s="1"/>
      <c r="V26" s="5">
        <f t="shared" si="18"/>
        <v>7.7072683460199631E-2</v>
      </c>
      <c r="W26" s="1"/>
      <c r="X26" s="1">
        <f t="shared" si="19"/>
        <v>-30884.604438838433</v>
      </c>
      <c r="Y26" s="1"/>
      <c r="Z26" s="5">
        <f t="shared" si="20"/>
        <v>-0.25042683649503467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470.3</v>
      </c>
      <c r="E27" s="2"/>
      <c r="F27" s="7">
        <f t="shared" si="13"/>
        <v>0</v>
      </c>
      <c r="G27" s="2"/>
      <c r="H27" s="6">
        <v>848.49953063076907</v>
      </c>
      <c r="I27" s="2"/>
      <c r="J27" s="7">
        <f t="shared" si="14"/>
        <v>1.6475719041374157E-2</v>
      </c>
      <c r="K27" s="2"/>
      <c r="L27" s="6">
        <f t="shared" si="15"/>
        <v>-378.19953063076906</v>
      </c>
      <c r="M27" s="2"/>
      <c r="N27" s="7">
        <f t="shared" si="16"/>
        <v>-0.44572744825164251</v>
      </c>
      <c r="O27" s="11"/>
      <c r="P27" s="6">
        <v>19003.47</v>
      </c>
      <c r="Q27" s="2"/>
      <c r="R27" s="7">
        <f t="shared" si="17"/>
        <v>1.7780263108638613E-2</v>
      </c>
      <c r="S27" s="2"/>
      <c r="T27" s="6">
        <v>12526.512404838451</v>
      </c>
      <c r="U27" s="2"/>
      <c r="V27" s="7">
        <f t="shared" si="18"/>
        <v>7.828336346491549E-3</v>
      </c>
      <c r="W27" s="2"/>
      <c r="X27" s="6">
        <f t="shared" si="19"/>
        <v>6476.9575951615498</v>
      </c>
      <c r="Y27" s="2"/>
      <c r="Z27" s="7">
        <f t="shared" si="20"/>
        <v>0.51705992744315488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20.9</v>
      </c>
      <c r="E28" s="2"/>
      <c r="F28" s="7">
        <f t="shared" si="13"/>
        <v>0</v>
      </c>
      <c r="G28" s="2"/>
      <c r="H28" s="6">
        <v>581.12309015384596</v>
      </c>
      <c r="I28" s="2"/>
      <c r="J28" s="7">
        <f t="shared" si="14"/>
        <v>1.1283943498132932E-2</v>
      </c>
      <c r="K28" s="2"/>
      <c r="L28" s="6">
        <f t="shared" si="15"/>
        <v>-560.22309015384599</v>
      </c>
      <c r="M28" s="2"/>
      <c r="N28" s="7">
        <f t="shared" si="16"/>
        <v>-0.96403515820638463</v>
      </c>
      <c r="O28" s="11"/>
      <c r="P28" s="6">
        <v>10598.72</v>
      </c>
      <c r="Q28" s="2"/>
      <c r="R28" s="7">
        <f t="shared" si="17"/>
        <v>9.9165063125203051E-3</v>
      </c>
      <c r="S28" s="2"/>
      <c r="T28" s="6">
        <v>16009.045735692307</v>
      </c>
      <c r="U28" s="2"/>
      <c r="V28" s="7">
        <f t="shared" si="18"/>
        <v>1.0004715642716187E-2</v>
      </c>
      <c r="W28" s="2"/>
      <c r="X28" s="6">
        <f t="shared" si="19"/>
        <v>-5410.3257356923077</v>
      </c>
      <c r="Y28" s="2"/>
      <c r="Z28" s="7">
        <f t="shared" si="20"/>
        <v>-0.33795429315502168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4780.67</v>
      </c>
      <c r="E29" s="2"/>
      <c r="F29" s="7">
        <f t="shared" si="13"/>
        <v>0</v>
      </c>
      <c r="G29" s="2"/>
      <c r="H29" s="6">
        <v>3570.9076923076905</v>
      </c>
      <c r="I29" s="2"/>
      <c r="J29" s="7">
        <f t="shared" si="14"/>
        <v>6.9338013442867774E-2</v>
      </c>
      <c r="K29" s="2"/>
      <c r="L29" s="6">
        <f t="shared" si="15"/>
        <v>1209.7623076923096</v>
      </c>
      <c r="M29" s="2"/>
      <c r="N29" s="7">
        <f t="shared" si="16"/>
        <v>0.33878285633043165</v>
      </c>
      <c r="O29" s="11"/>
      <c r="P29" s="6">
        <v>49586.97</v>
      </c>
      <c r="Q29" s="2"/>
      <c r="R29" s="7">
        <f t="shared" si="17"/>
        <v>4.6395178004868039E-2</v>
      </c>
      <c r="S29" s="2"/>
      <c r="T29" s="6">
        <v>59579.353846153856</v>
      </c>
      <c r="U29" s="2"/>
      <c r="V29" s="7">
        <f t="shared" si="18"/>
        <v>3.7233605503330221E-2</v>
      </c>
      <c r="W29" s="2"/>
      <c r="X29" s="6">
        <f t="shared" si="19"/>
        <v>-9992.3838461538544</v>
      </c>
      <c r="Y29" s="2"/>
      <c r="Z29" s="7">
        <f t="shared" si="20"/>
        <v>-0.16771554575694533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-860.67</v>
      </c>
      <c r="E30" s="2"/>
      <c r="F30" s="7">
        <f t="shared" si="13"/>
        <v>0</v>
      </c>
      <c r="G30" s="2"/>
      <c r="H30" s="6">
        <v>38.941237999999998</v>
      </c>
      <c r="I30" s="2"/>
      <c r="J30" s="7">
        <f t="shared" si="14"/>
        <v>7.5614054368932032E-4</v>
      </c>
      <c r="K30" s="2"/>
      <c r="L30" s="6">
        <f t="shared" si="15"/>
        <v>-899.61123799999996</v>
      </c>
      <c r="M30" s="2"/>
      <c r="N30" s="7">
        <f t="shared" si="16"/>
        <v>-23.101762660961114</v>
      </c>
      <c r="O30" s="11"/>
      <c r="P30" s="6">
        <v>0</v>
      </c>
      <c r="Q30" s="2"/>
      <c r="R30" s="7">
        <f t="shared" si="17"/>
        <v>0</v>
      </c>
      <c r="S30" s="2"/>
      <c r="T30" s="6">
        <v>1072.7711059999999</v>
      </c>
      <c r="U30" s="2"/>
      <c r="V30" s="7">
        <f t="shared" si="18"/>
        <v>6.7041908946036306E-4</v>
      </c>
      <c r="W30" s="2"/>
      <c r="X30" s="6">
        <f t="shared" si="19"/>
        <v>-1072.7711059999999</v>
      </c>
      <c r="Y30" s="2"/>
      <c r="Z30" s="7">
        <f t="shared" si="20"/>
        <v>-1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314.18</v>
      </c>
      <c r="E31" s="2"/>
      <c r="F31" s="7">
        <f t="shared" si="13"/>
        <v>0</v>
      </c>
      <c r="G31" s="2"/>
      <c r="H31" s="6">
        <v>436.08615384615399</v>
      </c>
      <c r="I31" s="2"/>
      <c r="J31" s="7">
        <f t="shared" si="14"/>
        <v>8.4676923076923098E-3</v>
      </c>
      <c r="K31" s="2"/>
      <c r="L31" s="6">
        <f t="shared" si="15"/>
        <v>-121.90615384615398</v>
      </c>
      <c r="M31" s="2"/>
      <c r="N31" s="7">
        <f t="shared" si="16"/>
        <v>-0.27954603183562904</v>
      </c>
      <c r="O31" s="11"/>
      <c r="P31" s="6">
        <v>5982.07</v>
      </c>
      <c r="Q31" s="2"/>
      <c r="R31" s="7">
        <f t="shared" si="17"/>
        <v>5.5970187831113887E-3</v>
      </c>
      <c r="S31" s="2"/>
      <c r="T31" s="6">
        <v>9757.4276923076977</v>
      </c>
      <c r="U31" s="2"/>
      <c r="V31" s="7">
        <f t="shared" si="18"/>
        <v>6.097820637007592E-3</v>
      </c>
      <c r="W31" s="2"/>
      <c r="X31" s="6">
        <f t="shared" si="19"/>
        <v>-3775.357692307698</v>
      </c>
      <c r="Y31" s="2"/>
      <c r="Z31" s="7">
        <f t="shared" si="20"/>
        <v>-0.38692141119160067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496.42</v>
      </c>
      <c r="E33" s="2"/>
      <c r="F33" s="7">
        <f t="shared" si="13"/>
        <v>0</v>
      </c>
      <c r="G33" s="2"/>
      <c r="H33" s="6">
        <v>420.002461538462</v>
      </c>
      <c r="I33" s="2"/>
      <c r="J33" s="7">
        <f t="shared" si="14"/>
        <v>8.1553876026885831E-3</v>
      </c>
      <c r="K33" s="2"/>
      <c r="L33" s="6">
        <f t="shared" si="15"/>
        <v>76.417538461538015</v>
      </c>
      <c r="M33" s="2"/>
      <c r="N33" s="7">
        <f t="shared" si="16"/>
        <v>0.18194545379953692</v>
      </c>
      <c r="O33" s="11"/>
      <c r="P33" s="6">
        <v>6518.73</v>
      </c>
      <c r="Q33" s="2"/>
      <c r="R33" s="7">
        <f t="shared" si="17"/>
        <v>6.0991352913007876E-3</v>
      </c>
      <c r="S33" s="2"/>
      <c r="T33" s="6">
        <v>7289.0110769230805</v>
      </c>
      <c r="U33" s="2"/>
      <c r="V33" s="7">
        <f t="shared" si="18"/>
        <v>4.555204872620117E-3</v>
      </c>
      <c r="W33" s="2"/>
      <c r="X33" s="6">
        <f t="shared" si="19"/>
        <v>-770.28107692308095</v>
      </c>
      <c r="Y33" s="2"/>
      <c r="Z33" s="7">
        <f t="shared" si="20"/>
        <v>-0.10567703475740095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283.56</v>
      </c>
      <c r="E34" s="2"/>
      <c r="F34" s="7">
        <f t="shared" si="13"/>
        <v>0</v>
      </c>
      <c r="G34" s="2"/>
      <c r="H34" s="6">
        <v>617.32296153846198</v>
      </c>
      <c r="I34" s="2"/>
      <c r="J34" s="7">
        <f t="shared" si="14"/>
        <v>1.1986853622106058E-2</v>
      </c>
      <c r="K34" s="2"/>
      <c r="L34" s="6">
        <f t="shared" si="15"/>
        <v>-333.76296153846198</v>
      </c>
      <c r="M34" s="2"/>
      <c r="N34" s="7">
        <f t="shared" si="16"/>
        <v>-0.54066182911238925</v>
      </c>
      <c r="O34" s="11"/>
      <c r="P34" s="6">
        <v>-3729.23</v>
      </c>
      <c r="Q34" s="2"/>
      <c r="R34" s="7">
        <f t="shared" si="17"/>
        <v>-3.4891885846441927E-3</v>
      </c>
      <c r="S34" s="2"/>
      <c r="T34" s="6">
        <v>15293.732576923048</v>
      </c>
      <c r="U34" s="2"/>
      <c r="V34" s="7">
        <f t="shared" si="18"/>
        <v>9.5576868274368336E-3</v>
      </c>
      <c r="W34" s="2"/>
      <c r="X34" s="6">
        <f t="shared" si="19"/>
        <v>-19022.962576923048</v>
      </c>
      <c r="Y34" s="2"/>
      <c r="Z34" s="7">
        <f t="shared" si="20"/>
        <v>-1.2438404085623345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161.75</v>
      </c>
      <c r="E35" s="2"/>
      <c r="F35" s="7">
        <f t="shared" si="13"/>
        <v>0</v>
      </c>
      <c r="G35" s="2"/>
      <c r="H35" s="6">
        <v>150</v>
      </c>
      <c r="I35" s="2"/>
      <c r="J35" s="7">
        <f t="shared" si="14"/>
        <v>2.9126213592233011E-3</v>
      </c>
      <c r="K35" s="2"/>
      <c r="L35" s="6">
        <f t="shared" si="15"/>
        <v>11.75</v>
      </c>
      <c r="M35" s="2"/>
      <c r="N35" s="7">
        <f t="shared" si="16"/>
        <v>7.8333333333333338E-2</v>
      </c>
      <c r="O35" s="11"/>
      <c r="P35" s="6">
        <v>4482.5200000000004</v>
      </c>
      <c r="Q35" s="2"/>
      <c r="R35" s="7">
        <f t="shared" si="17"/>
        <v>4.1939911494971579E-3</v>
      </c>
      <c r="S35" s="2"/>
      <c r="T35" s="6">
        <v>1800</v>
      </c>
      <c r="U35" s="2"/>
      <c r="V35" s="7">
        <f t="shared" si="18"/>
        <v>1.1248945411367684E-3</v>
      </c>
      <c r="W35" s="2"/>
      <c r="X35" s="6">
        <f t="shared" si="19"/>
        <v>2682.5200000000004</v>
      </c>
      <c r="Y35" s="2"/>
      <c r="Z35" s="7">
        <f t="shared" si="20"/>
        <v>1.4902888888888892</v>
      </c>
    </row>
    <row r="36" spans="1:26" s="26" customFormat="1" outlineLevel="1" collapsed="1" x14ac:dyDescent="0.25">
      <c r="A36" s="25"/>
      <c r="B36" s="12" t="str">
        <f>CONCATENATE("     ","*Payroll                                          ")</f>
        <v xml:space="preserve">     *Payroll                                          </v>
      </c>
      <c r="C36" s="12"/>
      <c r="D36" s="1">
        <f>SUM(OSRRefD22_1x_0)</f>
        <v>5840.3</v>
      </c>
      <c r="E36" s="1"/>
      <c r="F36" s="5">
        <f t="shared" ref="F36:F46" si="21">IF(D$12=0,0,D36/D$12)</f>
        <v>0</v>
      </c>
      <c r="G36" s="1"/>
      <c r="H36" s="1">
        <f>SUM(OSRRefH22_1x_0)</f>
        <v>14137.39430769231</v>
      </c>
      <c r="I36" s="1"/>
      <c r="J36" s="5">
        <f t="shared" ref="J36:J46" si="22">IF(H$12=0,0,H36/H$12)</f>
        <v>0.27451251082897687</v>
      </c>
      <c r="K36" s="1"/>
      <c r="L36" s="1">
        <f t="shared" ref="L36:L46" si="23">+D36-H36</f>
        <v>-8297.0943076923104</v>
      </c>
      <c r="M36" s="1"/>
      <c r="N36" s="5">
        <f t="shared" ref="N36:N46" si="24">IF(H36=0,0,L36/H36)</f>
        <v>-0.58688992660958539</v>
      </c>
      <c r="O36" s="12"/>
      <c r="P36" s="1">
        <f>SUM(OSRRefP22_1x_0)</f>
        <v>322528.69</v>
      </c>
      <c r="Q36" s="1"/>
      <c r="R36" s="5">
        <f t="shared" ref="R36:R46" si="25">IF(P$12=0,0,P36/P$12)</f>
        <v>0.30176830696102025</v>
      </c>
      <c r="S36" s="1"/>
      <c r="T36" s="1">
        <f>SUM(OSRRefT22_1x_0)</f>
        <v>398026.24938461557</v>
      </c>
      <c r="U36" s="1"/>
      <c r="V36" s="5">
        <f t="shared" ref="V36:V46" si="26">IF(T$12=0,0,T36/T$12)</f>
        <v>0.24874308620105337</v>
      </c>
      <c r="W36" s="1"/>
      <c r="X36" s="1">
        <f t="shared" ref="X36:X46" si="27">+P36-T36</f>
        <v>-75497.559384615568</v>
      </c>
      <c r="Y36" s="1"/>
      <c r="Z36" s="5">
        <f t="shared" ref="Z36:Z46" si="28">IF(T36=0,0,X36/T36)</f>
        <v>-0.1896798502645029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5840.3</v>
      </c>
      <c r="E38" s="2"/>
      <c r="F38" s="7">
        <f t="shared" si="21"/>
        <v>0</v>
      </c>
      <c r="G38" s="2"/>
      <c r="H38" s="6">
        <v>4563.6923076923094</v>
      </c>
      <c r="I38" s="2"/>
      <c r="J38" s="7">
        <f t="shared" si="22"/>
        <v>8.8615384615384651E-2</v>
      </c>
      <c r="K38" s="2"/>
      <c r="L38" s="6">
        <f t="shared" si="23"/>
        <v>1276.6076923076907</v>
      </c>
      <c r="M38" s="2"/>
      <c r="N38" s="7">
        <f t="shared" si="24"/>
        <v>0.27973132416396934</v>
      </c>
      <c r="O38" s="11"/>
      <c r="P38" s="6">
        <v>90172.72</v>
      </c>
      <c r="Q38" s="2"/>
      <c r="R38" s="7">
        <f t="shared" si="25"/>
        <v>8.4368522528864426E-2</v>
      </c>
      <c r="S38" s="2"/>
      <c r="T38" s="6">
        <v>102112.61538461555</v>
      </c>
      <c r="U38" s="2"/>
      <c r="V38" s="7">
        <f t="shared" si="26"/>
        <v>6.3814402015195795E-2</v>
      </c>
      <c r="W38" s="2"/>
      <c r="X38" s="6">
        <f t="shared" si="27"/>
        <v>-11939.895384615549</v>
      </c>
      <c r="Y38" s="2"/>
      <c r="Z38" s="7">
        <f t="shared" si="28"/>
        <v>-0.11692870013800893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1"/>
        <v>0</v>
      </c>
      <c r="G40" s="2"/>
      <c r="H40" s="6">
        <v>2996.3519999999999</v>
      </c>
      <c r="I40" s="2"/>
      <c r="J40" s="7">
        <f t="shared" si="22"/>
        <v>5.8181592233009706E-2</v>
      </c>
      <c r="K40" s="2"/>
      <c r="L40" s="6">
        <f t="shared" si="23"/>
        <v>-2996.3519999999999</v>
      </c>
      <c r="M40" s="2"/>
      <c r="N40" s="7">
        <f t="shared" si="24"/>
        <v>-1</v>
      </c>
      <c r="O40" s="11"/>
      <c r="P40" s="6">
        <v>38197.160000000003</v>
      </c>
      <c r="Q40" s="2"/>
      <c r="R40" s="7">
        <f t="shared" si="25"/>
        <v>3.5738502221055762E-2</v>
      </c>
      <c r="S40" s="2"/>
      <c r="T40" s="6">
        <v>41768.334000000003</v>
      </c>
      <c r="U40" s="2"/>
      <c r="V40" s="7">
        <f t="shared" si="26"/>
        <v>2.6102761616098494E-2</v>
      </c>
      <c r="W40" s="2"/>
      <c r="X40" s="6">
        <f t="shared" si="27"/>
        <v>-3571.1739999999991</v>
      </c>
      <c r="Y40" s="2"/>
      <c r="Z40" s="7">
        <f t="shared" si="28"/>
        <v>-8.5499555716059897E-2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3890.25</v>
      </c>
      <c r="I41" s="2"/>
      <c r="J41" s="7">
        <f t="shared" si="22"/>
        <v>7.5538834951456316E-2</v>
      </c>
      <c r="K41" s="2"/>
      <c r="L41" s="6">
        <f t="shared" si="23"/>
        <v>-3890.25</v>
      </c>
      <c r="M41" s="2"/>
      <c r="N41" s="7">
        <f t="shared" si="24"/>
        <v>-1</v>
      </c>
      <c r="O41" s="11"/>
      <c r="P41" s="6">
        <v>91629.97</v>
      </c>
      <c r="Q41" s="2"/>
      <c r="R41" s="7">
        <f t="shared" si="25"/>
        <v>8.5731972910034995E-2</v>
      </c>
      <c r="S41" s="2"/>
      <c r="T41" s="6">
        <v>105104.2</v>
      </c>
      <c r="U41" s="2"/>
      <c r="V41" s="7">
        <f t="shared" si="26"/>
        <v>6.5683967128081736E-2</v>
      </c>
      <c r="W41" s="2"/>
      <c r="X41" s="6">
        <f t="shared" si="27"/>
        <v>-13474.229999999996</v>
      </c>
      <c r="Y41" s="2"/>
      <c r="Z41" s="7">
        <f t="shared" si="28"/>
        <v>-0.12819877797461943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7215.01</v>
      </c>
      <c r="Q42" s="2"/>
      <c r="R42" s="7">
        <f t="shared" si="25"/>
        <v>6.7505974504371404E-3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7215.01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1"/>
        <v>0</v>
      </c>
      <c r="G43" s="2"/>
      <c r="H43" s="6">
        <v>2687.1</v>
      </c>
      <c r="I43" s="2"/>
      <c r="J43" s="7">
        <f t="shared" si="22"/>
        <v>5.2176699029126208E-2</v>
      </c>
      <c r="K43" s="2"/>
      <c r="L43" s="6">
        <f t="shared" si="23"/>
        <v>-2687.1</v>
      </c>
      <c r="M43" s="2"/>
      <c r="N43" s="7">
        <f t="shared" si="24"/>
        <v>-1</v>
      </c>
      <c r="O43" s="11"/>
      <c r="P43" s="6">
        <v>93483.83</v>
      </c>
      <c r="Q43" s="2"/>
      <c r="R43" s="7">
        <f t="shared" si="25"/>
        <v>8.7466504475405993E-2</v>
      </c>
      <c r="S43" s="2"/>
      <c r="T43" s="6">
        <v>5222.1000000000004</v>
      </c>
      <c r="U43" s="2"/>
      <c r="V43" s="7">
        <f t="shared" si="26"/>
        <v>3.2635065462612882E-3</v>
      </c>
      <c r="W43" s="2"/>
      <c r="X43" s="6">
        <f t="shared" si="27"/>
        <v>88261.73</v>
      </c>
      <c r="Y43" s="2"/>
      <c r="Z43" s="7">
        <f t="shared" si="28"/>
        <v>16.901577909270216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1830</v>
      </c>
      <c r="Q44" s="2"/>
      <c r="R44" s="7">
        <f t="shared" si="25"/>
        <v>1.7122073752219285E-3</v>
      </c>
      <c r="S44" s="2"/>
      <c r="T44" s="6">
        <v>143819</v>
      </c>
      <c r="U44" s="2"/>
      <c r="V44" s="7">
        <f t="shared" si="26"/>
        <v>8.987844889541606E-2</v>
      </c>
      <c r="W44" s="2"/>
      <c r="X44" s="6">
        <f t="shared" si="27"/>
        <v>-141989</v>
      </c>
      <c r="Y44" s="2"/>
      <c r="Z44" s="7">
        <f t="shared" si="28"/>
        <v>-0.98727567289440199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6" customFormat="1" outlineLevel="1" collapsed="1" x14ac:dyDescent="0.25">
      <c r="A47" s="25"/>
      <c r="B47" s="12" t="str">
        <f>CONCATENATE("     ","Advertising/Promo                                 ")</f>
        <v xml:space="preserve">     Advertising/Promo                                 </v>
      </c>
      <c r="C47" s="12"/>
      <c r="D47" s="1">
        <f>SUM(OSRRefD22_2x_0)</f>
        <v>0</v>
      </c>
      <c r="E47" s="1"/>
      <c r="F47" s="5">
        <f t="shared" ref="F47:F56" si="29">IF(D$12=0,0,D47/D$12)</f>
        <v>0</v>
      </c>
      <c r="G47" s="1"/>
      <c r="H47" s="1">
        <f>SUM(OSRRefH22_2x_0)</f>
        <v>250</v>
      </c>
      <c r="I47" s="1"/>
      <c r="J47" s="5">
        <f t="shared" ref="J47:J56" si="30">IF(H$12=0,0,H47/H$12)</f>
        <v>4.8543689320388345E-3</v>
      </c>
      <c r="K47" s="1"/>
      <c r="L47" s="1">
        <f t="shared" ref="L47:L56" si="31">+D47-H47</f>
        <v>-250</v>
      </c>
      <c r="M47" s="1"/>
      <c r="N47" s="5">
        <f t="shared" ref="N47:N56" si="32">IF(H47=0,0,L47/H47)</f>
        <v>-1</v>
      </c>
      <c r="O47" s="12"/>
      <c r="P47" s="1">
        <f>SUM(OSRRefP22_2x_0)</f>
        <v>4363.6499999999996</v>
      </c>
      <c r="Q47" s="1"/>
      <c r="R47" s="5">
        <f t="shared" ref="R47:R56" si="33">IF(P$12=0,0,P47/P$12)</f>
        <v>4.0827725207033703E-3</v>
      </c>
      <c r="S47" s="1"/>
      <c r="T47" s="1">
        <f>SUM(OSRRefT22_2x_0)</f>
        <v>8230</v>
      </c>
      <c r="U47" s="1"/>
      <c r="V47" s="5">
        <f t="shared" ref="V47:V56" si="34">IF(T$12=0,0,T47/T$12)</f>
        <v>5.1432678186420023E-3</v>
      </c>
      <c r="W47" s="1"/>
      <c r="X47" s="1">
        <f t="shared" ref="X47:X56" si="35">+P47-T47</f>
        <v>-3866.3500000000004</v>
      </c>
      <c r="Y47" s="1"/>
      <c r="Z47" s="5">
        <f t="shared" ref="Z47:Z56" si="36">IF(T47=0,0,X47/T47)</f>
        <v>-0.46978736330498183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9"/>
        <v>0</v>
      </c>
      <c r="G48" s="2"/>
      <c r="H48" s="6">
        <v>250</v>
      </c>
      <c r="I48" s="2"/>
      <c r="J48" s="7">
        <f t="shared" si="30"/>
        <v>4.8543689320388345E-3</v>
      </c>
      <c r="K48" s="2"/>
      <c r="L48" s="6">
        <f t="shared" si="31"/>
        <v>-250</v>
      </c>
      <c r="M48" s="2"/>
      <c r="N48" s="7">
        <f t="shared" si="32"/>
        <v>-1</v>
      </c>
      <c r="O48" s="11"/>
      <c r="P48" s="6">
        <v>4363.6499999999996</v>
      </c>
      <c r="Q48" s="2"/>
      <c r="R48" s="7">
        <f t="shared" si="33"/>
        <v>4.0827725207033703E-3</v>
      </c>
      <c r="S48" s="2"/>
      <c r="T48" s="6">
        <v>8230</v>
      </c>
      <c r="U48" s="2"/>
      <c r="V48" s="7">
        <f t="shared" si="34"/>
        <v>5.1432678186420023E-3</v>
      </c>
      <c r="W48" s="2"/>
      <c r="X48" s="6">
        <f t="shared" si="35"/>
        <v>-3866.3500000000004</v>
      </c>
      <c r="Y48" s="2"/>
      <c r="Z48" s="7">
        <f t="shared" si="36"/>
        <v>-0.46978736330498183</v>
      </c>
    </row>
    <row r="49" spans="1:26" s="26" customFormat="1" outlineLevel="1" collapsed="1" x14ac:dyDescent="0.25">
      <c r="A49" s="25"/>
      <c r="B49" s="12" t="str">
        <f>CONCATENATE("     ","Bad Debts/Over/Short                              ")</f>
        <v xml:space="preserve">     Bad Debts/Over/Short                              </v>
      </c>
      <c r="C49" s="12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10</v>
      </c>
      <c r="I49" s="1"/>
      <c r="J49" s="5">
        <f t="shared" si="30"/>
        <v>1.9417475728155341E-4</v>
      </c>
      <c r="K49" s="1"/>
      <c r="L49" s="1">
        <f t="shared" si="31"/>
        <v>-10</v>
      </c>
      <c r="M49" s="1"/>
      <c r="N49" s="5">
        <f t="shared" si="32"/>
        <v>-1</v>
      </c>
      <c r="O49" s="12"/>
      <c r="P49" s="1">
        <f>SUM(OSRRefP22_3x_0)</f>
        <v>-326.89</v>
      </c>
      <c r="Q49" s="1"/>
      <c r="R49" s="5">
        <f t="shared" si="33"/>
        <v>-3.0584889010180119E-4</v>
      </c>
      <c r="S49" s="1"/>
      <c r="T49" s="1">
        <f>SUM(OSRRefT22_3x_0)</f>
        <v>120</v>
      </c>
      <c r="U49" s="1"/>
      <c r="V49" s="5">
        <f t="shared" si="34"/>
        <v>7.4992969409117896E-5</v>
      </c>
      <c r="W49" s="1"/>
      <c r="X49" s="1">
        <f t="shared" si="35"/>
        <v>-446.89</v>
      </c>
      <c r="Y49" s="1"/>
      <c r="Z49" s="5">
        <f t="shared" si="36"/>
        <v>-3.7240833333333332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9"/>
        <v>0</v>
      </c>
      <c r="G50" s="2"/>
      <c r="H50" s="6">
        <v>10</v>
      </c>
      <c r="I50" s="2"/>
      <c r="J50" s="7">
        <f t="shared" si="30"/>
        <v>1.9417475728155341E-4</v>
      </c>
      <c r="K50" s="2"/>
      <c r="L50" s="6">
        <f t="shared" si="31"/>
        <v>-10</v>
      </c>
      <c r="M50" s="2"/>
      <c r="N50" s="7">
        <f t="shared" si="32"/>
        <v>-1</v>
      </c>
      <c r="O50" s="11"/>
      <c r="P50" s="6">
        <v>-326.89</v>
      </c>
      <c r="Q50" s="2"/>
      <c r="R50" s="7">
        <f t="shared" si="33"/>
        <v>-3.0584889010180119E-4</v>
      </c>
      <c r="S50" s="2"/>
      <c r="T50" s="6">
        <v>120</v>
      </c>
      <c r="U50" s="2"/>
      <c r="V50" s="7">
        <f t="shared" si="34"/>
        <v>7.4992969409117896E-5</v>
      </c>
      <c r="W50" s="2"/>
      <c r="X50" s="6">
        <f t="shared" si="35"/>
        <v>-446.89</v>
      </c>
      <c r="Y50" s="2"/>
      <c r="Z50" s="7">
        <f t="shared" si="36"/>
        <v>-3.7240833333333332</v>
      </c>
    </row>
    <row r="51" spans="1:26" s="26" customFormat="1" outlineLevel="1" collapsed="1" x14ac:dyDescent="0.25">
      <c r="A51" s="25"/>
      <c r="B51" s="12" t="str">
        <f>CONCATENATE("     ","Bank/card Fees                                    ")</f>
        <v xml:space="preserve">     Bank/card Fees                                    </v>
      </c>
      <c r="C51" s="12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1820</v>
      </c>
      <c r="I51" s="1"/>
      <c r="J51" s="5">
        <f t="shared" si="30"/>
        <v>3.5339805825242716E-2</v>
      </c>
      <c r="K51" s="1"/>
      <c r="L51" s="1">
        <f t="shared" si="31"/>
        <v>-1820</v>
      </c>
      <c r="M51" s="1"/>
      <c r="N51" s="5">
        <f t="shared" si="32"/>
        <v>-1</v>
      </c>
      <c r="O51" s="12"/>
      <c r="P51" s="1">
        <f>SUM(OSRRefP22_4x_0)</f>
        <v>42823.43</v>
      </c>
      <c r="Q51" s="1"/>
      <c r="R51" s="5">
        <f t="shared" si="33"/>
        <v>4.0066990534590161E-2</v>
      </c>
      <c r="S51" s="1"/>
      <c r="T51" s="1">
        <f>SUM(OSRRefT22_4x_0)</f>
        <v>58780</v>
      </c>
      <c r="U51" s="1"/>
      <c r="V51" s="5">
        <f t="shared" si="34"/>
        <v>3.6734056182232917E-2</v>
      </c>
      <c r="W51" s="1"/>
      <c r="X51" s="1">
        <f t="shared" si="35"/>
        <v>-15956.57</v>
      </c>
      <c r="Y51" s="1"/>
      <c r="Z51" s="5">
        <f t="shared" si="36"/>
        <v>-0.27146257230350457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/>
      <c r="E52" s="2"/>
      <c r="F52" s="7">
        <f t="shared" si="29"/>
        <v>0</v>
      </c>
      <c r="G52" s="2"/>
      <c r="H52" s="6">
        <v>1820</v>
      </c>
      <c r="I52" s="2"/>
      <c r="J52" s="7">
        <f t="shared" si="30"/>
        <v>3.5339805825242716E-2</v>
      </c>
      <c r="K52" s="2"/>
      <c r="L52" s="6">
        <f t="shared" si="31"/>
        <v>-1820</v>
      </c>
      <c r="M52" s="2"/>
      <c r="N52" s="7">
        <f t="shared" si="32"/>
        <v>-1</v>
      </c>
      <c r="O52" s="11"/>
      <c r="P52" s="6">
        <v>42823.43</v>
      </c>
      <c r="Q52" s="2"/>
      <c r="R52" s="7">
        <f t="shared" si="33"/>
        <v>4.0066990534590161E-2</v>
      </c>
      <c r="S52" s="2"/>
      <c r="T52" s="6">
        <v>58780</v>
      </c>
      <c r="U52" s="2"/>
      <c r="V52" s="7">
        <f t="shared" si="34"/>
        <v>3.6734056182232917E-2</v>
      </c>
      <c r="W52" s="2"/>
      <c r="X52" s="6">
        <f t="shared" si="35"/>
        <v>-15956.57</v>
      </c>
      <c r="Y52" s="2"/>
      <c r="Z52" s="7">
        <f t="shared" si="36"/>
        <v>-0.27146257230350457</v>
      </c>
    </row>
    <row r="53" spans="1:26" s="26" customFormat="1" outlineLevel="1" collapsed="1" x14ac:dyDescent="0.25">
      <c r="A53" s="25"/>
      <c r="B53" s="12" t="str">
        <f>CONCATENATE("     ","Depreciation                                      ")</f>
        <v xml:space="preserve">     Depreciation                                      </v>
      </c>
      <c r="C53" s="12"/>
      <c r="D53" s="1">
        <f>SUM(OSRRefD22_5x_0)</f>
        <v>7177.5300000000007</v>
      </c>
      <c r="E53" s="1"/>
      <c r="F53" s="5">
        <f t="shared" si="29"/>
        <v>0</v>
      </c>
      <c r="G53" s="1"/>
      <c r="H53" s="1">
        <f>SUM(OSRRefH22_5x_0)</f>
        <v>8780</v>
      </c>
      <c r="I53" s="1"/>
      <c r="J53" s="5">
        <f t="shared" si="30"/>
        <v>0.17048543689320389</v>
      </c>
      <c r="K53" s="1"/>
      <c r="L53" s="1">
        <f t="shared" si="31"/>
        <v>-1602.4699999999993</v>
      </c>
      <c r="M53" s="1"/>
      <c r="N53" s="5">
        <f t="shared" si="32"/>
        <v>-0.18251366742596803</v>
      </c>
      <c r="O53" s="12"/>
      <c r="P53" s="1">
        <f>SUM(OSRRefP22_5x_0)</f>
        <v>96111.98</v>
      </c>
      <c r="Q53" s="1"/>
      <c r="R53" s="5">
        <f t="shared" si="33"/>
        <v>8.9925486886984957E-2</v>
      </c>
      <c r="S53" s="1"/>
      <c r="T53" s="1">
        <f>SUM(OSRRefT22_5x_0)</f>
        <v>104892</v>
      </c>
      <c r="U53" s="1"/>
      <c r="V53" s="5">
        <f t="shared" si="34"/>
        <v>6.555135456050995E-2</v>
      </c>
      <c r="W53" s="1"/>
      <c r="X53" s="1">
        <f t="shared" si="35"/>
        <v>-8780.0200000000041</v>
      </c>
      <c r="Y53" s="1"/>
      <c r="Z53" s="5">
        <f t="shared" si="36"/>
        <v>-8.3705335011249701E-2</v>
      </c>
    </row>
    <row r="54" spans="1:26" s="24" customFormat="1" hidden="1" outlineLevel="2" x14ac:dyDescent="0.25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6537.06</v>
      </c>
      <c r="E54" s="2"/>
      <c r="F54" s="7">
        <f t="shared" si="29"/>
        <v>0</v>
      </c>
      <c r="G54" s="2"/>
      <c r="H54" s="6">
        <v>6537</v>
      </c>
      <c r="I54" s="2"/>
      <c r="J54" s="7">
        <f t="shared" si="30"/>
        <v>0.12693203883495147</v>
      </c>
      <c r="K54" s="2"/>
      <c r="L54" s="6">
        <f t="shared" si="31"/>
        <v>6.0000000000400178E-2</v>
      </c>
      <c r="M54" s="2"/>
      <c r="N54" s="7">
        <f t="shared" si="32"/>
        <v>9.1785222579776929E-6</v>
      </c>
      <c r="O54" s="11"/>
      <c r="P54" s="6">
        <v>78444.61</v>
      </c>
      <c r="Q54" s="2"/>
      <c r="R54" s="7">
        <f t="shared" si="33"/>
        <v>7.3395322288747455E-2</v>
      </c>
      <c r="S54" s="2"/>
      <c r="T54" s="6">
        <v>78444</v>
      </c>
      <c r="U54" s="2"/>
      <c r="V54" s="7">
        <f t="shared" si="34"/>
        <v>4.9022904102740371E-2</v>
      </c>
      <c r="W54" s="2"/>
      <c r="X54" s="6">
        <f t="shared" si="35"/>
        <v>0.61000000000058208</v>
      </c>
      <c r="Y54" s="2"/>
      <c r="Z54" s="7">
        <f t="shared" si="36"/>
        <v>7.7762480240755459E-6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640.47</v>
      </c>
      <c r="E55" s="2"/>
      <c r="F55" s="7">
        <f t="shared" si="29"/>
        <v>0</v>
      </c>
      <c r="G55" s="2"/>
      <c r="H55" s="6">
        <v>1726</v>
      </c>
      <c r="I55" s="2"/>
      <c r="J55" s="7">
        <f t="shared" si="30"/>
        <v>3.3514563106796118E-2</v>
      </c>
      <c r="K55" s="2"/>
      <c r="L55" s="6">
        <f t="shared" si="31"/>
        <v>-1085.53</v>
      </c>
      <c r="M55" s="2"/>
      <c r="N55" s="7">
        <f t="shared" si="32"/>
        <v>-0.62892815758980303</v>
      </c>
      <c r="O55" s="11"/>
      <c r="P55" s="6">
        <v>17667.37</v>
      </c>
      <c r="Q55" s="2"/>
      <c r="R55" s="7">
        <f t="shared" si="33"/>
        <v>1.6530164598237508E-2</v>
      </c>
      <c r="S55" s="2"/>
      <c r="T55" s="6">
        <v>20712</v>
      </c>
      <c r="U55" s="2"/>
      <c r="V55" s="7">
        <f t="shared" si="34"/>
        <v>1.2943786520013748E-2</v>
      </c>
      <c r="W55" s="2"/>
      <c r="X55" s="6">
        <f t="shared" si="35"/>
        <v>-3044.630000000001</v>
      </c>
      <c r="Y55" s="2"/>
      <c r="Z55" s="7">
        <f t="shared" si="36"/>
        <v>-0.146998358439552</v>
      </c>
    </row>
    <row r="56" spans="1:26" s="24" customFormat="1" hidden="1" outlineLevel="2" x14ac:dyDescent="0.25">
      <c r="A56" s="27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9"/>
        <v>0</v>
      </c>
      <c r="G56" s="2"/>
      <c r="H56" s="6">
        <v>517</v>
      </c>
      <c r="I56" s="2"/>
      <c r="J56" s="7">
        <f t="shared" si="30"/>
        <v>1.0038834951456311E-2</v>
      </c>
      <c r="K56" s="2"/>
      <c r="L56" s="6">
        <f t="shared" si="31"/>
        <v>-517</v>
      </c>
      <c r="M56" s="2"/>
      <c r="N56" s="7">
        <f t="shared" si="32"/>
        <v>-1</v>
      </c>
      <c r="O56" s="11"/>
      <c r="P56" s="6"/>
      <c r="Q56" s="2"/>
      <c r="R56" s="7">
        <f t="shared" si="33"/>
        <v>0</v>
      </c>
      <c r="S56" s="2"/>
      <c r="T56" s="6">
        <v>5736</v>
      </c>
      <c r="U56" s="2"/>
      <c r="V56" s="7">
        <f t="shared" si="34"/>
        <v>3.5846639377558353E-3</v>
      </c>
      <c r="W56" s="2"/>
      <c r="X56" s="6">
        <f t="shared" si="35"/>
        <v>-5736</v>
      </c>
      <c r="Y56" s="2"/>
      <c r="Z56" s="7">
        <f t="shared" si="36"/>
        <v>-1</v>
      </c>
    </row>
    <row r="57" spans="1:26" s="26" customFormat="1" outlineLevel="1" collapsed="1" x14ac:dyDescent="0.25">
      <c r="A57" s="25"/>
      <c r="B57" s="12" t="str">
        <f>CONCATENATE("     ","Discounts and Markdowns                           ")</f>
        <v xml:space="preserve">     Discounts and Markdowns                           </v>
      </c>
      <c r="C57" s="12"/>
      <c r="D57" s="1">
        <f>SUM(OSRRefD22_6x_0)</f>
        <v>0</v>
      </c>
      <c r="E57" s="1"/>
      <c r="F57" s="5">
        <f t="shared" ref="F57:F67" si="37">IF(D$12=0,0,D57/D$12)</f>
        <v>0</v>
      </c>
      <c r="G57" s="1"/>
      <c r="H57" s="1">
        <f>SUM(OSRRefH22_6x_0)</f>
        <v>0</v>
      </c>
      <c r="I57" s="1"/>
      <c r="J57" s="5">
        <f t="shared" ref="J57:J67" si="38">IF(H$12=0,0,H57/H$12)</f>
        <v>0</v>
      </c>
      <c r="K57" s="1"/>
      <c r="L57" s="1">
        <f t="shared" ref="L57:L67" si="39">+D57-H57</f>
        <v>0</v>
      </c>
      <c r="M57" s="1"/>
      <c r="N57" s="5">
        <f t="shared" ref="N57:N67" si="40">IF(H57=0,0,L57/H57)</f>
        <v>0</v>
      </c>
      <c r="O57" s="12"/>
      <c r="P57" s="1">
        <f>SUM(OSRRefP22_6x_0)</f>
        <v>0.09</v>
      </c>
      <c r="Q57" s="1"/>
      <c r="R57" s="5">
        <f t="shared" ref="R57:R67" si="41">IF(P$12=0,0,P57/P$12)</f>
        <v>8.4206920092881724E-8</v>
      </c>
      <c r="S57" s="1"/>
      <c r="T57" s="1">
        <f>SUM(OSRRefT22_6x_0)</f>
        <v>0</v>
      </c>
      <c r="U57" s="1"/>
      <c r="V57" s="5">
        <f t="shared" ref="V57:V67" si="42">IF(T$12=0,0,T57/T$12)</f>
        <v>0</v>
      </c>
      <c r="W57" s="1"/>
      <c r="X57" s="1">
        <f t="shared" ref="X57:X67" si="43">+P57-T57</f>
        <v>0.09</v>
      </c>
      <c r="Y57" s="1"/>
      <c r="Z57" s="5">
        <f t="shared" ref="Z57:Z67" si="44">IF(T57=0,0,X57/T57)</f>
        <v>0</v>
      </c>
    </row>
    <row r="58" spans="1:26" s="24" customFormat="1" hidden="1" outlineLevel="2" x14ac:dyDescent="0.25">
      <c r="A58" s="27"/>
      <c r="B58" s="11" t="str">
        <f>CONCATENATE("          ", "6382", " - ", "DISCOUNTS/MARK DOWNS")</f>
        <v xml:space="preserve">          6382 - DISCOUNTS/MARK DOWNS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0.09</v>
      </c>
      <c r="Q58" s="2"/>
      <c r="R58" s="7">
        <f t="shared" si="41"/>
        <v>8.4206920092881724E-8</v>
      </c>
      <c r="S58" s="2"/>
      <c r="T58" s="6"/>
      <c r="U58" s="2"/>
      <c r="V58" s="7">
        <f t="shared" si="42"/>
        <v>0</v>
      </c>
      <c r="W58" s="2"/>
      <c r="X58" s="6">
        <f t="shared" si="43"/>
        <v>0.09</v>
      </c>
      <c r="Y58" s="2"/>
      <c r="Z58" s="7">
        <f t="shared" si="44"/>
        <v>0</v>
      </c>
    </row>
    <row r="59" spans="1:26" s="26" customFormat="1" outlineLevel="1" collapsed="1" x14ac:dyDescent="0.25">
      <c r="A59" s="25"/>
      <c r="B59" s="12" t="str">
        <f>CONCATENATE("     ","Donations                                         ")</f>
        <v xml:space="preserve">     Donations                                         </v>
      </c>
      <c r="C59" s="12"/>
      <c r="D59" s="1">
        <f>SUM(OSRRefD22_7x_0)</f>
        <v>0</v>
      </c>
      <c r="E59" s="1"/>
      <c r="F59" s="5">
        <f t="shared" si="37"/>
        <v>0</v>
      </c>
      <c r="G59" s="1"/>
      <c r="H59" s="1">
        <f>SUM(OSRRefH22_7x_0)</f>
        <v>0</v>
      </c>
      <c r="I59" s="1"/>
      <c r="J59" s="5">
        <f t="shared" si="38"/>
        <v>0</v>
      </c>
      <c r="K59" s="1"/>
      <c r="L59" s="1">
        <f t="shared" si="39"/>
        <v>0</v>
      </c>
      <c r="M59" s="1"/>
      <c r="N59" s="5">
        <f t="shared" si="40"/>
        <v>0</v>
      </c>
      <c r="O59" s="12"/>
      <c r="P59" s="1">
        <f>SUM(OSRRefP22_7x_0)</f>
        <v>73</v>
      </c>
      <c r="Q59" s="1"/>
      <c r="R59" s="5">
        <f t="shared" si="41"/>
        <v>6.8301168519781851E-5</v>
      </c>
      <c r="S59" s="1"/>
      <c r="T59" s="1">
        <f>SUM(OSRRefT22_7x_0)</f>
        <v>200</v>
      </c>
      <c r="U59" s="1"/>
      <c r="V59" s="5">
        <f t="shared" si="42"/>
        <v>1.2498828234852981E-4</v>
      </c>
      <c r="W59" s="1"/>
      <c r="X59" s="1">
        <f t="shared" si="43"/>
        <v>-127</v>
      </c>
      <c r="Y59" s="1"/>
      <c r="Z59" s="5">
        <f t="shared" si="44"/>
        <v>-0.63500000000000001</v>
      </c>
    </row>
    <row r="60" spans="1:26" s="24" customFormat="1" hidden="1" outlineLevel="2" x14ac:dyDescent="0.25">
      <c r="A60" s="27"/>
      <c r="B60" s="11" t="str">
        <f>CONCATENATE("          ", "6399", " - ", "DONATION-ON CAMPUS")</f>
        <v xml:space="preserve">          6399 - DONATION-ON CAMPUS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73</v>
      </c>
      <c r="Q60" s="2"/>
      <c r="R60" s="7">
        <f t="shared" si="41"/>
        <v>6.8301168519781851E-5</v>
      </c>
      <c r="S60" s="2"/>
      <c r="T60" s="6">
        <v>200</v>
      </c>
      <c r="U60" s="2"/>
      <c r="V60" s="7">
        <f t="shared" si="42"/>
        <v>1.2498828234852981E-4</v>
      </c>
      <c r="W60" s="2"/>
      <c r="X60" s="6">
        <f t="shared" si="43"/>
        <v>-127</v>
      </c>
      <c r="Y60" s="2"/>
      <c r="Z60" s="7">
        <f t="shared" si="44"/>
        <v>-0.63500000000000001</v>
      </c>
    </row>
    <row r="61" spans="1:26" s="26" customFormat="1" outlineLevel="1" collapsed="1" x14ac:dyDescent="0.25">
      <c r="A61" s="25"/>
      <c r="B61" s="12" t="str">
        <f>CONCATENATE("     ","Employees' Appreciation                           ")</f>
        <v xml:space="preserve">     Employees' Appreciation                           </v>
      </c>
      <c r="C61" s="12"/>
      <c r="D61" s="1">
        <f>SUM(OSRRefD22_8x_0)</f>
        <v>0</v>
      </c>
      <c r="E61" s="1"/>
      <c r="F61" s="5">
        <f t="shared" si="37"/>
        <v>0</v>
      </c>
      <c r="G61" s="1"/>
      <c r="H61" s="1">
        <f>SUM(OSRRefH22_8x_0)</f>
        <v>75</v>
      </c>
      <c r="I61" s="1"/>
      <c r="J61" s="5">
        <f t="shared" si="38"/>
        <v>1.4563106796116505E-3</v>
      </c>
      <c r="K61" s="1"/>
      <c r="L61" s="1">
        <f t="shared" si="39"/>
        <v>-75</v>
      </c>
      <c r="M61" s="1"/>
      <c r="N61" s="5">
        <f t="shared" si="40"/>
        <v>-1</v>
      </c>
      <c r="O61" s="12"/>
      <c r="P61" s="1">
        <f>SUM(OSRRefP22_8x_0)</f>
        <v>8.25</v>
      </c>
      <c r="Q61" s="1"/>
      <c r="R61" s="5">
        <f t="shared" si="41"/>
        <v>7.7189676751808245E-6</v>
      </c>
      <c r="S61" s="1"/>
      <c r="T61" s="1">
        <f>SUM(OSRRefT22_8x_0)</f>
        <v>1025</v>
      </c>
      <c r="U61" s="1"/>
      <c r="V61" s="5">
        <f t="shared" si="42"/>
        <v>6.4056494703621533E-4</v>
      </c>
      <c r="W61" s="1"/>
      <c r="X61" s="1">
        <f t="shared" si="43"/>
        <v>-1016.75</v>
      </c>
      <c r="Y61" s="1"/>
      <c r="Z61" s="5">
        <f t="shared" si="44"/>
        <v>-0.99195121951219511</v>
      </c>
    </row>
    <row r="62" spans="1:26" s="24" customFormat="1" hidden="1" outlineLevel="2" x14ac:dyDescent="0.25">
      <c r="A62" s="27"/>
      <c r="B62" s="11" t="str">
        <f>CONCATENATE("          ", "6277", " - ", "EMPLOYEE APPRECIATION")</f>
        <v xml:space="preserve">          6277 - EMPLOYEE APPRECIATION</v>
      </c>
      <c r="C62" s="11"/>
      <c r="D62" s="6"/>
      <c r="E62" s="2"/>
      <c r="F62" s="7">
        <f t="shared" si="37"/>
        <v>0</v>
      </c>
      <c r="G62" s="2"/>
      <c r="H62" s="6">
        <v>75</v>
      </c>
      <c r="I62" s="2"/>
      <c r="J62" s="7">
        <f t="shared" si="38"/>
        <v>1.4563106796116505E-3</v>
      </c>
      <c r="K62" s="2"/>
      <c r="L62" s="6">
        <f t="shared" si="39"/>
        <v>-75</v>
      </c>
      <c r="M62" s="2"/>
      <c r="N62" s="7">
        <f t="shared" si="40"/>
        <v>-1</v>
      </c>
      <c r="O62" s="11"/>
      <c r="P62" s="6">
        <v>8.25</v>
      </c>
      <c r="Q62" s="2"/>
      <c r="R62" s="7">
        <f t="shared" si="41"/>
        <v>7.7189676751808245E-6</v>
      </c>
      <c r="S62" s="2"/>
      <c r="T62" s="6">
        <v>1025</v>
      </c>
      <c r="U62" s="2"/>
      <c r="V62" s="7">
        <f t="shared" si="42"/>
        <v>6.4056494703621533E-4</v>
      </c>
      <c r="W62" s="2"/>
      <c r="X62" s="6">
        <f t="shared" si="43"/>
        <v>-1016.75</v>
      </c>
      <c r="Y62" s="2"/>
      <c r="Z62" s="7">
        <f t="shared" si="44"/>
        <v>-0.99195121951219511</v>
      </c>
    </row>
    <row r="63" spans="1:26" s="26" customFormat="1" outlineLevel="1" collapsed="1" x14ac:dyDescent="0.25">
      <c r="A63" s="25"/>
      <c r="B63" s="12" t="str">
        <f>CONCATENATE("     ","Equipment Rental                                  ")</f>
        <v xml:space="preserve">     Equipment Rental                                  </v>
      </c>
      <c r="C63" s="12"/>
      <c r="D63" s="1">
        <f>SUM(OSRRefD22_9x_0)</f>
        <v>263.72000000000003</v>
      </c>
      <c r="E63" s="1"/>
      <c r="F63" s="5">
        <f t="shared" si="37"/>
        <v>0</v>
      </c>
      <c r="G63" s="1"/>
      <c r="H63" s="1">
        <f>SUM(OSRRefH22_9x_0)</f>
        <v>75</v>
      </c>
      <c r="I63" s="1"/>
      <c r="J63" s="5">
        <f t="shared" si="38"/>
        <v>1.4563106796116505E-3</v>
      </c>
      <c r="K63" s="1"/>
      <c r="L63" s="1">
        <f t="shared" si="39"/>
        <v>188.72000000000003</v>
      </c>
      <c r="M63" s="1"/>
      <c r="N63" s="5">
        <f t="shared" si="40"/>
        <v>2.5162666666666671</v>
      </c>
      <c r="O63" s="12"/>
      <c r="P63" s="1">
        <f>SUM(OSRRefP22_9x_0)</f>
        <v>7114.86</v>
      </c>
      <c r="Q63" s="1"/>
      <c r="R63" s="5">
        <f t="shared" si="41"/>
        <v>6.6568938610226721E-3</v>
      </c>
      <c r="S63" s="1"/>
      <c r="T63" s="1">
        <f>SUM(OSRRefT22_9x_0)</f>
        <v>1406</v>
      </c>
      <c r="U63" s="1"/>
      <c r="V63" s="5">
        <f t="shared" si="42"/>
        <v>8.7866762491016471E-4</v>
      </c>
      <c r="W63" s="1"/>
      <c r="X63" s="1">
        <f t="shared" si="43"/>
        <v>5708.86</v>
      </c>
      <c r="Y63" s="1"/>
      <c r="Z63" s="5">
        <f t="shared" si="44"/>
        <v>4.0603556187766712</v>
      </c>
    </row>
    <row r="64" spans="1:26" s="24" customFormat="1" hidden="1" outlineLevel="2" x14ac:dyDescent="0.25">
      <c r="A64" s="27"/>
      <c r="B64" s="11" t="str">
        <f>CONCATENATE("          ", "6351", " - ", "EQUIPMENT RENTAL")</f>
        <v xml:space="preserve">          6351 - EQUIPMENT RENTAL</v>
      </c>
      <c r="C64" s="11"/>
      <c r="D64" s="6">
        <v>263.72000000000003</v>
      </c>
      <c r="E64" s="2"/>
      <c r="F64" s="7">
        <f t="shared" si="37"/>
        <v>0</v>
      </c>
      <c r="G64" s="2"/>
      <c r="H64" s="6">
        <v>75</v>
      </c>
      <c r="I64" s="2"/>
      <c r="J64" s="7">
        <f t="shared" si="38"/>
        <v>1.4563106796116505E-3</v>
      </c>
      <c r="K64" s="2"/>
      <c r="L64" s="6">
        <f t="shared" si="39"/>
        <v>188.72000000000003</v>
      </c>
      <c r="M64" s="2"/>
      <c r="N64" s="7">
        <f t="shared" si="40"/>
        <v>2.5162666666666671</v>
      </c>
      <c r="O64" s="11"/>
      <c r="P64" s="6">
        <v>7114.86</v>
      </c>
      <c r="Q64" s="2"/>
      <c r="R64" s="7">
        <f t="shared" si="41"/>
        <v>6.6568938610226721E-3</v>
      </c>
      <c r="S64" s="2"/>
      <c r="T64" s="6">
        <v>1406</v>
      </c>
      <c r="U64" s="2"/>
      <c r="V64" s="7">
        <f t="shared" si="42"/>
        <v>8.7866762491016471E-4</v>
      </c>
      <c r="W64" s="2"/>
      <c r="X64" s="6">
        <f t="shared" si="43"/>
        <v>5708.86</v>
      </c>
      <c r="Y64" s="2"/>
      <c r="Z64" s="7">
        <f t="shared" si="44"/>
        <v>4.0603556187766712</v>
      </c>
    </row>
    <row r="65" spans="1:26" s="26" customFormat="1" outlineLevel="1" collapsed="1" x14ac:dyDescent="0.25">
      <c r="A65" s="25"/>
      <c r="B65" s="12" t="str">
        <f>CONCATENATE("     ","General                                           ")</f>
        <v xml:space="preserve">     General                                           </v>
      </c>
      <c r="C65" s="12"/>
      <c r="D65" s="1">
        <f>SUM(OSRRefD22_10x_0)</f>
        <v>0</v>
      </c>
      <c r="E65" s="1"/>
      <c r="F65" s="5">
        <f t="shared" si="37"/>
        <v>0</v>
      </c>
      <c r="G65" s="1"/>
      <c r="H65" s="1">
        <f>SUM(OSRRefH22_10x_0)</f>
        <v>0</v>
      </c>
      <c r="I65" s="1"/>
      <c r="J65" s="5">
        <f t="shared" si="38"/>
        <v>0</v>
      </c>
      <c r="K65" s="1"/>
      <c r="L65" s="1">
        <f t="shared" si="39"/>
        <v>0</v>
      </c>
      <c r="M65" s="1"/>
      <c r="N65" s="5">
        <f t="shared" si="40"/>
        <v>0</v>
      </c>
      <c r="O65" s="12"/>
      <c r="P65" s="1">
        <f>SUM(OSRRefP22_10x_0)</f>
        <v>13442.380000000001</v>
      </c>
      <c r="Q65" s="1"/>
      <c r="R65" s="5">
        <f t="shared" si="41"/>
        <v>1.2577126872423907E-2</v>
      </c>
      <c r="S65" s="1"/>
      <c r="T65" s="1">
        <f>SUM(OSRRefT22_10x_0)</f>
        <v>7250</v>
      </c>
      <c r="U65" s="1"/>
      <c r="V65" s="5">
        <f t="shared" si="42"/>
        <v>4.530825235134206E-3</v>
      </c>
      <c r="W65" s="1"/>
      <c r="X65" s="1">
        <f t="shared" si="43"/>
        <v>6192.380000000001</v>
      </c>
      <c r="Y65" s="1"/>
      <c r="Z65" s="5">
        <f t="shared" si="44"/>
        <v>0.85412137931034493</v>
      </c>
    </row>
    <row r="66" spans="1:26" s="24" customFormat="1" hidden="1" outlineLevel="2" x14ac:dyDescent="0.25">
      <c r="A66" s="27"/>
      <c r="B66" s="11" t="str">
        <f>CONCATENATE("          ", "6269", " - ", "ENTERTAINMENT")</f>
        <v xml:space="preserve">          6269 - ENTERTAINMENT</v>
      </c>
      <c r="C66" s="11"/>
      <c r="D66" s="6"/>
      <c r="E66" s="2"/>
      <c r="F66" s="7">
        <f t="shared" si="37"/>
        <v>0</v>
      </c>
      <c r="G66" s="2"/>
      <c r="H66" s="6">
        <v>0</v>
      </c>
      <c r="I66" s="2"/>
      <c r="J66" s="7">
        <f t="shared" si="38"/>
        <v>0</v>
      </c>
      <c r="K66" s="2"/>
      <c r="L66" s="6">
        <f t="shared" si="39"/>
        <v>0</v>
      </c>
      <c r="M66" s="2"/>
      <c r="N66" s="7">
        <f t="shared" si="40"/>
        <v>0</v>
      </c>
      <c r="O66" s="11"/>
      <c r="P66" s="6">
        <v>10050</v>
      </c>
      <c r="Q66" s="2"/>
      <c r="R66" s="7">
        <f t="shared" si="41"/>
        <v>9.4031060770384603E-3</v>
      </c>
      <c r="S66" s="2"/>
      <c r="T66" s="6">
        <v>7250</v>
      </c>
      <c r="U66" s="2"/>
      <c r="V66" s="7">
        <f t="shared" si="42"/>
        <v>4.530825235134206E-3</v>
      </c>
      <c r="W66" s="2"/>
      <c r="X66" s="6">
        <f t="shared" si="43"/>
        <v>2800</v>
      </c>
      <c r="Y66" s="2"/>
      <c r="Z66" s="7">
        <f t="shared" si="44"/>
        <v>0.38620689655172413</v>
      </c>
    </row>
    <row r="67" spans="1:26" s="24" customFormat="1" hidden="1" outlineLevel="2" x14ac:dyDescent="0.25">
      <c r="A67" s="27"/>
      <c r="B67" s="11" t="str">
        <f>CONCATENATE("          ", "6279", " - ", "GENERAL EXPENSE")</f>
        <v xml:space="preserve">          6279 - GENERAL EXPENSE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3392.38</v>
      </c>
      <c r="Q67" s="2"/>
      <c r="R67" s="7">
        <f t="shared" si="41"/>
        <v>3.1740207953854459E-3</v>
      </c>
      <c r="S67" s="2"/>
      <c r="T67" s="6"/>
      <c r="U67" s="2"/>
      <c r="V67" s="7">
        <f t="shared" si="42"/>
        <v>0</v>
      </c>
      <c r="W67" s="2"/>
      <c r="X67" s="6">
        <f t="shared" si="43"/>
        <v>3392.38</v>
      </c>
      <c r="Y67" s="2"/>
      <c r="Z67" s="7">
        <f t="shared" si="44"/>
        <v>0</v>
      </c>
    </row>
    <row r="68" spans="1:26" s="26" customFormat="1" outlineLevel="1" collapsed="1" x14ac:dyDescent="0.25">
      <c r="A68" s="25"/>
      <c r="B68" s="12" t="str">
        <f>CONCATENATE("     ","Repair and Maintenance                            ")</f>
        <v xml:space="preserve">     Repair and Maintenance                            </v>
      </c>
      <c r="C68" s="12"/>
      <c r="D68" s="1">
        <f>SUM(OSRRefD22_11x_0)</f>
        <v>198.87</v>
      </c>
      <c r="E68" s="1"/>
      <c r="F68" s="5">
        <f t="shared" ref="F68:F71" si="45">IF(D$12=0,0,D68/D$12)</f>
        <v>0</v>
      </c>
      <c r="G68" s="1"/>
      <c r="H68" s="1">
        <f>SUM(OSRRefH22_11x_0)</f>
        <v>688</v>
      </c>
      <c r="I68" s="1"/>
      <c r="J68" s="5">
        <f t="shared" ref="J68:J71" si="46">IF(H$12=0,0,H68/H$12)</f>
        <v>1.3359223300970873E-2</v>
      </c>
      <c r="K68" s="1"/>
      <c r="L68" s="1">
        <f t="shared" ref="L68:L71" si="47">+D68-H68</f>
        <v>-489.13</v>
      </c>
      <c r="M68" s="1"/>
      <c r="N68" s="5">
        <f t="shared" ref="N68:N71" si="48">IF(H68=0,0,L68/H68)</f>
        <v>-0.71094476744186041</v>
      </c>
      <c r="O68" s="12"/>
      <c r="P68" s="1">
        <f>SUM(OSRRefP22_11x_0)</f>
        <v>18055.849999999999</v>
      </c>
      <c r="Q68" s="1"/>
      <c r="R68" s="5">
        <f t="shared" ref="R68:R71" si="49">IF(P$12=0,0,P68/P$12)</f>
        <v>1.6893639090656203E-2</v>
      </c>
      <c r="S68" s="1"/>
      <c r="T68" s="1">
        <f>SUM(OSRRefT22_11x_0)</f>
        <v>16652</v>
      </c>
      <c r="U68" s="1"/>
      <c r="V68" s="5">
        <f t="shared" ref="V68:V71" si="50">IF(T$12=0,0,T68/T$12)</f>
        <v>1.0406524388338593E-2</v>
      </c>
      <c r="W68" s="1"/>
      <c r="X68" s="1">
        <f t="shared" ref="X68:X71" si="51">+P68-T68</f>
        <v>1403.8499999999985</v>
      </c>
      <c r="Y68" s="1"/>
      <c r="Z68" s="5">
        <f t="shared" ref="Z68:Z71" si="52">IF(T68=0,0,X68/T68)</f>
        <v>8.4305188565937939E-2</v>
      </c>
    </row>
    <row r="69" spans="1:26" s="24" customFormat="1" hidden="1" outlineLevel="2" x14ac:dyDescent="0.25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6"/>
      <c r="E69" s="2"/>
      <c r="F69" s="7">
        <f t="shared" si="45"/>
        <v>0</v>
      </c>
      <c r="G69" s="2"/>
      <c r="H69" s="6"/>
      <c r="I69" s="2"/>
      <c r="J69" s="7">
        <f t="shared" si="46"/>
        <v>0</v>
      </c>
      <c r="K69" s="2"/>
      <c r="L69" s="6">
        <f t="shared" si="47"/>
        <v>0</v>
      </c>
      <c r="M69" s="2"/>
      <c r="N69" s="7">
        <f t="shared" si="48"/>
        <v>0</v>
      </c>
      <c r="O69" s="11"/>
      <c r="P69" s="6">
        <v>2623.85</v>
      </c>
      <c r="Q69" s="2"/>
      <c r="R69" s="7">
        <f t="shared" si="49"/>
        <v>2.454959192063419E-3</v>
      </c>
      <c r="S69" s="2"/>
      <c r="T69" s="6"/>
      <c r="U69" s="2"/>
      <c r="V69" s="7">
        <f t="shared" si="50"/>
        <v>0</v>
      </c>
      <c r="W69" s="2"/>
      <c r="X69" s="6">
        <f t="shared" si="51"/>
        <v>2623.85</v>
      </c>
      <c r="Y69" s="2"/>
      <c r="Z69" s="7">
        <f t="shared" si="52"/>
        <v>0</v>
      </c>
    </row>
    <row r="70" spans="1:26" s="24" customFormat="1" hidden="1" outlineLevel="2" x14ac:dyDescent="0.25">
      <c r="A70" s="27"/>
      <c r="B70" s="11" t="str">
        <f>CONCATENATE("          ", "6373", " - ", "MAINTENANCE CONTRACTS")</f>
        <v xml:space="preserve">          6373 - MAINTENANCE CONTRACTS</v>
      </c>
      <c r="C70" s="11"/>
      <c r="D70" s="6">
        <v>198.87</v>
      </c>
      <c r="E70" s="2"/>
      <c r="F70" s="7">
        <f t="shared" si="45"/>
        <v>0</v>
      </c>
      <c r="G70" s="2"/>
      <c r="H70" s="6">
        <v>188</v>
      </c>
      <c r="I70" s="2"/>
      <c r="J70" s="7">
        <f t="shared" si="46"/>
        <v>3.6504854368932041E-3</v>
      </c>
      <c r="K70" s="2"/>
      <c r="L70" s="6">
        <f t="shared" si="47"/>
        <v>10.870000000000005</v>
      </c>
      <c r="M70" s="2"/>
      <c r="N70" s="7">
        <f t="shared" si="48"/>
        <v>5.7819148936170239E-2</v>
      </c>
      <c r="O70" s="11"/>
      <c r="P70" s="6">
        <v>1642.82</v>
      </c>
      <c r="Q70" s="2"/>
      <c r="R70" s="7">
        <f t="shared" si="49"/>
        <v>1.537075694077644E-3</v>
      </c>
      <c r="S70" s="2"/>
      <c r="T70" s="6">
        <v>752</v>
      </c>
      <c r="U70" s="2"/>
      <c r="V70" s="7">
        <f t="shared" si="50"/>
        <v>4.6995594163047215E-4</v>
      </c>
      <c r="W70" s="2"/>
      <c r="X70" s="6">
        <f t="shared" si="51"/>
        <v>890.81999999999994</v>
      </c>
      <c r="Y70" s="2"/>
      <c r="Z70" s="7">
        <f t="shared" si="52"/>
        <v>1.1846010638297872</v>
      </c>
    </row>
    <row r="71" spans="1:26" s="24" customFormat="1" hidden="1" outlineLevel="2" x14ac:dyDescent="0.25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45"/>
        <v>0</v>
      </c>
      <c r="G71" s="2"/>
      <c r="H71" s="6">
        <v>500</v>
      </c>
      <c r="I71" s="2"/>
      <c r="J71" s="7">
        <f t="shared" si="46"/>
        <v>9.7087378640776691E-3</v>
      </c>
      <c r="K71" s="2"/>
      <c r="L71" s="6">
        <f t="shared" si="47"/>
        <v>-500</v>
      </c>
      <c r="M71" s="2"/>
      <c r="N71" s="7">
        <f t="shared" si="48"/>
        <v>-1</v>
      </c>
      <c r="O71" s="11"/>
      <c r="P71" s="6">
        <v>13789.18</v>
      </c>
      <c r="Q71" s="2"/>
      <c r="R71" s="7">
        <f t="shared" si="49"/>
        <v>1.2901604204515143E-2</v>
      </c>
      <c r="S71" s="2"/>
      <c r="T71" s="6">
        <v>15900</v>
      </c>
      <c r="U71" s="2"/>
      <c r="V71" s="7">
        <f t="shared" si="50"/>
        <v>9.9365684467081217E-3</v>
      </c>
      <c r="W71" s="2"/>
      <c r="X71" s="6">
        <f t="shared" si="51"/>
        <v>-2110.8199999999997</v>
      </c>
      <c r="Y71" s="2"/>
      <c r="Z71" s="7">
        <f t="shared" si="52"/>
        <v>-0.13275597484276727</v>
      </c>
    </row>
    <row r="72" spans="1:26" s="26" customFormat="1" outlineLevel="1" collapsed="1" x14ac:dyDescent="0.25">
      <c r="A72" s="25"/>
      <c r="B72" s="12" t="str">
        <f>CONCATENATE("     ","Services                                          ")</f>
        <v xml:space="preserve">     Services                                          </v>
      </c>
      <c r="C72" s="12"/>
      <c r="D72" s="1">
        <f>SUM(OSRRefD22_12x_0)</f>
        <v>0</v>
      </c>
      <c r="E72" s="1"/>
      <c r="F72" s="5">
        <f t="shared" ref="F72:F75" si="53">IF(D$12=0,0,D72/D$12)</f>
        <v>0</v>
      </c>
      <c r="G72" s="1"/>
      <c r="H72" s="1">
        <f>SUM(OSRRefH22_12x_0)</f>
        <v>415</v>
      </c>
      <c r="I72" s="1"/>
      <c r="J72" s="5">
        <f t="shared" ref="J72:J75" si="54">IF(H$12=0,0,H72/H$12)</f>
        <v>8.0582524271844667E-3</v>
      </c>
      <c r="K72" s="1"/>
      <c r="L72" s="1">
        <f t="shared" ref="L72:L75" si="55">+D72-H72</f>
        <v>-415</v>
      </c>
      <c r="M72" s="1"/>
      <c r="N72" s="5">
        <f t="shared" ref="N72:N75" si="56">IF(H72=0,0,L72/H72)</f>
        <v>-1</v>
      </c>
      <c r="O72" s="12"/>
      <c r="P72" s="1">
        <f>SUM(OSRRefP22_12x_0)</f>
        <v>3851.3999999999996</v>
      </c>
      <c r="Q72" s="1"/>
      <c r="R72" s="5">
        <f t="shared" ref="R72:R75" si="57">IF(P$12=0,0,P72/P$12)</f>
        <v>3.6034948005080518E-3</v>
      </c>
      <c r="S72" s="1"/>
      <c r="T72" s="1">
        <f>SUM(OSRRefT22_12x_0)</f>
        <v>7245</v>
      </c>
      <c r="U72" s="1"/>
      <c r="V72" s="5">
        <f t="shared" ref="V72:V75" si="58">IF(T$12=0,0,T72/T$12)</f>
        <v>4.527700528075493E-3</v>
      </c>
      <c r="W72" s="1"/>
      <c r="X72" s="1">
        <f t="shared" ref="X72:X75" si="59">+P72-T72</f>
        <v>-3393.6000000000004</v>
      </c>
      <c r="Y72" s="1"/>
      <c r="Z72" s="5">
        <f t="shared" ref="Z72:Z75" si="60">IF(T72=0,0,X72/T72)</f>
        <v>-0.46840579710144931</v>
      </c>
    </row>
    <row r="73" spans="1:26" s="24" customFormat="1" hidden="1" outlineLevel="2" x14ac:dyDescent="0.25">
      <c r="A73" s="27"/>
      <c r="B73" s="11" t="str">
        <f>CONCATENATE("          ", "6283", " - ", "PLANT SERVICE")</f>
        <v xml:space="preserve">          6283 - PLANT SERVICE</v>
      </c>
      <c r="C73" s="11"/>
      <c r="D73" s="6"/>
      <c r="E73" s="2"/>
      <c r="F73" s="7">
        <f t="shared" si="53"/>
        <v>0</v>
      </c>
      <c r="G73" s="2"/>
      <c r="H73" s="6">
        <v>30</v>
      </c>
      <c r="I73" s="2"/>
      <c r="J73" s="7">
        <f t="shared" si="54"/>
        <v>5.8252427184466023E-4</v>
      </c>
      <c r="K73" s="2"/>
      <c r="L73" s="6">
        <f t="shared" si="55"/>
        <v>-30</v>
      </c>
      <c r="M73" s="2"/>
      <c r="N73" s="7">
        <f t="shared" si="56"/>
        <v>-1</v>
      </c>
      <c r="O73" s="11"/>
      <c r="P73" s="6">
        <v>357.75</v>
      </c>
      <c r="Q73" s="2"/>
      <c r="R73" s="7">
        <f t="shared" si="57"/>
        <v>3.3472250736920489E-4</v>
      </c>
      <c r="S73" s="2"/>
      <c r="T73" s="6">
        <v>360</v>
      </c>
      <c r="U73" s="2"/>
      <c r="V73" s="7">
        <f t="shared" si="58"/>
        <v>2.2497890822735368E-4</v>
      </c>
      <c r="W73" s="2"/>
      <c r="X73" s="6">
        <f t="shared" si="59"/>
        <v>-2.25</v>
      </c>
      <c r="Y73" s="2"/>
      <c r="Z73" s="7">
        <f t="shared" si="60"/>
        <v>-6.2500000000000003E-3</v>
      </c>
    </row>
    <row r="74" spans="1:26" s="24" customFormat="1" hidden="1" outlineLevel="2" x14ac:dyDescent="0.25">
      <c r="A74" s="27"/>
      <c r="B74" s="11" t="str">
        <f>CONCATENATE("          ", "6285", " - ", "JANITORIAL SERVICES")</f>
        <v xml:space="preserve">          6285 - JANITORIAL SERVICES</v>
      </c>
      <c r="C74" s="11"/>
      <c r="D74" s="6"/>
      <c r="E74" s="2"/>
      <c r="F74" s="7">
        <f t="shared" si="53"/>
        <v>0</v>
      </c>
      <c r="G74" s="2"/>
      <c r="H74" s="6">
        <v>288</v>
      </c>
      <c r="I74" s="2"/>
      <c r="J74" s="7">
        <f t="shared" si="54"/>
        <v>5.5922330097087376E-3</v>
      </c>
      <c r="K74" s="2"/>
      <c r="L74" s="6">
        <f t="shared" si="55"/>
        <v>-288</v>
      </c>
      <c r="M74" s="2"/>
      <c r="N74" s="7">
        <f t="shared" si="56"/>
        <v>-1</v>
      </c>
      <c r="O74" s="11"/>
      <c r="P74" s="6">
        <v>1876.6</v>
      </c>
      <c r="Q74" s="2"/>
      <c r="R74" s="7">
        <f t="shared" si="57"/>
        <v>1.7558078471811315E-3</v>
      </c>
      <c r="S74" s="2"/>
      <c r="T74" s="6">
        <v>3744</v>
      </c>
      <c r="U74" s="2"/>
      <c r="V74" s="7">
        <f t="shared" si="58"/>
        <v>2.3397806455644782E-3</v>
      </c>
      <c r="W74" s="2"/>
      <c r="X74" s="6">
        <f t="shared" si="59"/>
        <v>-1867.4</v>
      </c>
      <c r="Y74" s="2"/>
      <c r="Z74" s="7">
        <f t="shared" si="60"/>
        <v>-0.49877136752136753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53"/>
        <v>0</v>
      </c>
      <c r="G75" s="2"/>
      <c r="H75" s="6">
        <v>97</v>
      </c>
      <c r="I75" s="2"/>
      <c r="J75" s="7">
        <f t="shared" si="54"/>
        <v>1.883495145631068E-3</v>
      </c>
      <c r="K75" s="2"/>
      <c r="L75" s="6">
        <f t="shared" si="55"/>
        <v>-97</v>
      </c>
      <c r="M75" s="2"/>
      <c r="N75" s="7">
        <f t="shared" si="56"/>
        <v>-1</v>
      </c>
      <c r="O75" s="11"/>
      <c r="P75" s="6">
        <v>1617.05</v>
      </c>
      <c r="Q75" s="2"/>
      <c r="R75" s="7">
        <f t="shared" si="57"/>
        <v>1.5129644459577155E-3</v>
      </c>
      <c r="S75" s="2"/>
      <c r="T75" s="6">
        <v>3141</v>
      </c>
      <c r="U75" s="2"/>
      <c r="V75" s="7">
        <f t="shared" si="58"/>
        <v>1.962940974283661E-3</v>
      </c>
      <c r="W75" s="2"/>
      <c r="X75" s="6">
        <f t="shared" si="59"/>
        <v>-1523.95</v>
      </c>
      <c r="Y75" s="2"/>
      <c r="Z75" s="7">
        <f t="shared" si="60"/>
        <v>-0.48517987901942056</v>
      </c>
    </row>
    <row r="76" spans="1:26" s="26" customFormat="1" outlineLevel="1" collapsed="1" x14ac:dyDescent="0.25">
      <c r="A76" s="25"/>
      <c r="B76" s="12" t="str">
        <f>CONCATENATE("     ","Subscriptions &amp; Dues                              ")</f>
        <v xml:space="preserve">     Subscriptions &amp; Dues                              </v>
      </c>
      <c r="C76" s="12"/>
      <c r="D76" s="1">
        <f>SUM(OSRRefD22_13x_0)</f>
        <v>0</v>
      </c>
      <c r="E76" s="1"/>
      <c r="F76" s="5">
        <f t="shared" ref="F76:F78" si="61">IF(D$12=0,0,D76/D$12)</f>
        <v>0</v>
      </c>
      <c r="G76" s="1"/>
      <c r="H76" s="1">
        <f>SUM(OSRRefH22_13x_0)</f>
        <v>194</v>
      </c>
      <c r="I76" s="1"/>
      <c r="J76" s="5">
        <f t="shared" ref="J76:J78" si="62">IF(H$12=0,0,H76/H$12)</f>
        <v>3.7669902912621359E-3</v>
      </c>
      <c r="K76" s="1"/>
      <c r="L76" s="1">
        <f t="shared" ref="L76:L78" si="63">+D76-H76</f>
        <v>-194</v>
      </c>
      <c r="M76" s="1"/>
      <c r="N76" s="5">
        <f t="shared" ref="N76:N78" si="64">IF(H76=0,0,L76/H76)</f>
        <v>-1</v>
      </c>
      <c r="O76" s="12"/>
      <c r="P76" s="1">
        <f>SUM(OSRRefP22_13x_0)</f>
        <v>2642.69</v>
      </c>
      <c r="Q76" s="1"/>
      <c r="R76" s="5">
        <f t="shared" ref="R76:R78" si="65">IF(P$12=0,0,P76/P$12)</f>
        <v>2.4725865073361958E-3</v>
      </c>
      <c r="S76" s="1"/>
      <c r="T76" s="1">
        <f>SUM(OSRRefT22_13x_0)</f>
        <v>2153</v>
      </c>
      <c r="U76" s="1"/>
      <c r="V76" s="5">
        <f t="shared" ref="V76:V78" si="66">IF(T$12=0,0,T76/T$12)</f>
        <v>1.3454988594819237E-3</v>
      </c>
      <c r="W76" s="1"/>
      <c r="X76" s="1">
        <f t="shared" ref="X76:X78" si="67">+P76-T76</f>
        <v>489.69000000000005</v>
      </c>
      <c r="Y76" s="1"/>
      <c r="Z76" s="5">
        <f t="shared" ref="Z76:Z78" si="68">IF(T76=0,0,X76/T76)</f>
        <v>0.22744542498838832</v>
      </c>
    </row>
    <row r="77" spans="1:26" s="24" customFormat="1" hidden="1" outlineLevel="2" x14ac:dyDescent="0.25">
      <c r="A77" s="27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61"/>
        <v>0</v>
      </c>
      <c r="G77" s="2"/>
      <c r="H77" s="6"/>
      <c r="I77" s="2"/>
      <c r="J77" s="7">
        <f t="shared" si="62"/>
        <v>0</v>
      </c>
      <c r="K77" s="2"/>
      <c r="L77" s="6">
        <f t="shared" si="63"/>
        <v>0</v>
      </c>
      <c r="M77" s="2"/>
      <c r="N77" s="7">
        <f t="shared" si="64"/>
        <v>0</v>
      </c>
      <c r="O77" s="11"/>
      <c r="P77" s="6">
        <v>978</v>
      </c>
      <c r="Q77" s="2"/>
      <c r="R77" s="7">
        <f t="shared" si="65"/>
        <v>9.1504853167598146E-4</v>
      </c>
      <c r="S77" s="2"/>
      <c r="T77" s="6"/>
      <c r="U77" s="2"/>
      <c r="V77" s="7">
        <f t="shared" si="66"/>
        <v>0</v>
      </c>
      <c r="W77" s="2"/>
      <c r="X77" s="6">
        <f t="shared" si="67"/>
        <v>978</v>
      </c>
      <c r="Y77" s="2"/>
      <c r="Z77" s="7">
        <f t="shared" si="68"/>
        <v>0</v>
      </c>
    </row>
    <row r="78" spans="1:26" s="24" customFormat="1" hidden="1" outlineLevel="2" x14ac:dyDescent="0.25">
      <c r="A78" s="27"/>
      <c r="B78" s="11" t="str">
        <f>CONCATENATE("          ", "6275", " - ", "SUBSCRIPTIONS")</f>
        <v xml:space="preserve">          6275 - SUBSCRIPTIONS</v>
      </c>
      <c r="C78" s="11"/>
      <c r="D78" s="6"/>
      <c r="E78" s="2"/>
      <c r="F78" s="7">
        <f t="shared" si="61"/>
        <v>0</v>
      </c>
      <c r="G78" s="2"/>
      <c r="H78" s="6">
        <v>194</v>
      </c>
      <c r="I78" s="2"/>
      <c r="J78" s="7">
        <f t="shared" si="62"/>
        <v>3.7669902912621359E-3</v>
      </c>
      <c r="K78" s="2"/>
      <c r="L78" s="6">
        <f t="shared" si="63"/>
        <v>-194</v>
      </c>
      <c r="M78" s="2"/>
      <c r="N78" s="7">
        <f t="shared" si="64"/>
        <v>-1</v>
      </c>
      <c r="O78" s="11"/>
      <c r="P78" s="6">
        <v>1664.69</v>
      </c>
      <c r="Q78" s="2"/>
      <c r="R78" s="7">
        <f t="shared" si="65"/>
        <v>1.5575379756602144E-3</v>
      </c>
      <c r="S78" s="2"/>
      <c r="T78" s="6">
        <v>2153</v>
      </c>
      <c r="U78" s="2"/>
      <c r="V78" s="7">
        <f t="shared" si="66"/>
        <v>1.3454988594819237E-3</v>
      </c>
      <c r="W78" s="2"/>
      <c r="X78" s="6">
        <f t="shared" si="67"/>
        <v>-488.30999999999995</v>
      </c>
      <c r="Y78" s="2"/>
      <c r="Z78" s="7">
        <f t="shared" si="68"/>
        <v>-0.22680445889456569</v>
      </c>
    </row>
    <row r="79" spans="1:26" s="26" customFormat="1" outlineLevel="1" collapsed="1" x14ac:dyDescent="0.25">
      <c r="A79" s="25"/>
      <c r="B79" s="12" t="str">
        <f>CONCATENATE("     ","Supplies                                          ")</f>
        <v xml:space="preserve">     Supplies                                          </v>
      </c>
      <c r="C79" s="12"/>
      <c r="D79" s="1">
        <f>SUM(OSRRefD22_14x_0)</f>
        <v>0</v>
      </c>
      <c r="E79" s="1"/>
      <c r="F79" s="5">
        <f t="shared" ref="F79:F87" si="69">IF(D$12=0,0,D79/D$12)</f>
        <v>0</v>
      </c>
      <c r="G79" s="1"/>
      <c r="H79" s="1">
        <f>SUM(OSRRefH22_14x_0)</f>
        <v>800</v>
      </c>
      <c r="I79" s="1"/>
      <c r="J79" s="5">
        <f t="shared" ref="J79:J87" si="70">IF(H$12=0,0,H79/H$12)</f>
        <v>1.5533980582524271E-2</v>
      </c>
      <c r="K79" s="1"/>
      <c r="L79" s="1">
        <f t="shared" ref="L79:L87" si="71">+D79-H79</f>
        <v>-800</v>
      </c>
      <c r="M79" s="1"/>
      <c r="N79" s="5">
        <f t="shared" ref="N79:N87" si="72">IF(H79=0,0,L79/H79)</f>
        <v>-1</v>
      </c>
      <c r="O79" s="12"/>
      <c r="P79" s="1">
        <f>SUM(OSRRefP22_14x_0)</f>
        <v>8790.9</v>
      </c>
      <c r="Q79" s="1"/>
      <c r="R79" s="5">
        <f t="shared" ref="R79:R87" si="73">IF(P$12=0,0,P79/P$12)</f>
        <v>8.2250512649390435E-3</v>
      </c>
      <c r="S79" s="1"/>
      <c r="T79" s="1">
        <f>SUM(OSRRefT22_14x_0)</f>
        <v>15770</v>
      </c>
      <c r="U79" s="1"/>
      <c r="V79" s="5">
        <f t="shared" ref="V79:V87" si="74">IF(T$12=0,0,T79/T$12)</f>
        <v>9.8553260631815773E-3</v>
      </c>
      <c r="W79" s="1"/>
      <c r="X79" s="1">
        <f t="shared" ref="X79:X87" si="75">+P79-T79</f>
        <v>-6979.1</v>
      </c>
      <c r="Y79" s="1"/>
      <c r="Z79" s="5">
        <f t="shared" ref="Z79:Z87" si="76">IF(T79=0,0,X79/T79)</f>
        <v>-0.4425554850982879</v>
      </c>
    </row>
    <row r="80" spans="1:26" s="24" customFormat="1" hidden="1" outlineLevel="2" x14ac:dyDescent="0.25">
      <c r="A80" s="27"/>
      <c r="B80" s="11" t="str">
        <f>CONCATENATE("          ", "6234", " - ", "EXPENDABLE SUPPLIES &amp; EQUIPMEN")</f>
        <v xml:space="preserve">          6234 - EXPENDABLE SUPPLIES &amp; EQUIPMEN</v>
      </c>
      <c r="C80" s="11"/>
      <c r="D80" s="6"/>
      <c r="E80" s="2"/>
      <c r="F80" s="7">
        <f t="shared" si="69"/>
        <v>0</v>
      </c>
      <c r="G80" s="2"/>
      <c r="H80" s="6"/>
      <c r="I80" s="2"/>
      <c r="J80" s="7">
        <f t="shared" si="70"/>
        <v>0</v>
      </c>
      <c r="K80" s="2"/>
      <c r="L80" s="6">
        <f t="shared" si="71"/>
        <v>0</v>
      </c>
      <c r="M80" s="2"/>
      <c r="N80" s="7">
        <f t="shared" si="72"/>
        <v>0</v>
      </c>
      <c r="O80" s="11"/>
      <c r="P80" s="6">
        <v>333.92</v>
      </c>
      <c r="Q80" s="2"/>
      <c r="R80" s="7">
        <f t="shared" si="73"/>
        <v>3.1242638619350077E-4</v>
      </c>
      <c r="S80" s="2"/>
      <c r="T80" s="6"/>
      <c r="U80" s="2"/>
      <c r="V80" s="7">
        <f t="shared" si="74"/>
        <v>0</v>
      </c>
      <c r="W80" s="2"/>
      <c r="X80" s="6">
        <f t="shared" si="75"/>
        <v>333.92</v>
      </c>
      <c r="Y80" s="2"/>
      <c r="Z80" s="7">
        <f t="shared" si="76"/>
        <v>0</v>
      </c>
    </row>
    <row r="81" spans="1:26" s="24" customFormat="1" hidden="1" outlineLevel="2" x14ac:dyDescent="0.25">
      <c r="A81" s="27"/>
      <c r="B81" s="11" t="str">
        <f>CONCATENATE("          ", "6237", " - ", "JANITORIAL SUPPLIES")</f>
        <v xml:space="preserve">          6237 - JANITORIAL SUPPLIES</v>
      </c>
      <c r="C81" s="11"/>
      <c r="D81" s="6"/>
      <c r="E81" s="2"/>
      <c r="F81" s="7">
        <f t="shared" si="69"/>
        <v>0</v>
      </c>
      <c r="G81" s="2"/>
      <c r="H81" s="6"/>
      <c r="I81" s="2"/>
      <c r="J81" s="7">
        <f t="shared" si="70"/>
        <v>0</v>
      </c>
      <c r="K81" s="2"/>
      <c r="L81" s="6">
        <f t="shared" si="71"/>
        <v>0</v>
      </c>
      <c r="M81" s="2"/>
      <c r="N81" s="7">
        <f t="shared" si="72"/>
        <v>0</v>
      </c>
      <c r="O81" s="11"/>
      <c r="P81" s="6">
        <v>17.62</v>
      </c>
      <c r="Q81" s="2"/>
      <c r="R81" s="7">
        <f t="shared" si="73"/>
        <v>1.6485843689295292E-5</v>
      </c>
      <c r="S81" s="2"/>
      <c r="T81" s="6">
        <v>2890</v>
      </c>
      <c r="U81" s="2"/>
      <c r="V81" s="7">
        <f t="shared" si="74"/>
        <v>1.806080679936256E-3</v>
      </c>
      <c r="W81" s="2"/>
      <c r="X81" s="6">
        <f t="shared" si="75"/>
        <v>-2872.38</v>
      </c>
      <c r="Y81" s="2"/>
      <c r="Z81" s="7">
        <f t="shared" si="76"/>
        <v>-0.99390311418685129</v>
      </c>
    </row>
    <row r="82" spans="1:26" s="24" customFormat="1" hidden="1" outlineLevel="2" x14ac:dyDescent="0.25">
      <c r="A82" s="27"/>
      <c r="B82" s="11" t="str">
        <f>CONCATENATE("          ", "6239", " - ", "KITCHEN SUPPLIES")</f>
        <v xml:space="preserve">          6239 - KITCHEN SUPPLIES</v>
      </c>
      <c r="C82" s="11"/>
      <c r="D82" s="6"/>
      <c r="E82" s="2"/>
      <c r="F82" s="7">
        <f t="shared" si="69"/>
        <v>0</v>
      </c>
      <c r="G82" s="2"/>
      <c r="H82" s="6">
        <v>250</v>
      </c>
      <c r="I82" s="2"/>
      <c r="J82" s="7">
        <f t="shared" si="70"/>
        <v>4.8543689320388345E-3</v>
      </c>
      <c r="K82" s="2"/>
      <c r="L82" s="6">
        <f t="shared" si="71"/>
        <v>-250</v>
      </c>
      <c r="M82" s="2"/>
      <c r="N82" s="7">
        <f t="shared" si="72"/>
        <v>-1</v>
      </c>
      <c r="O82" s="11"/>
      <c r="P82" s="6">
        <v>788.08</v>
      </c>
      <c r="Q82" s="2"/>
      <c r="R82" s="7">
        <f t="shared" si="73"/>
        <v>7.3735321763109148E-4</v>
      </c>
      <c r="S82" s="2"/>
      <c r="T82" s="6">
        <v>1425</v>
      </c>
      <c r="U82" s="2"/>
      <c r="V82" s="7">
        <f t="shared" si="74"/>
        <v>8.9054151173327501E-4</v>
      </c>
      <c r="W82" s="2"/>
      <c r="X82" s="6">
        <f t="shared" si="75"/>
        <v>-636.91999999999996</v>
      </c>
      <c r="Y82" s="2"/>
      <c r="Z82" s="7">
        <f t="shared" si="76"/>
        <v>-0.44696140350877189</v>
      </c>
    </row>
    <row r="83" spans="1:26" s="24" customFormat="1" hidden="1" outlineLevel="2" x14ac:dyDescent="0.25">
      <c r="A83" s="27"/>
      <c r="B83" s="11" t="str">
        <f>CONCATENATE("          ", "6241", " - ", "OFFICE EXPENSE")</f>
        <v xml:space="preserve">          6241 - OFFICE EXPENSE</v>
      </c>
      <c r="C83" s="11"/>
      <c r="D83" s="6"/>
      <c r="E83" s="2"/>
      <c r="F83" s="7">
        <f t="shared" si="69"/>
        <v>0</v>
      </c>
      <c r="G83" s="2"/>
      <c r="H83" s="6">
        <v>50</v>
      </c>
      <c r="I83" s="2"/>
      <c r="J83" s="7">
        <f t="shared" si="70"/>
        <v>9.7087378640776695E-4</v>
      </c>
      <c r="K83" s="2"/>
      <c r="L83" s="6">
        <f t="shared" si="71"/>
        <v>-50</v>
      </c>
      <c r="M83" s="2"/>
      <c r="N83" s="7">
        <f t="shared" si="72"/>
        <v>-1</v>
      </c>
      <c r="O83" s="11"/>
      <c r="P83" s="6">
        <v>1698.1</v>
      </c>
      <c r="Q83" s="2"/>
      <c r="R83" s="7">
        <f t="shared" si="73"/>
        <v>1.5887974556635829E-3</v>
      </c>
      <c r="S83" s="2"/>
      <c r="T83" s="6">
        <v>1230</v>
      </c>
      <c r="U83" s="2"/>
      <c r="V83" s="7">
        <f t="shared" si="74"/>
        <v>7.6867793644345842E-4</v>
      </c>
      <c r="W83" s="2"/>
      <c r="X83" s="6">
        <f t="shared" si="75"/>
        <v>468.09999999999991</v>
      </c>
      <c r="Y83" s="2"/>
      <c r="Z83" s="7">
        <f t="shared" si="76"/>
        <v>0.38056910569105684</v>
      </c>
    </row>
    <row r="84" spans="1:26" s="24" customFormat="1" hidden="1" outlineLevel="2" x14ac:dyDescent="0.25">
      <c r="A84" s="27"/>
      <c r="B84" s="11" t="str">
        <f>CONCATENATE("          ", "6243", " - ", "PAPER SUPPLIES")</f>
        <v xml:space="preserve">          6243 - PAPER SUPPLIES</v>
      </c>
      <c r="C84" s="11"/>
      <c r="D84" s="6"/>
      <c r="E84" s="2"/>
      <c r="F84" s="7">
        <f t="shared" si="69"/>
        <v>0</v>
      </c>
      <c r="G84" s="2"/>
      <c r="H84" s="6">
        <v>500</v>
      </c>
      <c r="I84" s="2"/>
      <c r="J84" s="7">
        <f t="shared" si="70"/>
        <v>9.7087378640776691E-3</v>
      </c>
      <c r="K84" s="2"/>
      <c r="L84" s="6">
        <f t="shared" si="71"/>
        <v>-500</v>
      </c>
      <c r="M84" s="2"/>
      <c r="N84" s="7">
        <f t="shared" si="72"/>
        <v>-1</v>
      </c>
      <c r="O84" s="11"/>
      <c r="P84" s="6">
        <v>3574.75</v>
      </c>
      <c r="Q84" s="2"/>
      <c r="R84" s="7">
        <f t="shared" si="73"/>
        <v>3.3446520844669886E-3</v>
      </c>
      <c r="S84" s="2"/>
      <c r="T84" s="6">
        <v>7625</v>
      </c>
      <c r="U84" s="2"/>
      <c r="V84" s="7">
        <f t="shared" si="74"/>
        <v>4.7651782645376992E-3</v>
      </c>
      <c r="W84" s="2"/>
      <c r="X84" s="6">
        <f t="shared" si="75"/>
        <v>-4050.25</v>
      </c>
      <c r="Y84" s="2"/>
      <c r="Z84" s="7">
        <f t="shared" si="76"/>
        <v>-0.5311803278688525</v>
      </c>
    </row>
    <row r="85" spans="1:26" s="24" customFormat="1" hidden="1" outlineLevel="2" x14ac:dyDescent="0.25">
      <c r="A85" s="27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69"/>
        <v>0</v>
      </c>
      <c r="G85" s="2"/>
      <c r="H85" s="6"/>
      <c r="I85" s="2"/>
      <c r="J85" s="7">
        <f t="shared" si="70"/>
        <v>0</v>
      </c>
      <c r="K85" s="2"/>
      <c r="L85" s="6">
        <f t="shared" si="71"/>
        <v>0</v>
      </c>
      <c r="M85" s="2"/>
      <c r="N85" s="7">
        <f t="shared" si="72"/>
        <v>0</v>
      </c>
      <c r="O85" s="11"/>
      <c r="P85" s="6">
        <v>22.05</v>
      </c>
      <c r="Q85" s="2"/>
      <c r="R85" s="7">
        <f t="shared" si="73"/>
        <v>2.0630695422756023E-5</v>
      </c>
      <c r="S85" s="2"/>
      <c r="T85" s="6"/>
      <c r="U85" s="2"/>
      <c r="V85" s="7">
        <f t="shared" si="74"/>
        <v>0</v>
      </c>
      <c r="W85" s="2"/>
      <c r="X85" s="6">
        <f t="shared" si="75"/>
        <v>22.05</v>
      </c>
      <c r="Y85" s="2"/>
      <c r="Z85" s="7">
        <f t="shared" si="76"/>
        <v>0</v>
      </c>
    </row>
    <row r="86" spans="1:26" s="24" customFormat="1" hidden="1" outlineLevel="2" x14ac:dyDescent="0.25">
      <c r="A86" s="27"/>
      <c r="B86" s="11" t="str">
        <f>CONCATENATE("          ", "6247", " - ", "STORE SUPPLIES")</f>
        <v xml:space="preserve">          6247 - STORE SUPPLIES</v>
      </c>
      <c r="C86" s="11"/>
      <c r="D86" s="6"/>
      <c r="E86" s="2"/>
      <c r="F86" s="7">
        <f t="shared" si="69"/>
        <v>0</v>
      </c>
      <c r="G86" s="2"/>
      <c r="H86" s="6"/>
      <c r="I86" s="2"/>
      <c r="J86" s="7">
        <f t="shared" si="70"/>
        <v>0</v>
      </c>
      <c r="K86" s="2"/>
      <c r="L86" s="6">
        <f t="shared" si="71"/>
        <v>0</v>
      </c>
      <c r="M86" s="2"/>
      <c r="N86" s="7">
        <f t="shared" si="72"/>
        <v>0</v>
      </c>
      <c r="O86" s="11"/>
      <c r="P86" s="6">
        <v>1534.61</v>
      </c>
      <c r="Q86" s="2"/>
      <c r="R86" s="7">
        <f t="shared" si="73"/>
        <v>1.4358309071526357E-3</v>
      </c>
      <c r="S86" s="2"/>
      <c r="T86" s="6">
        <v>1000</v>
      </c>
      <c r="U86" s="2"/>
      <c r="V86" s="7">
        <f t="shared" si="74"/>
        <v>6.2494141174264915E-4</v>
      </c>
      <c r="W86" s="2"/>
      <c r="X86" s="6">
        <f t="shared" si="75"/>
        <v>534.6099999999999</v>
      </c>
      <c r="Y86" s="2"/>
      <c r="Z86" s="7">
        <f t="shared" si="76"/>
        <v>0.53460999999999992</v>
      </c>
    </row>
    <row r="87" spans="1:26" s="24" customFormat="1" hidden="1" outlineLevel="2" x14ac:dyDescent="0.25">
      <c r="A87" s="27"/>
      <c r="B87" s="11" t="str">
        <f>CONCATENATE("          ", "6248", " - ", "UNIFORMS")</f>
        <v xml:space="preserve">          6248 - UNIFORMS</v>
      </c>
      <c r="C87" s="11"/>
      <c r="D87" s="6"/>
      <c r="E87" s="2"/>
      <c r="F87" s="7">
        <f t="shared" si="69"/>
        <v>0</v>
      </c>
      <c r="G87" s="2"/>
      <c r="H87" s="6"/>
      <c r="I87" s="2"/>
      <c r="J87" s="7">
        <f t="shared" si="70"/>
        <v>0</v>
      </c>
      <c r="K87" s="2"/>
      <c r="L87" s="6">
        <f t="shared" si="71"/>
        <v>0</v>
      </c>
      <c r="M87" s="2"/>
      <c r="N87" s="7">
        <f t="shared" si="72"/>
        <v>0</v>
      </c>
      <c r="O87" s="11"/>
      <c r="P87" s="6">
        <v>821.77</v>
      </c>
      <c r="Q87" s="2"/>
      <c r="R87" s="7">
        <f t="shared" si="73"/>
        <v>7.6887467471919351E-4</v>
      </c>
      <c r="S87" s="2"/>
      <c r="T87" s="6">
        <v>1600</v>
      </c>
      <c r="U87" s="2"/>
      <c r="V87" s="7">
        <f t="shared" si="74"/>
        <v>9.9990625878823851E-4</v>
      </c>
      <c r="W87" s="2"/>
      <c r="X87" s="6">
        <f t="shared" si="75"/>
        <v>-778.23</v>
      </c>
      <c r="Y87" s="2"/>
      <c r="Z87" s="7">
        <f t="shared" si="76"/>
        <v>-0.48639375000000001</v>
      </c>
    </row>
    <row r="88" spans="1:26" s="26" customFormat="1" outlineLevel="1" collapsed="1" x14ac:dyDescent="0.25">
      <c r="A88" s="25"/>
      <c r="B88" s="12" t="str">
        <f>CONCATENATE("     ","Telephone/Data Lines                              ")</f>
        <v xml:space="preserve">     Telephone/Data Lines                              </v>
      </c>
      <c r="C88" s="12"/>
      <c r="D88" s="1">
        <f>SUM(OSRRefD22_15x_0)</f>
        <v>52</v>
      </c>
      <c r="E88" s="1"/>
      <c r="F88" s="5">
        <f t="shared" ref="F88:F94" si="77">IF(D$12=0,0,D88/D$12)</f>
        <v>0</v>
      </c>
      <c r="G88" s="1"/>
      <c r="H88" s="1">
        <f>SUM(OSRRefH22_15x_0)</f>
        <v>160</v>
      </c>
      <c r="I88" s="1"/>
      <c r="J88" s="5">
        <f t="shared" ref="J88:J94" si="78">IF(H$12=0,0,H88/H$12)</f>
        <v>3.1067961165048546E-3</v>
      </c>
      <c r="K88" s="1"/>
      <c r="L88" s="1">
        <f t="shared" ref="L88:L94" si="79">+D88-H88</f>
        <v>-108</v>
      </c>
      <c r="M88" s="1"/>
      <c r="N88" s="5">
        <f t="shared" ref="N88:N94" si="80">IF(H88=0,0,L88/H88)</f>
        <v>-0.67500000000000004</v>
      </c>
      <c r="O88" s="12"/>
      <c r="P88" s="1">
        <f>SUM(OSRRefP22_15x_0)</f>
        <v>1618.34</v>
      </c>
      <c r="Q88" s="1"/>
      <c r="R88" s="5">
        <f t="shared" ref="R88:R94" si="81">IF(P$12=0,0,P88/P$12)</f>
        <v>1.5141714118123801E-3</v>
      </c>
      <c r="S88" s="1"/>
      <c r="T88" s="1">
        <f>SUM(OSRRefT22_15x_0)</f>
        <v>1920</v>
      </c>
      <c r="U88" s="1"/>
      <c r="V88" s="5">
        <f t="shared" ref="V88:V94" si="82">IF(T$12=0,0,T88/T$12)</f>
        <v>1.1998875105458863E-3</v>
      </c>
      <c r="W88" s="1"/>
      <c r="X88" s="1">
        <f t="shared" ref="X88:X94" si="83">+P88-T88</f>
        <v>-301.66000000000008</v>
      </c>
      <c r="Y88" s="1"/>
      <c r="Z88" s="5">
        <f t="shared" ref="Z88:Z94" si="84">IF(T88=0,0,X88/T88)</f>
        <v>-0.15711458333333336</v>
      </c>
    </row>
    <row r="89" spans="1:26" s="24" customFormat="1" hidden="1" outlineLevel="2" x14ac:dyDescent="0.25">
      <c r="A89" s="27"/>
      <c r="B89" s="11" t="str">
        <f>CONCATENATE("          ", "6309", " - ", "TELEPHONE")</f>
        <v xml:space="preserve">          6309 - TELEPHONE</v>
      </c>
      <c r="C89" s="11"/>
      <c r="D89" s="6">
        <v>52</v>
      </c>
      <c r="E89" s="2"/>
      <c r="F89" s="7">
        <f t="shared" si="77"/>
        <v>0</v>
      </c>
      <c r="G89" s="2"/>
      <c r="H89" s="6">
        <v>160</v>
      </c>
      <c r="I89" s="2"/>
      <c r="J89" s="7">
        <f t="shared" si="78"/>
        <v>3.1067961165048546E-3</v>
      </c>
      <c r="K89" s="2"/>
      <c r="L89" s="6">
        <f t="shared" si="79"/>
        <v>-108</v>
      </c>
      <c r="M89" s="2"/>
      <c r="N89" s="7">
        <f t="shared" si="80"/>
        <v>-0.67500000000000004</v>
      </c>
      <c r="O89" s="11"/>
      <c r="P89" s="6">
        <v>1618.34</v>
      </c>
      <c r="Q89" s="2"/>
      <c r="R89" s="7">
        <f t="shared" si="81"/>
        <v>1.5141714118123801E-3</v>
      </c>
      <c r="S89" s="2"/>
      <c r="T89" s="6">
        <v>1920</v>
      </c>
      <c r="U89" s="2"/>
      <c r="V89" s="7">
        <f t="shared" si="82"/>
        <v>1.1998875105458863E-3</v>
      </c>
      <c r="W89" s="2"/>
      <c r="X89" s="6">
        <f t="shared" si="83"/>
        <v>-301.66000000000008</v>
      </c>
      <c r="Y89" s="2"/>
      <c r="Z89" s="7">
        <f t="shared" si="84"/>
        <v>-0.15711458333333336</v>
      </c>
    </row>
    <row r="90" spans="1:26" s="26" customFormat="1" outlineLevel="1" collapsed="1" x14ac:dyDescent="0.25">
      <c r="A90" s="25"/>
      <c r="B90" s="12" t="str">
        <f>CONCATENATE("     ","Training                                          ")</f>
        <v xml:space="preserve">     Training                                          </v>
      </c>
      <c r="C90" s="12"/>
      <c r="D90" s="1">
        <f>SUM(OSRRefD22_16x_0)</f>
        <v>0</v>
      </c>
      <c r="E90" s="1"/>
      <c r="F90" s="5">
        <f t="shared" si="77"/>
        <v>0</v>
      </c>
      <c r="G90" s="1"/>
      <c r="H90" s="1">
        <f>SUM(OSRRefH22_16x_0)</f>
        <v>160</v>
      </c>
      <c r="I90" s="1"/>
      <c r="J90" s="5">
        <f t="shared" si="78"/>
        <v>3.1067961165048546E-3</v>
      </c>
      <c r="K90" s="1"/>
      <c r="L90" s="1">
        <f t="shared" si="79"/>
        <v>-160</v>
      </c>
      <c r="M90" s="1"/>
      <c r="N90" s="5">
        <f t="shared" si="80"/>
        <v>-1</v>
      </c>
      <c r="O90" s="12"/>
      <c r="P90" s="1">
        <f>SUM(OSRRefP22_16x_0)</f>
        <v>279.95</v>
      </c>
      <c r="Q90" s="1"/>
      <c r="R90" s="5">
        <f t="shared" si="81"/>
        <v>2.6193030311113597E-4</v>
      </c>
      <c r="S90" s="1"/>
      <c r="T90" s="1">
        <f>SUM(OSRRefT22_16x_0)</f>
        <v>640</v>
      </c>
      <c r="U90" s="1"/>
      <c r="V90" s="5">
        <f t="shared" si="82"/>
        <v>3.9996250351529545E-4</v>
      </c>
      <c r="W90" s="1"/>
      <c r="X90" s="1">
        <f t="shared" si="83"/>
        <v>-360.05</v>
      </c>
      <c r="Y90" s="1"/>
      <c r="Z90" s="5">
        <f t="shared" si="84"/>
        <v>-0.56257812500000004</v>
      </c>
    </row>
    <row r="91" spans="1:26" s="24" customFormat="1" hidden="1" outlineLevel="2" x14ac:dyDescent="0.25">
      <c r="A91" s="27"/>
      <c r="B91" s="11" t="str">
        <f>CONCATENATE("          ", "6376", " - ", "TRAINING")</f>
        <v xml:space="preserve">          6376 - TRAINING</v>
      </c>
      <c r="C91" s="11"/>
      <c r="D91" s="6"/>
      <c r="E91" s="2"/>
      <c r="F91" s="7">
        <f t="shared" si="77"/>
        <v>0</v>
      </c>
      <c r="G91" s="2"/>
      <c r="H91" s="6">
        <v>160</v>
      </c>
      <c r="I91" s="2"/>
      <c r="J91" s="7">
        <f t="shared" si="78"/>
        <v>3.1067961165048546E-3</v>
      </c>
      <c r="K91" s="2"/>
      <c r="L91" s="6">
        <f t="shared" si="79"/>
        <v>-160</v>
      </c>
      <c r="M91" s="2"/>
      <c r="N91" s="7">
        <f t="shared" si="80"/>
        <v>-1</v>
      </c>
      <c r="O91" s="11"/>
      <c r="P91" s="6">
        <v>279.95</v>
      </c>
      <c r="Q91" s="2"/>
      <c r="R91" s="7">
        <f t="shared" si="81"/>
        <v>2.6193030311113597E-4</v>
      </c>
      <c r="S91" s="2"/>
      <c r="T91" s="6">
        <v>640</v>
      </c>
      <c r="U91" s="2"/>
      <c r="V91" s="7">
        <f t="shared" si="82"/>
        <v>3.9996250351529545E-4</v>
      </c>
      <c r="W91" s="2"/>
      <c r="X91" s="6">
        <f t="shared" si="83"/>
        <v>-360.05</v>
      </c>
      <c r="Y91" s="2"/>
      <c r="Z91" s="7">
        <f t="shared" si="84"/>
        <v>-0.56257812500000004</v>
      </c>
    </row>
    <row r="92" spans="1:26" s="26" customFormat="1" outlineLevel="1" collapsed="1" x14ac:dyDescent="0.25">
      <c r="A92" s="25"/>
      <c r="B92" s="12" t="str">
        <f>CONCATENATE("     ","Travel                                            ")</f>
        <v xml:space="preserve">     Travel                                            </v>
      </c>
      <c r="C92" s="12"/>
      <c r="D92" s="1">
        <f>SUM(OSRRefD22_17x_0)</f>
        <v>0</v>
      </c>
      <c r="E92" s="1"/>
      <c r="F92" s="5">
        <f t="shared" si="77"/>
        <v>0</v>
      </c>
      <c r="G92" s="1"/>
      <c r="H92" s="1">
        <f>SUM(OSRRefH22_17x_0)</f>
        <v>0</v>
      </c>
      <c r="I92" s="1"/>
      <c r="J92" s="5">
        <f t="shared" si="78"/>
        <v>0</v>
      </c>
      <c r="K92" s="1"/>
      <c r="L92" s="1">
        <f t="shared" si="79"/>
        <v>0</v>
      </c>
      <c r="M92" s="1"/>
      <c r="N92" s="5">
        <f t="shared" si="80"/>
        <v>0</v>
      </c>
      <c r="O92" s="12"/>
      <c r="P92" s="1">
        <f>SUM(OSRRefP22_17x_0)</f>
        <v>0</v>
      </c>
      <c r="Q92" s="1"/>
      <c r="R92" s="5">
        <f t="shared" si="81"/>
        <v>0</v>
      </c>
      <c r="S92" s="1"/>
      <c r="T92" s="1">
        <f>SUM(OSRRefT22_17x_0)</f>
        <v>2120</v>
      </c>
      <c r="U92" s="1"/>
      <c r="V92" s="5">
        <f t="shared" si="82"/>
        <v>1.3248757928944162E-3</v>
      </c>
      <c r="W92" s="1"/>
      <c r="X92" s="1">
        <f t="shared" si="83"/>
        <v>-2120</v>
      </c>
      <c r="Y92" s="1"/>
      <c r="Z92" s="5">
        <f t="shared" si="84"/>
        <v>-1</v>
      </c>
    </row>
    <row r="93" spans="1:26" s="24" customFormat="1" hidden="1" outlineLevel="2" x14ac:dyDescent="0.25">
      <c r="A93" s="27"/>
      <c r="B93" s="11" t="str">
        <f>CONCATENATE("          ", "6292", " - ", "TRAVEL/CONFERENCE")</f>
        <v xml:space="preserve">          6292 - TRAVEL/CONFERENCE</v>
      </c>
      <c r="C93" s="11"/>
      <c r="D93" s="6"/>
      <c r="E93" s="2"/>
      <c r="F93" s="7">
        <f t="shared" si="77"/>
        <v>0</v>
      </c>
      <c r="G93" s="2"/>
      <c r="H93" s="6"/>
      <c r="I93" s="2"/>
      <c r="J93" s="7">
        <f t="shared" si="78"/>
        <v>0</v>
      </c>
      <c r="K93" s="2"/>
      <c r="L93" s="6">
        <f t="shared" si="79"/>
        <v>0</v>
      </c>
      <c r="M93" s="2"/>
      <c r="N93" s="7">
        <f t="shared" si="80"/>
        <v>0</v>
      </c>
      <c r="O93" s="11"/>
      <c r="P93" s="6"/>
      <c r="Q93" s="2"/>
      <c r="R93" s="7">
        <f t="shared" si="81"/>
        <v>0</v>
      </c>
      <c r="S93" s="2"/>
      <c r="T93" s="6">
        <v>2000</v>
      </c>
      <c r="U93" s="2"/>
      <c r="V93" s="7">
        <f t="shared" si="82"/>
        <v>1.2498828234852983E-3</v>
      </c>
      <c r="W93" s="2"/>
      <c r="X93" s="6">
        <f t="shared" si="83"/>
        <v>-2000</v>
      </c>
      <c r="Y93" s="2"/>
      <c r="Z93" s="7">
        <f t="shared" si="84"/>
        <v>-1</v>
      </c>
    </row>
    <row r="94" spans="1:26" s="24" customFormat="1" hidden="1" outlineLevel="2" x14ac:dyDescent="0.25">
      <c r="A94" s="27"/>
      <c r="B94" s="11" t="str">
        <f>CONCATENATE("          ", "6294", " - ", "TRAVEL OPERATIONAL")</f>
        <v xml:space="preserve">          6294 - TRAVEL OPERATIONAL</v>
      </c>
      <c r="C94" s="11"/>
      <c r="D94" s="6"/>
      <c r="E94" s="2"/>
      <c r="F94" s="7">
        <f t="shared" si="77"/>
        <v>0</v>
      </c>
      <c r="G94" s="2"/>
      <c r="H94" s="6"/>
      <c r="I94" s="2"/>
      <c r="J94" s="7">
        <f t="shared" si="78"/>
        <v>0</v>
      </c>
      <c r="K94" s="2"/>
      <c r="L94" s="6">
        <f t="shared" si="79"/>
        <v>0</v>
      </c>
      <c r="M94" s="2"/>
      <c r="N94" s="7">
        <f t="shared" si="80"/>
        <v>0</v>
      </c>
      <c r="O94" s="11"/>
      <c r="P94" s="6"/>
      <c r="Q94" s="2"/>
      <c r="R94" s="7">
        <f t="shared" si="81"/>
        <v>0</v>
      </c>
      <c r="S94" s="2"/>
      <c r="T94" s="6">
        <v>120</v>
      </c>
      <c r="U94" s="2"/>
      <c r="V94" s="7">
        <f t="shared" si="82"/>
        <v>7.4992969409117896E-5</v>
      </c>
      <c r="W94" s="2"/>
      <c r="X94" s="6">
        <f t="shared" si="83"/>
        <v>-120</v>
      </c>
      <c r="Y94" s="2"/>
      <c r="Z94" s="7">
        <f t="shared" si="84"/>
        <v>-1</v>
      </c>
    </row>
    <row r="95" spans="1:26" s="60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8" t="s">
        <v>0</v>
      </c>
      <c r="C96" s="10"/>
      <c r="D96" s="4">
        <f>SUM(0)</f>
        <v>0</v>
      </c>
      <c r="E96" s="4"/>
      <c r="F96" s="13">
        <f>IF(D$12=0,0,D96/D$12)</f>
        <v>0</v>
      </c>
      <c r="G96" s="4"/>
      <c r="H96" s="4">
        <f>SUM(0)</f>
        <v>0</v>
      </c>
      <c r="I96" s="4"/>
      <c r="J96" s="13">
        <f>IF(H$12=0,0,H96/H$12)</f>
        <v>0</v>
      </c>
      <c r="K96" s="4"/>
      <c r="L96" s="4">
        <f>+D96-H96</f>
        <v>0</v>
      </c>
      <c r="M96" s="4"/>
      <c r="N96" s="13">
        <f>IF(H96=0,0,L96/H96)</f>
        <v>0</v>
      </c>
      <c r="O96" s="10"/>
      <c r="P96" s="4">
        <f>SUM(0)</f>
        <v>0</v>
      </c>
      <c r="Q96" s="4"/>
      <c r="R96" s="13">
        <f>IF(P$12=0,0,P96/P$12)</f>
        <v>0</v>
      </c>
      <c r="S96" s="4"/>
      <c r="T96" s="4">
        <f>SUM(0)</f>
        <v>0</v>
      </c>
      <c r="U96" s="4"/>
      <c r="V96" s="13">
        <f>IF(T$12=0,0,T96/T$12)</f>
        <v>0</v>
      </c>
      <c r="W96" s="4"/>
      <c r="X96" s="4">
        <f>+P96-T96</f>
        <v>0</v>
      </c>
      <c r="Y96" s="4"/>
      <c r="Z96" s="13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9" t="s">
        <v>3</v>
      </c>
      <c r="C98" s="29"/>
      <c r="D98" s="22">
        <f>+D23-D25+D96</f>
        <v>-28654.530000000002</v>
      </c>
      <c r="E98" s="14"/>
      <c r="F98" s="20">
        <f>IF(D$12=0,0,D98/D$12)</f>
        <v>0</v>
      </c>
      <c r="G98" s="14"/>
      <c r="H98" s="22">
        <f>+H23-H25+H96</f>
        <v>2043.7225642923077</v>
      </c>
      <c r="I98" s="14"/>
      <c r="J98" s="20">
        <f>IF(H$12=0,0,H98/H$12)</f>
        <v>3.9683933287229273E-2</v>
      </c>
      <c r="K98" s="15"/>
      <c r="L98" s="22">
        <f>+D98-H98</f>
        <v>-30698.25256429231</v>
      </c>
      <c r="M98" s="15"/>
      <c r="N98" s="20">
        <f>IF(H98=0,0,L98/H98)</f>
        <v>-15.020753355004613</v>
      </c>
      <c r="O98" s="28"/>
      <c r="P98" s="22">
        <f>+P23-P25+P96</f>
        <v>83343.880000000121</v>
      </c>
      <c r="Q98" s="14"/>
      <c r="R98" s="20">
        <f>IF(P$12=0,0,P98/P$12)</f>
        <v>7.7979238259897041E-2</v>
      </c>
      <c r="S98" s="14"/>
      <c r="T98" s="22">
        <f>+T23-T25+T96</f>
        <v>358323.89617654611</v>
      </c>
      <c r="U98" s="14"/>
      <c r="V98" s="20">
        <f>IF(T$12=0,0,T98/T$12)</f>
        <v>0.22393144153769717</v>
      </c>
      <c r="W98" s="15"/>
      <c r="X98" s="22">
        <f>+P98-T98</f>
        <v>-274980.01617654599</v>
      </c>
      <c r="Y98" s="15"/>
      <c r="Z98" s="20">
        <f>IF(T98=0,0,X98/T98)</f>
        <v>-0.7674063022608556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35289.68</v>
      </c>
      <c r="E100" s="4"/>
      <c r="F100" s="13">
        <f>IF(D$12=0,0,D100/D$12)</f>
        <v>0</v>
      </c>
      <c r="G100" s="4"/>
      <c r="H100" s="4">
        <v>27638</v>
      </c>
      <c r="I100" s="4"/>
      <c r="J100" s="13">
        <f>IF(H$12=0,0,H100/H$12)</f>
        <v>0.5366601941747573</v>
      </c>
      <c r="K100" s="4"/>
      <c r="L100" s="4">
        <f>+D100-H100</f>
        <v>7651.68</v>
      </c>
      <c r="M100" s="4"/>
      <c r="N100" s="13">
        <f>IF(H100=0,0,L100/H100)</f>
        <v>0.27685360735219627</v>
      </c>
      <c r="O100" s="10"/>
      <c r="P100" s="4">
        <v>161857.09</v>
      </c>
      <c r="Q100" s="4"/>
      <c r="R100" s="13">
        <f>IF(P$12=0,0,P100/P$12)</f>
        <v>0.15143874493440407</v>
      </c>
      <c r="S100" s="4"/>
      <c r="T100" s="4">
        <v>207013</v>
      </c>
      <c r="U100" s="4"/>
      <c r="V100" s="13">
        <f>IF(T$12=0,0,T100/T$12)</f>
        <v>0.12937099646908101</v>
      </c>
      <c r="W100" s="4"/>
      <c r="X100" s="4">
        <f>+P100-T100</f>
        <v>-45155.91</v>
      </c>
      <c r="Y100" s="4"/>
      <c r="Z100" s="13">
        <f>IF(T100=0,0,X100/T100)</f>
        <v>-0.21813079371826891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4</v>
      </c>
      <c r="C102" s="29"/>
      <c r="D102" s="31">
        <f>+D98-D100</f>
        <v>-63944.210000000006</v>
      </c>
      <c r="E102" s="14"/>
      <c r="F102" s="33">
        <f>IF(D$12=0,0,D102/D$12)</f>
        <v>0</v>
      </c>
      <c r="G102" s="14"/>
      <c r="H102" s="31">
        <f>+H98-H100</f>
        <v>-25594.277435707692</v>
      </c>
      <c r="I102" s="14"/>
      <c r="J102" s="33">
        <f>IF(H$12=0,0,H102/H$12)</f>
        <v>-0.496976260887528</v>
      </c>
      <c r="K102" s="15"/>
      <c r="L102" s="31">
        <f>D102-H102</f>
        <v>-38349.932564292314</v>
      </c>
      <c r="M102" s="15"/>
      <c r="N102" s="33">
        <f>IF(H102=0,0,L102/H102)</f>
        <v>1.4983791849809618</v>
      </c>
      <c r="O102" s="28"/>
      <c r="P102" s="31">
        <f>+P98-P100</f>
        <v>-78513.209999999875</v>
      </c>
      <c r="Q102" s="14"/>
      <c r="R102" s="33">
        <f>IF(P$12=0,0,P102/P$12)</f>
        <v>-7.3459506674507027E-2</v>
      </c>
      <c r="S102" s="14"/>
      <c r="T102" s="31">
        <f>+T98-T100</f>
        <v>151310.89617654611</v>
      </c>
      <c r="U102" s="14"/>
      <c r="V102" s="33">
        <f>IF(T$12=0,0,T102/T$12)</f>
        <v>9.4560445068616134E-2</v>
      </c>
      <c r="W102" s="15"/>
      <c r="X102" s="31">
        <f>P102-T102</f>
        <v>-229824.10617654599</v>
      </c>
      <c r="Y102" s="15"/>
      <c r="Z102" s="33">
        <f>IF(T102=0,0,X102/T102)</f>
        <v>-1.5188866894846254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5</v>
      </c>
      <c r="C105" s="29"/>
      <c r="D105" s="34">
        <f>SUM(D102:D104)</f>
        <v>-63944.210000000006</v>
      </c>
      <c r="E105" s="14"/>
      <c r="F105" s="35">
        <f>IF(D$12=0,0,D105/D$12)</f>
        <v>0</v>
      </c>
      <c r="G105" s="14"/>
      <c r="H105" s="34">
        <f>SUM(H102:H104)</f>
        <v>-25594.277435707692</v>
      </c>
      <c r="I105" s="14"/>
      <c r="J105" s="35">
        <f>IF(H$12=0,0,H105/H$12)</f>
        <v>-0.496976260887528</v>
      </c>
      <c r="K105" s="15"/>
      <c r="L105" s="34">
        <f>+D105-H105</f>
        <v>-38349.932564292314</v>
      </c>
      <c r="M105" s="15"/>
      <c r="N105" s="35">
        <f>IF(H105=0,0,L105/H105)</f>
        <v>1.4983791849809618</v>
      </c>
      <c r="O105" s="28"/>
      <c r="P105" s="34">
        <f>SUM(P102:P104)</f>
        <v>-78513.209999999875</v>
      </c>
      <c r="Q105" s="14"/>
      <c r="R105" s="35">
        <f>IF(P$12=0,0,P105/P$12)</f>
        <v>-7.3459506674507027E-2</v>
      </c>
      <c r="S105" s="14"/>
      <c r="T105" s="34">
        <f>SUM(T102:T104)</f>
        <v>151310.89617654611</v>
      </c>
      <c r="U105" s="14"/>
      <c r="V105" s="35">
        <f>IF(T$12=0,0,T105/T$12)</f>
        <v>9.4560445068616134E-2</v>
      </c>
      <c r="W105" s="15"/>
      <c r="X105" s="34">
        <f>+P105-T105</f>
        <v>-229824.10617654599</v>
      </c>
      <c r="Y105" s="15"/>
      <c r="Z105" s="35">
        <f>IF(T105=0,0,X105/T105)</f>
        <v>-1.5188866894846254</v>
      </c>
    </row>
    <row r="106" spans="1:26" ht="15.75" thickTop="1" x14ac:dyDescent="0.25">
      <c r="A106" s="9"/>
      <c r="C106" s="9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5">
        <v>44043.473828043978</v>
      </c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62" t="s">
        <v>314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63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","423", " - ", "Contract Revenue")</f>
        <v>Department 423 - Contract Revenue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3">
        <f t="shared" ref="F14:F15" si="0">IF(D$12=0,0,D14/D$12)</f>
        <v>0</v>
      </c>
      <c r="G14" s="4"/>
      <c r="H14" s="4">
        <f>SUM(OSRRefH16x_0)</f>
        <v>0</v>
      </c>
      <c r="I14" s="4"/>
      <c r="J14" s="13">
        <f t="shared" ref="J14:J15" si="1">IF(H$12=0,0,H14/H$12)</f>
        <v>0</v>
      </c>
      <c r="K14" s="4"/>
      <c r="L14" s="4">
        <f t="shared" ref="L14:L15" si="2">+D14-H14</f>
        <v>0</v>
      </c>
      <c r="M14" s="4"/>
      <c r="N14" s="13">
        <f t="shared" ref="N14:N15" si="3">IF(H14=0,0,L14/H14)</f>
        <v>0</v>
      </c>
      <c r="O14" s="10"/>
      <c r="P14" s="4">
        <f>SUM(OSRRefP16x_0)</f>
        <v>-729.38</v>
      </c>
      <c r="Q14" s="4"/>
      <c r="R14" s="13">
        <f t="shared" ref="R14:R15" si="4">IF(P$12=0,0,P14/P$12)</f>
        <v>0</v>
      </c>
      <c r="S14" s="4"/>
      <c r="T14" s="4">
        <f>SUM(OSRRefT16x_0)</f>
        <v>0</v>
      </c>
      <c r="U14" s="4"/>
      <c r="V14" s="13">
        <f t="shared" ref="V14:V15" si="5">IF(T$12=0,0,T14/T$12)</f>
        <v>0</v>
      </c>
      <c r="W14" s="4"/>
      <c r="X14" s="4">
        <f t="shared" ref="X14:X15" si="6">+P14-T14</f>
        <v>-729.38</v>
      </c>
      <c r="Y14" s="4"/>
      <c r="Z14" s="13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-729.38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-729.38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D12-D14</f>
        <v>0</v>
      </c>
      <c r="E17" s="14"/>
      <c r="F17" s="20">
        <f>IF(D$12=0,0,D17/D$12)</f>
        <v>0</v>
      </c>
      <c r="G17" s="14"/>
      <c r="H17" s="22">
        <f>H12-H14</f>
        <v>0</v>
      </c>
      <c r="I17" s="14"/>
      <c r="J17" s="20">
        <f>IF(H$12=0,0,H17/H$12)</f>
        <v>0</v>
      </c>
      <c r="K17" s="15"/>
      <c r="L17" s="22">
        <f>+D17-H17</f>
        <v>0</v>
      </c>
      <c r="M17" s="15"/>
      <c r="N17" s="20">
        <f>IF(H17=0,0,L17/H17)</f>
        <v>0</v>
      </c>
      <c r="O17" s="28"/>
      <c r="P17" s="22">
        <f>P12-P14</f>
        <v>729.38</v>
      </c>
      <c r="Q17" s="14"/>
      <c r="R17" s="20">
        <f>IF(P$12=0,0,P17/P$12)</f>
        <v>0</v>
      </c>
      <c r="S17" s="14"/>
      <c r="T17" s="22">
        <f>T12-T14</f>
        <v>0</v>
      </c>
      <c r="U17" s="14"/>
      <c r="V17" s="20">
        <f>IF(T$12=0,0,T17/T$12)</f>
        <v>0</v>
      </c>
      <c r="W17" s="15"/>
      <c r="X17" s="22">
        <f>+P17-T17</f>
        <v>729.38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17788.2</v>
      </c>
      <c r="E19" s="21"/>
      <c r="F19" s="32">
        <f t="shared" ref="F19:F29" si="8">IF(D$12=0,0,D19/D$12)</f>
        <v>0</v>
      </c>
      <c r="G19" s="21"/>
      <c r="H19" s="21">
        <f>SUM(OSRRefH22x_0)</f>
        <v>6331.7953308384567</v>
      </c>
      <c r="I19" s="21"/>
      <c r="J19" s="32">
        <f t="shared" ref="J19:J29" si="9">IF(H$12=0,0,H19/H$12)</f>
        <v>0</v>
      </c>
      <c r="K19" s="4"/>
      <c r="L19" s="21">
        <f t="shared" ref="L19:L29" si="10">+D19-H19</f>
        <v>11456.404669161544</v>
      </c>
      <c r="M19" s="4"/>
      <c r="N19" s="32">
        <f t="shared" ref="N19:N29" si="11">IF(H19=0,0,L19/H19)</f>
        <v>1.8093453863494489</v>
      </c>
      <c r="O19" s="10"/>
      <c r="P19" s="21">
        <f>SUM(OSRRefP22x_0)</f>
        <v>169909</v>
      </c>
      <c r="Q19" s="21"/>
      <c r="R19" s="32">
        <f t="shared" ref="R19:R29" si="12">IF(P$12=0,0,P19/P$12)</f>
        <v>0</v>
      </c>
      <c r="S19" s="21"/>
      <c r="T19" s="21">
        <f>SUM(OSRRefT22x_0)</f>
        <v>85614.83930089997</v>
      </c>
      <c r="U19" s="21"/>
      <c r="V19" s="32">
        <f t="shared" ref="V19:V29" si="13">IF(T$12=0,0,T19/T$12)</f>
        <v>0</v>
      </c>
      <c r="W19" s="4"/>
      <c r="X19" s="21">
        <f t="shared" ref="X19:X29" si="14">+P19-T19</f>
        <v>84294.16069910003</v>
      </c>
      <c r="Y19" s="4"/>
      <c r="Z19" s="32">
        <f t="shared" ref="Z19:Z29" si="15">IF(T19=0,0,X19/T19)</f>
        <v>0.9845741858235777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5296.6399999999994</v>
      </c>
      <c r="E20" s="1"/>
      <c r="F20" s="5">
        <f t="shared" si="8"/>
        <v>0</v>
      </c>
      <c r="G20" s="1"/>
      <c r="H20" s="1">
        <f>SUM(OSRRefH22_0x_0)</f>
        <v>2140.130946223077</v>
      </c>
      <c r="I20" s="1"/>
      <c r="J20" s="5">
        <f t="shared" si="9"/>
        <v>0</v>
      </c>
      <c r="K20" s="1"/>
      <c r="L20" s="1">
        <f t="shared" si="10"/>
        <v>3156.5090537769224</v>
      </c>
      <c r="M20" s="1"/>
      <c r="N20" s="5">
        <f t="shared" si="11"/>
        <v>1.4749139810101615</v>
      </c>
      <c r="O20" s="12"/>
      <c r="P20" s="1">
        <f>SUM(OSRRefP22_0x_0)</f>
        <v>69521.09</v>
      </c>
      <c r="Q20" s="1"/>
      <c r="R20" s="5">
        <f t="shared" si="12"/>
        <v>0</v>
      </c>
      <c r="S20" s="1"/>
      <c r="T20" s="1">
        <f>SUM(OSRRefT22_0x_0)</f>
        <v>26981.202300900004</v>
      </c>
      <c r="U20" s="1"/>
      <c r="V20" s="5">
        <f t="shared" si="13"/>
        <v>0</v>
      </c>
      <c r="W20" s="1"/>
      <c r="X20" s="1">
        <f t="shared" si="14"/>
        <v>42539.887699099992</v>
      </c>
      <c r="Y20" s="1"/>
      <c r="Z20" s="5">
        <f t="shared" si="15"/>
        <v>1.57664907681601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846.8</v>
      </c>
      <c r="E21" s="2"/>
      <c r="F21" s="7">
        <f t="shared" si="8"/>
        <v>0</v>
      </c>
      <c r="G21" s="2"/>
      <c r="H21" s="6">
        <v>350.05369483846198</v>
      </c>
      <c r="I21" s="2"/>
      <c r="J21" s="7">
        <f t="shared" si="9"/>
        <v>0</v>
      </c>
      <c r="K21" s="2"/>
      <c r="L21" s="6">
        <f t="shared" si="10"/>
        <v>496.74630516153798</v>
      </c>
      <c r="M21" s="2"/>
      <c r="N21" s="7">
        <f t="shared" si="11"/>
        <v>1.419057454573561</v>
      </c>
      <c r="O21" s="11"/>
      <c r="P21" s="6">
        <v>8369.75</v>
      </c>
      <c r="Q21" s="2"/>
      <c r="R21" s="7">
        <f t="shared" si="12"/>
        <v>0</v>
      </c>
      <c r="S21" s="2"/>
      <c r="T21" s="6">
        <v>4550.6980329000044</v>
      </c>
      <c r="U21" s="2"/>
      <c r="V21" s="7">
        <f t="shared" si="13"/>
        <v>0</v>
      </c>
      <c r="W21" s="2"/>
      <c r="X21" s="6">
        <f t="shared" si="14"/>
        <v>3819.0519670999956</v>
      </c>
      <c r="Y21" s="2"/>
      <c r="Z21" s="7">
        <f t="shared" si="15"/>
        <v>0.83922333222058343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37.64</v>
      </c>
      <c r="E22" s="2"/>
      <c r="F22" s="7">
        <f t="shared" si="8"/>
        <v>0</v>
      </c>
      <c r="G22" s="2"/>
      <c r="H22" s="6">
        <v>86.907359230769202</v>
      </c>
      <c r="I22" s="2"/>
      <c r="J22" s="7">
        <f t="shared" si="9"/>
        <v>0</v>
      </c>
      <c r="K22" s="2"/>
      <c r="L22" s="6">
        <f t="shared" si="10"/>
        <v>-49.267359230769202</v>
      </c>
      <c r="M22" s="2"/>
      <c r="N22" s="7">
        <f t="shared" si="11"/>
        <v>-0.56689513600277808</v>
      </c>
      <c r="O22" s="11"/>
      <c r="P22" s="6">
        <v>328.69</v>
      </c>
      <c r="Q22" s="2"/>
      <c r="R22" s="7">
        <f t="shared" si="12"/>
        <v>0</v>
      </c>
      <c r="S22" s="2"/>
      <c r="T22" s="6">
        <v>1129.7956700000016</v>
      </c>
      <c r="U22" s="2"/>
      <c r="V22" s="7">
        <f t="shared" si="13"/>
        <v>0</v>
      </c>
      <c r="W22" s="2"/>
      <c r="X22" s="6">
        <f t="shared" si="14"/>
        <v>-801.10567000000151</v>
      </c>
      <c r="Y22" s="2"/>
      <c r="Z22" s="7">
        <f t="shared" si="15"/>
        <v>-0.70907128720010093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1950.75</v>
      </c>
      <c r="E23" s="2"/>
      <c r="F23" s="7">
        <f t="shared" si="8"/>
        <v>0</v>
      </c>
      <c r="G23" s="2"/>
      <c r="H23" s="6">
        <v>690.5</v>
      </c>
      <c r="I23" s="2"/>
      <c r="J23" s="7">
        <f t="shared" si="9"/>
        <v>0</v>
      </c>
      <c r="K23" s="2"/>
      <c r="L23" s="6">
        <f t="shared" si="10"/>
        <v>1260.25</v>
      </c>
      <c r="M23" s="2"/>
      <c r="N23" s="7">
        <f t="shared" si="11"/>
        <v>1.8251267197682839</v>
      </c>
      <c r="O23" s="11"/>
      <c r="P23" s="6">
        <v>14888.230000000001</v>
      </c>
      <c r="Q23" s="2"/>
      <c r="R23" s="7">
        <f t="shared" si="12"/>
        <v>0</v>
      </c>
      <c r="S23" s="2"/>
      <c r="T23" s="6">
        <v>8286</v>
      </c>
      <c r="U23" s="2"/>
      <c r="V23" s="7">
        <f t="shared" si="13"/>
        <v>0</v>
      </c>
      <c r="W23" s="2"/>
      <c r="X23" s="6">
        <f t="shared" si="14"/>
        <v>6602.2300000000014</v>
      </c>
      <c r="Y23" s="2"/>
      <c r="Z23" s="7">
        <f t="shared" si="15"/>
        <v>0.79679338643495068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-235.04</v>
      </c>
      <c r="E24" s="2"/>
      <c r="F24" s="7">
        <f t="shared" si="8"/>
        <v>0</v>
      </c>
      <c r="G24" s="2"/>
      <c r="H24" s="6">
        <v>11.892586</v>
      </c>
      <c r="I24" s="2"/>
      <c r="J24" s="7">
        <f t="shared" si="9"/>
        <v>0</v>
      </c>
      <c r="K24" s="2"/>
      <c r="L24" s="6">
        <f t="shared" si="10"/>
        <v>-246.93258599999999</v>
      </c>
      <c r="M24" s="2"/>
      <c r="N24" s="7">
        <f t="shared" si="11"/>
        <v>-20.763573708863657</v>
      </c>
      <c r="O24" s="11"/>
      <c r="P24" s="6">
        <v>0</v>
      </c>
      <c r="Q24" s="2"/>
      <c r="R24" s="7">
        <f t="shared" si="12"/>
        <v>0</v>
      </c>
      <c r="S24" s="2"/>
      <c r="T24" s="6">
        <v>154.60361800000001</v>
      </c>
      <c r="U24" s="2"/>
      <c r="V24" s="7">
        <f t="shared" si="13"/>
        <v>0</v>
      </c>
      <c r="W24" s="2"/>
      <c r="X24" s="6">
        <f t="shared" si="14"/>
        <v>-154.60361800000001</v>
      </c>
      <c r="Y24" s="2"/>
      <c r="Z24" s="7">
        <f t="shared" si="15"/>
        <v>-1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1131.3900000000001</v>
      </c>
      <c r="E25" s="2"/>
      <c r="F25" s="7">
        <f t="shared" si="8"/>
        <v>0</v>
      </c>
      <c r="G25" s="2"/>
      <c r="H25" s="6">
        <v>393.37015230769197</v>
      </c>
      <c r="I25" s="2"/>
      <c r="J25" s="7">
        <f t="shared" si="9"/>
        <v>0</v>
      </c>
      <c r="K25" s="2"/>
      <c r="L25" s="6">
        <f t="shared" si="10"/>
        <v>738.01984769230808</v>
      </c>
      <c r="M25" s="2"/>
      <c r="N25" s="7">
        <f t="shared" si="11"/>
        <v>1.8761460252201163</v>
      </c>
      <c r="O25" s="11"/>
      <c r="P25" s="6">
        <v>9806.17</v>
      </c>
      <c r="Q25" s="2"/>
      <c r="R25" s="7">
        <f t="shared" si="12"/>
        <v>0</v>
      </c>
      <c r="S25" s="2"/>
      <c r="T25" s="6">
        <v>5113.8119799999959</v>
      </c>
      <c r="U25" s="2"/>
      <c r="V25" s="7">
        <f t="shared" si="13"/>
        <v>0</v>
      </c>
      <c r="W25" s="2"/>
      <c r="X25" s="6">
        <f t="shared" si="14"/>
        <v>4692.3580200000042</v>
      </c>
      <c r="Y25" s="2"/>
      <c r="Z25" s="7">
        <f t="shared" si="15"/>
        <v>0.9175851670635744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1022.52</v>
      </c>
      <c r="E27" s="2"/>
      <c r="F27" s="7">
        <f t="shared" si="8"/>
        <v>0</v>
      </c>
      <c r="G27" s="2"/>
      <c r="H27" s="6">
        <v>457.40715384615396</v>
      </c>
      <c r="I27" s="2"/>
      <c r="J27" s="7">
        <f t="shared" si="9"/>
        <v>0</v>
      </c>
      <c r="K27" s="2"/>
      <c r="L27" s="6">
        <f t="shared" si="10"/>
        <v>565.11284615384602</v>
      </c>
      <c r="M27" s="2"/>
      <c r="N27" s="7">
        <f t="shared" si="11"/>
        <v>1.2354700651313342</v>
      </c>
      <c r="O27" s="11"/>
      <c r="P27" s="6">
        <v>12265.5</v>
      </c>
      <c r="Q27" s="2"/>
      <c r="R27" s="7">
        <f t="shared" si="12"/>
        <v>0</v>
      </c>
      <c r="S27" s="2"/>
      <c r="T27" s="6">
        <v>5946.2929999999997</v>
      </c>
      <c r="U27" s="2"/>
      <c r="V27" s="7">
        <f t="shared" si="13"/>
        <v>0</v>
      </c>
      <c r="W27" s="2"/>
      <c r="X27" s="6">
        <f t="shared" si="14"/>
        <v>6319.2070000000003</v>
      </c>
      <c r="Y27" s="2"/>
      <c r="Z27" s="7">
        <f t="shared" si="15"/>
        <v>1.0627136940611572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510.58</v>
      </c>
      <c r="E28" s="2"/>
      <c r="F28" s="7">
        <f t="shared" si="8"/>
        <v>0</v>
      </c>
      <c r="G28" s="2"/>
      <c r="H28" s="6">
        <v>0</v>
      </c>
      <c r="I28" s="2"/>
      <c r="J28" s="7">
        <f t="shared" si="9"/>
        <v>0</v>
      </c>
      <c r="K28" s="2"/>
      <c r="L28" s="6">
        <f t="shared" si="10"/>
        <v>510.58</v>
      </c>
      <c r="M28" s="2"/>
      <c r="N28" s="7">
        <f t="shared" si="11"/>
        <v>0</v>
      </c>
      <c r="O28" s="11"/>
      <c r="P28" s="6">
        <v>22540.66</v>
      </c>
      <c r="Q28" s="2"/>
      <c r="R28" s="7">
        <f t="shared" si="12"/>
        <v>0</v>
      </c>
      <c r="S28" s="2"/>
      <c r="T28" s="6">
        <v>0</v>
      </c>
      <c r="U28" s="2"/>
      <c r="V28" s="7">
        <f t="shared" si="13"/>
        <v>0</v>
      </c>
      <c r="W28" s="2"/>
      <c r="X28" s="6">
        <f t="shared" si="14"/>
        <v>22540.66</v>
      </c>
      <c r="Y28" s="2"/>
      <c r="Z28" s="7">
        <f t="shared" si="15"/>
        <v>0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32</v>
      </c>
      <c r="E29" s="2"/>
      <c r="F29" s="7">
        <f t="shared" si="8"/>
        <v>0</v>
      </c>
      <c r="G29" s="2"/>
      <c r="H29" s="6">
        <v>150</v>
      </c>
      <c r="I29" s="2"/>
      <c r="J29" s="7">
        <f t="shared" si="9"/>
        <v>0</v>
      </c>
      <c r="K29" s="2"/>
      <c r="L29" s="6">
        <f t="shared" si="10"/>
        <v>-118</v>
      </c>
      <c r="M29" s="2"/>
      <c r="N29" s="7">
        <f t="shared" si="11"/>
        <v>-0.78666666666666663</v>
      </c>
      <c r="O29" s="11"/>
      <c r="P29" s="6">
        <v>1322.09</v>
      </c>
      <c r="Q29" s="2"/>
      <c r="R29" s="7">
        <f t="shared" si="12"/>
        <v>0</v>
      </c>
      <c r="S29" s="2"/>
      <c r="T29" s="6">
        <v>1800</v>
      </c>
      <c r="U29" s="2"/>
      <c r="V29" s="7">
        <f t="shared" si="13"/>
        <v>0</v>
      </c>
      <c r="W29" s="2"/>
      <c r="X29" s="6">
        <f t="shared" si="14"/>
        <v>-477.91000000000008</v>
      </c>
      <c r="Y29" s="2"/>
      <c r="Z29" s="7">
        <f t="shared" si="15"/>
        <v>-0.26550555555555561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7748.5</v>
      </c>
      <c r="E30" s="1"/>
      <c r="F30" s="5">
        <f t="shared" ref="F30:F40" si="16">IF(D$12=0,0,D30/D$12)</f>
        <v>0</v>
      </c>
      <c r="G30" s="1"/>
      <c r="H30" s="1">
        <f>SUM(OSRRefH22_1x_0)</f>
        <v>4116.6643846153802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3631.8356153846198</v>
      </c>
      <c r="M30" s="1"/>
      <c r="N30" s="5">
        <f t="shared" ref="N30:N40" si="19">IF(H30=0,0,L30/H30)</f>
        <v>0.88222776405027292</v>
      </c>
      <c r="O30" s="12"/>
      <c r="P30" s="1">
        <f>SUM(OSRRefP22_1x_0)</f>
        <v>78697.180000000008</v>
      </c>
      <c r="Q30" s="1"/>
      <c r="R30" s="5">
        <f t="shared" ref="R30:R40" si="20">IF(P$12=0,0,P30/P$12)</f>
        <v>0</v>
      </c>
      <c r="S30" s="1"/>
      <c r="T30" s="1">
        <f>SUM(OSRRefT22_1x_0)</f>
        <v>53516.636999999959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25180.543000000049</v>
      </c>
      <c r="Y30" s="1"/>
      <c r="Z30" s="5">
        <f t="shared" ref="Z30:Z40" si="23">IF(T30=0,0,X30/T30)</f>
        <v>0.47051803722270641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7748.5</v>
      </c>
      <c r="E31" s="2"/>
      <c r="F31" s="7">
        <f t="shared" si="16"/>
        <v>0</v>
      </c>
      <c r="G31" s="2"/>
      <c r="H31" s="6">
        <v>4116.6643846153802</v>
      </c>
      <c r="I31" s="2"/>
      <c r="J31" s="7">
        <f t="shared" si="17"/>
        <v>0</v>
      </c>
      <c r="K31" s="2"/>
      <c r="L31" s="6">
        <f t="shared" si="18"/>
        <v>3631.8356153846198</v>
      </c>
      <c r="M31" s="2"/>
      <c r="N31" s="7">
        <f t="shared" si="19"/>
        <v>0.88222776405027292</v>
      </c>
      <c r="O31" s="11"/>
      <c r="P31" s="6">
        <v>82571.430000000008</v>
      </c>
      <c r="Q31" s="2"/>
      <c r="R31" s="7">
        <f t="shared" si="20"/>
        <v>0</v>
      </c>
      <c r="S31" s="2"/>
      <c r="T31" s="6">
        <v>53516.636999999959</v>
      </c>
      <c r="U31" s="2"/>
      <c r="V31" s="7">
        <f t="shared" si="21"/>
        <v>0</v>
      </c>
      <c r="W31" s="2"/>
      <c r="X31" s="6">
        <f t="shared" si="22"/>
        <v>29054.793000000049</v>
      </c>
      <c r="Y31" s="2"/>
      <c r="Z31" s="7">
        <f t="shared" si="23"/>
        <v>0.54291141276310151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16"/>
        <v>0</v>
      </c>
      <c r="G32" s="2"/>
      <c r="H32" s="6">
        <v>0</v>
      </c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-3874.25</v>
      </c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-3874.25</v>
      </c>
      <c r="Y32" s="2"/>
      <c r="Z32" s="7">
        <f t="shared" si="23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6"/>
        <v>0</v>
      </c>
      <c r="G35" s="2"/>
      <c r="H35" s="6">
        <v>0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0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0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6"/>
        <v>0</v>
      </c>
      <c r="G39" s="2"/>
      <c r="H39" s="6">
        <v>0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0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6" customFormat="1" outlineLevel="1" collapsed="1" x14ac:dyDescent="0.25">
      <c r="A41" s="25"/>
      <c r="B41" s="12" t="str">
        <f>CONCATENATE("     ","General                                           ")</f>
        <v xml:space="preserve">     General                                           </v>
      </c>
      <c r="C41" s="12"/>
      <c r="D41" s="1">
        <f>SUM(OSRRefD22_2x_0)</f>
        <v>4574.0600000000004</v>
      </c>
      <c r="E41" s="1"/>
      <c r="F41" s="5">
        <f t="shared" ref="F41:F50" si="24">IF(D$12=0,0,D41/D$12)</f>
        <v>0</v>
      </c>
      <c r="G41" s="1"/>
      <c r="H41" s="1">
        <f>SUM(OSRRefH22_2x_0)</f>
        <v>0</v>
      </c>
      <c r="I41" s="1"/>
      <c r="J41" s="5">
        <f t="shared" ref="J41:J50" si="25">IF(H$12=0,0,H41/H$12)</f>
        <v>0</v>
      </c>
      <c r="K41" s="1"/>
      <c r="L41" s="1">
        <f t="shared" ref="L41:L50" si="26">+D41-H41</f>
        <v>4574.0600000000004</v>
      </c>
      <c r="M41" s="1"/>
      <c r="N41" s="5">
        <f t="shared" ref="N41:N50" si="27">IF(H41=0,0,L41/H41)</f>
        <v>0</v>
      </c>
      <c r="O41" s="12"/>
      <c r="P41" s="1">
        <f>SUM(OSRRefP22_2x_0)</f>
        <v>7017.71</v>
      </c>
      <c r="Q41" s="1"/>
      <c r="R41" s="5">
        <f t="shared" ref="R41:R50" si="28">IF(P$12=0,0,P41/P$12)</f>
        <v>0</v>
      </c>
      <c r="S41" s="1"/>
      <c r="T41" s="1">
        <f>SUM(OSRRefT22_2x_0)</f>
        <v>2500</v>
      </c>
      <c r="U41" s="1"/>
      <c r="V41" s="5">
        <f t="shared" ref="V41:V50" si="29">IF(T$12=0,0,T41/T$12)</f>
        <v>0</v>
      </c>
      <c r="W41" s="1"/>
      <c r="X41" s="1">
        <f t="shared" ref="X41:X50" si="30">+P41-T41</f>
        <v>4517.71</v>
      </c>
      <c r="Y41" s="1"/>
      <c r="Z41" s="5">
        <f t="shared" ref="Z41:Z50" si="31">IF(T41=0,0,X41/T41)</f>
        <v>1.8070839999999999</v>
      </c>
    </row>
    <row r="42" spans="1:26" s="24" customFormat="1" hidden="1" outlineLevel="2" x14ac:dyDescent="0.25">
      <c r="A42" s="27"/>
      <c r="B42" s="11" t="str">
        <f>CONCATENATE("          ", "6279", " - ", "GENERAL EXPENSE")</f>
        <v xml:space="preserve">          6279 - GENERAL EXPENSE</v>
      </c>
      <c r="C42" s="11"/>
      <c r="D42" s="6">
        <v>4574.0600000000004</v>
      </c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4574.0600000000004</v>
      </c>
      <c r="M42" s="2"/>
      <c r="N42" s="7">
        <f t="shared" si="27"/>
        <v>0</v>
      </c>
      <c r="O42" s="11"/>
      <c r="P42" s="6">
        <v>7017.71</v>
      </c>
      <c r="Q42" s="2"/>
      <c r="R42" s="7">
        <f t="shared" si="28"/>
        <v>0</v>
      </c>
      <c r="S42" s="2"/>
      <c r="T42" s="6">
        <v>2500</v>
      </c>
      <c r="U42" s="2"/>
      <c r="V42" s="7">
        <f t="shared" si="29"/>
        <v>0</v>
      </c>
      <c r="W42" s="2"/>
      <c r="X42" s="6">
        <f t="shared" si="30"/>
        <v>4517.71</v>
      </c>
      <c r="Y42" s="2"/>
      <c r="Z42" s="7">
        <f t="shared" si="31"/>
        <v>1.8070839999999999</v>
      </c>
    </row>
    <row r="43" spans="1:26" s="26" customFormat="1" outlineLevel="1" collapsed="1" x14ac:dyDescent="0.25">
      <c r="A43" s="25"/>
      <c r="B43" s="12" t="str">
        <f>CONCATENATE("     ","Royalty &amp; Commissions                             ")</f>
        <v xml:space="preserve">     Royalty &amp; Commissions                             </v>
      </c>
      <c r="C43" s="12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2"/>
      <c r="P43" s="1">
        <f>SUM(OSRRefP22_3x_0)</f>
        <v>10393.31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9276.31</v>
      </c>
      <c r="Y43" s="1"/>
      <c r="Z43" s="5">
        <f t="shared" si="31"/>
        <v>8.3046642793196064</v>
      </c>
    </row>
    <row r="44" spans="1:26" s="24" customFormat="1" hidden="1" outlineLevel="2" x14ac:dyDescent="0.25">
      <c r="A44" s="27"/>
      <c r="B44" s="11" t="str">
        <f>CONCATENATE("          ", "6254", " - ", "ROYALTY &amp; COMMISSIONS")</f>
        <v xml:space="preserve">          6254 - ROYALTY &amp; COMMISSIONS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>
        <v>10393.31</v>
      </c>
      <c r="Q44" s="2"/>
      <c r="R44" s="7">
        <f t="shared" si="28"/>
        <v>0</v>
      </c>
      <c r="S44" s="2"/>
      <c r="T44" s="6">
        <v>1117</v>
      </c>
      <c r="U44" s="2"/>
      <c r="V44" s="7">
        <f t="shared" si="29"/>
        <v>0</v>
      </c>
      <c r="W44" s="2"/>
      <c r="X44" s="6">
        <f t="shared" si="30"/>
        <v>9276.31</v>
      </c>
      <c r="Y44" s="2"/>
      <c r="Z44" s="7">
        <f t="shared" si="31"/>
        <v>8.3046642793196064</v>
      </c>
    </row>
    <row r="45" spans="1:26" s="26" customFormat="1" outlineLevel="1" collapsed="1" x14ac:dyDescent="0.25">
      <c r="A45" s="25"/>
      <c r="B45" s="12" t="str">
        <f>CONCATENATE("     ","Supplies                                          ")</f>
        <v xml:space="preserve">     Supplies                                          </v>
      </c>
      <c r="C45" s="12"/>
      <c r="D45" s="1">
        <f>SUM(OSRRefD22_4x_0)</f>
        <v>56.3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56.3</v>
      </c>
      <c r="M45" s="1"/>
      <c r="N45" s="5">
        <f t="shared" si="27"/>
        <v>0</v>
      </c>
      <c r="O45" s="12"/>
      <c r="P45" s="1">
        <f>SUM(OSRRefP22_4x_0)</f>
        <v>196.85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196.85</v>
      </c>
      <c r="Y45" s="1"/>
      <c r="Z45" s="5">
        <f t="shared" si="31"/>
        <v>0</v>
      </c>
    </row>
    <row r="46" spans="1:26" s="24" customFormat="1" hidden="1" outlineLevel="2" x14ac:dyDescent="0.25">
      <c r="A46" s="27"/>
      <c r="B46" s="11" t="str">
        <f>CONCATENATE("          ", "6241", " - ", "OFFICE EXPENSE")</f>
        <v xml:space="preserve">          6241 - OFFICE EXPENSE</v>
      </c>
      <c r="C46" s="11"/>
      <c r="D46" s="6">
        <v>56.3</v>
      </c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56.3</v>
      </c>
      <c r="M46" s="2"/>
      <c r="N46" s="7">
        <f t="shared" si="27"/>
        <v>0</v>
      </c>
      <c r="O46" s="11"/>
      <c r="P46" s="6">
        <v>196.85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196.85</v>
      </c>
      <c r="Y46" s="2"/>
      <c r="Z46" s="7">
        <f t="shared" si="31"/>
        <v>0</v>
      </c>
    </row>
    <row r="47" spans="1:26" s="26" customFormat="1" outlineLevel="1" collapsed="1" x14ac:dyDescent="0.25">
      <c r="A47" s="25"/>
      <c r="B47" s="12" t="str">
        <f>CONCATENATE("     ","Telephone/Data Lines                              ")</f>
        <v xml:space="preserve">     Telephone/Data Lines                              </v>
      </c>
      <c r="C47" s="12"/>
      <c r="D47" s="1">
        <f>SUM(OSRRefD22_5x_0)</f>
        <v>112.7</v>
      </c>
      <c r="E47" s="1"/>
      <c r="F47" s="5">
        <f t="shared" si="24"/>
        <v>0</v>
      </c>
      <c r="G47" s="1"/>
      <c r="H47" s="1">
        <f>SUM(OSRRefH22_5x_0)</f>
        <v>75</v>
      </c>
      <c r="I47" s="1"/>
      <c r="J47" s="5">
        <f t="shared" si="25"/>
        <v>0</v>
      </c>
      <c r="K47" s="1"/>
      <c r="L47" s="1">
        <f t="shared" si="26"/>
        <v>37.700000000000003</v>
      </c>
      <c r="M47" s="1"/>
      <c r="N47" s="5">
        <f t="shared" si="27"/>
        <v>0.50266666666666671</v>
      </c>
      <c r="O47" s="12"/>
      <c r="P47" s="1">
        <f>SUM(OSRRefP22_5x_0)</f>
        <v>1323.05</v>
      </c>
      <c r="Q47" s="1"/>
      <c r="R47" s="5">
        <f t="shared" si="28"/>
        <v>0</v>
      </c>
      <c r="S47" s="1"/>
      <c r="T47" s="1">
        <f>SUM(OSRRefT22_5x_0)</f>
        <v>1500</v>
      </c>
      <c r="U47" s="1"/>
      <c r="V47" s="5">
        <f t="shared" si="29"/>
        <v>0</v>
      </c>
      <c r="W47" s="1"/>
      <c r="X47" s="1">
        <f t="shared" si="30"/>
        <v>-176.95000000000005</v>
      </c>
      <c r="Y47" s="1"/>
      <c r="Z47" s="5">
        <f t="shared" si="31"/>
        <v>-0.11796666666666669</v>
      </c>
    </row>
    <row r="48" spans="1:26" s="24" customFormat="1" hidden="1" outlineLevel="2" x14ac:dyDescent="0.25">
      <c r="A48" s="27"/>
      <c r="B48" s="11" t="str">
        <f>CONCATENATE("          ", "6309", " - ", "TELEPHONE")</f>
        <v xml:space="preserve">          6309 - TELEPHONE</v>
      </c>
      <c r="C48" s="11"/>
      <c r="D48" s="6">
        <v>112.7</v>
      </c>
      <c r="E48" s="2"/>
      <c r="F48" s="7">
        <f t="shared" si="24"/>
        <v>0</v>
      </c>
      <c r="G48" s="2"/>
      <c r="H48" s="6">
        <v>75</v>
      </c>
      <c r="I48" s="2"/>
      <c r="J48" s="7">
        <f t="shared" si="25"/>
        <v>0</v>
      </c>
      <c r="K48" s="2"/>
      <c r="L48" s="6">
        <f t="shared" si="26"/>
        <v>37.700000000000003</v>
      </c>
      <c r="M48" s="2"/>
      <c r="N48" s="7">
        <f t="shared" si="27"/>
        <v>0.50266666666666671</v>
      </c>
      <c r="O48" s="11"/>
      <c r="P48" s="6">
        <v>1323.05</v>
      </c>
      <c r="Q48" s="2"/>
      <c r="R48" s="7">
        <f t="shared" si="28"/>
        <v>0</v>
      </c>
      <c r="S48" s="2"/>
      <c r="T48" s="6">
        <v>1500</v>
      </c>
      <c r="U48" s="2"/>
      <c r="V48" s="7">
        <f t="shared" si="29"/>
        <v>0</v>
      </c>
      <c r="W48" s="2"/>
      <c r="X48" s="6">
        <f t="shared" si="30"/>
        <v>-176.95000000000005</v>
      </c>
      <c r="Y48" s="2"/>
      <c r="Z48" s="7">
        <f t="shared" si="31"/>
        <v>-0.11796666666666669</v>
      </c>
    </row>
    <row r="49" spans="1:26" s="26" customFormat="1" outlineLevel="1" collapsed="1" x14ac:dyDescent="0.25">
      <c r="A49" s="25"/>
      <c r="B49" s="12" t="str">
        <f>CONCATENATE("     ","Travel                                            ")</f>
        <v xml:space="preserve">     Travel                                            </v>
      </c>
      <c r="C49" s="12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2"/>
      <c r="P49" s="1">
        <f>SUM(OSRRefP22_6x_0)</f>
        <v>2759.81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2759.81</v>
      </c>
      <c r="Y49" s="1"/>
      <c r="Z49" s="5">
        <f t="shared" si="31"/>
        <v>0</v>
      </c>
    </row>
    <row r="50" spans="1:26" s="24" customFormat="1" hidden="1" outlineLevel="2" x14ac:dyDescent="0.25">
      <c r="A50" s="27"/>
      <c r="B50" s="11" t="str">
        <f>CONCATENATE("          ", "6292", " - ", "TRAVEL/CONFERENCE")</f>
        <v xml:space="preserve">          6292 - TRAVEL/CONFERENCE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2759.81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2759.81</v>
      </c>
      <c r="Y50" s="2"/>
      <c r="Z50" s="7">
        <f t="shared" si="31"/>
        <v>0</v>
      </c>
    </row>
    <row r="51" spans="1:26" s="60" customFormat="1" x14ac:dyDescent="0.25">
      <c r="A51" s="36"/>
      <c r="B51" s="36"/>
      <c r="C51" s="36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collapsed="1" x14ac:dyDescent="0.25">
      <c r="A52" s="10"/>
      <c r="B52" s="28" t="s">
        <v>0</v>
      </c>
      <c r="C52" s="10"/>
      <c r="D52" s="4">
        <f>SUM(OSRRefD25x_0)</f>
        <v>0</v>
      </c>
      <c r="E52" s="4"/>
      <c r="F52" s="13">
        <f t="shared" ref="F52:F53" si="32">IF(D$12=0,0,D52/D$12)</f>
        <v>0</v>
      </c>
      <c r="G52" s="4"/>
      <c r="H52" s="4">
        <f>SUM(OSRRefH25x_0)</f>
        <v>11879</v>
      </c>
      <c r="I52" s="4"/>
      <c r="J52" s="13">
        <f t="shared" ref="J52:J53" si="33">IF(H$12=0,0,H52/H$12)</f>
        <v>0</v>
      </c>
      <c r="K52" s="4"/>
      <c r="L52" s="4">
        <f t="shared" ref="L52:L53" si="34">+D52-H52</f>
        <v>-11879</v>
      </c>
      <c r="M52" s="4"/>
      <c r="N52" s="13">
        <f t="shared" ref="N52:N53" si="35">IF(H52=0,0,L52/H52)</f>
        <v>-1</v>
      </c>
      <c r="O52" s="10"/>
      <c r="P52" s="4">
        <f>SUM(OSRRefP25x_0)</f>
        <v>155658.1</v>
      </c>
      <c r="Q52" s="4"/>
      <c r="R52" s="13">
        <f t="shared" ref="R52:R53" si="36">IF(P$12=0,0,P52/P$12)</f>
        <v>0</v>
      </c>
      <c r="S52" s="4"/>
      <c r="T52" s="4">
        <f>SUM(OSRRefT25x_0)</f>
        <v>225488</v>
      </c>
      <c r="U52" s="4"/>
      <c r="V52" s="13">
        <f t="shared" ref="V52:V53" si="37">IF(T$12=0,0,T52/T$12)</f>
        <v>0</v>
      </c>
      <c r="W52" s="4"/>
      <c r="X52" s="4">
        <f t="shared" ref="X52:X53" si="38">+P52-T52</f>
        <v>-69829.899999999994</v>
      </c>
      <c r="Y52" s="4"/>
      <c r="Z52" s="13">
        <f t="shared" ref="Z52:Z53" si="39">IF(T52=0,0,X52/T52)</f>
        <v>-0.30968344213439292</v>
      </c>
    </row>
    <row r="53" spans="1:26" s="24" customFormat="1" hidden="1" outlineLevel="1" x14ac:dyDescent="0.25">
      <c r="A53" s="44"/>
      <c r="B53" s="11" t="str">
        <f>CONCATENATE("          ", "9150", " - ", "MISC. INCOME")</f>
        <v xml:space="preserve">          9150 - MISC. INCOME</v>
      </c>
      <c r="C53" s="11"/>
      <c r="D53" s="2">
        <f>0</f>
        <v>0</v>
      </c>
      <c r="E53" s="2"/>
      <c r="F53" s="19">
        <f t="shared" si="32"/>
        <v>0</v>
      </c>
      <c r="G53" s="2"/>
      <c r="H53" s="2">
        <v>11879</v>
      </c>
      <c r="I53" s="2"/>
      <c r="J53" s="19">
        <f t="shared" si="33"/>
        <v>0</v>
      </c>
      <c r="K53" s="2"/>
      <c r="L53" s="2">
        <f t="shared" si="34"/>
        <v>-11879</v>
      </c>
      <c r="M53" s="2"/>
      <c r="N53" s="19">
        <f t="shared" si="35"/>
        <v>-1</v>
      </c>
      <c r="O53" s="11"/>
      <c r="P53" s="2">
        <f>--155658.1</f>
        <v>155658.1</v>
      </c>
      <c r="Q53" s="2"/>
      <c r="R53" s="19">
        <f t="shared" si="36"/>
        <v>0</v>
      </c>
      <c r="S53" s="2"/>
      <c r="T53" s="2">
        <v>225488</v>
      </c>
      <c r="U53" s="2"/>
      <c r="V53" s="19">
        <f t="shared" si="37"/>
        <v>0</v>
      </c>
      <c r="W53" s="2"/>
      <c r="X53" s="2">
        <f t="shared" si="38"/>
        <v>-69829.899999999994</v>
      </c>
      <c r="Y53" s="2"/>
      <c r="Z53" s="19">
        <f t="shared" si="39"/>
        <v>-0.30968344213439292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9" t="s">
        <v>3</v>
      </c>
      <c r="C55" s="29"/>
      <c r="D55" s="22">
        <f>+D17-D19+D52</f>
        <v>-17788.2</v>
      </c>
      <c r="E55" s="14"/>
      <c r="F55" s="20">
        <f>IF(D$12=0,0,D55/D$12)</f>
        <v>0</v>
      </c>
      <c r="G55" s="14"/>
      <c r="H55" s="22">
        <f>+H17-H19+H52</f>
        <v>5547.2046691615433</v>
      </c>
      <c r="I55" s="14"/>
      <c r="J55" s="20">
        <f>IF(H$12=0,0,H55/H$12)</f>
        <v>0</v>
      </c>
      <c r="K55" s="15"/>
      <c r="L55" s="22">
        <f>+D55-H55</f>
        <v>-23335.404669161544</v>
      </c>
      <c r="M55" s="15"/>
      <c r="N55" s="20">
        <f>IF(H55=0,0,L55/H55)</f>
        <v>-4.2066961759838364</v>
      </c>
      <c r="O55" s="28"/>
      <c r="P55" s="22">
        <f>+P17-P19+P52</f>
        <v>-13521.51999999999</v>
      </c>
      <c r="Q55" s="14"/>
      <c r="R55" s="20">
        <f>IF(P$12=0,0,P55/P$12)</f>
        <v>0</v>
      </c>
      <c r="S55" s="14"/>
      <c r="T55" s="22">
        <f>+T17-T19+T52</f>
        <v>139873.16069910003</v>
      </c>
      <c r="U55" s="14"/>
      <c r="V55" s="20">
        <f>IF(T$12=0,0,T55/T$12)</f>
        <v>0</v>
      </c>
      <c r="W55" s="15"/>
      <c r="X55" s="22">
        <f>+P55-T55</f>
        <v>-153394.68069910002</v>
      </c>
      <c r="Y55" s="15"/>
      <c r="Z55" s="20">
        <f>IF(T55=0,0,X55/T55)</f>
        <v>-1.0966698681320854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2"/>
      <c r="B57" s="10" t="s">
        <v>14</v>
      </c>
      <c r="C57" s="10"/>
      <c r="D57" s="4"/>
      <c r="E57" s="4"/>
      <c r="F57" s="13">
        <f>IF(D$12=0,0,D57/D$12)</f>
        <v>0</v>
      </c>
      <c r="G57" s="4"/>
      <c r="H57" s="4"/>
      <c r="I57" s="4"/>
      <c r="J57" s="13">
        <f>IF(H$12=0,0,H57/H$12)</f>
        <v>0</v>
      </c>
      <c r="K57" s="4"/>
      <c r="L57" s="4">
        <f>+D57-H57</f>
        <v>0</v>
      </c>
      <c r="M57" s="4"/>
      <c r="N57" s="13">
        <f>IF(H57=0,0,L57/H57)</f>
        <v>0</v>
      </c>
      <c r="O57" s="10"/>
      <c r="P57" s="4"/>
      <c r="Q57" s="4"/>
      <c r="R57" s="13">
        <f>IF(P$12=0,0,P57/P$12)</f>
        <v>0</v>
      </c>
      <c r="S57" s="4"/>
      <c r="T57" s="4"/>
      <c r="U57" s="4"/>
      <c r="V57" s="13">
        <f>IF(T$12=0,0,T57/T$12)</f>
        <v>0</v>
      </c>
      <c r="W57" s="4"/>
      <c r="X57" s="4">
        <f>+P57-T57</f>
        <v>0</v>
      </c>
      <c r="Y57" s="4"/>
      <c r="Z57" s="13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9" t="s">
        <v>4</v>
      </c>
      <c r="C59" s="29"/>
      <c r="D59" s="31">
        <f>+D55-D57</f>
        <v>-17788.2</v>
      </c>
      <c r="E59" s="14"/>
      <c r="F59" s="33">
        <f>IF(D$12=0,0,D59/D$12)</f>
        <v>0</v>
      </c>
      <c r="G59" s="14"/>
      <c r="H59" s="31">
        <f>+H55-H57</f>
        <v>5547.2046691615433</v>
      </c>
      <c r="I59" s="14"/>
      <c r="J59" s="33">
        <f>IF(H$12=0,0,H59/H$12)</f>
        <v>0</v>
      </c>
      <c r="K59" s="15"/>
      <c r="L59" s="31">
        <f>D59-H59</f>
        <v>-23335.404669161544</v>
      </c>
      <c r="M59" s="15"/>
      <c r="N59" s="33">
        <f>IF(H59=0,0,L59/H59)</f>
        <v>-4.2066961759838364</v>
      </c>
      <c r="O59" s="28"/>
      <c r="P59" s="31">
        <f>+P55-P57</f>
        <v>-13521.51999999999</v>
      </c>
      <c r="Q59" s="14"/>
      <c r="R59" s="33">
        <f>IF(P$12=0,0,P59/P$12)</f>
        <v>0</v>
      </c>
      <c r="S59" s="14"/>
      <c r="T59" s="31">
        <f>+T55-T57</f>
        <v>139873.16069910003</v>
      </c>
      <c r="U59" s="14"/>
      <c r="V59" s="33">
        <f>IF(T$12=0,0,T59/T$12)</f>
        <v>0</v>
      </c>
      <c r="W59" s="15"/>
      <c r="X59" s="31">
        <f>P59-T59</f>
        <v>-153394.68069910002</v>
      </c>
      <c r="Y59" s="15"/>
      <c r="Z59" s="33">
        <f>IF(T59=0,0,X59/T59)</f>
        <v>-1.0966698681320854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9" t="s">
        <v>5</v>
      </c>
      <c r="C62" s="29"/>
      <c r="D62" s="34">
        <f>SUM(D59:D61)</f>
        <v>-17788.2</v>
      </c>
      <c r="E62" s="14"/>
      <c r="F62" s="35">
        <f>IF(D$12=0,0,D62/D$12)</f>
        <v>0</v>
      </c>
      <c r="G62" s="14"/>
      <c r="H62" s="34">
        <f>SUM(H59:H61)</f>
        <v>5547.2046691615433</v>
      </c>
      <c r="I62" s="14"/>
      <c r="J62" s="35">
        <f>IF(H$12=0,0,H62/H$12)</f>
        <v>0</v>
      </c>
      <c r="K62" s="15"/>
      <c r="L62" s="34">
        <f>+D62-H62</f>
        <v>-23335.404669161544</v>
      </c>
      <c r="M62" s="15"/>
      <c r="N62" s="35">
        <f>IF(H62=0,0,L62/H62)</f>
        <v>-4.2066961759838364</v>
      </c>
      <c r="O62" s="28"/>
      <c r="P62" s="34">
        <f>SUM(P59:P61)</f>
        <v>-13521.51999999999</v>
      </c>
      <c r="Q62" s="14"/>
      <c r="R62" s="35">
        <f>IF(P$12=0,0,P62/P$12)</f>
        <v>0</v>
      </c>
      <c r="S62" s="14"/>
      <c r="T62" s="34">
        <f>SUM(T59:T61)</f>
        <v>139873.16069910003</v>
      </c>
      <c r="U62" s="14"/>
      <c r="V62" s="35">
        <f>IF(T$12=0,0,T62/T$12)</f>
        <v>0</v>
      </c>
      <c r="W62" s="15"/>
      <c r="X62" s="34">
        <f>+P62-T62</f>
        <v>-153394.68069910002</v>
      </c>
      <c r="Y62" s="15"/>
      <c r="Z62" s="35">
        <f>IF(T62=0,0,X62/T62)</f>
        <v>-1.0966698681320854</v>
      </c>
    </row>
    <row r="63" spans="1:26" ht="15.75" thickTop="1" x14ac:dyDescent="0.25">
      <c r="A63" s="9"/>
      <c r="C63" s="9"/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5">
        <v>44043.47385894676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25">
      <c r="A65" s="9"/>
      <c r="B65" s="62" t="s">
        <v>314</v>
      </c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A66" s="9"/>
      <c r="B66" s="63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25"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","424", " - ", "Blair Field")</f>
        <v>Department 424 - Blair Field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6" si="0">+D12-H12</f>
        <v>0</v>
      </c>
      <c r="M12" s="4"/>
      <c r="N12" s="13">
        <f t="shared" ref="N12:N16" si="1">IF(H12=0,0,L12/H12)</f>
        <v>0</v>
      </c>
      <c r="O12" s="10"/>
      <c r="P12" s="4">
        <f>SUM(OSRRefP13x_0)</f>
        <v>157290.23000000001</v>
      </c>
      <c r="Q12" s="4"/>
      <c r="R12" s="13"/>
      <c r="S12" s="4"/>
      <c r="T12" s="4">
        <f>SUM(OSRRefT13x_0)</f>
        <v>250000</v>
      </c>
      <c r="U12" s="4"/>
      <c r="V12" s="13"/>
      <c r="W12" s="4"/>
      <c r="X12" s="4">
        <f t="shared" ref="X12:X16" si="2">+P12-T12</f>
        <v>-92709.76999999999</v>
      </c>
      <c r="Y12" s="4"/>
      <c r="Z12" s="13">
        <f t="shared" ref="Z12:Z16" si="3">IF(T12=0,0,X12/T12)</f>
        <v>-0.37083907999999993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62500</v>
      </c>
      <c r="U13" s="2"/>
      <c r="V13" s="19"/>
      <c r="W13" s="2"/>
      <c r="X13" s="2">
        <f t="shared" si="2"/>
        <v>-62500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--157788.64</f>
        <v>157788.64000000001</v>
      </c>
      <c r="Q14" s="2"/>
      <c r="R14" s="19"/>
      <c r="S14" s="2"/>
      <c r="T14" s="2"/>
      <c r="U14" s="2"/>
      <c r="V14" s="19"/>
      <c r="W14" s="2"/>
      <c r="X14" s="2">
        <f t="shared" si="2"/>
        <v>157788.64000000001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187500</v>
      </c>
      <c r="U15" s="2"/>
      <c r="V15" s="19"/>
      <c r="W15" s="2"/>
      <c r="X15" s="2">
        <f t="shared" si="2"/>
        <v>-187500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-498.41</f>
        <v>-498.41</v>
      </c>
      <c r="Q16" s="2"/>
      <c r="R16" s="19"/>
      <c r="S16" s="2"/>
      <c r="T16" s="2"/>
      <c r="U16" s="2"/>
      <c r="V16" s="19"/>
      <c r="W16" s="2"/>
      <c r="X16" s="2">
        <f t="shared" si="2"/>
        <v>-498.41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3">
        <f t="shared" ref="F18:F21" si="5">IF(D$12=0,0,D18/D$12)</f>
        <v>0</v>
      </c>
      <c r="G18" s="4"/>
      <c r="H18" s="4">
        <f>SUM(OSRRefH16x_0)</f>
        <v>0</v>
      </c>
      <c r="I18" s="4"/>
      <c r="J18" s="13">
        <f t="shared" ref="J18:J21" si="6">IF(H$12=0,0,H18/H$12)</f>
        <v>0</v>
      </c>
      <c r="K18" s="4"/>
      <c r="L18" s="4">
        <f t="shared" ref="L18:L21" si="7">+D18-H18</f>
        <v>0</v>
      </c>
      <c r="M18" s="4"/>
      <c r="N18" s="13">
        <f t="shared" ref="N18:N21" si="8">IF(H18=0,0,L18/H18)</f>
        <v>0</v>
      </c>
      <c r="O18" s="10"/>
      <c r="P18" s="4">
        <f>SUM(OSRRefP16x_0)</f>
        <v>43321.25</v>
      </c>
      <c r="Q18" s="4"/>
      <c r="R18" s="13">
        <f t="shared" ref="R18:R21" si="9">IF(P$12=0,0,P18/P$12)</f>
        <v>0.27542238319570134</v>
      </c>
      <c r="S18" s="4"/>
      <c r="T18" s="4">
        <f>SUM(OSRRefT16x_0)</f>
        <v>62500</v>
      </c>
      <c r="U18" s="4"/>
      <c r="V18" s="13">
        <f t="shared" ref="V18:V21" si="10">IF(T$12=0,0,T18/T$12)</f>
        <v>0.25</v>
      </c>
      <c r="W18" s="4"/>
      <c r="X18" s="4">
        <f t="shared" ref="X18:X21" si="11">+P18-T18</f>
        <v>-19178.75</v>
      </c>
      <c r="Y18" s="4"/>
      <c r="Z18" s="13">
        <f t="shared" ref="Z18:Z21" si="12">IF(T18=0,0,X18/T18)</f>
        <v>-0.30686000000000002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/>
      <c r="Q19" s="2"/>
      <c r="R19" s="19">
        <f t="shared" si="9"/>
        <v>0</v>
      </c>
      <c r="S19" s="2"/>
      <c r="T19" s="2">
        <v>62500</v>
      </c>
      <c r="U19" s="2"/>
      <c r="V19" s="19">
        <f t="shared" si="10"/>
        <v>0.25</v>
      </c>
      <c r="W19" s="2"/>
      <c r="X19" s="2">
        <f t="shared" si="11"/>
        <v>-62500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43126.25</v>
      </c>
      <c r="Q20" s="2"/>
      <c r="R20" s="19">
        <f t="shared" si="9"/>
        <v>0.27418263677279892</v>
      </c>
      <c r="S20" s="2"/>
      <c r="T20" s="2"/>
      <c r="U20" s="2"/>
      <c r="V20" s="19">
        <f t="shared" si="10"/>
        <v>0</v>
      </c>
      <c r="W20" s="2"/>
      <c r="X20" s="2">
        <f t="shared" si="11"/>
        <v>43126.25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195</v>
      </c>
      <c r="Q21" s="2"/>
      <c r="R21" s="19">
        <f t="shared" si="9"/>
        <v>1.239746422902427E-3</v>
      </c>
      <c r="S21" s="2"/>
      <c r="T21" s="2"/>
      <c r="U21" s="2"/>
      <c r="V21" s="19">
        <f t="shared" si="10"/>
        <v>0</v>
      </c>
      <c r="W21" s="2"/>
      <c r="X21" s="2">
        <f t="shared" si="11"/>
        <v>195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0</v>
      </c>
      <c r="E23" s="14"/>
      <c r="F23" s="20">
        <f>IF(D$12=0,0,D23/D$12)</f>
        <v>0</v>
      </c>
      <c r="G23" s="14"/>
      <c r="H23" s="22">
        <f>H12-H18</f>
        <v>0</v>
      </c>
      <c r="I23" s="14"/>
      <c r="J23" s="20">
        <f>IF(H$12=0,0,H23/H$12)</f>
        <v>0</v>
      </c>
      <c r="K23" s="15"/>
      <c r="L23" s="22">
        <f>+D23-H23</f>
        <v>0</v>
      </c>
      <c r="M23" s="15"/>
      <c r="N23" s="20">
        <f>IF(H23=0,0,L23/H23)</f>
        <v>0</v>
      </c>
      <c r="O23" s="28"/>
      <c r="P23" s="22">
        <f>P12-P18</f>
        <v>113968.98000000001</v>
      </c>
      <c r="Q23" s="14"/>
      <c r="R23" s="20">
        <f>IF(P$12=0,0,P23/P$12)</f>
        <v>0.72457761680429866</v>
      </c>
      <c r="S23" s="14"/>
      <c r="T23" s="22">
        <f>T12-T18</f>
        <v>187500</v>
      </c>
      <c r="U23" s="14"/>
      <c r="V23" s="20">
        <f>IF(T$12=0,0,T23/T$12)</f>
        <v>0.75</v>
      </c>
      <c r="W23" s="15"/>
      <c r="X23" s="22">
        <f>+P23-T23</f>
        <v>-73531.01999999999</v>
      </c>
      <c r="Y23" s="15"/>
      <c r="Z23" s="20">
        <f>IF(T23=0,0,X23/T23)</f>
        <v>-0.39216543999999992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395.3</v>
      </c>
      <c r="E25" s="21"/>
      <c r="F25" s="32">
        <f t="shared" ref="F25:F34" si="13">IF(D$12=0,0,D25/D$12)</f>
        <v>0</v>
      </c>
      <c r="G25" s="21"/>
      <c r="H25" s="21">
        <f>SUM(OSRRefH22x_0)</f>
        <v>6958.4876000000004</v>
      </c>
      <c r="I25" s="21"/>
      <c r="J25" s="32">
        <f t="shared" ref="J25:J34" si="14">IF(H$12=0,0,H25/H$12)</f>
        <v>0</v>
      </c>
      <c r="K25" s="4"/>
      <c r="L25" s="21">
        <f t="shared" ref="L25:L34" si="15">+D25-H25</f>
        <v>-6563.1876000000002</v>
      </c>
      <c r="M25" s="4"/>
      <c r="N25" s="32">
        <f t="shared" ref="N25:N34" si="16">IF(H25=0,0,L25/H25)</f>
        <v>-0.94319167860556363</v>
      </c>
      <c r="O25" s="10"/>
      <c r="P25" s="21">
        <f>SUM(OSRRefP22x_0)</f>
        <v>90627.54</v>
      </c>
      <c r="Q25" s="21"/>
      <c r="R25" s="32">
        <f t="shared" ref="R25:R34" si="17">IF(P$12=0,0,P25/P$12)</f>
        <v>0.57618035144331592</v>
      </c>
      <c r="S25" s="21"/>
      <c r="T25" s="21">
        <f>SUM(OSRRefT22x_0)</f>
        <v>123313.6548</v>
      </c>
      <c r="U25" s="21"/>
      <c r="V25" s="32">
        <f t="shared" ref="V25:V34" si="18">IF(T$12=0,0,T25/T$12)</f>
        <v>0.49325461920000002</v>
      </c>
      <c r="W25" s="4"/>
      <c r="X25" s="21">
        <f t="shared" ref="X25:X34" si="19">+P25-T25</f>
        <v>-32686.11480000001</v>
      </c>
      <c r="Y25" s="4"/>
      <c r="Z25" s="32">
        <f t="shared" ref="Z25:Z34" si="20">IF(T25=0,0,X25/T25)</f>
        <v>-0.26506484503287958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0</v>
      </c>
      <c r="E26" s="1"/>
      <c r="F26" s="5">
        <f t="shared" si="13"/>
        <v>0</v>
      </c>
      <c r="G26" s="1"/>
      <c r="H26" s="1">
        <f>SUM(OSRRefH22_0x_0)</f>
        <v>209.48759999999999</v>
      </c>
      <c r="I26" s="1"/>
      <c r="J26" s="5">
        <f t="shared" si="14"/>
        <v>0</v>
      </c>
      <c r="K26" s="1"/>
      <c r="L26" s="1">
        <f t="shared" si="15"/>
        <v>-209.48759999999999</v>
      </c>
      <c r="M26" s="1"/>
      <c r="N26" s="5">
        <f t="shared" si="16"/>
        <v>-1</v>
      </c>
      <c r="O26" s="12"/>
      <c r="P26" s="1">
        <f>SUM(OSRRefP22_0x_0)</f>
        <v>1171.8399999999999</v>
      </c>
      <c r="Q26" s="1"/>
      <c r="R26" s="5">
        <f t="shared" si="17"/>
        <v>7.4501766575075885E-3</v>
      </c>
      <c r="S26" s="1"/>
      <c r="T26" s="1">
        <f>SUM(OSRRefT22_0x_0)</f>
        <v>1864.6548</v>
      </c>
      <c r="U26" s="1"/>
      <c r="V26" s="5">
        <f t="shared" si="18"/>
        <v>7.4586191999999997E-3</v>
      </c>
      <c r="W26" s="1"/>
      <c r="X26" s="1">
        <f t="shared" si="19"/>
        <v>-692.8148000000001</v>
      </c>
      <c r="Y26" s="1"/>
      <c r="Z26" s="5">
        <f t="shared" si="20"/>
        <v>-0.37155123833108417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1182.24</v>
      </c>
      <c r="Q27" s="2"/>
      <c r="R27" s="7">
        <f t="shared" si="17"/>
        <v>7.5162964667290517E-3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1182.24</v>
      </c>
      <c r="Y27" s="2"/>
      <c r="Z27" s="7">
        <f t="shared" si="20"/>
        <v>0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-10.4</v>
      </c>
      <c r="Q28" s="2"/>
      <c r="R28" s="7">
        <f t="shared" si="17"/>
        <v>-6.6119809221462769E-5</v>
      </c>
      <c r="S28" s="2"/>
      <c r="T28" s="6">
        <v>0</v>
      </c>
      <c r="U28" s="2"/>
      <c r="V28" s="7">
        <f t="shared" si="18"/>
        <v>0</v>
      </c>
      <c r="W28" s="2"/>
      <c r="X28" s="6">
        <f t="shared" si="19"/>
        <v>-10.4</v>
      </c>
      <c r="Y28" s="2"/>
      <c r="Z28" s="7">
        <f t="shared" si="20"/>
        <v>0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3"/>
        <v>0</v>
      </c>
      <c r="G30" s="2"/>
      <c r="H30" s="6">
        <v>16.707599999999999</v>
      </c>
      <c r="I30" s="2"/>
      <c r="J30" s="7">
        <f t="shared" si="14"/>
        <v>0</v>
      </c>
      <c r="K30" s="2"/>
      <c r="L30" s="6">
        <f t="shared" si="15"/>
        <v>-16.707599999999999</v>
      </c>
      <c r="M30" s="2"/>
      <c r="N30" s="7">
        <f t="shared" si="16"/>
        <v>-1</v>
      </c>
      <c r="O30" s="11"/>
      <c r="P30" s="6"/>
      <c r="Q30" s="2"/>
      <c r="R30" s="7">
        <f t="shared" si="17"/>
        <v>0</v>
      </c>
      <c r="S30" s="2"/>
      <c r="T30" s="6">
        <v>148.7148</v>
      </c>
      <c r="U30" s="2"/>
      <c r="V30" s="7">
        <f t="shared" si="18"/>
        <v>5.9485919999999995E-4</v>
      </c>
      <c r="W30" s="2"/>
      <c r="X30" s="6">
        <f t="shared" si="19"/>
        <v>-148.7148</v>
      </c>
      <c r="Y30" s="2"/>
      <c r="Z30" s="7">
        <f t="shared" si="20"/>
        <v>-1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192.78</v>
      </c>
      <c r="I34" s="2"/>
      <c r="J34" s="7">
        <f t="shared" si="14"/>
        <v>0</v>
      </c>
      <c r="K34" s="2"/>
      <c r="L34" s="6">
        <f t="shared" si="15"/>
        <v>-192.78</v>
      </c>
      <c r="M34" s="2"/>
      <c r="N34" s="7">
        <f t="shared" si="16"/>
        <v>-1</v>
      </c>
      <c r="O34" s="11"/>
      <c r="P34" s="6"/>
      <c r="Q34" s="2"/>
      <c r="R34" s="7">
        <f t="shared" si="17"/>
        <v>0</v>
      </c>
      <c r="S34" s="2"/>
      <c r="T34" s="6">
        <v>1715.94</v>
      </c>
      <c r="U34" s="2"/>
      <c r="V34" s="7">
        <f t="shared" si="18"/>
        <v>6.86376E-3</v>
      </c>
      <c r="W34" s="2"/>
      <c r="X34" s="6">
        <f t="shared" si="19"/>
        <v>-1715.94</v>
      </c>
      <c r="Y34" s="2"/>
      <c r="Z34" s="7">
        <f t="shared" si="20"/>
        <v>-1</v>
      </c>
    </row>
    <row r="35" spans="1:26" s="26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6426</v>
      </c>
      <c r="I35" s="1"/>
      <c r="J35" s="5">
        <f t="shared" ref="J35:J45" si="22">IF(H$12=0,0,H35/H$12)</f>
        <v>0</v>
      </c>
      <c r="K35" s="1"/>
      <c r="L35" s="1">
        <f t="shared" ref="L35:L45" si="23">+D35-H35</f>
        <v>-6426</v>
      </c>
      <c r="M35" s="1"/>
      <c r="N35" s="5">
        <f t="shared" ref="N35:N45" si="24">IF(H35=0,0,L35/H35)</f>
        <v>-1</v>
      </c>
      <c r="O35" s="12"/>
      <c r="P35" s="1">
        <f>SUM(OSRRefP22_1x_0)</f>
        <v>29540.829999999998</v>
      </c>
      <c r="Q35" s="1"/>
      <c r="R35" s="5">
        <f t="shared" ref="R35:R45" si="25">IF(P$12=0,0,P35/P$12)</f>
        <v>0.18781096575419845</v>
      </c>
      <c r="S35" s="1"/>
      <c r="T35" s="1">
        <f>SUM(OSRRefT22_1x_0)</f>
        <v>57198</v>
      </c>
      <c r="U35" s="1"/>
      <c r="V35" s="5">
        <f t="shared" ref="V35:V45" si="26">IF(T$12=0,0,T35/T$12)</f>
        <v>0.228792</v>
      </c>
      <c r="W35" s="1"/>
      <c r="X35" s="1">
        <f t="shared" ref="X35:X45" si="27">+P35-T35</f>
        <v>-27657.170000000002</v>
      </c>
      <c r="Y35" s="1"/>
      <c r="Z35" s="5">
        <f t="shared" ref="Z35:Z45" si="28">IF(T35=0,0,X35/T35)</f>
        <v>-0.4835338648204483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>
        <v>3193.41</v>
      </c>
      <c r="Q39" s="2"/>
      <c r="R39" s="7">
        <f t="shared" si="25"/>
        <v>2.0302659612106866E-2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3193.41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1890</v>
      </c>
      <c r="I40" s="2"/>
      <c r="J40" s="7">
        <f t="shared" si="22"/>
        <v>0</v>
      </c>
      <c r="K40" s="2"/>
      <c r="L40" s="6">
        <f t="shared" si="23"/>
        <v>-1890</v>
      </c>
      <c r="M40" s="2"/>
      <c r="N40" s="7">
        <f t="shared" si="24"/>
        <v>-1</v>
      </c>
      <c r="O40" s="11"/>
      <c r="P40" s="6">
        <v>9782.57</v>
      </c>
      <c r="Q40" s="2"/>
      <c r="R40" s="7">
        <f t="shared" si="25"/>
        <v>6.2194390586115866E-2</v>
      </c>
      <c r="S40" s="2"/>
      <c r="T40" s="6">
        <v>24126</v>
      </c>
      <c r="U40" s="2"/>
      <c r="V40" s="7">
        <f t="shared" si="26"/>
        <v>9.6504000000000006E-2</v>
      </c>
      <c r="W40" s="2"/>
      <c r="X40" s="6">
        <f t="shared" si="27"/>
        <v>-14343.43</v>
      </c>
      <c r="Y40" s="2"/>
      <c r="Z40" s="7">
        <f t="shared" si="28"/>
        <v>-0.59452167785791266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247.5</v>
      </c>
      <c r="Q41" s="2"/>
      <c r="R41" s="7">
        <f t="shared" si="25"/>
        <v>1.5735243059915418E-3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247.5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13228</v>
      </c>
      <c r="Q42" s="2"/>
      <c r="R42" s="7">
        <f t="shared" si="25"/>
        <v>8.4099311190529755E-2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13228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4536</v>
      </c>
      <c r="I43" s="2"/>
      <c r="J43" s="7">
        <f t="shared" si="22"/>
        <v>0</v>
      </c>
      <c r="K43" s="2"/>
      <c r="L43" s="6">
        <f t="shared" si="23"/>
        <v>-4536</v>
      </c>
      <c r="M43" s="2"/>
      <c r="N43" s="7">
        <f t="shared" si="24"/>
        <v>-1</v>
      </c>
      <c r="O43" s="11"/>
      <c r="P43" s="6">
        <v>3089.35</v>
      </c>
      <c r="Q43" s="2"/>
      <c r="R43" s="7">
        <f t="shared" si="25"/>
        <v>1.9641080059454422E-2</v>
      </c>
      <c r="S43" s="2"/>
      <c r="T43" s="6">
        <v>33072</v>
      </c>
      <c r="U43" s="2"/>
      <c r="V43" s="7">
        <f t="shared" si="26"/>
        <v>0.13228799999999999</v>
      </c>
      <c r="W43" s="2"/>
      <c r="X43" s="6">
        <f t="shared" si="27"/>
        <v>-29982.65</v>
      </c>
      <c r="Y43" s="2"/>
      <c r="Z43" s="7">
        <f t="shared" si="28"/>
        <v>-0.90658714320270928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6" customFormat="1" outlineLevel="1" collapsed="1" x14ac:dyDescent="0.25">
      <c r="A46" s="25"/>
      <c r="B46" s="12" t="str">
        <f>CONCATENATE("     ","Advertising/Promo                                 ")</f>
        <v xml:space="preserve">     Advertising/Promo                                 </v>
      </c>
      <c r="C46" s="12"/>
      <c r="D46" s="1">
        <f>SUM(OSRRefD22_2x_0)</f>
        <v>0</v>
      </c>
      <c r="E46" s="1"/>
      <c r="F46" s="5">
        <f t="shared" ref="F46:F60" si="29">IF(D$12=0,0,D46/D$12)</f>
        <v>0</v>
      </c>
      <c r="G46" s="1"/>
      <c r="H46" s="1">
        <f>SUM(OSRRefH22_2x_0)</f>
        <v>0</v>
      </c>
      <c r="I46" s="1"/>
      <c r="J46" s="5">
        <f t="shared" ref="J46:J60" si="30">IF(H$12=0,0,H46/H$12)</f>
        <v>0</v>
      </c>
      <c r="K46" s="1"/>
      <c r="L46" s="1">
        <f t="shared" ref="L46:L60" si="31">+D46-H46</f>
        <v>0</v>
      </c>
      <c r="M46" s="1"/>
      <c r="N46" s="5">
        <f t="shared" ref="N46:N60" si="32">IF(H46=0,0,L46/H46)</f>
        <v>0</v>
      </c>
      <c r="O46" s="12"/>
      <c r="P46" s="1">
        <f>SUM(OSRRefP22_2x_0)</f>
        <v>3023.77</v>
      </c>
      <c r="Q46" s="1"/>
      <c r="R46" s="5">
        <f t="shared" ref="R46:R60" si="33">IF(P$12=0,0,P46/P$12)</f>
        <v>1.9224143800921391E-2</v>
      </c>
      <c r="S46" s="1"/>
      <c r="T46" s="1">
        <f>SUM(OSRRefT22_2x_0)</f>
        <v>300</v>
      </c>
      <c r="U46" s="1"/>
      <c r="V46" s="5">
        <f t="shared" ref="V46:V60" si="34">IF(T$12=0,0,T46/T$12)</f>
        <v>1.1999999999999999E-3</v>
      </c>
      <c r="W46" s="1"/>
      <c r="X46" s="1">
        <f t="shared" ref="X46:X60" si="35">+P46-T46</f>
        <v>2723.77</v>
      </c>
      <c r="Y46" s="1"/>
      <c r="Z46" s="5">
        <f t="shared" ref="Z46:Z60" si="36">IF(T46=0,0,X46/T46)</f>
        <v>9.0792333333333328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>
        <v>3023.77</v>
      </c>
      <c r="Q47" s="2"/>
      <c r="R47" s="7">
        <f t="shared" si="33"/>
        <v>1.9224143800921391E-2</v>
      </c>
      <c r="S47" s="2"/>
      <c r="T47" s="6">
        <v>300</v>
      </c>
      <c r="U47" s="2"/>
      <c r="V47" s="7">
        <f t="shared" si="34"/>
        <v>1.1999999999999999E-3</v>
      </c>
      <c r="W47" s="2"/>
      <c r="X47" s="6">
        <f t="shared" si="35"/>
        <v>2723.77</v>
      </c>
      <c r="Y47" s="2"/>
      <c r="Z47" s="7">
        <f t="shared" si="36"/>
        <v>9.0792333333333328</v>
      </c>
    </row>
    <row r="48" spans="1:26" s="26" customFormat="1" outlineLevel="1" collapsed="1" x14ac:dyDescent="0.25">
      <c r="A48" s="25"/>
      <c r="B48" s="12" t="str">
        <f>CONCATENATE("     ","Bad Debts/Over/Short                              ")</f>
        <v xml:space="preserve">     Bad Debts/Over/Short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25</v>
      </c>
      <c r="I48" s="1"/>
      <c r="J48" s="5">
        <f t="shared" si="30"/>
        <v>0</v>
      </c>
      <c r="K48" s="1"/>
      <c r="L48" s="1">
        <f t="shared" si="31"/>
        <v>-25</v>
      </c>
      <c r="M48" s="1"/>
      <c r="N48" s="5">
        <f t="shared" si="32"/>
        <v>-1</v>
      </c>
      <c r="O48" s="12"/>
      <c r="P48" s="1">
        <f>SUM(OSRRefP22_3x_0)</f>
        <v>19.399999999999999</v>
      </c>
      <c r="Q48" s="1"/>
      <c r="R48" s="5">
        <f t="shared" si="33"/>
        <v>1.2333887489388246E-4</v>
      </c>
      <c r="S48" s="1"/>
      <c r="T48" s="1">
        <f>SUM(OSRRefT22_3x_0)</f>
        <v>150</v>
      </c>
      <c r="U48" s="1"/>
      <c r="V48" s="5">
        <f t="shared" si="34"/>
        <v>5.9999999999999995E-4</v>
      </c>
      <c r="W48" s="1"/>
      <c r="X48" s="1">
        <f t="shared" si="35"/>
        <v>-130.6</v>
      </c>
      <c r="Y48" s="1"/>
      <c r="Z48" s="5">
        <f t="shared" si="36"/>
        <v>-0.87066666666666659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25</v>
      </c>
      <c r="I49" s="2"/>
      <c r="J49" s="7">
        <f t="shared" si="30"/>
        <v>0</v>
      </c>
      <c r="K49" s="2"/>
      <c r="L49" s="6">
        <f t="shared" si="31"/>
        <v>-25</v>
      </c>
      <c r="M49" s="2"/>
      <c r="N49" s="7">
        <f t="shared" si="32"/>
        <v>-1</v>
      </c>
      <c r="O49" s="11"/>
      <c r="P49" s="6">
        <v>19.399999999999999</v>
      </c>
      <c r="Q49" s="2"/>
      <c r="R49" s="7">
        <f t="shared" si="33"/>
        <v>1.2333887489388246E-4</v>
      </c>
      <c r="S49" s="2"/>
      <c r="T49" s="6">
        <v>150</v>
      </c>
      <c r="U49" s="2"/>
      <c r="V49" s="7">
        <f t="shared" si="34"/>
        <v>5.9999999999999995E-4</v>
      </c>
      <c r="W49" s="2"/>
      <c r="X49" s="6">
        <f t="shared" si="35"/>
        <v>-130.6</v>
      </c>
      <c r="Y49" s="2"/>
      <c r="Z49" s="7">
        <f t="shared" si="36"/>
        <v>-0.87066666666666659</v>
      </c>
    </row>
    <row r="50" spans="1:26" s="26" customFormat="1" outlineLevel="1" collapsed="1" x14ac:dyDescent="0.25">
      <c r="A50" s="25"/>
      <c r="B50" s="12" t="str">
        <f>CONCATENATE("     ","Bank/card Fees                                    ")</f>
        <v xml:space="preserve">     Bank/card Fees         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2"/>
      <c r="P50" s="1">
        <f>SUM(OSRRefP22_4x_0)</f>
        <v>4064.54</v>
      </c>
      <c r="Q50" s="1"/>
      <c r="R50" s="5">
        <f t="shared" si="33"/>
        <v>2.5841020132019641E-2</v>
      </c>
      <c r="S50" s="1"/>
      <c r="T50" s="1">
        <f>SUM(OSRRefT22_4x_0)</f>
        <v>850</v>
      </c>
      <c r="U50" s="1"/>
      <c r="V50" s="5">
        <f t="shared" si="34"/>
        <v>3.3999999999999998E-3</v>
      </c>
      <c r="W50" s="1"/>
      <c r="X50" s="1">
        <f t="shared" si="35"/>
        <v>3214.54</v>
      </c>
      <c r="Y50" s="1"/>
      <c r="Z50" s="5">
        <f t="shared" si="36"/>
        <v>3.7818117647058824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4064.54</v>
      </c>
      <c r="Q51" s="2"/>
      <c r="R51" s="7">
        <f t="shared" si="33"/>
        <v>2.5841020132019641E-2</v>
      </c>
      <c r="S51" s="2"/>
      <c r="T51" s="6">
        <v>850</v>
      </c>
      <c r="U51" s="2"/>
      <c r="V51" s="7">
        <f t="shared" si="34"/>
        <v>3.3999999999999998E-3</v>
      </c>
      <c r="W51" s="2"/>
      <c r="X51" s="6">
        <f t="shared" si="35"/>
        <v>3214.54</v>
      </c>
      <c r="Y51" s="2"/>
      <c r="Z51" s="7">
        <f t="shared" si="36"/>
        <v>3.7818117647058824</v>
      </c>
    </row>
    <row r="52" spans="1:26" s="26" customFormat="1" outlineLevel="1" collapsed="1" x14ac:dyDescent="0.25">
      <c r="A52" s="25"/>
      <c r="B52" s="12" t="str">
        <f>CONCATENATE("     ","Depreciation                                      ")</f>
        <v xml:space="preserve">     Depreciation                                      </v>
      </c>
      <c r="C52" s="12"/>
      <c r="D52" s="1">
        <f>SUM(OSRRefD22_5x_0)</f>
        <v>479.29</v>
      </c>
      <c r="E52" s="1"/>
      <c r="F52" s="5">
        <f t="shared" si="29"/>
        <v>0</v>
      </c>
      <c r="G52" s="1"/>
      <c r="H52" s="1">
        <f>SUM(OSRRefH22_5x_0)</f>
        <v>0</v>
      </c>
      <c r="I52" s="1"/>
      <c r="J52" s="5">
        <f t="shared" si="30"/>
        <v>0</v>
      </c>
      <c r="K52" s="1"/>
      <c r="L52" s="1">
        <f t="shared" si="31"/>
        <v>479.29</v>
      </c>
      <c r="M52" s="1"/>
      <c r="N52" s="5">
        <f t="shared" si="32"/>
        <v>0</v>
      </c>
      <c r="O52" s="12"/>
      <c r="P52" s="1">
        <f>SUM(OSRRefP22_5x_0)</f>
        <v>1917.16</v>
      </c>
      <c r="Q52" s="1"/>
      <c r="R52" s="5">
        <f t="shared" si="33"/>
        <v>1.2188678216059573E-2</v>
      </c>
      <c r="S52" s="1"/>
      <c r="T52" s="1">
        <f>SUM(OSRRefT22_5x_0)</f>
        <v>0</v>
      </c>
      <c r="U52" s="1"/>
      <c r="V52" s="5">
        <f t="shared" si="34"/>
        <v>0</v>
      </c>
      <c r="W52" s="1"/>
      <c r="X52" s="1">
        <f t="shared" si="35"/>
        <v>1917.16</v>
      </c>
      <c r="Y52" s="1"/>
      <c r="Z52" s="5">
        <f t="shared" si="36"/>
        <v>0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479.29</v>
      </c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479.29</v>
      </c>
      <c r="M53" s="2"/>
      <c r="N53" s="7">
        <f t="shared" si="32"/>
        <v>0</v>
      </c>
      <c r="O53" s="11"/>
      <c r="P53" s="6">
        <v>1917.16</v>
      </c>
      <c r="Q53" s="2"/>
      <c r="R53" s="7">
        <f t="shared" si="33"/>
        <v>1.2188678216059573E-2</v>
      </c>
      <c r="S53" s="2"/>
      <c r="T53" s="6"/>
      <c r="U53" s="2"/>
      <c r="V53" s="7">
        <f t="shared" si="34"/>
        <v>0</v>
      </c>
      <c r="W53" s="2"/>
      <c r="X53" s="6">
        <f t="shared" si="35"/>
        <v>1917.16</v>
      </c>
      <c r="Y53" s="2"/>
      <c r="Z53" s="7">
        <f t="shared" si="36"/>
        <v>0</v>
      </c>
    </row>
    <row r="54" spans="1:26" s="26" customFormat="1" outlineLevel="1" collapsed="1" x14ac:dyDescent="0.25">
      <c r="A54" s="25"/>
      <c r="B54" s="12" t="str">
        <f>CONCATENATE("     ","Employees' Appreciation                           ")</f>
        <v xml:space="preserve">     Employees' Appreciation                           </v>
      </c>
      <c r="C54" s="12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2"/>
      <c r="P54" s="1">
        <f>SUM(OSRRefP22_6x_0)</f>
        <v>307.2</v>
      </c>
      <c r="Q54" s="1"/>
      <c r="R54" s="5">
        <f t="shared" si="33"/>
        <v>1.9530774416185923E-3</v>
      </c>
      <c r="S54" s="1"/>
      <c r="T54" s="1">
        <f>SUM(OSRRefT22_6x_0)</f>
        <v>250</v>
      </c>
      <c r="U54" s="1"/>
      <c r="V54" s="5">
        <f t="shared" si="34"/>
        <v>1E-3</v>
      </c>
      <c r="W54" s="1"/>
      <c r="X54" s="1">
        <f t="shared" si="35"/>
        <v>57.199999999999989</v>
      </c>
      <c r="Y54" s="1"/>
      <c r="Z54" s="5">
        <f t="shared" si="36"/>
        <v>0.22879999999999995</v>
      </c>
    </row>
    <row r="55" spans="1:26" s="24" customFormat="1" hidden="1" outlineLevel="2" x14ac:dyDescent="0.25">
      <c r="A55" s="27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307.2</v>
      </c>
      <c r="Q55" s="2"/>
      <c r="R55" s="7">
        <f t="shared" si="33"/>
        <v>1.9530774416185923E-3</v>
      </c>
      <c r="S55" s="2"/>
      <c r="T55" s="6">
        <v>250</v>
      </c>
      <c r="U55" s="2"/>
      <c r="V55" s="7">
        <f t="shared" si="34"/>
        <v>1E-3</v>
      </c>
      <c r="W55" s="2"/>
      <c r="X55" s="6">
        <f t="shared" si="35"/>
        <v>57.199999999999989</v>
      </c>
      <c r="Y55" s="2"/>
      <c r="Z55" s="7">
        <f t="shared" si="36"/>
        <v>0.22879999999999995</v>
      </c>
    </row>
    <row r="56" spans="1:26" s="26" customFormat="1" outlineLevel="1" collapsed="1" x14ac:dyDescent="0.25">
      <c r="A56" s="25"/>
      <c r="B56" s="12" t="str">
        <f>CONCATENATE("     ","General                                           ")</f>
        <v xml:space="preserve">     General                                           </v>
      </c>
      <c r="C56" s="12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2"/>
      <c r="P56" s="1">
        <f>SUM(OSRRefP22_7x_0)</f>
        <v>5005.68</v>
      </c>
      <c r="Q56" s="1"/>
      <c r="R56" s="5">
        <f t="shared" si="33"/>
        <v>3.1824481406124205E-2</v>
      </c>
      <c r="S56" s="1"/>
      <c r="T56" s="1">
        <f>SUM(OSRRefT22_7x_0)</f>
        <v>0</v>
      </c>
      <c r="U56" s="1"/>
      <c r="V56" s="5">
        <f t="shared" si="34"/>
        <v>0</v>
      </c>
      <c r="W56" s="1"/>
      <c r="X56" s="1">
        <f t="shared" si="35"/>
        <v>5005.68</v>
      </c>
      <c r="Y56" s="1"/>
      <c r="Z56" s="5">
        <f t="shared" si="36"/>
        <v>0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5005.68</v>
      </c>
      <c r="Q57" s="2"/>
      <c r="R57" s="7">
        <f t="shared" si="33"/>
        <v>3.1824481406124205E-2</v>
      </c>
      <c r="S57" s="2"/>
      <c r="T57" s="6"/>
      <c r="U57" s="2"/>
      <c r="V57" s="7">
        <f t="shared" si="34"/>
        <v>0</v>
      </c>
      <c r="W57" s="2"/>
      <c r="X57" s="6">
        <f t="shared" si="35"/>
        <v>5005.68</v>
      </c>
      <c r="Y57" s="2"/>
      <c r="Z57" s="7">
        <f t="shared" si="36"/>
        <v>0</v>
      </c>
    </row>
    <row r="58" spans="1:26" s="26" customFormat="1" outlineLevel="1" collapsed="1" x14ac:dyDescent="0.25">
      <c r="A58" s="25"/>
      <c r="B58" s="12" t="str">
        <f>CONCATENATE("     ","Repair and Maintenance                            ")</f>
        <v xml:space="preserve">     Repair and Maintenance                            </v>
      </c>
      <c r="C58" s="12"/>
      <c r="D58" s="1">
        <f>SUM(OSRRefD22_8x_0)</f>
        <v>0</v>
      </c>
      <c r="E58" s="1"/>
      <c r="F58" s="5">
        <f t="shared" si="29"/>
        <v>0</v>
      </c>
      <c r="G58" s="1"/>
      <c r="H58" s="1">
        <f>SUM(OSRRefH22_8x_0)</f>
        <v>0</v>
      </c>
      <c r="I58" s="1"/>
      <c r="J58" s="5">
        <f t="shared" si="30"/>
        <v>0</v>
      </c>
      <c r="K58" s="1"/>
      <c r="L58" s="1">
        <f t="shared" si="31"/>
        <v>0</v>
      </c>
      <c r="M58" s="1"/>
      <c r="N58" s="5">
        <f t="shared" si="32"/>
        <v>0</v>
      </c>
      <c r="O58" s="12"/>
      <c r="P58" s="1">
        <f>SUM(OSRRefP22_8x_0)</f>
        <v>1797.2199999999998</v>
      </c>
      <c r="Q58" s="1"/>
      <c r="R58" s="5">
        <f t="shared" si="33"/>
        <v>1.1426138800865125E-2</v>
      </c>
      <c r="S58" s="1"/>
      <c r="T58" s="1">
        <f>SUM(OSRRefT22_8x_0)</f>
        <v>5000</v>
      </c>
      <c r="U58" s="1"/>
      <c r="V58" s="5">
        <f t="shared" si="34"/>
        <v>0.02</v>
      </c>
      <c r="W58" s="1"/>
      <c r="X58" s="1">
        <f t="shared" si="35"/>
        <v>-3202.78</v>
      </c>
      <c r="Y58" s="1"/>
      <c r="Z58" s="5">
        <f t="shared" si="36"/>
        <v>-0.64055600000000001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29"/>
        <v>0</v>
      </c>
      <c r="G59" s="2"/>
      <c r="H59" s="6"/>
      <c r="I59" s="2"/>
      <c r="J59" s="7">
        <f t="shared" si="30"/>
        <v>0</v>
      </c>
      <c r="K59" s="2"/>
      <c r="L59" s="6">
        <f t="shared" si="31"/>
        <v>0</v>
      </c>
      <c r="M59" s="2"/>
      <c r="N59" s="7">
        <f t="shared" si="32"/>
        <v>0</v>
      </c>
      <c r="O59" s="11"/>
      <c r="P59" s="6">
        <v>296.64</v>
      </c>
      <c r="Q59" s="2"/>
      <c r="R59" s="7">
        <f t="shared" si="33"/>
        <v>1.8859404045629532E-3</v>
      </c>
      <c r="S59" s="2"/>
      <c r="T59" s="6"/>
      <c r="U59" s="2"/>
      <c r="V59" s="7">
        <f t="shared" si="34"/>
        <v>0</v>
      </c>
      <c r="W59" s="2"/>
      <c r="X59" s="6">
        <f t="shared" si="35"/>
        <v>296.64</v>
      </c>
      <c r="Y59" s="2"/>
      <c r="Z59" s="7">
        <f t="shared" si="36"/>
        <v>0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>
        <v>1500.58</v>
      </c>
      <c r="Q60" s="2"/>
      <c r="R60" s="7">
        <f t="shared" si="33"/>
        <v>9.5401983963021731E-3</v>
      </c>
      <c r="S60" s="2"/>
      <c r="T60" s="6">
        <v>5000</v>
      </c>
      <c r="U60" s="2"/>
      <c r="V60" s="7">
        <f t="shared" si="34"/>
        <v>0.02</v>
      </c>
      <c r="W60" s="2"/>
      <c r="X60" s="6">
        <f t="shared" si="35"/>
        <v>-3499.42</v>
      </c>
      <c r="Y60" s="2"/>
      <c r="Z60" s="7">
        <f t="shared" si="36"/>
        <v>-0.69988400000000006</v>
      </c>
    </row>
    <row r="61" spans="1:26" s="26" customFormat="1" outlineLevel="1" collapsed="1" x14ac:dyDescent="0.25">
      <c r="A61" s="25"/>
      <c r="B61" s="12" t="str">
        <f>CONCATENATE("     ","Royalty &amp; Commissions                             ")</f>
        <v xml:space="preserve">     Royalty &amp; Commissions                             </v>
      </c>
      <c r="C61" s="12"/>
      <c r="D61" s="1">
        <f>SUM(OSRRefD22_9x_0)</f>
        <v>0</v>
      </c>
      <c r="E61" s="1"/>
      <c r="F61" s="5">
        <f t="shared" ref="F61:F64" si="37">IF(D$12=0,0,D61/D$12)</f>
        <v>0</v>
      </c>
      <c r="G61" s="1"/>
      <c r="H61" s="1">
        <f>SUM(OSRRefH22_9x_0)</f>
        <v>0</v>
      </c>
      <c r="I61" s="1"/>
      <c r="J61" s="5">
        <f t="shared" ref="J61:J64" si="38">IF(H$12=0,0,H61/H$12)</f>
        <v>0</v>
      </c>
      <c r="K61" s="1"/>
      <c r="L61" s="1">
        <f t="shared" ref="L61:L64" si="39">+D61-H61</f>
        <v>0</v>
      </c>
      <c r="M61" s="1"/>
      <c r="N61" s="5">
        <f t="shared" ref="N61:N64" si="40">IF(H61=0,0,L61/H61)</f>
        <v>0</v>
      </c>
      <c r="O61" s="12"/>
      <c r="P61" s="1">
        <f>SUM(OSRRefP22_9x_0)</f>
        <v>35313.08</v>
      </c>
      <c r="Q61" s="1"/>
      <c r="R61" s="5">
        <f t="shared" ref="R61:R64" si="41">IF(P$12=0,0,P61/P$12)</f>
        <v>0.2245090492906012</v>
      </c>
      <c r="S61" s="1"/>
      <c r="T61" s="1">
        <f>SUM(OSRRefT22_9x_0)</f>
        <v>50000</v>
      </c>
      <c r="U61" s="1"/>
      <c r="V61" s="5">
        <f t="shared" ref="V61:V64" si="42">IF(T$12=0,0,T61/T$12)</f>
        <v>0.2</v>
      </c>
      <c r="W61" s="1"/>
      <c r="X61" s="1">
        <f t="shared" ref="X61:X64" si="43">+P61-T61</f>
        <v>-14686.919999999998</v>
      </c>
      <c r="Y61" s="1"/>
      <c r="Z61" s="5">
        <f t="shared" ref="Z61:Z64" si="44">IF(T61=0,0,X61/T61)</f>
        <v>-0.29373839999999996</v>
      </c>
    </row>
    <row r="62" spans="1:26" s="24" customFormat="1" hidden="1" outlineLevel="2" x14ac:dyDescent="0.25">
      <c r="A62" s="27"/>
      <c r="B62" s="11" t="str">
        <f>CONCATENATE("          ", "6252", " - ", "ROYALTY DUE CSTV")</f>
        <v xml:space="preserve">          6252 - ROYALTY DUE CSTV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/>
      <c r="Q62" s="2"/>
      <c r="R62" s="7">
        <f t="shared" si="41"/>
        <v>0</v>
      </c>
      <c r="S62" s="2"/>
      <c r="T62" s="6">
        <v>46000</v>
      </c>
      <c r="U62" s="2"/>
      <c r="V62" s="7">
        <f t="shared" si="42"/>
        <v>0.184</v>
      </c>
      <c r="W62" s="2"/>
      <c r="X62" s="6">
        <f t="shared" si="43"/>
        <v>-46000</v>
      </c>
      <c r="Y62" s="2"/>
      <c r="Z62" s="7">
        <f t="shared" si="44"/>
        <v>-1</v>
      </c>
    </row>
    <row r="63" spans="1:26" s="24" customFormat="1" hidden="1" outlineLevel="2" x14ac:dyDescent="0.25">
      <c r="A63" s="27"/>
      <c r="B63" s="11" t="str">
        <f>CONCATENATE("          ", "6253", " - ", "ROYALTY DUE ATHLETICS-LRG")</f>
        <v xml:space="preserve">          6253 - ROYALTY DUE ATHLETICS-LRG</v>
      </c>
      <c r="C63" s="11"/>
      <c r="D63" s="6"/>
      <c r="E63" s="2"/>
      <c r="F63" s="7">
        <f t="shared" si="37"/>
        <v>0</v>
      </c>
      <c r="G63" s="2"/>
      <c r="H63" s="6"/>
      <c r="I63" s="2"/>
      <c r="J63" s="7">
        <f t="shared" si="38"/>
        <v>0</v>
      </c>
      <c r="K63" s="2"/>
      <c r="L63" s="6">
        <f t="shared" si="39"/>
        <v>0</v>
      </c>
      <c r="M63" s="2"/>
      <c r="N63" s="7">
        <f t="shared" si="40"/>
        <v>0</v>
      </c>
      <c r="O63" s="11"/>
      <c r="P63" s="6"/>
      <c r="Q63" s="2"/>
      <c r="R63" s="7">
        <f t="shared" si="41"/>
        <v>0</v>
      </c>
      <c r="S63" s="2"/>
      <c r="T63" s="6">
        <v>4000</v>
      </c>
      <c r="U63" s="2"/>
      <c r="V63" s="7">
        <f t="shared" si="42"/>
        <v>1.6E-2</v>
      </c>
      <c r="W63" s="2"/>
      <c r="X63" s="6">
        <f t="shared" si="43"/>
        <v>-4000</v>
      </c>
      <c r="Y63" s="2"/>
      <c r="Z63" s="7">
        <f t="shared" si="44"/>
        <v>-1</v>
      </c>
    </row>
    <row r="64" spans="1:26" s="24" customFormat="1" hidden="1" outlineLevel="2" x14ac:dyDescent="0.25">
      <c r="A64" s="27"/>
      <c r="B64" s="11" t="str">
        <f>CONCATENATE("          ", "6254", " - ", "ROYALTY &amp; COMMISSIONS")</f>
        <v xml:space="preserve">          6254 - ROYALTY &amp; COMMISSIONS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35313.08</v>
      </c>
      <c r="Q64" s="2"/>
      <c r="R64" s="7">
        <f t="shared" si="41"/>
        <v>0.2245090492906012</v>
      </c>
      <c r="S64" s="2"/>
      <c r="T64" s="6"/>
      <c r="U64" s="2"/>
      <c r="V64" s="7">
        <f t="shared" si="42"/>
        <v>0</v>
      </c>
      <c r="W64" s="2"/>
      <c r="X64" s="6">
        <f t="shared" si="43"/>
        <v>35313.08</v>
      </c>
      <c r="Y64" s="2"/>
      <c r="Z64" s="7">
        <f t="shared" si="44"/>
        <v>0</v>
      </c>
    </row>
    <row r="65" spans="1:26" s="26" customFormat="1" outlineLevel="1" collapsed="1" x14ac:dyDescent="0.25">
      <c r="A65" s="25"/>
      <c r="B65" s="12" t="str">
        <f>CONCATENATE("     ","Services                                          ")</f>
        <v xml:space="preserve">     Services                                          </v>
      </c>
      <c r="C65" s="12"/>
      <c r="D65" s="1">
        <f>SUM(OSRRefD22_10x_0)</f>
        <v>0</v>
      </c>
      <c r="E65" s="1"/>
      <c r="F65" s="5">
        <f t="shared" ref="F65:F72" si="45">IF(D$12=0,0,D65/D$12)</f>
        <v>0</v>
      </c>
      <c r="G65" s="1"/>
      <c r="H65" s="1">
        <f>SUM(OSRRefH22_10x_0)</f>
        <v>0</v>
      </c>
      <c r="I65" s="1"/>
      <c r="J65" s="5">
        <f t="shared" ref="J65:J72" si="46">IF(H$12=0,0,H65/H$12)</f>
        <v>0</v>
      </c>
      <c r="K65" s="1"/>
      <c r="L65" s="1">
        <f t="shared" ref="L65:L72" si="47">+D65-H65</f>
        <v>0</v>
      </c>
      <c r="M65" s="1"/>
      <c r="N65" s="5">
        <f t="shared" ref="N65:N72" si="48">IF(H65=0,0,L65/H65)</f>
        <v>0</v>
      </c>
      <c r="O65" s="12"/>
      <c r="P65" s="1">
        <f>SUM(OSRRefP22_10x_0)</f>
        <v>126</v>
      </c>
      <c r="Q65" s="1"/>
      <c r="R65" s="5">
        <f t="shared" ref="R65:R72" si="49">IF(P$12=0,0,P65/P$12)</f>
        <v>8.0106691941387578E-4</v>
      </c>
      <c r="S65" s="1"/>
      <c r="T65" s="1">
        <f>SUM(OSRRefT22_10x_0)</f>
        <v>125</v>
      </c>
      <c r="U65" s="1"/>
      <c r="V65" s="5">
        <f t="shared" ref="V65:V72" si="50">IF(T$12=0,0,T65/T$12)</f>
        <v>5.0000000000000001E-4</v>
      </c>
      <c r="W65" s="1"/>
      <c r="X65" s="1">
        <f t="shared" ref="X65:X72" si="51">+P65-T65</f>
        <v>1</v>
      </c>
      <c r="Y65" s="1"/>
      <c r="Z65" s="5">
        <f t="shared" ref="Z65:Z72" si="52">IF(T65=0,0,X65/T65)</f>
        <v>8.0000000000000002E-3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>
        <v>126</v>
      </c>
      <c r="Q66" s="2"/>
      <c r="R66" s="7">
        <f t="shared" si="49"/>
        <v>8.0106691941387578E-4</v>
      </c>
      <c r="S66" s="2"/>
      <c r="T66" s="6">
        <v>125</v>
      </c>
      <c r="U66" s="2"/>
      <c r="V66" s="7">
        <f t="shared" si="50"/>
        <v>5.0000000000000001E-4</v>
      </c>
      <c r="W66" s="2"/>
      <c r="X66" s="6">
        <f t="shared" si="51"/>
        <v>1</v>
      </c>
      <c r="Y66" s="2"/>
      <c r="Z66" s="7">
        <f t="shared" si="52"/>
        <v>8.0000000000000002E-3</v>
      </c>
    </row>
    <row r="67" spans="1:26" s="26" customFormat="1" outlineLevel="1" collapsed="1" x14ac:dyDescent="0.25">
      <c r="A67" s="25"/>
      <c r="B67" s="12" t="str">
        <f>CONCATENATE("     ","Supplies                                          ")</f>
        <v xml:space="preserve">     Supplies                                          </v>
      </c>
      <c r="C67" s="12"/>
      <c r="D67" s="1">
        <f>SUM(OSRRefD22_11x_0)</f>
        <v>0</v>
      </c>
      <c r="E67" s="1"/>
      <c r="F67" s="5">
        <f t="shared" si="45"/>
        <v>0</v>
      </c>
      <c r="G67" s="1"/>
      <c r="H67" s="1">
        <f>SUM(OSRRefH22_11x_0)</f>
        <v>0</v>
      </c>
      <c r="I67" s="1"/>
      <c r="J67" s="5">
        <f t="shared" si="46"/>
        <v>0</v>
      </c>
      <c r="K67" s="1"/>
      <c r="L67" s="1">
        <f t="shared" si="47"/>
        <v>0</v>
      </c>
      <c r="M67" s="1"/>
      <c r="N67" s="5">
        <f t="shared" si="48"/>
        <v>0</v>
      </c>
      <c r="O67" s="12"/>
      <c r="P67" s="1">
        <f>SUM(OSRRefP22_11x_0)</f>
        <v>6070.7100000000009</v>
      </c>
      <c r="Q67" s="1"/>
      <c r="R67" s="5">
        <f t="shared" si="49"/>
        <v>3.8595594907579453E-2</v>
      </c>
      <c r="S67" s="1"/>
      <c r="T67" s="1">
        <f>SUM(OSRRefT22_11x_0)</f>
        <v>4000</v>
      </c>
      <c r="U67" s="1"/>
      <c r="V67" s="5">
        <f t="shared" si="50"/>
        <v>1.6E-2</v>
      </c>
      <c r="W67" s="1"/>
      <c r="X67" s="1">
        <f t="shared" si="51"/>
        <v>2070.7100000000009</v>
      </c>
      <c r="Y67" s="1"/>
      <c r="Z67" s="5">
        <f t="shared" si="52"/>
        <v>0.51767750000000023</v>
      </c>
    </row>
    <row r="68" spans="1:26" s="24" customFormat="1" hidden="1" outlineLevel="2" x14ac:dyDescent="0.25">
      <c r="A68" s="27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>
        <v>78.81</v>
      </c>
      <c r="Q68" s="2"/>
      <c r="R68" s="7">
        <f t="shared" si="49"/>
        <v>5.0104828507148858E-4</v>
      </c>
      <c r="S68" s="2"/>
      <c r="T68" s="6"/>
      <c r="U68" s="2"/>
      <c r="V68" s="7">
        <f t="shared" si="50"/>
        <v>0</v>
      </c>
      <c r="W68" s="2"/>
      <c r="X68" s="6">
        <f t="shared" si="51"/>
        <v>78.81</v>
      </c>
      <c r="Y68" s="2"/>
      <c r="Z68" s="7">
        <f t="shared" si="52"/>
        <v>0</v>
      </c>
    </row>
    <row r="69" spans="1:26" s="24" customFormat="1" hidden="1" outlineLevel="2" x14ac:dyDescent="0.25">
      <c r="A69" s="27"/>
      <c r="B69" s="11" t="str">
        <f>CONCATENATE("          ", "6239", " - ", "KITCHEN SUPPLIES")</f>
        <v xml:space="preserve">          6239 - KITCHEN SUPPLIES</v>
      </c>
      <c r="C69" s="11"/>
      <c r="D69" s="6"/>
      <c r="E69" s="2"/>
      <c r="F69" s="7">
        <f t="shared" si="45"/>
        <v>0</v>
      </c>
      <c r="G69" s="2"/>
      <c r="H69" s="6"/>
      <c r="I69" s="2"/>
      <c r="J69" s="7">
        <f t="shared" si="46"/>
        <v>0</v>
      </c>
      <c r="K69" s="2"/>
      <c r="L69" s="6">
        <f t="shared" si="47"/>
        <v>0</v>
      </c>
      <c r="M69" s="2"/>
      <c r="N69" s="7">
        <f t="shared" si="48"/>
        <v>0</v>
      </c>
      <c r="O69" s="11"/>
      <c r="P69" s="6">
        <v>4802.42</v>
      </c>
      <c r="Q69" s="2"/>
      <c r="R69" s="7">
        <f t="shared" si="49"/>
        <v>3.0532220596282425E-2</v>
      </c>
      <c r="S69" s="2"/>
      <c r="T69" s="6">
        <v>500</v>
      </c>
      <c r="U69" s="2"/>
      <c r="V69" s="7">
        <f t="shared" si="50"/>
        <v>2E-3</v>
      </c>
      <c r="W69" s="2"/>
      <c r="X69" s="6">
        <f t="shared" si="51"/>
        <v>4302.42</v>
      </c>
      <c r="Y69" s="2"/>
      <c r="Z69" s="7">
        <f t="shared" si="52"/>
        <v>8.6048399999999994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>
        <v>135.93</v>
      </c>
      <c r="Q70" s="2"/>
      <c r="R70" s="7">
        <f t="shared" si="49"/>
        <v>8.6419862187244562E-4</v>
      </c>
      <c r="S70" s="2"/>
      <c r="T70" s="6">
        <v>1000</v>
      </c>
      <c r="U70" s="2"/>
      <c r="V70" s="7">
        <f t="shared" si="50"/>
        <v>4.0000000000000001E-3</v>
      </c>
      <c r="W70" s="2"/>
      <c r="X70" s="6">
        <f t="shared" si="51"/>
        <v>-864.06999999999994</v>
      </c>
      <c r="Y70" s="2"/>
      <c r="Z70" s="7">
        <f t="shared" si="52"/>
        <v>-0.86406999999999989</v>
      </c>
    </row>
    <row r="71" spans="1:26" s="24" customFormat="1" hidden="1" outlineLevel="2" x14ac:dyDescent="0.25">
      <c r="A71" s="27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1"/>
      <c r="P71" s="6">
        <v>-642.03</v>
      </c>
      <c r="Q71" s="2"/>
      <c r="R71" s="7">
        <f t="shared" si="49"/>
        <v>-4.0818174148515131E-3</v>
      </c>
      <c r="S71" s="2"/>
      <c r="T71" s="6">
        <v>2500</v>
      </c>
      <c r="U71" s="2"/>
      <c r="V71" s="7">
        <f t="shared" si="50"/>
        <v>0.01</v>
      </c>
      <c r="W71" s="2"/>
      <c r="X71" s="6">
        <f t="shared" si="51"/>
        <v>-3142.0299999999997</v>
      </c>
      <c r="Y71" s="2"/>
      <c r="Z71" s="7">
        <f t="shared" si="52"/>
        <v>-1.2568119999999998</v>
      </c>
    </row>
    <row r="72" spans="1:26" s="24" customFormat="1" hidden="1" outlineLevel="2" x14ac:dyDescent="0.25">
      <c r="A72" s="27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>
        <v>1695.58</v>
      </c>
      <c r="Q72" s="2"/>
      <c r="R72" s="7">
        <f t="shared" si="49"/>
        <v>1.07799448192046E-2</v>
      </c>
      <c r="S72" s="2"/>
      <c r="T72" s="6"/>
      <c r="U72" s="2"/>
      <c r="V72" s="7">
        <f t="shared" si="50"/>
        <v>0</v>
      </c>
      <c r="W72" s="2"/>
      <c r="X72" s="6">
        <f t="shared" si="51"/>
        <v>1695.58</v>
      </c>
      <c r="Y72" s="2"/>
      <c r="Z72" s="7">
        <f t="shared" si="52"/>
        <v>0</v>
      </c>
    </row>
    <row r="73" spans="1:26" s="26" customFormat="1" outlineLevel="1" collapsed="1" x14ac:dyDescent="0.25">
      <c r="A73" s="25"/>
      <c r="B73" s="12" t="str">
        <f>CONCATENATE("     ","Telephone/Data Lines                              ")</f>
        <v xml:space="preserve">     Telephone/Data Lines                              </v>
      </c>
      <c r="C73" s="12"/>
      <c r="D73" s="1">
        <f>SUM(OSRRefD22_12x_0)</f>
        <v>-83.99</v>
      </c>
      <c r="E73" s="1"/>
      <c r="F73" s="5">
        <f t="shared" ref="F73:F75" si="53">IF(D$12=0,0,D73/D$12)</f>
        <v>0</v>
      </c>
      <c r="G73" s="1"/>
      <c r="H73" s="1">
        <f>SUM(OSRRefH22_12x_0)</f>
        <v>298</v>
      </c>
      <c r="I73" s="1"/>
      <c r="J73" s="5">
        <f t="shared" ref="J73:J75" si="54">IF(H$12=0,0,H73/H$12)</f>
        <v>0</v>
      </c>
      <c r="K73" s="1"/>
      <c r="L73" s="1">
        <f t="shared" ref="L73:L75" si="55">+D73-H73</f>
        <v>-381.99</v>
      </c>
      <c r="M73" s="1"/>
      <c r="N73" s="5">
        <f t="shared" ref="N73:N75" si="56">IF(H73=0,0,L73/H73)</f>
        <v>-1.2818456375838927</v>
      </c>
      <c r="O73" s="12"/>
      <c r="P73" s="1">
        <f>SUM(OSRRefP22_12x_0)</f>
        <v>2270.11</v>
      </c>
      <c r="Q73" s="1"/>
      <c r="R73" s="5">
        <f t="shared" ref="R73:R75" si="57">IF(P$12=0,0,P73/P$12)</f>
        <v>1.4432619241512967E-2</v>
      </c>
      <c r="S73" s="1"/>
      <c r="T73" s="1">
        <f>SUM(OSRRefT22_12x_0)</f>
        <v>3576</v>
      </c>
      <c r="U73" s="1"/>
      <c r="V73" s="5">
        <f t="shared" ref="V73:V75" si="58">IF(T$12=0,0,T73/T$12)</f>
        <v>1.4304000000000001E-2</v>
      </c>
      <c r="W73" s="1"/>
      <c r="X73" s="1">
        <f t="shared" ref="X73:X75" si="59">+P73-T73</f>
        <v>-1305.8899999999999</v>
      </c>
      <c r="Y73" s="1"/>
      <c r="Z73" s="5">
        <f t="shared" ref="Z73:Z75" si="60">IF(T73=0,0,X73/T73)</f>
        <v>-0.36518176733780755</v>
      </c>
    </row>
    <row r="74" spans="1:26" s="24" customFormat="1" hidden="1" outlineLevel="2" x14ac:dyDescent="0.25">
      <c r="A74" s="27"/>
      <c r="B74" s="11" t="str">
        <f>CONCATENATE("          ", "6303", " - ", "DATA PHONE LINES")</f>
        <v xml:space="preserve">          6303 - DATA PHONE LINES</v>
      </c>
      <c r="C74" s="11"/>
      <c r="D74" s="6"/>
      <c r="E74" s="2"/>
      <c r="F74" s="7">
        <f t="shared" si="53"/>
        <v>0</v>
      </c>
      <c r="G74" s="2"/>
      <c r="H74" s="6">
        <v>298</v>
      </c>
      <c r="I74" s="2"/>
      <c r="J74" s="7">
        <f t="shared" si="54"/>
        <v>0</v>
      </c>
      <c r="K74" s="2"/>
      <c r="L74" s="6">
        <f t="shared" si="55"/>
        <v>-298</v>
      </c>
      <c r="M74" s="2"/>
      <c r="N74" s="7">
        <f t="shared" si="56"/>
        <v>-1</v>
      </c>
      <c r="O74" s="11"/>
      <c r="P74" s="6"/>
      <c r="Q74" s="2"/>
      <c r="R74" s="7">
        <f t="shared" si="57"/>
        <v>0</v>
      </c>
      <c r="S74" s="2"/>
      <c r="T74" s="6">
        <v>3576</v>
      </c>
      <c r="U74" s="2"/>
      <c r="V74" s="7">
        <f t="shared" si="58"/>
        <v>1.4304000000000001E-2</v>
      </c>
      <c r="W74" s="2"/>
      <c r="X74" s="6">
        <f t="shared" si="59"/>
        <v>-3576</v>
      </c>
      <c r="Y74" s="2"/>
      <c r="Z74" s="7">
        <f t="shared" si="60"/>
        <v>-1</v>
      </c>
    </row>
    <row r="75" spans="1:26" s="24" customFormat="1" hidden="1" outlineLevel="2" x14ac:dyDescent="0.25">
      <c r="A75" s="27"/>
      <c r="B75" s="11" t="str">
        <f>CONCATENATE("          ", "6309", " - ", "TELEPHONE")</f>
        <v xml:space="preserve">          6309 - TELEPHONE</v>
      </c>
      <c r="C75" s="11"/>
      <c r="D75" s="6">
        <v>-83.99</v>
      </c>
      <c r="E75" s="2"/>
      <c r="F75" s="7">
        <f t="shared" si="53"/>
        <v>0</v>
      </c>
      <c r="G75" s="2"/>
      <c r="H75" s="6"/>
      <c r="I75" s="2"/>
      <c r="J75" s="7">
        <f t="shared" si="54"/>
        <v>0</v>
      </c>
      <c r="K75" s="2"/>
      <c r="L75" s="6">
        <f t="shared" si="55"/>
        <v>-83.99</v>
      </c>
      <c r="M75" s="2"/>
      <c r="N75" s="7">
        <f t="shared" si="56"/>
        <v>0</v>
      </c>
      <c r="O75" s="11"/>
      <c r="P75" s="6">
        <v>2270.11</v>
      </c>
      <c r="Q75" s="2"/>
      <c r="R75" s="7">
        <f t="shared" si="57"/>
        <v>1.4432619241512967E-2</v>
      </c>
      <c r="S75" s="2"/>
      <c r="T75" s="6"/>
      <c r="U75" s="2"/>
      <c r="V75" s="7">
        <f t="shared" si="58"/>
        <v>0</v>
      </c>
      <c r="W75" s="2"/>
      <c r="X75" s="6">
        <f t="shared" si="59"/>
        <v>2270.11</v>
      </c>
      <c r="Y75" s="2"/>
      <c r="Z75" s="7">
        <f t="shared" si="60"/>
        <v>0</v>
      </c>
    </row>
    <row r="76" spans="1:26" s="60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8" t="s">
        <v>0</v>
      </c>
      <c r="C77" s="10"/>
      <c r="D77" s="4">
        <f>SUM(OSRRefD25x_0)</f>
        <v>0</v>
      </c>
      <c r="E77" s="4"/>
      <c r="F77" s="13">
        <f t="shared" ref="F77:F78" si="61">IF(D$12=0,0,D77/D$12)</f>
        <v>0</v>
      </c>
      <c r="G77" s="4"/>
      <c r="H77" s="4">
        <f>SUM(OSRRefH25x_0)</f>
        <v>4500</v>
      </c>
      <c r="I77" s="4"/>
      <c r="J77" s="13">
        <f t="shared" ref="J77:J78" si="62">IF(H$12=0,0,H77/H$12)</f>
        <v>0</v>
      </c>
      <c r="K77" s="4"/>
      <c r="L77" s="4">
        <f t="shared" ref="L77:L78" si="63">+D77-H77</f>
        <v>-4500</v>
      </c>
      <c r="M77" s="4"/>
      <c r="N77" s="13">
        <f t="shared" ref="N77:N78" si="64">IF(H77=0,0,L77/H77)</f>
        <v>-1</v>
      </c>
      <c r="O77" s="10"/>
      <c r="P77" s="4">
        <f>SUM(OSRRefP25x_0)</f>
        <v>8452.17</v>
      </c>
      <c r="Q77" s="4"/>
      <c r="R77" s="13">
        <f t="shared" ref="R77:R78" si="65">IF(P$12=0,0,P77/P$12)</f>
        <v>5.3736141144939513E-2</v>
      </c>
      <c r="S77" s="4"/>
      <c r="T77" s="4">
        <f>SUM(OSRRefT25x_0)</f>
        <v>22500</v>
      </c>
      <c r="U77" s="4"/>
      <c r="V77" s="13">
        <f t="shared" ref="V77:V78" si="66">IF(T$12=0,0,T77/T$12)</f>
        <v>0.09</v>
      </c>
      <c r="W77" s="4"/>
      <c r="X77" s="4">
        <f t="shared" ref="X77:X78" si="67">+P77-T77</f>
        <v>-14047.83</v>
      </c>
      <c r="Y77" s="4"/>
      <c r="Z77" s="13">
        <f t="shared" ref="Z77:Z78" si="68">IF(T77=0,0,X77/T77)</f>
        <v>-0.62434800000000001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0</f>
        <v>0</v>
      </c>
      <c r="E78" s="2"/>
      <c r="F78" s="19">
        <f t="shared" si="61"/>
        <v>0</v>
      </c>
      <c r="G78" s="2"/>
      <c r="H78" s="2">
        <v>4500</v>
      </c>
      <c r="I78" s="2"/>
      <c r="J78" s="19">
        <f t="shared" si="62"/>
        <v>0</v>
      </c>
      <c r="K78" s="2"/>
      <c r="L78" s="2">
        <f t="shared" si="63"/>
        <v>-4500</v>
      </c>
      <c r="M78" s="2"/>
      <c r="N78" s="19">
        <f t="shared" si="64"/>
        <v>-1</v>
      </c>
      <c r="O78" s="11"/>
      <c r="P78" s="2">
        <f>--8452.17</f>
        <v>8452.17</v>
      </c>
      <c r="Q78" s="2"/>
      <c r="R78" s="19">
        <f t="shared" si="65"/>
        <v>5.3736141144939513E-2</v>
      </c>
      <c r="S78" s="2"/>
      <c r="T78" s="2">
        <v>22500</v>
      </c>
      <c r="U78" s="2"/>
      <c r="V78" s="19">
        <f t="shared" si="66"/>
        <v>0.09</v>
      </c>
      <c r="W78" s="2"/>
      <c r="X78" s="2">
        <f t="shared" si="67"/>
        <v>-14047.83</v>
      </c>
      <c r="Y78" s="2"/>
      <c r="Z78" s="19">
        <f t="shared" si="68"/>
        <v>-0.62434800000000001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2">
        <f>+D23-D25+D77</f>
        <v>-395.3</v>
      </c>
      <c r="E80" s="14"/>
      <c r="F80" s="20">
        <f>IF(D$12=0,0,D80/D$12)</f>
        <v>0</v>
      </c>
      <c r="G80" s="14"/>
      <c r="H80" s="22">
        <f>+H23-H25+H77</f>
        <v>-2458.4876000000004</v>
      </c>
      <c r="I80" s="14"/>
      <c r="J80" s="20">
        <f>IF(H$12=0,0,H80/H$12)</f>
        <v>0</v>
      </c>
      <c r="K80" s="15"/>
      <c r="L80" s="22">
        <f>+D80-H80</f>
        <v>2063.1876000000002</v>
      </c>
      <c r="M80" s="15"/>
      <c r="N80" s="20">
        <f>IF(H80=0,0,L80/H80)</f>
        <v>-0.83921008997564184</v>
      </c>
      <c r="O80" s="28"/>
      <c r="P80" s="22">
        <f>+P23-P25+P77</f>
        <v>31793.610000000015</v>
      </c>
      <c r="Q80" s="14"/>
      <c r="R80" s="20">
        <f>IF(P$12=0,0,P80/P$12)</f>
        <v>0.20213340650592229</v>
      </c>
      <c r="S80" s="14"/>
      <c r="T80" s="22">
        <f>+T23-T25+T77</f>
        <v>86686.345199999996</v>
      </c>
      <c r="U80" s="14"/>
      <c r="V80" s="20">
        <f>IF(T$12=0,0,T80/T$12)</f>
        <v>0.3467453808</v>
      </c>
      <c r="W80" s="15"/>
      <c r="X80" s="22">
        <f>+P80-T80</f>
        <v>-54892.735199999981</v>
      </c>
      <c r="Y80" s="15"/>
      <c r="Z80" s="20">
        <f>IF(T80=0,0,X80/T80)</f>
        <v>-0.63323393174961062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5193.4399999999996</v>
      </c>
      <c r="E82" s="4"/>
      <c r="F82" s="13">
        <f>IF(D$12=0,0,D82/D$12)</f>
        <v>0</v>
      </c>
      <c r="G82" s="4"/>
      <c r="H82" s="4">
        <v>3386</v>
      </c>
      <c r="I82" s="4"/>
      <c r="J82" s="13">
        <f>IF(H$12=0,0,H82/H$12)</f>
        <v>0</v>
      </c>
      <c r="K82" s="4"/>
      <c r="L82" s="4">
        <f>+D82-H82</f>
        <v>1807.4399999999996</v>
      </c>
      <c r="M82" s="4"/>
      <c r="N82" s="13">
        <f>IF(H82=0,0,L82/H82)</f>
        <v>0.53379799173065556</v>
      </c>
      <c r="O82" s="10"/>
      <c r="P82" s="4">
        <v>23819.84</v>
      </c>
      <c r="Q82" s="4"/>
      <c r="R82" s="13">
        <f>IF(P$12=0,0,P82/P$12)</f>
        <v>0.15143877658516997</v>
      </c>
      <c r="S82" s="4"/>
      <c r="T82" s="4">
        <v>32343</v>
      </c>
      <c r="U82" s="4"/>
      <c r="V82" s="13">
        <f>IF(T$12=0,0,T82/T$12)</f>
        <v>0.12937199999999999</v>
      </c>
      <c r="W82" s="4"/>
      <c r="X82" s="4">
        <f>+P82-T82</f>
        <v>-8523.16</v>
      </c>
      <c r="Y82" s="4"/>
      <c r="Z82" s="13">
        <f>IF(T82=0,0,X82/T82)</f>
        <v>-0.2635241010419565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1">
        <f>+D80-D82</f>
        <v>-5588.74</v>
      </c>
      <c r="E84" s="14"/>
      <c r="F84" s="33">
        <f>IF(D$12=0,0,D84/D$12)</f>
        <v>0</v>
      </c>
      <c r="G84" s="14"/>
      <c r="H84" s="31">
        <f>+H80-H82</f>
        <v>-5844.4876000000004</v>
      </c>
      <c r="I84" s="14"/>
      <c r="J84" s="33">
        <f>IF(H$12=0,0,H84/H$12)</f>
        <v>0</v>
      </c>
      <c r="K84" s="15"/>
      <c r="L84" s="31">
        <f>D84-H84</f>
        <v>255.7476000000006</v>
      </c>
      <c r="M84" s="15"/>
      <c r="N84" s="33">
        <f>IF(H84=0,0,L84/H84)</f>
        <v>-4.3758771940931245E-2</v>
      </c>
      <c r="O84" s="28"/>
      <c r="P84" s="31">
        <f>+P80-P82</f>
        <v>7973.770000000015</v>
      </c>
      <c r="Q84" s="14"/>
      <c r="R84" s="33">
        <f>IF(P$12=0,0,P84/P$12)</f>
        <v>5.069462992075232E-2</v>
      </c>
      <c r="S84" s="14"/>
      <c r="T84" s="31">
        <f>+T80-T82</f>
        <v>54343.345199999996</v>
      </c>
      <c r="U84" s="14"/>
      <c r="V84" s="33">
        <f>IF(T$12=0,0,T84/T$12)</f>
        <v>0.21737338079999999</v>
      </c>
      <c r="W84" s="15"/>
      <c r="X84" s="31">
        <f>P84-T84</f>
        <v>-46369.575199999977</v>
      </c>
      <c r="Y84" s="15"/>
      <c r="Z84" s="33">
        <f>IF(T84=0,0,X84/T84)</f>
        <v>-0.85327053440206657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4">
        <f>SUM(D84:D86)</f>
        <v>-5588.74</v>
      </c>
      <c r="E87" s="14"/>
      <c r="F87" s="35">
        <f>IF(D$12=0,0,D87/D$12)</f>
        <v>0</v>
      </c>
      <c r="G87" s="14"/>
      <c r="H87" s="34">
        <f>SUM(H84:H86)</f>
        <v>-5844.4876000000004</v>
      </c>
      <c r="I87" s="14"/>
      <c r="J87" s="35">
        <f>IF(H$12=0,0,H87/H$12)</f>
        <v>0</v>
      </c>
      <c r="K87" s="15"/>
      <c r="L87" s="34">
        <f>+D87-H87</f>
        <v>255.7476000000006</v>
      </c>
      <c r="M87" s="15"/>
      <c r="N87" s="35">
        <f>IF(H87=0,0,L87/H87)</f>
        <v>-4.3758771940931245E-2</v>
      </c>
      <c r="O87" s="28"/>
      <c r="P87" s="34">
        <f>SUM(P84:P86)</f>
        <v>7973.770000000015</v>
      </c>
      <c r="Q87" s="14"/>
      <c r="R87" s="35">
        <f>IF(P$12=0,0,P87/P$12)</f>
        <v>5.069462992075232E-2</v>
      </c>
      <c r="S87" s="14"/>
      <c r="T87" s="34">
        <f>SUM(T84:T86)</f>
        <v>54343.345199999996</v>
      </c>
      <c r="U87" s="14"/>
      <c r="V87" s="35">
        <f>IF(T$12=0,0,T87/T$12)</f>
        <v>0.21737338079999999</v>
      </c>
      <c r="W87" s="15"/>
      <c r="X87" s="34">
        <f>+P87-T87</f>
        <v>-46369.575199999977</v>
      </c>
      <c r="Y87" s="15"/>
      <c r="Z87" s="35">
        <f>IF(T87=0,0,X87/T87)</f>
        <v>-0.85327053440206657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5">
        <v>44043.473874224539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2" t="s">
        <v>314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3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","425", " - ", "Events Center")</f>
        <v>Department 425 - Events Center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15000</v>
      </c>
      <c r="I12" s="4"/>
      <c r="J12" s="13"/>
      <c r="K12" s="4"/>
      <c r="L12" s="4">
        <f t="shared" ref="L12:L18" si="0">+D12-H12</f>
        <v>-15000</v>
      </c>
      <c r="M12" s="4"/>
      <c r="N12" s="13">
        <f t="shared" ref="N12:N18" si="1">IF(H12=0,0,L12/H12)</f>
        <v>-1</v>
      </c>
      <c r="O12" s="10"/>
      <c r="P12" s="4">
        <f>SUM(OSRRefP13x_0)</f>
        <v>392328.46</v>
      </c>
      <c r="Q12" s="4"/>
      <c r="R12" s="13"/>
      <c r="S12" s="4"/>
      <c r="T12" s="4">
        <f>SUM(OSRRefT13x_0)</f>
        <v>615000</v>
      </c>
      <c r="U12" s="4"/>
      <c r="V12" s="13"/>
      <c r="W12" s="4"/>
      <c r="X12" s="4">
        <f t="shared" ref="X12:X18" si="2">+P12-T12</f>
        <v>-222671.53999999998</v>
      </c>
      <c r="Y12" s="4"/>
      <c r="Z12" s="13">
        <f t="shared" ref="Z12:Z18" si="3">IF(T12=0,0,X12/T12)</f>
        <v>-0.36206754471544711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8" si="4">0</f>
        <v>0</v>
      </c>
      <c r="E13" s="2"/>
      <c r="F13" s="19"/>
      <c r="G13" s="2"/>
      <c r="H13" s="2">
        <v>3750</v>
      </c>
      <c r="I13" s="2"/>
      <c r="J13" s="19"/>
      <c r="K13" s="2"/>
      <c r="L13" s="2">
        <f t="shared" si="0"/>
        <v>-3750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153750</v>
      </c>
      <c r="U13" s="2"/>
      <c r="V13" s="19"/>
      <c r="W13" s="2"/>
      <c r="X13" s="2">
        <f t="shared" si="2"/>
        <v>-153750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--296449.41</f>
        <v>296449.40999999997</v>
      </c>
      <c r="Q14" s="2"/>
      <c r="R14" s="19"/>
      <c r="S14" s="2"/>
      <c r="T14" s="2"/>
      <c r="U14" s="2"/>
      <c r="V14" s="19"/>
      <c r="W14" s="2"/>
      <c r="X14" s="2">
        <f t="shared" si="2"/>
        <v>296449.40999999997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--95481.76</f>
        <v>95481.76</v>
      </c>
      <c r="Q15" s="2"/>
      <c r="R15" s="19"/>
      <c r="S15" s="2"/>
      <c r="T15" s="2"/>
      <c r="U15" s="2"/>
      <c r="V15" s="19"/>
      <c r="W15" s="2"/>
      <c r="X15" s="2">
        <f t="shared" si="2"/>
        <v>95481.76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>
        <v>11250</v>
      </c>
      <c r="I16" s="2"/>
      <c r="J16" s="19"/>
      <c r="K16" s="2"/>
      <c r="L16" s="2">
        <f t="shared" si="0"/>
        <v>-11250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461250</v>
      </c>
      <c r="U16" s="2"/>
      <c r="V16" s="19"/>
      <c r="W16" s="2"/>
      <c r="X16" s="2">
        <f t="shared" si="2"/>
        <v>-461250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--0.08</f>
        <v>0.08</v>
      </c>
      <c r="Q17" s="2"/>
      <c r="R17" s="19"/>
      <c r="S17" s="2"/>
      <c r="T17" s="2"/>
      <c r="U17" s="2"/>
      <c r="V17" s="19"/>
      <c r="W17" s="2"/>
      <c r="X17" s="2">
        <f t="shared" si="2"/>
        <v>0.08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"4152", " - ", "NON-TAXABLE SALES-FOOD")</f>
        <v xml:space="preserve">          4152 - NON-TAXABLE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--397.21</f>
        <v>397.21</v>
      </c>
      <c r="Q18" s="2"/>
      <c r="R18" s="19"/>
      <c r="S18" s="2"/>
      <c r="T18" s="2"/>
      <c r="U18" s="2"/>
      <c r="V18" s="19"/>
      <c r="W18" s="2"/>
      <c r="X18" s="2">
        <f t="shared" si="2"/>
        <v>397.21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0</v>
      </c>
      <c r="E20" s="4"/>
      <c r="F20" s="13">
        <f t="shared" ref="F20:F23" si="5">IF(D$12=0,0,D20/D$12)</f>
        <v>0</v>
      </c>
      <c r="G20" s="4"/>
      <c r="H20" s="4">
        <f>SUM(OSRRefH16x_0)</f>
        <v>3450</v>
      </c>
      <c r="I20" s="4"/>
      <c r="J20" s="13">
        <f t="shared" ref="J20:J23" si="6">IF(H$12=0,0,H20/H$12)</f>
        <v>0.23</v>
      </c>
      <c r="K20" s="4"/>
      <c r="L20" s="4">
        <f t="shared" ref="L20:L23" si="7">+D20-H20</f>
        <v>-3450</v>
      </c>
      <c r="M20" s="4"/>
      <c r="N20" s="13">
        <f t="shared" ref="N20:N23" si="8">IF(H20=0,0,L20/H20)</f>
        <v>-1</v>
      </c>
      <c r="O20" s="10"/>
      <c r="P20" s="4">
        <f>SUM(OSRRefP16x_0)</f>
        <v>141393.09</v>
      </c>
      <c r="Q20" s="4"/>
      <c r="R20" s="13">
        <f t="shared" ref="R20:R23" si="9">IF(P$12=0,0,P20/P$12)</f>
        <v>0.36039468051846146</v>
      </c>
      <c r="S20" s="4"/>
      <c r="T20" s="4">
        <f>SUM(OSRRefT16x_0)</f>
        <v>141450</v>
      </c>
      <c r="U20" s="4"/>
      <c r="V20" s="13">
        <f t="shared" ref="V20:V23" si="10">IF(T$12=0,0,T20/T$12)</f>
        <v>0.23</v>
      </c>
      <c r="W20" s="4"/>
      <c r="X20" s="4">
        <f t="shared" ref="X20:X23" si="11">+P20-T20</f>
        <v>-56.910000000003492</v>
      </c>
      <c r="Y20" s="4"/>
      <c r="Z20" s="13">
        <f t="shared" ref="Z20:Z23" si="12">IF(T20=0,0,X20/T20)</f>
        <v>-4.0233297985156234E-4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3450</v>
      </c>
      <c r="I21" s="2"/>
      <c r="J21" s="19">
        <f t="shared" si="6"/>
        <v>0.23</v>
      </c>
      <c r="K21" s="2"/>
      <c r="L21" s="2">
        <f t="shared" si="7"/>
        <v>-3450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141450</v>
      </c>
      <c r="U21" s="2"/>
      <c r="V21" s="19">
        <f t="shared" si="10"/>
        <v>0.23</v>
      </c>
      <c r="W21" s="2"/>
      <c r="X21" s="2">
        <f t="shared" si="11"/>
        <v>-141450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/>
      <c r="E22" s="2"/>
      <c r="F22" s="19">
        <f t="shared" si="5"/>
        <v>0</v>
      </c>
      <c r="G22" s="2"/>
      <c r="H22" s="2"/>
      <c r="I22" s="2"/>
      <c r="J22" s="19">
        <f t="shared" si="6"/>
        <v>0</v>
      </c>
      <c r="K22" s="2"/>
      <c r="L22" s="2">
        <f t="shared" si="7"/>
        <v>0</v>
      </c>
      <c r="M22" s="2"/>
      <c r="N22" s="19">
        <f t="shared" si="8"/>
        <v>0</v>
      </c>
      <c r="O22" s="11"/>
      <c r="P22" s="2">
        <v>115476.09</v>
      </c>
      <c r="Q22" s="2"/>
      <c r="R22" s="19">
        <f t="shared" si="9"/>
        <v>0.29433523634762565</v>
      </c>
      <c r="S22" s="2"/>
      <c r="T22" s="2"/>
      <c r="U22" s="2"/>
      <c r="V22" s="19">
        <f t="shared" si="10"/>
        <v>0</v>
      </c>
      <c r="W22" s="2"/>
      <c r="X22" s="2">
        <f t="shared" si="11"/>
        <v>115476.09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/>
      <c r="E23" s="2"/>
      <c r="F23" s="19">
        <f t="shared" si="5"/>
        <v>0</v>
      </c>
      <c r="G23" s="2"/>
      <c r="H23" s="2"/>
      <c r="I23" s="2"/>
      <c r="J23" s="19">
        <f t="shared" si="6"/>
        <v>0</v>
      </c>
      <c r="K23" s="2"/>
      <c r="L23" s="2">
        <f t="shared" si="7"/>
        <v>0</v>
      </c>
      <c r="M23" s="2"/>
      <c r="N23" s="19">
        <f t="shared" si="8"/>
        <v>0</v>
      </c>
      <c r="O23" s="11"/>
      <c r="P23" s="2">
        <v>25917</v>
      </c>
      <c r="Q23" s="2"/>
      <c r="R23" s="19">
        <f t="shared" si="9"/>
        <v>6.6059444170835827E-2</v>
      </c>
      <c r="S23" s="2"/>
      <c r="T23" s="2"/>
      <c r="U23" s="2"/>
      <c r="V23" s="19">
        <f t="shared" si="10"/>
        <v>0</v>
      </c>
      <c r="W23" s="2"/>
      <c r="X23" s="2">
        <f t="shared" si="11"/>
        <v>25917</v>
      </c>
      <c r="Y23" s="2"/>
      <c r="Z23" s="19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2">
        <f>D12-D20</f>
        <v>0</v>
      </c>
      <c r="E25" s="14"/>
      <c r="F25" s="20">
        <f>IF(D$12=0,0,D25/D$12)</f>
        <v>0</v>
      </c>
      <c r="G25" s="14"/>
      <c r="H25" s="22">
        <f>H12-H20</f>
        <v>11550</v>
      </c>
      <c r="I25" s="14"/>
      <c r="J25" s="20">
        <f>IF(H$12=0,0,H25/H$12)</f>
        <v>0.77</v>
      </c>
      <c r="K25" s="15"/>
      <c r="L25" s="22">
        <f>+D25-H25</f>
        <v>-11550</v>
      </c>
      <c r="M25" s="15"/>
      <c r="N25" s="20">
        <f>IF(H25=0,0,L25/H25)</f>
        <v>-1</v>
      </c>
      <c r="O25" s="28"/>
      <c r="P25" s="22">
        <f>P12-P20</f>
        <v>250935.37000000002</v>
      </c>
      <c r="Q25" s="14"/>
      <c r="R25" s="20">
        <f>IF(P$12=0,0,P25/P$12)</f>
        <v>0.63960531948153854</v>
      </c>
      <c r="S25" s="14"/>
      <c r="T25" s="22">
        <f>T12-T20</f>
        <v>473550</v>
      </c>
      <c r="U25" s="14"/>
      <c r="V25" s="20">
        <f>IF(T$12=0,0,T25/T$12)</f>
        <v>0.77</v>
      </c>
      <c r="W25" s="15"/>
      <c r="X25" s="22">
        <f>+P25-T25</f>
        <v>-222614.62999999998</v>
      </c>
      <c r="Y25" s="15"/>
      <c r="Z25" s="20">
        <f>IF(T25=0,0,X25/T25)</f>
        <v>-0.47009741315594972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1">
        <f>SUM(OSRRefD22x_0)</f>
        <v>5915.2800000000007</v>
      </c>
      <c r="E27" s="21"/>
      <c r="F27" s="32">
        <f t="shared" ref="F27:F38" si="13">IF(D$12=0,0,D27/D$12)</f>
        <v>0</v>
      </c>
      <c r="G27" s="21"/>
      <c r="H27" s="21">
        <f>SUM(OSRRefH22x_0)</f>
        <v>18771.188264999997</v>
      </c>
      <c r="I27" s="21"/>
      <c r="J27" s="32">
        <f t="shared" ref="J27:J38" si="14">IF(H$12=0,0,H27/H$12)</f>
        <v>1.2514125509999998</v>
      </c>
      <c r="K27" s="4"/>
      <c r="L27" s="21">
        <f t="shared" ref="L27:L38" si="15">+D27-H27</f>
        <v>-12855.908264999996</v>
      </c>
      <c r="M27" s="4"/>
      <c r="N27" s="32">
        <f t="shared" ref="N27:N38" si="16">IF(H27=0,0,L27/H27)</f>
        <v>-0.68487450466684663</v>
      </c>
      <c r="O27" s="10"/>
      <c r="P27" s="21">
        <f>SUM(OSRRefP22x_0)</f>
        <v>336938.18</v>
      </c>
      <c r="Q27" s="21"/>
      <c r="R27" s="32">
        <f t="shared" ref="R27:R38" si="17">IF(P$12=0,0,P27/P$12)</f>
        <v>0.85881656405961471</v>
      </c>
      <c r="S27" s="21"/>
      <c r="T27" s="21">
        <f>SUM(OSRRefT22x_0)</f>
        <v>365352.14513999998</v>
      </c>
      <c r="U27" s="21"/>
      <c r="V27" s="32">
        <f t="shared" ref="V27:V38" si="18">IF(T$12=0,0,T27/T$12)</f>
        <v>0.59406852868292681</v>
      </c>
      <c r="W27" s="4"/>
      <c r="X27" s="21">
        <f t="shared" ref="X27:X38" si="19">+P27-T27</f>
        <v>-28413.965139999986</v>
      </c>
      <c r="Y27" s="4"/>
      <c r="Z27" s="32">
        <f t="shared" ref="Z27:Z38" si="20">IF(T27=0,0,X27/T27)</f>
        <v>-7.7771447404837282E-2</v>
      </c>
    </row>
    <row r="28" spans="1:26" s="26" customFormat="1" outlineLevel="1" collapsed="1" x14ac:dyDescent="0.25">
      <c r="A28" s="25"/>
      <c r="B28" s="12" t="str">
        <f>CONCATENATE("     ","*Benefits                                         ")</f>
        <v xml:space="preserve">     *Benefits                                         </v>
      </c>
      <c r="C28" s="12"/>
      <c r="D28" s="1">
        <f>SUM(OSRRefD22_0x_0)</f>
        <v>1446.2</v>
      </c>
      <c r="E28" s="1"/>
      <c r="F28" s="5">
        <f t="shared" si="13"/>
        <v>0</v>
      </c>
      <c r="G28" s="1"/>
      <c r="H28" s="1">
        <f>SUM(OSRRefH22_0x_0)</f>
        <v>2638.3421111538469</v>
      </c>
      <c r="I28" s="1"/>
      <c r="J28" s="5">
        <f t="shared" si="14"/>
        <v>0.17588947407692312</v>
      </c>
      <c r="K28" s="1"/>
      <c r="L28" s="1">
        <f t="shared" si="15"/>
        <v>-1192.1421111538468</v>
      </c>
      <c r="M28" s="1"/>
      <c r="N28" s="5">
        <f t="shared" si="16"/>
        <v>-0.45185273968601364</v>
      </c>
      <c r="O28" s="12"/>
      <c r="P28" s="1">
        <f>SUM(OSRRefP22_0x_0)</f>
        <v>37882.54</v>
      </c>
      <c r="Q28" s="1"/>
      <c r="R28" s="5">
        <f t="shared" si="17"/>
        <v>9.6558225727493743E-2</v>
      </c>
      <c r="S28" s="1"/>
      <c r="T28" s="1">
        <f>SUM(OSRRefT22_0x_0)</f>
        <v>36210.145140000008</v>
      </c>
      <c r="U28" s="1"/>
      <c r="V28" s="5">
        <f t="shared" si="18"/>
        <v>5.8878284780487816E-2</v>
      </c>
      <c r="W28" s="1"/>
      <c r="X28" s="1">
        <f t="shared" si="19"/>
        <v>1672.3948599999931</v>
      </c>
      <c r="Y28" s="1"/>
      <c r="Z28" s="5">
        <f t="shared" si="20"/>
        <v>4.618580935077668E-2</v>
      </c>
    </row>
    <row r="29" spans="1:26" s="24" customFormat="1" hidden="1" outlineLevel="2" x14ac:dyDescent="0.25">
      <c r="A29" s="27"/>
      <c r="B29" s="11" t="str">
        <f>CONCATENATE("          ", "6111", " - ", "F.I.C.A.")</f>
        <v xml:space="preserve">          6111 - F.I.C.A.</v>
      </c>
      <c r="C29" s="11"/>
      <c r="D29" s="6">
        <v>341.58</v>
      </c>
      <c r="E29" s="2"/>
      <c r="F29" s="7">
        <f t="shared" si="13"/>
        <v>0</v>
      </c>
      <c r="G29" s="2"/>
      <c r="H29" s="6">
        <v>464.987449615385</v>
      </c>
      <c r="I29" s="2"/>
      <c r="J29" s="7">
        <f t="shared" si="14"/>
        <v>3.0999163307692333E-2</v>
      </c>
      <c r="K29" s="2"/>
      <c r="L29" s="6">
        <f t="shared" si="15"/>
        <v>-123.40744961538502</v>
      </c>
      <c r="M29" s="2"/>
      <c r="N29" s="7">
        <f t="shared" si="16"/>
        <v>-0.26539952791728394</v>
      </c>
      <c r="O29" s="11"/>
      <c r="P29" s="6">
        <v>8664.3700000000008</v>
      </c>
      <c r="Q29" s="2"/>
      <c r="R29" s="7">
        <f t="shared" si="17"/>
        <v>2.2084479927864525E-2</v>
      </c>
      <c r="S29" s="2"/>
      <c r="T29" s="6">
        <v>6910.5059400000046</v>
      </c>
      <c r="U29" s="2"/>
      <c r="V29" s="7">
        <f t="shared" si="18"/>
        <v>1.123659502439025E-2</v>
      </c>
      <c r="W29" s="2"/>
      <c r="X29" s="6">
        <f t="shared" si="19"/>
        <v>1753.8640599999962</v>
      </c>
      <c r="Y29" s="2"/>
      <c r="Z29" s="7">
        <f t="shared" si="20"/>
        <v>0.25379676614531571</v>
      </c>
    </row>
    <row r="30" spans="1:26" s="24" customFormat="1" hidden="1" outlineLevel="2" x14ac:dyDescent="0.25">
      <c r="A30" s="27"/>
      <c r="B30" s="11" t="str">
        <f>CONCATENATE("          ", "6112", " - ", "COMPENSATION INSURANCE")</f>
        <v xml:space="preserve">          6112 - COMPENSATION INSURANCE</v>
      </c>
      <c r="C30" s="11"/>
      <c r="D30" s="6">
        <v>173.25</v>
      </c>
      <c r="E30" s="2"/>
      <c r="F30" s="7">
        <f t="shared" si="13"/>
        <v>0</v>
      </c>
      <c r="G30" s="2"/>
      <c r="H30" s="6">
        <v>241.85532307692299</v>
      </c>
      <c r="I30" s="2"/>
      <c r="J30" s="7">
        <f t="shared" si="14"/>
        <v>1.61236882051282E-2</v>
      </c>
      <c r="K30" s="2"/>
      <c r="L30" s="6">
        <f t="shared" si="15"/>
        <v>-68.605323076922986</v>
      </c>
      <c r="M30" s="2"/>
      <c r="N30" s="7">
        <f t="shared" si="16"/>
        <v>-0.28366265502910931</v>
      </c>
      <c r="O30" s="11"/>
      <c r="P30" s="6">
        <v>6750.72</v>
      </c>
      <c r="Q30" s="2"/>
      <c r="R30" s="7">
        <f t="shared" si="17"/>
        <v>1.7206806765943005E-2</v>
      </c>
      <c r="S30" s="2"/>
      <c r="T30" s="6">
        <v>4215.9304000000002</v>
      </c>
      <c r="U30" s="2"/>
      <c r="V30" s="7">
        <f t="shared" si="18"/>
        <v>6.8551713821138217E-3</v>
      </c>
      <c r="W30" s="2"/>
      <c r="X30" s="6">
        <f t="shared" si="19"/>
        <v>2534.7896000000001</v>
      </c>
      <c r="Y30" s="2"/>
      <c r="Z30" s="7">
        <f t="shared" si="20"/>
        <v>0.6012408553993206</v>
      </c>
    </row>
    <row r="31" spans="1:26" s="24" customFormat="1" hidden="1" outlineLevel="2" x14ac:dyDescent="0.25">
      <c r="A31" s="27"/>
      <c r="B31" s="11" t="str">
        <f>CONCATENATE("          ", "6113", " - ", "GROUP INSURANCE")</f>
        <v xml:space="preserve">          6113 - GROUP INSURANCE</v>
      </c>
      <c r="C31" s="11"/>
      <c r="D31" s="6">
        <v>699.3</v>
      </c>
      <c r="E31" s="2"/>
      <c r="F31" s="7">
        <f t="shared" si="13"/>
        <v>0</v>
      </c>
      <c r="G31" s="2"/>
      <c r="H31" s="6">
        <v>663</v>
      </c>
      <c r="I31" s="2"/>
      <c r="J31" s="7">
        <f t="shared" si="14"/>
        <v>4.4200000000000003E-2</v>
      </c>
      <c r="K31" s="2"/>
      <c r="L31" s="6">
        <f t="shared" si="15"/>
        <v>36.299999999999955</v>
      </c>
      <c r="M31" s="2"/>
      <c r="N31" s="7">
        <f t="shared" si="16"/>
        <v>5.4751131221719387E-2</v>
      </c>
      <c r="O31" s="11"/>
      <c r="P31" s="6">
        <v>9773.43</v>
      </c>
      <c r="Q31" s="2"/>
      <c r="R31" s="7">
        <f t="shared" si="17"/>
        <v>2.4911345967610913E-2</v>
      </c>
      <c r="S31" s="2"/>
      <c r="T31" s="6">
        <v>7956</v>
      </c>
      <c r="U31" s="2"/>
      <c r="V31" s="7">
        <f t="shared" si="18"/>
        <v>1.2936585365853659E-2</v>
      </c>
      <c r="W31" s="2"/>
      <c r="X31" s="6">
        <f t="shared" si="19"/>
        <v>1817.4300000000003</v>
      </c>
      <c r="Y31" s="2"/>
      <c r="Z31" s="7">
        <f t="shared" si="20"/>
        <v>0.22843514328808451</v>
      </c>
    </row>
    <row r="32" spans="1:26" s="24" customFormat="1" hidden="1" outlineLevel="2" x14ac:dyDescent="0.25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6">
        <v>-514.21</v>
      </c>
      <c r="E32" s="2"/>
      <c r="F32" s="7">
        <f t="shared" si="13"/>
        <v>0</v>
      </c>
      <c r="G32" s="2"/>
      <c r="H32" s="6">
        <v>20.067799999999998</v>
      </c>
      <c r="I32" s="2"/>
      <c r="J32" s="7">
        <f t="shared" si="14"/>
        <v>1.3378533333333331E-3</v>
      </c>
      <c r="K32" s="2"/>
      <c r="L32" s="6">
        <f t="shared" si="15"/>
        <v>-534.27780000000007</v>
      </c>
      <c r="M32" s="2"/>
      <c r="N32" s="7">
        <f t="shared" si="16"/>
        <v>-26.623635874385837</v>
      </c>
      <c r="O32" s="11"/>
      <c r="P32" s="6">
        <v>0</v>
      </c>
      <c r="Q32" s="2"/>
      <c r="R32" s="7">
        <f t="shared" si="17"/>
        <v>0</v>
      </c>
      <c r="S32" s="2"/>
      <c r="T32" s="6">
        <v>335.62880000000001</v>
      </c>
      <c r="U32" s="2"/>
      <c r="V32" s="7">
        <f t="shared" si="18"/>
        <v>5.4573788617886176E-4</v>
      </c>
      <c r="W32" s="2"/>
      <c r="X32" s="6">
        <f t="shared" si="19"/>
        <v>-335.62880000000001</v>
      </c>
      <c r="Y32" s="2"/>
      <c r="Z32" s="7">
        <f t="shared" si="20"/>
        <v>-1</v>
      </c>
    </row>
    <row r="33" spans="1:26" s="24" customFormat="1" hidden="1" outlineLevel="2" x14ac:dyDescent="0.25">
      <c r="A33" s="27"/>
      <c r="B33" s="11" t="str">
        <f>CONCATENATE("          ", "6115", " - ", "P.E.R.S.")</f>
        <v xml:space="preserve">          6115 - P.E.R.S.</v>
      </c>
      <c r="C33" s="11"/>
      <c r="D33" s="6">
        <v>320.99</v>
      </c>
      <c r="E33" s="2"/>
      <c r="F33" s="7">
        <f t="shared" si="13"/>
        <v>0</v>
      </c>
      <c r="G33" s="2"/>
      <c r="H33" s="6">
        <v>395.20307692307699</v>
      </c>
      <c r="I33" s="2"/>
      <c r="J33" s="7">
        <f t="shared" si="14"/>
        <v>2.6346871794871801E-2</v>
      </c>
      <c r="K33" s="2"/>
      <c r="L33" s="6">
        <f t="shared" si="15"/>
        <v>-74.213076923076983</v>
      </c>
      <c r="M33" s="2"/>
      <c r="N33" s="7">
        <f t="shared" si="16"/>
        <v>-0.18778466377558581</v>
      </c>
      <c r="O33" s="11"/>
      <c r="P33" s="6">
        <v>4012.37</v>
      </c>
      <c r="Q33" s="2"/>
      <c r="R33" s="7">
        <f t="shared" si="17"/>
        <v>1.0227068410994196E-2</v>
      </c>
      <c r="S33" s="2"/>
      <c r="T33" s="6">
        <v>5137.6400000000003</v>
      </c>
      <c r="U33" s="2"/>
      <c r="V33" s="7">
        <f t="shared" si="18"/>
        <v>8.3538861788617896E-3</v>
      </c>
      <c r="W33" s="2"/>
      <c r="X33" s="6">
        <f t="shared" si="19"/>
        <v>-1125.2700000000004</v>
      </c>
      <c r="Y33" s="2"/>
      <c r="Z33" s="7">
        <f t="shared" si="20"/>
        <v>-0.21902468837832165</v>
      </c>
    </row>
    <row r="34" spans="1:26" s="24" customFormat="1" hidden="1" outlineLevel="2" x14ac:dyDescent="0.25">
      <c r="A34" s="27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3"/>
        <v>0</v>
      </c>
      <c r="G34" s="2"/>
      <c r="H34" s="6">
        <v>0</v>
      </c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/>
      <c r="Q34" s="2"/>
      <c r="R34" s="7">
        <f t="shared" si="17"/>
        <v>0</v>
      </c>
      <c r="S34" s="2"/>
      <c r="T34" s="6">
        <v>0</v>
      </c>
      <c r="U34" s="2"/>
      <c r="V34" s="7">
        <f t="shared" si="18"/>
        <v>0</v>
      </c>
      <c r="W34" s="2"/>
      <c r="X34" s="6">
        <f t="shared" si="19"/>
        <v>0</v>
      </c>
      <c r="Y34" s="2"/>
      <c r="Z34" s="7">
        <f t="shared" si="20"/>
        <v>0</v>
      </c>
    </row>
    <row r="35" spans="1:26" s="24" customFormat="1" hidden="1" outlineLevel="2" x14ac:dyDescent="0.25">
      <c r="A35" s="27"/>
      <c r="B35" s="11" t="str">
        <f>CONCATENATE("          ", "6117", " - ", "RETIREMENT STAFF HOURLY")</f>
        <v xml:space="preserve">          6117 - RETIREMENT STAFF HOURLY</v>
      </c>
      <c r="C35" s="11"/>
      <c r="D35" s="6"/>
      <c r="E35" s="2"/>
      <c r="F35" s="7">
        <f t="shared" si="13"/>
        <v>0</v>
      </c>
      <c r="G35" s="2"/>
      <c r="H35" s="6"/>
      <c r="I35" s="2"/>
      <c r="J35" s="7">
        <f t="shared" si="14"/>
        <v>0</v>
      </c>
      <c r="K35" s="2"/>
      <c r="L35" s="6">
        <f t="shared" si="15"/>
        <v>0</v>
      </c>
      <c r="M35" s="2"/>
      <c r="N35" s="7">
        <f t="shared" si="16"/>
        <v>0</v>
      </c>
      <c r="O35" s="11"/>
      <c r="P35" s="6">
        <v>764.45</v>
      </c>
      <c r="Q35" s="2"/>
      <c r="R35" s="7">
        <f t="shared" si="17"/>
        <v>1.9484948912449533E-3</v>
      </c>
      <c r="S35" s="2"/>
      <c r="T35" s="6"/>
      <c r="U35" s="2"/>
      <c r="V35" s="7">
        <f t="shared" si="18"/>
        <v>0</v>
      </c>
      <c r="W35" s="2"/>
      <c r="X35" s="6">
        <f t="shared" si="19"/>
        <v>764.45</v>
      </c>
      <c r="Y35" s="2"/>
      <c r="Z35" s="7">
        <f t="shared" si="20"/>
        <v>0</v>
      </c>
    </row>
    <row r="36" spans="1:26" s="24" customFormat="1" hidden="1" outlineLevel="2" x14ac:dyDescent="0.25">
      <c r="A36" s="27"/>
      <c r="B36" s="11" t="str">
        <f>CONCATENATE("          ", "6118", " - ", "VACATION")</f>
        <v xml:space="preserve">          6118 - VACATION</v>
      </c>
      <c r="C36" s="11"/>
      <c r="D36" s="6">
        <v>176.92</v>
      </c>
      <c r="E36" s="2"/>
      <c r="F36" s="7">
        <f t="shared" si="13"/>
        <v>0</v>
      </c>
      <c r="G36" s="2"/>
      <c r="H36" s="6">
        <v>229.769230769231</v>
      </c>
      <c r="I36" s="2"/>
      <c r="J36" s="7">
        <f t="shared" si="14"/>
        <v>1.5317948717948733E-2</v>
      </c>
      <c r="K36" s="2"/>
      <c r="L36" s="6">
        <f t="shared" si="15"/>
        <v>-52.849230769231013</v>
      </c>
      <c r="M36" s="2"/>
      <c r="N36" s="7">
        <f t="shared" si="16"/>
        <v>-0.23001004352192919</v>
      </c>
      <c r="O36" s="11"/>
      <c r="P36" s="6">
        <v>2815.98</v>
      </c>
      <c r="Q36" s="2"/>
      <c r="R36" s="7">
        <f t="shared" si="17"/>
        <v>7.1776082724154143E-3</v>
      </c>
      <c r="S36" s="2"/>
      <c r="T36" s="6">
        <v>2987.0000000000041</v>
      </c>
      <c r="U36" s="2"/>
      <c r="V36" s="7">
        <f t="shared" si="18"/>
        <v>4.8569105691056973E-3</v>
      </c>
      <c r="W36" s="2"/>
      <c r="X36" s="6">
        <f t="shared" si="19"/>
        <v>-171.02000000000407</v>
      </c>
      <c r="Y36" s="2"/>
      <c r="Z36" s="7">
        <f t="shared" si="20"/>
        <v>-5.7254770672917253E-2</v>
      </c>
    </row>
    <row r="37" spans="1:26" s="24" customFormat="1" hidden="1" outlineLevel="2" x14ac:dyDescent="0.25">
      <c r="A37" s="27"/>
      <c r="B37" s="11" t="str">
        <f>CONCATENATE("          ", "6119", " - ", "SICK LEAVE")</f>
        <v xml:space="preserve">          6119 - SICK LEAVE</v>
      </c>
      <c r="C37" s="11"/>
      <c r="D37" s="6">
        <v>211.96</v>
      </c>
      <c r="E37" s="2"/>
      <c r="F37" s="7">
        <f t="shared" si="13"/>
        <v>0</v>
      </c>
      <c r="G37" s="2"/>
      <c r="H37" s="6">
        <v>323.459230769231</v>
      </c>
      <c r="I37" s="2"/>
      <c r="J37" s="7">
        <f t="shared" si="14"/>
        <v>2.1563948717948735E-2</v>
      </c>
      <c r="K37" s="2"/>
      <c r="L37" s="6">
        <f t="shared" si="15"/>
        <v>-111.49923076923099</v>
      </c>
      <c r="M37" s="2"/>
      <c r="N37" s="7">
        <f t="shared" si="16"/>
        <v>-0.34470876129912981</v>
      </c>
      <c r="O37" s="11"/>
      <c r="P37" s="6">
        <v>3061.35</v>
      </c>
      <c r="Q37" s="2"/>
      <c r="R37" s="7">
        <f t="shared" si="17"/>
        <v>7.8030281055827553E-3</v>
      </c>
      <c r="S37" s="2"/>
      <c r="T37" s="6">
        <v>5067.4400000000014</v>
      </c>
      <c r="U37" s="2"/>
      <c r="V37" s="7">
        <f t="shared" si="18"/>
        <v>8.2397398373983757E-3</v>
      </c>
      <c r="W37" s="2"/>
      <c r="X37" s="6">
        <f t="shared" si="19"/>
        <v>-2006.0900000000015</v>
      </c>
      <c r="Y37" s="2"/>
      <c r="Z37" s="7">
        <f t="shared" si="20"/>
        <v>-0.39587839224539428</v>
      </c>
    </row>
    <row r="38" spans="1:26" s="24" customFormat="1" hidden="1" outlineLevel="2" x14ac:dyDescent="0.25">
      <c r="A38" s="27"/>
      <c r="B38" s="11" t="str">
        <f>CONCATENATE("          ", "6156", " - ", "EMPLOYEE MEALS")</f>
        <v xml:space="preserve">          6156 - EMPLOYEE MEALS</v>
      </c>
      <c r="C38" s="11"/>
      <c r="D38" s="6">
        <v>36.409999999999997</v>
      </c>
      <c r="E38" s="2"/>
      <c r="F38" s="7">
        <f t="shared" si="13"/>
        <v>0</v>
      </c>
      <c r="G38" s="2"/>
      <c r="H38" s="6">
        <v>300</v>
      </c>
      <c r="I38" s="2"/>
      <c r="J38" s="7">
        <f t="shared" si="14"/>
        <v>0.02</v>
      </c>
      <c r="K38" s="2"/>
      <c r="L38" s="6">
        <f t="shared" si="15"/>
        <v>-263.59000000000003</v>
      </c>
      <c r="M38" s="2"/>
      <c r="N38" s="7">
        <f t="shared" si="16"/>
        <v>-0.87863333333333349</v>
      </c>
      <c r="O38" s="11"/>
      <c r="P38" s="6">
        <v>2039.87</v>
      </c>
      <c r="Q38" s="2"/>
      <c r="R38" s="7">
        <f t="shared" si="17"/>
        <v>5.199393385837978E-3</v>
      </c>
      <c r="S38" s="2"/>
      <c r="T38" s="6">
        <v>3600</v>
      </c>
      <c r="U38" s="2"/>
      <c r="V38" s="7">
        <f t="shared" si="18"/>
        <v>5.8536585365853658E-3</v>
      </c>
      <c r="W38" s="2"/>
      <c r="X38" s="6">
        <f t="shared" si="19"/>
        <v>-1560.13</v>
      </c>
      <c r="Y38" s="2"/>
      <c r="Z38" s="7">
        <f t="shared" si="20"/>
        <v>-0.43336944444444447</v>
      </c>
    </row>
    <row r="39" spans="1:26" s="26" customFormat="1" outlineLevel="1" collapsed="1" x14ac:dyDescent="0.25">
      <c r="A39" s="25"/>
      <c r="B39" s="12" t="str">
        <f>CONCATENATE("     ","*Payroll                                          ")</f>
        <v xml:space="preserve">     *Payroll                                          </v>
      </c>
      <c r="C39" s="12"/>
      <c r="D39" s="1">
        <f>SUM(OSRRefD22_1x_0)</f>
        <v>3446.53</v>
      </c>
      <c r="E39" s="1"/>
      <c r="F39" s="5">
        <f t="shared" ref="F39:F49" si="21">IF(D$12=0,0,D39/D$12)</f>
        <v>0</v>
      </c>
      <c r="G39" s="1"/>
      <c r="H39" s="1">
        <f>SUM(OSRRefH22_1x_0)</f>
        <v>7258.8461538461497</v>
      </c>
      <c r="I39" s="1"/>
      <c r="J39" s="5">
        <f t="shared" ref="J39:J49" si="22">IF(H$12=0,0,H39/H$12)</f>
        <v>0.48392307692307662</v>
      </c>
      <c r="K39" s="1"/>
      <c r="L39" s="1">
        <f t="shared" ref="L39:L49" si="23">+D39-H39</f>
        <v>-3812.3161538461495</v>
      </c>
      <c r="M39" s="1"/>
      <c r="N39" s="5">
        <f t="shared" ref="N39:N49" si="24">IF(H39=0,0,L39/H39)</f>
        <v>-0.52519588830604536</v>
      </c>
      <c r="O39" s="12"/>
      <c r="P39" s="1">
        <f>SUM(OSRRefP22_1x_0)</f>
        <v>156105.16999999998</v>
      </c>
      <c r="Q39" s="1"/>
      <c r="R39" s="5">
        <f t="shared" ref="R39:R49" si="25">IF(P$12=0,0,P39/P$12)</f>
        <v>0.39789407579557184</v>
      </c>
      <c r="S39" s="1"/>
      <c r="T39" s="1">
        <f>SUM(OSRRefT22_1x_0)</f>
        <v>123113.99999999997</v>
      </c>
      <c r="U39" s="1"/>
      <c r="V39" s="5">
        <f t="shared" ref="V39:V49" si="26">IF(T$12=0,0,T39/T$12)</f>
        <v>0.20018536585365848</v>
      </c>
      <c r="W39" s="1"/>
      <c r="X39" s="1">
        <f t="shared" ref="X39:X49" si="27">+P39-T39</f>
        <v>32991.170000000013</v>
      </c>
      <c r="Y39" s="1"/>
      <c r="Z39" s="5">
        <f t="shared" ref="Z39:Z49" si="28">IF(T39=0,0,X39/T39)</f>
        <v>0.26797252952548062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>
        <v>3446.53</v>
      </c>
      <c r="E41" s="2"/>
      <c r="F41" s="7">
        <f t="shared" si="21"/>
        <v>0</v>
      </c>
      <c r="G41" s="2"/>
      <c r="H41" s="6">
        <v>4135.8461538461497</v>
      </c>
      <c r="I41" s="2"/>
      <c r="J41" s="7">
        <f t="shared" si="22"/>
        <v>0.27572307692307663</v>
      </c>
      <c r="K41" s="2"/>
      <c r="L41" s="6">
        <f t="shared" si="23"/>
        <v>-689.31615384614952</v>
      </c>
      <c r="M41" s="2"/>
      <c r="N41" s="7">
        <f t="shared" si="24"/>
        <v>-0.16666871256928081</v>
      </c>
      <c r="O41" s="11"/>
      <c r="P41" s="6">
        <v>53765.93</v>
      </c>
      <c r="Q41" s="2"/>
      <c r="R41" s="7">
        <f t="shared" si="25"/>
        <v>0.13704315511548665</v>
      </c>
      <c r="S41" s="2"/>
      <c r="T41" s="6">
        <v>53765.999999999964</v>
      </c>
      <c r="U41" s="2"/>
      <c r="V41" s="7">
        <f t="shared" si="26"/>
        <v>8.7424390243902375E-2</v>
      </c>
      <c r="W41" s="2"/>
      <c r="X41" s="6">
        <f t="shared" si="27"/>
        <v>-6.9999999963329174E-2</v>
      </c>
      <c r="Y41" s="2"/>
      <c r="Z41" s="7">
        <f t="shared" si="28"/>
        <v>-1.301938027067835E-6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21"/>
        <v>0</v>
      </c>
      <c r="G43" s="2"/>
      <c r="H43" s="6">
        <v>1102.5</v>
      </c>
      <c r="I43" s="2"/>
      <c r="J43" s="7">
        <f t="shared" si="22"/>
        <v>7.3499999999999996E-2</v>
      </c>
      <c r="K43" s="2"/>
      <c r="L43" s="6">
        <f t="shared" si="23"/>
        <v>-1102.5</v>
      </c>
      <c r="M43" s="2"/>
      <c r="N43" s="7">
        <f t="shared" si="24"/>
        <v>-1</v>
      </c>
      <c r="O43" s="11"/>
      <c r="P43" s="6">
        <v>12512.45</v>
      </c>
      <c r="Q43" s="2"/>
      <c r="R43" s="7">
        <f t="shared" si="25"/>
        <v>3.189279207529324E-2</v>
      </c>
      <c r="S43" s="2"/>
      <c r="T43" s="6">
        <v>18390</v>
      </c>
      <c r="U43" s="2"/>
      <c r="V43" s="7">
        <f t="shared" si="26"/>
        <v>2.9902439024390243E-2</v>
      </c>
      <c r="W43" s="2"/>
      <c r="X43" s="6">
        <f t="shared" si="27"/>
        <v>-5877.5499999999993</v>
      </c>
      <c r="Y43" s="2"/>
      <c r="Z43" s="7">
        <f t="shared" si="28"/>
        <v>-0.31960576400217505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32469.929999999997</v>
      </c>
      <c r="Q44" s="2"/>
      <c r="R44" s="7">
        <f t="shared" si="25"/>
        <v>8.2762107036537691E-2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32469.929999999997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303.38</v>
      </c>
      <c r="Q45" s="2"/>
      <c r="R45" s="7">
        <f t="shared" si="25"/>
        <v>7.7328063327345656E-4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303.38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/>
      <c r="E46" s="2"/>
      <c r="F46" s="7">
        <f t="shared" si="21"/>
        <v>0</v>
      </c>
      <c r="G46" s="2"/>
      <c r="H46" s="6">
        <v>378</v>
      </c>
      <c r="I46" s="2"/>
      <c r="J46" s="7">
        <f t="shared" si="22"/>
        <v>2.52E-2</v>
      </c>
      <c r="K46" s="2"/>
      <c r="L46" s="6">
        <f t="shared" si="23"/>
        <v>-378</v>
      </c>
      <c r="M46" s="2"/>
      <c r="N46" s="7">
        <f t="shared" si="24"/>
        <v>-1</v>
      </c>
      <c r="O46" s="11"/>
      <c r="P46" s="6">
        <v>49893.740000000005</v>
      </c>
      <c r="Q46" s="2"/>
      <c r="R46" s="7">
        <f t="shared" si="25"/>
        <v>0.12717338935849823</v>
      </c>
      <c r="S46" s="2"/>
      <c r="T46" s="6">
        <v>12168</v>
      </c>
      <c r="U46" s="2"/>
      <c r="V46" s="7">
        <f t="shared" si="26"/>
        <v>1.9785365853658535E-2</v>
      </c>
      <c r="W46" s="2"/>
      <c r="X46" s="6">
        <f t="shared" si="27"/>
        <v>37725.740000000005</v>
      </c>
      <c r="Y46" s="2"/>
      <c r="Z46" s="7">
        <f t="shared" si="28"/>
        <v>3.1004059829059831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1"/>
        <v>0</v>
      </c>
      <c r="G47" s="2"/>
      <c r="H47" s="6">
        <v>1642.5</v>
      </c>
      <c r="I47" s="2"/>
      <c r="J47" s="7">
        <f t="shared" si="22"/>
        <v>0.1095</v>
      </c>
      <c r="K47" s="2"/>
      <c r="L47" s="6">
        <f t="shared" si="23"/>
        <v>-1642.5</v>
      </c>
      <c r="M47" s="2"/>
      <c r="N47" s="7">
        <f t="shared" si="24"/>
        <v>-1</v>
      </c>
      <c r="O47" s="11"/>
      <c r="P47" s="6">
        <v>7159.74</v>
      </c>
      <c r="Q47" s="2"/>
      <c r="R47" s="7">
        <f t="shared" si="25"/>
        <v>1.8249351576482623E-2</v>
      </c>
      <c r="S47" s="2"/>
      <c r="T47" s="6">
        <v>38790</v>
      </c>
      <c r="U47" s="2"/>
      <c r="V47" s="7">
        <f t="shared" si="26"/>
        <v>6.3073170731707318E-2</v>
      </c>
      <c r="W47" s="2"/>
      <c r="X47" s="6">
        <f t="shared" si="27"/>
        <v>-31630.260000000002</v>
      </c>
      <c r="Y47" s="2"/>
      <c r="Z47" s="7">
        <f t="shared" si="28"/>
        <v>-0.81542304717710756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6" customFormat="1" outlineLevel="1" collapsed="1" x14ac:dyDescent="0.25">
      <c r="A50" s="25"/>
      <c r="B50" s="12" t="str">
        <f>CONCATENATE("     ","Advertising/Promo                                 ")</f>
        <v xml:space="preserve">     Advertising/Promo                                 </v>
      </c>
      <c r="C50" s="12"/>
      <c r="D50" s="1">
        <f>SUM(OSRRefD22_2x_0)</f>
        <v>0</v>
      </c>
      <c r="E50" s="1"/>
      <c r="F50" s="5">
        <f t="shared" ref="F50:F58" si="29">IF(D$12=0,0,D50/D$12)</f>
        <v>0</v>
      </c>
      <c r="G50" s="1"/>
      <c r="H50" s="1">
        <f>SUM(OSRRefH22_2x_0)</f>
        <v>0</v>
      </c>
      <c r="I50" s="1"/>
      <c r="J50" s="5">
        <f t="shared" ref="J50:J58" si="30">IF(H$12=0,0,H50/H$12)</f>
        <v>0</v>
      </c>
      <c r="K50" s="1"/>
      <c r="L50" s="1">
        <f t="shared" ref="L50:L58" si="31">+D50-H50</f>
        <v>0</v>
      </c>
      <c r="M50" s="1"/>
      <c r="N50" s="5">
        <f t="shared" ref="N50:N58" si="32">IF(H50=0,0,L50/H50)</f>
        <v>0</v>
      </c>
      <c r="O50" s="12"/>
      <c r="P50" s="1">
        <f>SUM(OSRRefP22_2x_0)</f>
        <v>1868.45</v>
      </c>
      <c r="Q50" s="1"/>
      <c r="R50" s="5">
        <f t="shared" ref="R50:R58" si="33">IF(P$12=0,0,P50/P$12)</f>
        <v>4.7624635745263039E-3</v>
      </c>
      <c r="S50" s="1"/>
      <c r="T50" s="1">
        <f>SUM(OSRRefT22_2x_0)</f>
        <v>1975</v>
      </c>
      <c r="U50" s="1"/>
      <c r="V50" s="5">
        <f t="shared" ref="V50:V58" si="34">IF(T$12=0,0,T50/T$12)</f>
        <v>3.2113821138211383E-3</v>
      </c>
      <c r="W50" s="1"/>
      <c r="X50" s="1">
        <f t="shared" ref="X50:X58" si="35">+P50-T50</f>
        <v>-106.54999999999995</v>
      </c>
      <c r="Y50" s="1"/>
      <c r="Z50" s="5">
        <f t="shared" ref="Z50:Z58" si="36">IF(T50=0,0,X50/T50)</f>
        <v>-5.3949367088607571E-2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1868.45</v>
      </c>
      <c r="Q51" s="2"/>
      <c r="R51" s="7">
        <f t="shared" si="33"/>
        <v>4.7624635745263039E-3</v>
      </c>
      <c r="S51" s="2"/>
      <c r="T51" s="6">
        <v>1975</v>
      </c>
      <c r="U51" s="2"/>
      <c r="V51" s="7">
        <f t="shared" si="34"/>
        <v>3.2113821138211383E-3</v>
      </c>
      <c r="W51" s="2"/>
      <c r="X51" s="6">
        <f t="shared" si="35"/>
        <v>-106.54999999999995</v>
      </c>
      <c r="Y51" s="2"/>
      <c r="Z51" s="7">
        <f t="shared" si="36"/>
        <v>-5.3949367088607571E-2</v>
      </c>
    </row>
    <row r="52" spans="1:26" s="26" customFormat="1" outlineLevel="1" collapsed="1" x14ac:dyDescent="0.25">
      <c r="A52" s="25"/>
      <c r="B52" s="12" t="str">
        <f>CONCATENATE("     ","Bad Debts/Over/Short                              ")</f>
        <v xml:space="preserve">     Bad Debts/Over/Short                              </v>
      </c>
      <c r="C52" s="12"/>
      <c r="D52" s="1">
        <f>SUM(OSRRefD22_3x_0)</f>
        <v>0</v>
      </c>
      <c r="E52" s="1"/>
      <c r="F52" s="5">
        <f t="shared" si="29"/>
        <v>0</v>
      </c>
      <c r="G52" s="1"/>
      <c r="H52" s="1">
        <f>SUM(OSRRefH22_3x_0)</f>
        <v>50</v>
      </c>
      <c r="I52" s="1"/>
      <c r="J52" s="5">
        <f t="shared" si="30"/>
        <v>3.3333333333333335E-3</v>
      </c>
      <c r="K52" s="1"/>
      <c r="L52" s="1">
        <f t="shared" si="31"/>
        <v>-50</v>
      </c>
      <c r="M52" s="1"/>
      <c r="N52" s="5">
        <f t="shared" si="32"/>
        <v>-1</v>
      </c>
      <c r="O52" s="12"/>
      <c r="P52" s="1">
        <f>SUM(OSRRefP22_3x_0)</f>
        <v>-144.01</v>
      </c>
      <c r="Q52" s="1"/>
      <c r="R52" s="5">
        <f t="shared" si="33"/>
        <v>-3.6706488231824934E-4</v>
      </c>
      <c r="S52" s="1"/>
      <c r="T52" s="1">
        <f>SUM(OSRRefT22_3x_0)</f>
        <v>600</v>
      </c>
      <c r="U52" s="1"/>
      <c r="V52" s="5">
        <f t="shared" si="34"/>
        <v>9.7560975609756097E-4</v>
      </c>
      <c r="W52" s="1"/>
      <c r="X52" s="1">
        <f t="shared" si="35"/>
        <v>-744.01</v>
      </c>
      <c r="Y52" s="1"/>
      <c r="Z52" s="5">
        <f t="shared" si="36"/>
        <v>-1.2400166666666665</v>
      </c>
    </row>
    <row r="53" spans="1:26" s="24" customFormat="1" hidden="1" outlineLevel="2" x14ac:dyDescent="0.25">
      <c r="A53" s="27"/>
      <c r="B53" s="11" t="str">
        <f>CONCATENATE("          ", "6272", " - ", "CASH (OVER/SHORT)")</f>
        <v xml:space="preserve">          6272 - CASH (OVER/SHORT)</v>
      </c>
      <c r="C53" s="11"/>
      <c r="D53" s="6"/>
      <c r="E53" s="2"/>
      <c r="F53" s="7">
        <f t="shared" si="29"/>
        <v>0</v>
      </c>
      <c r="G53" s="2"/>
      <c r="H53" s="6">
        <v>50</v>
      </c>
      <c r="I53" s="2"/>
      <c r="J53" s="7">
        <f t="shared" si="30"/>
        <v>3.3333333333333335E-3</v>
      </c>
      <c r="K53" s="2"/>
      <c r="L53" s="6">
        <f t="shared" si="31"/>
        <v>-50</v>
      </c>
      <c r="M53" s="2"/>
      <c r="N53" s="7">
        <f t="shared" si="32"/>
        <v>-1</v>
      </c>
      <c r="O53" s="11"/>
      <c r="P53" s="6">
        <v>-144.01</v>
      </c>
      <c r="Q53" s="2"/>
      <c r="R53" s="7">
        <f t="shared" si="33"/>
        <v>-3.6706488231824934E-4</v>
      </c>
      <c r="S53" s="2"/>
      <c r="T53" s="6">
        <v>600</v>
      </c>
      <c r="U53" s="2"/>
      <c r="V53" s="7">
        <f t="shared" si="34"/>
        <v>9.7560975609756097E-4</v>
      </c>
      <c r="W53" s="2"/>
      <c r="X53" s="6">
        <f t="shared" si="35"/>
        <v>-744.01</v>
      </c>
      <c r="Y53" s="2"/>
      <c r="Z53" s="7">
        <f t="shared" si="36"/>
        <v>-1.2400166666666665</v>
      </c>
    </row>
    <row r="54" spans="1:26" s="26" customFormat="1" outlineLevel="1" collapsed="1" x14ac:dyDescent="0.25">
      <c r="A54" s="25"/>
      <c r="B54" s="12" t="str">
        <f>CONCATENATE("     ","Bank/card Fees                                    ")</f>
        <v xml:space="preserve">     Bank/card Fees                                    </v>
      </c>
      <c r="C54" s="12"/>
      <c r="D54" s="1">
        <f>SUM(OSRRefD22_4x_0)</f>
        <v>0</v>
      </c>
      <c r="E54" s="1"/>
      <c r="F54" s="5">
        <f t="shared" si="29"/>
        <v>0</v>
      </c>
      <c r="G54" s="1"/>
      <c r="H54" s="1">
        <f>SUM(OSRRefH22_4x_0)</f>
        <v>250</v>
      </c>
      <c r="I54" s="1"/>
      <c r="J54" s="5">
        <f t="shared" si="30"/>
        <v>1.6666666666666666E-2</v>
      </c>
      <c r="K54" s="1"/>
      <c r="L54" s="1">
        <f t="shared" si="31"/>
        <v>-250</v>
      </c>
      <c r="M54" s="1"/>
      <c r="N54" s="5">
        <f t="shared" si="32"/>
        <v>-1</v>
      </c>
      <c r="O54" s="12"/>
      <c r="P54" s="1">
        <f>SUM(OSRRefP22_4x_0)</f>
        <v>7654.91</v>
      </c>
      <c r="Q54" s="1"/>
      <c r="R54" s="5">
        <f t="shared" si="33"/>
        <v>1.9511482801935907E-2</v>
      </c>
      <c r="S54" s="1"/>
      <c r="T54" s="1">
        <f>SUM(OSRRefT22_4x_0)</f>
        <v>5650</v>
      </c>
      <c r="U54" s="1"/>
      <c r="V54" s="5">
        <f t="shared" si="34"/>
        <v>9.1869918699186998E-3</v>
      </c>
      <c r="W54" s="1"/>
      <c r="X54" s="1">
        <f t="shared" si="35"/>
        <v>2004.9099999999999</v>
      </c>
      <c r="Y54" s="1"/>
      <c r="Z54" s="5">
        <f t="shared" si="36"/>
        <v>0.35485132743362829</v>
      </c>
    </row>
    <row r="55" spans="1:26" s="24" customFormat="1" hidden="1" outlineLevel="2" x14ac:dyDescent="0.25">
      <c r="A55" s="27"/>
      <c r="B55" s="11" t="str">
        <f>CONCATENATE("          ", "6381", " - ", "BANK/CREDIT CARD FEES")</f>
        <v xml:space="preserve">          6381 - BANK/CREDIT CARD FEES</v>
      </c>
      <c r="C55" s="11"/>
      <c r="D55" s="6"/>
      <c r="E55" s="2"/>
      <c r="F55" s="7">
        <f t="shared" si="29"/>
        <v>0</v>
      </c>
      <c r="G55" s="2"/>
      <c r="H55" s="6">
        <v>250</v>
      </c>
      <c r="I55" s="2"/>
      <c r="J55" s="7">
        <f t="shared" si="30"/>
        <v>1.6666666666666666E-2</v>
      </c>
      <c r="K55" s="2"/>
      <c r="L55" s="6">
        <f t="shared" si="31"/>
        <v>-250</v>
      </c>
      <c r="M55" s="2"/>
      <c r="N55" s="7">
        <f t="shared" si="32"/>
        <v>-1</v>
      </c>
      <c r="O55" s="11"/>
      <c r="P55" s="6">
        <v>7654.91</v>
      </c>
      <c r="Q55" s="2"/>
      <c r="R55" s="7">
        <f t="shared" si="33"/>
        <v>1.9511482801935907E-2</v>
      </c>
      <c r="S55" s="2"/>
      <c r="T55" s="6">
        <v>5650</v>
      </c>
      <c r="U55" s="2"/>
      <c r="V55" s="7">
        <f t="shared" si="34"/>
        <v>9.1869918699186998E-3</v>
      </c>
      <c r="W55" s="2"/>
      <c r="X55" s="6">
        <f t="shared" si="35"/>
        <v>2004.9099999999999</v>
      </c>
      <c r="Y55" s="2"/>
      <c r="Z55" s="7">
        <f t="shared" si="36"/>
        <v>0.35485132743362829</v>
      </c>
    </row>
    <row r="56" spans="1:26" s="26" customFormat="1" outlineLevel="1" collapsed="1" x14ac:dyDescent="0.25">
      <c r="A56" s="25"/>
      <c r="B56" s="12" t="str">
        <f>CONCATENATE("     ","Depreciation                                      ")</f>
        <v xml:space="preserve">     Depreciation                                      </v>
      </c>
      <c r="C56" s="12"/>
      <c r="D56" s="1">
        <f>SUM(OSRRefD22_5x_0)</f>
        <v>1000.93</v>
      </c>
      <c r="E56" s="1"/>
      <c r="F56" s="5">
        <f t="shared" si="29"/>
        <v>0</v>
      </c>
      <c r="G56" s="1"/>
      <c r="H56" s="1">
        <f>SUM(OSRRefH22_5x_0)</f>
        <v>436</v>
      </c>
      <c r="I56" s="1"/>
      <c r="J56" s="5">
        <f t="shared" si="30"/>
        <v>2.9066666666666668E-2</v>
      </c>
      <c r="K56" s="1"/>
      <c r="L56" s="1">
        <f t="shared" si="31"/>
        <v>564.92999999999995</v>
      </c>
      <c r="M56" s="1"/>
      <c r="N56" s="5">
        <f t="shared" si="32"/>
        <v>1.2957110091743118</v>
      </c>
      <c r="O56" s="12"/>
      <c r="P56" s="1">
        <f>SUM(OSRRefP22_5x_0)</f>
        <v>6046.46</v>
      </c>
      <c r="Q56" s="1"/>
      <c r="R56" s="5">
        <f t="shared" si="33"/>
        <v>1.5411729243399777E-2</v>
      </c>
      <c r="S56" s="1"/>
      <c r="T56" s="1">
        <f>SUM(OSRRefT22_5x_0)</f>
        <v>4731</v>
      </c>
      <c r="U56" s="1"/>
      <c r="V56" s="5">
        <f t="shared" si="34"/>
        <v>7.692682926829268E-3</v>
      </c>
      <c r="W56" s="1"/>
      <c r="X56" s="1">
        <f t="shared" si="35"/>
        <v>1315.46</v>
      </c>
      <c r="Y56" s="1"/>
      <c r="Z56" s="5">
        <f t="shared" si="36"/>
        <v>0.27805115197632635</v>
      </c>
    </row>
    <row r="57" spans="1:26" s="24" customFormat="1" hidden="1" outlineLevel="2" x14ac:dyDescent="0.25">
      <c r="A57" s="27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1000.93</v>
      </c>
      <c r="E57" s="2"/>
      <c r="F57" s="7">
        <f t="shared" si="29"/>
        <v>0</v>
      </c>
      <c r="G57" s="2"/>
      <c r="H57" s="6">
        <v>269</v>
      </c>
      <c r="I57" s="2"/>
      <c r="J57" s="7">
        <f t="shared" si="30"/>
        <v>1.7933333333333332E-2</v>
      </c>
      <c r="K57" s="2"/>
      <c r="L57" s="6">
        <f t="shared" si="31"/>
        <v>731.93</v>
      </c>
      <c r="M57" s="2"/>
      <c r="N57" s="7">
        <f t="shared" si="32"/>
        <v>2.7209293680297395</v>
      </c>
      <c r="O57" s="11"/>
      <c r="P57" s="6">
        <v>6046.46</v>
      </c>
      <c r="Q57" s="2"/>
      <c r="R57" s="7">
        <f t="shared" si="33"/>
        <v>1.5411729243399777E-2</v>
      </c>
      <c r="S57" s="2"/>
      <c r="T57" s="6">
        <v>3228</v>
      </c>
      <c r="U57" s="2"/>
      <c r="V57" s="7">
        <f t="shared" si="34"/>
        <v>5.2487804878048779E-3</v>
      </c>
      <c r="W57" s="2"/>
      <c r="X57" s="6">
        <f t="shared" si="35"/>
        <v>2818.46</v>
      </c>
      <c r="Y57" s="2"/>
      <c r="Z57" s="7">
        <f t="shared" si="36"/>
        <v>0.8731288723667906</v>
      </c>
    </row>
    <row r="58" spans="1:26" s="24" customFormat="1" hidden="1" outlineLevel="2" x14ac:dyDescent="0.25">
      <c r="A58" s="27"/>
      <c r="B58" s="11" t="str">
        <f>CONCATENATE("          ", "6324", " - ", "FURNITURE + FIXT DEPRECIATION")</f>
        <v xml:space="preserve">          6324 - FURNITURE + FIXT DEPRECIATION</v>
      </c>
      <c r="C58" s="11"/>
      <c r="D58" s="6"/>
      <c r="E58" s="2"/>
      <c r="F58" s="7">
        <f t="shared" si="29"/>
        <v>0</v>
      </c>
      <c r="G58" s="2"/>
      <c r="H58" s="6">
        <v>167</v>
      </c>
      <c r="I58" s="2"/>
      <c r="J58" s="7">
        <f t="shared" si="30"/>
        <v>1.1133333333333334E-2</v>
      </c>
      <c r="K58" s="2"/>
      <c r="L58" s="6">
        <f t="shared" si="31"/>
        <v>-167</v>
      </c>
      <c r="M58" s="2"/>
      <c r="N58" s="7">
        <f t="shared" si="32"/>
        <v>-1</v>
      </c>
      <c r="O58" s="11"/>
      <c r="P58" s="6"/>
      <c r="Q58" s="2"/>
      <c r="R58" s="7">
        <f t="shared" si="33"/>
        <v>0</v>
      </c>
      <c r="S58" s="2"/>
      <c r="T58" s="6">
        <v>1503</v>
      </c>
      <c r="U58" s="2"/>
      <c r="V58" s="7">
        <f t="shared" si="34"/>
        <v>2.4439024390243902E-3</v>
      </c>
      <c r="W58" s="2"/>
      <c r="X58" s="6">
        <f t="shared" si="35"/>
        <v>-1503</v>
      </c>
      <c r="Y58" s="2"/>
      <c r="Z58" s="7">
        <f t="shared" si="36"/>
        <v>-1</v>
      </c>
    </row>
    <row r="59" spans="1:26" s="26" customFormat="1" outlineLevel="1" collapsed="1" x14ac:dyDescent="0.25">
      <c r="A59" s="25"/>
      <c r="B59" s="12" t="str">
        <f>CONCATENATE("     ","Employees' Appreciation                           ")</f>
        <v xml:space="preserve">     Employees' Appreciation                           </v>
      </c>
      <c r="C59" s="12"/>
      <c r="D59" s="1">
        <f>SUM(OSRRefD22_6x_0)</f>
        <v>0</v>
      </c>
      <c r="E59" s="1"/>
      <c r="F59" s="5">
        <f t="shared" ref="F59:F68" si="37">IF(D$12=0,0,D59/D$12)</f>
        <v>0</v>
      </c>
      <c r="G59" s="1"/>
      <c r="H59" s="1">
        <f>SUM(OSRRefH22_6x_0)</f>
        <v>0</v>
      </c>
      <c r="I59" s="1"/>
      <c r="J59" s="5">
        <f t="shared" ref="J59:J68" si="38">IF(H$12=0,0,H59/H$12)</f>
        <v>0</v>
      </c>
      <c r="K59" s="1"/>
      <c r="L59" s="1">
        <f t="shared" ref="L59:L68" si="39">+D59-H59</f>
        <v>0</v>
      </c>
      <c r="M59" s="1"/>
      <c r="N59" s="5">
        <f t="shared" ref="N59:N68" si="40">IF(H59=0,0,L59/H59)</f>
        <v>0</v>
      </c>
      <c r="O59" s="12"/>
      <c r="P59" s="1">
        <f>SUM(OSRRefP22_6x_0)</f>
        <v>118.6</v>
      </c>
      <c r="Q59" s="1"/>
      <c r="R59" s="5">
        <f t="shared" ref="R59:R68" si="41">IF(P$12=0,0,P59/P$12)</f>
        <v>3.022977226785943E-4</v>
      </c>
      <c r="S59" s="1"/>
      <c r="T59" s="1">
        <f>SUM(OSRRefT22_6x_0)</f>
        <v>500</v>
      </c>
      <c r="U59" s="1"/>
      <c r="V59" s="5">
        <f t="shared" ref="V59:V68" si="42">IF(T$12=0,0,T59/T$12)</f>
        <v>8.1300813008130081E-4</v>
      </c>
      <c r="W59" s="1"/>
      <c r="X59" s="1">
        <f t="shared" ref="X59:X68" si="43">+P59-T59</f>
        <v>-381.4</v>
      </c>
      <c r="Y59" s="1"/>
      <c r="Z59" s="5">
        <f t="shared" ref="Z59:Z68" si="44">IF(T59=0,0,X59/T59)</f>
        <v>-0.76279999999999992</v>
      </c>
    </row>
    <row r="60" spans="1:26" s="24" customFormat="1" hidden="1" outlineLevel="2" x14ac:dyDescent="0.25">
      <c r="A60" s="27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118.6</v>
      </c>
      <c r="Q60" s="2"/>
      <c r="R60" s="7">
        <f t="shared" si="41"/>
        <v>3.022977226785943E-4</v>
      </c>
      <c r="S60" s="2"/>
      <c r="T60" s="6">
        <v>500</v>
      </c>
      <c r="U60" s="2"/>
      <c r="V60" s="7">
        <f t="shared" si="42"/>
        <v>8.1300813008130081E-4</v>
      </c>
      <c r="W60" s="2"/>
      <c r="X60" s="6">
        <f t="shared" si="43"/>
        <v>-381.4</v>
      </c>
      <c r="Y60" s="2"/>
      <c r="Z60" s="7">
        <f t="shared" si="44"/>
        <v>-0.76279999999999992</v>
      </c>
    </row>
    <row r="61" spans="1:26" s="26" customFormat="1" outlineLevel="1" collapsed="1" x14ac:dyDescent="0.25">
      <c r="A61" s="25"/>
      <c r="B61" s="12" t="str">
        <f>CONCATENATE("     ","Equipment Rental                                  ")</f>
        <v xml:space="preserve">     Equipment Rental                                  </v>
      </c>
      <c r="C61" s="12"/>
      <c r="D61" s="1">
        <f>SUM(OSRRefD22_7x_0)</f>
        <v>0</v>
      </c>
      <c r="E61" s="1"/>
      <c r="F61" s="5">
        <f t="shared" si="37"/>
        <v>0</v>
      </c>
      <c r="G61" s="1"/>
      <c r="H61" s="1">
        <f>SUM(OSRRefH22_7x_0)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2"/>
      <c r="P61" s="1">
        <f>SUM(OSRRefP22_7x_0)</f>
        <v>350</v>
      </c>
      <c r="Q61" s="1"/>
      <c r="R61" s="5">
        <f t="shared" si="41"/>
        <v>8.9210963690984841E-4</v>
      </c>
      <c r="S61" s="1"/>
      <c r="T61" s="1">
        <f>SUM(OSRRefT22_7x_0)</f>
        <v>400</v>
      </c>
      <c r="U61" s="1"/>
      <c r="V61" s="5">
        <f t="shared" si="42"/>
        <v>6.5040650406504065E-4</v>
      </c>
      <c r="W61" s="1"/>
      <c r="X61" s="1">
        <f t="shared" si="43"/>
        <v>-50</v>
      </c>
      <c r="Y61" s="1"/>
      <c r="Z61" s="5">
        <f t="shared" si="44"/>
        <v>-0.125</v>
      </c>
    </row>
    <row r="62" spans="1:26" s="24" customFormat="1" hidden="1" outlineLevel="2" x14ac:dyDescent="0.25">
      <c r="A62" s="27"/>
      <c r="B62" s="11" t="str">
        <f>CONCATENATE("          ", "6351", " - ", "EQUIPMENT RENTAL")</f>
        <v xml:space="preserve">          6351 - EQUIPMENT RENTAL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350</v>
      </c>
      <c r="Q62" s="2"/>
      <c r="R62" s="7">
        <f t="shared" si="41"/>
        <v>8.9210963690984841E-4</v>
      </c>
      <c r="S62" s="2"/>
      <c r="T62" s="6">
        <v>400</v>
      </c>
      <c r="U62" s="2"/>
      <c r="V62" s="7">
        <f t="shared" si="42"/>
        <v>6.5040650406504065E-4</v>
      </c>
      <c r="W62" s="2"/>
      <c r="X62" s="6">
        <f t="shared" si="43"/>
        <v>-50</v>
      </c>
      <c r="Y62" s="2"/>
      <c r="Z62" s="7">
        <f t="shared" si="44"/>
        <v>-0.125</v>
      </c>
    </row>
    <row r="63" spans="1:26" s="26" customFormat="1" outlineLevel="1" collapsed="1" x14ac:dyDescent="0.25">
      <c r="A63" s="25"/>
      <c r="B63" s="12" t="str">
        <f>CONCATENATE("     ","General                                           ")</f>
        <v xml:space="preserve">     General                                           </v>
      </c>
      <c r="C63" s="12"/>
      <c r="D63" s="1">
        <f>SUM(OSRRefD22_8x_0)</f>
        <v>0</v>
      </c>
      <c r="E63" s="1"/>
      <c r="F63" s="5">
        <f t="shared" si="37"/>
        <v>0</v>
      </c>
      <c r="G63" s="1"/>
      <c r="H63" s="1">
        <f>SUM(OSRRefH22_8x_0)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2"/>
      <c r="P63" s="1">
        <f>SUM(OSRRefP22_8x_0)</f>
        <v>14829.04</v>
      </c>
      <c r="Q63" s="1"/>
      <c r="R63" s="5">
        <f t="shared" si="41"/>
        <v>3.7797512828918911E-2</v>
      </c>
      <c r="S63" s="1"/>
      <c r="T63" s="1">
        <f>SUM(OSRRefT22_8x_0)</f>
        <v>2050</v>
      </c>
      <c r="U63" s="1"/>
      <c r="V63" s="5">
        <f t="shared" si="42"/>
        <v>3.3333333333333335E-3</v>
      </c>
      <c r="W63" s="1"/>
      <c r="X63" s="1">
        <f t="shared" si="43"/>
        <v>12779.04</v>
      </c>
      <c r="Y63" s="1"/>
      <c r="Z63" s="5">
        <f t="shared" si="44"/>
        <v>6.2336780487804884</v>
      </c>
    </row>
    <row r="64" spans="1:26" s="24" customFormat="1" hidden="1" outlineLevel="2" x14ac:dyDescent="0.25">
      <c r="A64" s="27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14829.04</v>
      </c>
      <c r="Q64" s="2"/>
      <c r="R64" s="7">
        <f t="shared" si="41"/>
        <v>3.7797512828918911E-2</v>
      </c>
      <c r="S64" s="2"/>
      <c r="T64" s="6">
        <v>2050</v>
      </c>
      <c r="U64" s="2"/>
      <c r="V64" s="7">
        <f t="shared" si="42"/>
        <v>3.3333333333333335E-3</v>
      </c>
      <c r="W64" s="2"/>
      <c r="X64" s="6">
        <f t="shared" si="43"/>
        <v>12779.04</v>
      </c>
      <c r="Y64" s="2"/>
      <c r="Z64" s="7">
        <f t="shared" si="44"/>
        <v>6.2336780487804884</v>
      </c>
    </row>
    <row r="65" spans="1:26" s="26" customFormat="1" outlineLevel="1" collapsed="1" x14ac:dyDescent="0.25">
      <c r="A65" s="25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SUM(OSRRefD22_9x_0)</f>
        <v>0</v>
      </c>
      <c r="E65" s="1"/>
      <c r="F65" s="5">
        <f t="shared" si="37"/>
        <v>0</v>
      </c>
      <c r="G65" s="1"/>
      <c r="H65" s="1">
        <f>SUM(OSRRefH22_9x_0)</f>
        <v>100</v>
      </c>
      <c r="I65" s="1"/>
      <c r="J65" s="5">
        <f t="shared" si="38"/>
        <v>6.6666666666666671E-3</v>
      </c>
      <c r="K65" s="1"/>
      <c r="L65" s="1">
        <f t="shared" si="39"/>
        <v>-100</v>
      </c>
      <c r="M65" s="1"/>
      <c r="N65" s="5">
        <f t="shared" si="40"/>
        <v>-1</v>
      </c>
      <c r="O65" s="12"/>
      <c r="P65" s="1">
        <f>SUM(OSRRefP22_9x_0)</f>
        <v>5688.74</v>
      </c>
      <c r="Q65" s="1"/>
      <c r="R65" s="5">
        <f t="shared" si="41"/>
        <v>1.4499942216784373E-2</v>
      </c>
      <c r="S65" s="1"/>
      <c r="T65" s="1">
        <f>SUM(OSRRefT22_9x_0)</f>
        <v>6350</v>
      </c>
      <c r="U65" s="1"/>
      <c r="V65" s="5">
        <f t="shared" si="42"/>
        <v>1.032520325203252E-2</v>
      </c>
      <c r="W65" s="1"/>
      <c r="X65" s="1">
        <f t="shared" si="43"/>
        <v>-661.26000000000022</v>
      </c>
      <c r="Y65" s="1"/>
      <c r="Z65" s="5">
        <f t="shared" si="44"/>
        <v>-0.10413543307086617</v>
      </c>
    </row>
    <row r="66" spans="1:26" s="24" customFormat="1" hidden="1" outlineLevel="2" x14ac:dyDescent="0.25">
      <c r="A66" s="27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37"/>
        <v>0</v>
      </c>
      <c r="G66" s="2"/>
      <c r="H66" s="6"/>
      <c r="I66" s="2"/>
      <c r="J66" s="7">
        <f t="shared" si="38"/>
        <v>0</v>
      </c>
      <c r="K66" s="2"/>
      <c r="L66" s="6">
        <f t="shared" si="39"/>
        <v>0</v>
      </c>
      <c r="M66" s="2"/>
      <c r="N66" s="7">
        <f t="shared" si="40"/>
        <v>0</v>
      </c>
      <c r="O66" s="11"/>
      <c r="P66" s="6">
        <v>2623.84</v>
      </c>
      <c r="Q66" s="2"/>
      <c r="R66" s="7">
        <f t="shared" si="41"/>
        <v>6.6878655705986763E-3</v>
      </c>
      <c r="S66" s="2"/>
      <c r="T66" s="6">
        <v>450</v>
      </c>
      <c r="U66" s="2"/>
      <c r="V66" s="7">
        <f t="shared" si="42"/>
        <v>7.3170731707317073E-4</v>
      </c>
      <c r="W66" s="2"/>
      <c r="X66" s="6">
        <f t="shared" si="43"/>
        <v>2173.84</v>
      </c>
      <c r="Y66" s="2"/>
      <c r="Z66" s="7">
        <f t="shared" si="44"/>
        <v>4.8307555555555561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573</v>
      </c>
      <c r="Q67" s="2"/>
      <c r="R67" s="7">
        <f t="shared" si="41"/>
        <v>1.4605109198552661E-3</v>
      </c>
      <c r="S67" s="2"/>
      <c r="T67" s="6">
        <v>500</v>
      </c>
      <c r="U67" s="2"/>
      <c r="V67" s="7">
        <f t="shared" si="42"/>
        <v>8.1300813008130081E-4</v>
      </c>
      <c r="W67" s="2"/>
      <c r="X67" s="6">
        <f t="shared" si="43"/>
        <v>73</v>
      </c>
      <c r="Y67" s="2"/>
      <c r="Z67" s="7">
        <f t="shared" si="44"/>
        <v>0.14599999999999999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37"/>
        <v>0</v>
      </c>
      <c r="G68" s="2"/>
      <c r="H68" s="6">
        <v>100</v>
      </c>
      <c r="I68" s="2"/>
      <c r="J68" s="7">
        <f t="shared" si="38"/>
        <v>6.6666666666666671E-3</v>
      </c>
      <c r="K68" s="2"/>
      <c r="L68" s="6">
        <f t="shared" si="39"/>
        <v>-100</v>
      </c>
      <c r="M68" s="2"/>
      <c r="N68" s="7">
        <f t="shared" si="40"/>
        <v>-1</v>
      </c>
      <c r="O68" s="11"/>
      <c r="P68" s="6">
        <v>2491.9</v>
      </c>
      <c r="Q68" s="2"/>
      <c r="R68" s="7">
        <f t="shared" si="41"/>
        <v>6.3515657263304324E-3</v>
      </c>
      <c r="S68" s="2"/>
      <c r="T68" s="6">
        <v>5400</v>
      </c>
      <c r="U68" s="2"/>
      <c r="V68" s="7">
        <f t="shared" si="42"/>
        <v>8.7804878048780496E-3</v>
      </c>
      <c r="W68" s="2"/>
      <c r="X68" s="6">
        <f t="shared" si="43"/>
        <v>-2908.1</v>
      </c>
      <c r="Y68" s="2"/>
      <c r="Z68" s="7">
        <f t="shared" si="44"/>
        <v>-0.53853703703703704</v>
      </c>
    </row>
    <row r="69" spans="1:26" s="26" customFormat="1" outlineLevel="1" collapsed="1" x14ac:dyDescent="0.25">
      <c r="A69" s="25"/>
      <c r="B69" s="12" t="str">
        <f>CONCATENATE("     ","Royalty &amp; Commissions                             ")</f>
        <v xml:space="preserve">     Royalty &amp; Commissions                             </v>
      </c>
      <c r="C69" s="12"/>
      <c r="D69" s="1">
        <f>SUM(OSRRefD22_10x_0)</f>
        <v>0</v>
      </c>
      <c r="E69" s="1"/>
      <c r="F69" s="5">
        <f t="shared" ref="F69:F71" si="45">IF(D$12=0,0,D69/D$12)</f>
        <v>0</v>
      </c>
      <c r="G69" s="1"/>
      <c r="H69" s="1">
        <f>SUM(OSRRefH22_10x_0)</f>
        <v>6000</v>
      </c>
      <c r="I69" s="1"/>
      <c r="J69" s="5">
        <f t="shared" ref="J69:J71" si="46">IF(H$12=0,0,H69/H$12)</f>
        <v>0.4</v>
      </c>
      <c r="K69" s="1"/>
      <c r="L69" s="1">
        <f t="shared" ref="L69:L71" si="47">+D69-H69</f>
        <v>-6000</v>
      </c>
      <c r="M69" s="1"/>
      <c r="N69" s="5">
        <f t="shared" ref="N69:N71" si="48">IF(H69=0,0,L69/H69)</f>
        <v>-1</v>
      </c>
      <c r="O69" s="12"/>
      <c r="P69" s="1">
        <f>SUM(OSRRefP22_10x_0)</f>
        <v>83387.12</v>
      </c>
      <c r="Q69" s="1"/>
      <c r="R69" s="5">
        <f t="shared" ref="R69:R71" si="49">IF(P$12=0,0,P69/P$12)</f>
        <v>0.21254415241759414</v>
      </c>
      <c r="S69" s="1"/>
      <c r="T69" s="1">
        <f>SUM(OSRRefT22_10x_0)</f>
        <v>169000</v>
      </c>
      <c r="U69" s="1"/>
      <c r="V69" s="5">
        <f t="shared" ref="V69:V71" si="50">IF(T$12=0,0,T69/T$12)</f>
        <v>0.27479674796747966</v>
      </c>
      <c r="W69" s="1"/>
      <c r="X69" s="1">
        <f t="shared" ref="X69:X71" si="51">+P69-T69</f>
        <v>-85612.88</v>
      </c>
      <c r="Y69" s="1"/>
      <c r="Z69" s="5">
        <f t="shared" ref="Z69:Z71" si="52">IF(T69=0,0,X69/T69)</f>
        <v>-0.5065850887573965</v>
      </c>
    </row>
    <row r="70" spans="1:26" s="24" customFormat="1" hidden="1" outlineLevel="2" x14ac:dyDescent="0.25">
      <c r="A70" s="27"/>
      <c r="B70" s="11" t="str">
        <f>CONCATENATE("          ", "6253", " - ", "ROYALTY DUE ATHLETICS-LRG")</f>
        <v xml:space="preserve">          6253 - ROYALTY DUE ATHLETICS-LRG</v>
      </c>
      <c r="C70" s="11"/>
      <c r="D70" s="6"/>
      <c r="E70" s="2"/>
      <c r="F70" s="7">
        <f t="shared" si="45"/>
        <v>0</v>
      </c>
      <c r="G70" s="2"/>
      <c r="H70" s="6">
        <v>6000</v>
      </c>
      <c r="I70" s="2"/>
      <c r="J70" s="7">
        <f t="shared" si="46"/>
        <v>0.4</v>
      </c>
      <c r="K70" s="2"/>
      <c r="L70" s="6">
        <f t="shared" si="47"/>
        <v>-6000</v>
      </c>
      <c r="M70" s="2"/>
      <c r="N70" s="7">
        <f t="shared" si="48"/>
        <v>-1</v>
      </c>
      <c r="O70" s="11"/>
      <c r="P70" s="6"/>
      <c r="Q70" s="2"/>
      <c r="R70" s="7">
        <f t="shared" si="49"/>
        <v>0</v>
      </c>
      <c r="S70" s="2"/>
      <c r="T70" s="6">
        <v>169000</v>
      </c>
      <c r="U70" s="2"/>
      <c r="V70" s="7">
        <f t="shared" si="50"/>
        <v>0.27479674796747966</v>
      </c>
      <c r="W70" s="2"/>
      <c r="X70" s="6">
        <f t="shared" si="51"/>
        <v>-169000</v>
      </c>
      <c r="Y70" s="2"/>
      <c r="Z70" s="7">
        <f t="shared" si="52"/>
        <v>-1</v>
      </c>
    </row>
    <row r="71" spans="1:26" s="24" customFormat="1" hidden="1" outlineLevel="2" x14ac:dyDescent="0.25">
      <c r="A71" s="27"/>
      <c r="B71" s="11" t="str">
        <f>CONCATENATE("          ", "6254", " - ", "ROYALTY &amp; COMMISSIONS")</f>
        <v xml:space="preserve">          6254 - ROYALTY &amp; COMMISSIONS</v>
      </c>
      <c r="C71" s="11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1"/>
      <c r="P71" s="6">
        <v>83387.12</v>
      </c>
      <c r="Q71" s="2"/>
      <c r="R71" s="7">
        <f t="shared" si="49"/>
        <v>0.21254415241759414</v>
      </c>
      <c r="S71" s="2"/>
      <c r="T71" s="6"/>
      <c r="U71" s="2"/>
      <c r="V71" s="7">
        <f t="shared" si="50"/>
        <v>0</v>
      </c>
      <c r="W71" s="2"/>
      <c r="X71" s="6">
        <f t="shared" si="51"/>
        <v>83387.12</v>
      </c>
      <c r="Y71" s="2"/>
      <c r="Z71" s="7">
        <f t="shared" si="52"/>
        <v>0</v>
      </c>
    </row>
    <row r="72" spans="1:26" s="26" customFormat="1" outlineLevel="1" collapsed="1" x14ac:dyDescent="0.25">
      <c r="A72" s="25"/>
      <c r="B72" s="12" t="str">
        <f>CONCATENATE("     ","Services                                          ")</f>
        <v xml:space="preserve">     Services                                          </v>
      </c>
      <c r="C72" s="12"/>
      <c r="D72" s="1">
        <f>SUM(OSRRefD22_11x_0)</f>
        <v>0</v>
      </c>
      <c r="E72" s="1"/>
      <c r="F72" s="5">
        <f t="shared" ref="F72:F75" si="53">IF(D$12=0,0,D72/D$12)</f>
        <v>0</v>
      </c>
      <c r="G72" s="1"/>
      <c r="H72" s="1">
        <f>SUM(OSRRefH22_11x_0)</f>
        <v>245</v>
      </c>
      <c r="I72" s="1"/>
      <c r="J72" s="5">
        <f t="shared" ref="J72:J75" si="54">IF(H$12=0,0,H72/H$12)</f>
        <v>1.6333333333333332E-2</v>
      </c>
      <c r="K72" s="1"/>
      <c r="L72" s="1">
        <f t="shared" ref="L72:L75" si="55">+D72-H72</f>
        <v>-245</v>
      </c>
      <c r="M72" s="1"/>
      <c r="N72" s="5">
        <f t="shared" ref="N72:N75" si="56">IF(H72=0,0,L72/H72)</f>
        <v>-1</v>
      </c>
      <c r="O72" s="12"/>
      <c r="P72" s="1">
        <f>SUM(OSRRefP22_11x_0)</f>
        <v>3287.06</v>
      </c>
      <c r="Q72" s="1"/>
      <c r="R72" s="5">
        <f t="shared" ref="R72:R75" si="57">IF(P$12=0,0,P72/P$12)</f>
        <v>8.378336866002532E-3</v>
      </c>
      <c r="S72" s="1"/>
      <c r="T72" s="1">
        <f>SUM(OSRRefT22_11x_0)</f>
        <v>2785</v>
      </c>
      <c r="U72" s="1"/>
      <c r="V72" s="5">
        <f t="shared" ref="V72:V75" si="58">IF(T$12=0,0,T72/T$12)</f>
        <v>4.5284552845528455E-3</v>
      </c>
      <c r="W72" s="1"/>
      <c r="X72" s="1">
        <f t="shared" ref="X72:X75" si="59">+P72-T72</f>
        <v>502.05999999999995</v>
      </c>
      <c r="Y72" s="1"/>
      <c r="Z72" s="5">
        <f t="shared" ref="Z72:Z75" si="60">IF(T72=0,0,X72/T72)</f>
        <v>0.18027289048473966</v>
      </c>
    </row>
    <row r="73" spans="1:26" s="24" customFormat="1" hidden="1" outlineLevel="2" x14ac:dyDescent="0.25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6"/>
      <c r="E73" s="2"/>
      <c r="F73" s="7">
        <f t="shared" si="53"/>
        <v>0</v>
      </c>
      <c r="G73" s="2"/>
      <c r="H73" s="6">
        <v>195</v>
      </c>
      <c r="I73" s="2"/>
      <c r="J73" s="7">
        <f t="shared" si="54"/>
        <v>1.2999999999999999E-2</v>
      </c>
      <c r="K73" s="2"/>
      <c r="L73" s="6">
        <f t="shared" si="55"/>
        <v>-195</v>
      </c>
      <c r="M73" s="2"/>
      <c r="N73" s="7">
        <f t="shared" si="56"/>
        <v>-1</v>
      </c>
      <c r="O73" s="11"/>
      <c r="P73" s="6">
        <v>2258.1</v>
      </c>
      <c r="Q73" s="2"/>
      <c r="R73" s="7">
        <f t="shared" si="57"/>
        <v>5.7556364888746532E-3</v>
      </c>
      <c r="S73" s="2"/>
      <c r="T73" s="6">
        <v>2235</v>
      </c>
      <c r="U73" s="2"/>
      <c r="V73" s="7">
        <f t="shared" si="58"/>
        <v>3.6341463414634148E-3</v>
      </c>
      <c r="W73" s="2"/>
      <c r="X73" s="6">
        <f t="shared" si="59"/>
        <v>23.099999999999909</v>
      </c>
      <c r="Y73" s="2"/>
      <c r="Z73" s="7">
        <f t="shared" si="60"/>
        <v>1.0335570469798617E-2</v>
      </c>
    </row>
    <row r="74" spans="1:26" s="24" customFormat="1" hidden="1" outlineLevel="2" x14ac:dyDescent="0.25">
      <c r="A74" s="27"/>
      <c r="B74" s="11" t="str">
        <f>CONCATENATE("          ", "6285", " - ", "JANITORIAL SERVICES")</f>
        <v xml:space="preserve">          6285 - JANITORIAL SERVICES</v>
      </c>
      <c r="C74" s="11"/>
      <c r="D74" s="6"/>
      <c r="E74" s="2"/>
      <c r="F74" s="7">
        <f t="shared" si="53"/>
        <v>0</v>
      </c>
      <c r="G74" s="2"/>
      <c r="H74" s="6"/>
      <c r="I74" s="2"/>
      <c r="J74" s="7">
        <f t="shared" si="54"/>
        <v>0</v>
      </c>
      <c r="K74" s="2"/>
      <c r="L74" s="6">
        <f t="shared" si="55"/>
        <v>0</v>
      </c>
      <c r="M74" s="2"/>
      <c r="N74" s="7">
        <f t="shared" si="56"/>
        <v>0</v>
      </c>
      <c r="O74" s="11"/>
      <c r="P74" s="6">
        <v>549.6</v>
      </c>
      <c r="Q74" s="2"/>
      <c r="R74" s="7">
        <f t="shared" si="57"/>
        <v>1.4008670184161506E-3</v>
      </c>
      <c r="S74" s="2"/>
      <c r="T74" s="6"/>
      <c r="U74" s="2"/>
      <c r="V74" s="7">
        <f t="shared" si="58"/>
        <v>0</v>
      </c>
      <c r="W74" s="2"/>
      <c r="X74" s="6">
        <f t="shared" si="59"/>
        <v>549.6</v>
      </c>
      <c r="Y74" s="2"/>
      <c r="Z74" s="7">
        <f t="shared" si="60"/>
        <v>0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53"/>
        <v>0</v>
      </c>
      <c r="G75" s="2"/>
      <c r="H75" s="6">
        <v>50</v>
      </c>
      <c r="I75" s="2"/>
      <c r="J75" s="7">
        <f t="shared" si="54"/>
        <v>3.3333333333333335E-3</v>
      </c>
      <c r="K75" s="2"/>
      <c r="L75" s="6">
        <f t="shared" si="55"/>
        <v>-50</v>
      </c>
      <c r="M75" s="2"/>
      <c r="N75" s="7">
        <f t="shared" si="56"/>
        <v>-1</v>
      </c>
      <c r="O75" s="11"/>
      <c r="P75" s="6">
        <v>479.36</v>
      </c>
      <c r="Q75" s="2"/>
      <c r="R75" s="7">
        <f t="shared" si="57"/>
        <v>1.2218333587117284E-3</v>
      </c>
      <c r="S75" s="2"/>
      <c r="T75" s="6">
        <v>550</v>
      </c>
      <c r="U75" s="2"/>
      <c r="V75" s="7">
        <f t="shared" si="58"/>
        <v>8.9430894308943089E-4</v>
      </c>
      <c r="W75" s="2"/>
      <c r="X75" s="6">
        <f t="shared" si="59"/>
        <v>-70.639999999999986</v>
      </c>
      <c r="Y75" s="2"/>
      <c r="Z75" s="7">
        <f t="shared" si="60"/>
        <v>-0.1284363636363636</v>
      </c>
    </row>
    <row r="76" spans="1:26" s="26" customFormat="1" outlineLevel="1" collapsed="1" x14ac:dyDescent="0.25">
      <c r="A76" s="25"/>
      <c r="B76" s="12" t="str">
        <f>CONCATENATE("     ","Subscriptions &amp; Dues                              ")</f>
        <v xml:space="preserve">     Subscriptions &amp; Dues                              </v>
      </c>
      <c r="C76" s="12"/>
      <c r="D76" s="1">
        <f>SUM(OSRRefD22_12x_0)</f>
        <v>0</v>
      </c>
      <c r="E76" s="1"/>
      <c r="F76" s="5">
        <f t="shared" ref="F76:F85" si="61">IF(D$12=0,0,D76/D$12)</f>
        <v>0</v>
      </c>
      <c r="G76" s="1"/>
      <c r="H76" s="1">
        <f>SUM(OSRRefH22_12x_0)</f>
        <v>0</v>
      </c>
      <c r="I76" s="1"/>
      <c r="J76" s="5">
        <f t="shared" ref="J76:J85" si="62">IF(H$12=0,0,H76/H$12)</f>
        <v>0</v>
      </c>
      <c r="K76" s="1"/>
      <c r="L76" s="1">
        <f t="shared" ref="L76:L85" si="63">+D76-H76</f>
        <v>0</v>
      </c>
      <c r="M76" s="1"/>
      <c r="N76" s="5">
        <f t="shared" ref="N76:N85" si="64">IF(H76=0,0,L76/H76)</f>
        <v>0</v>
      </c>
      <c r="O76" s="12"/>
      <c r="P76" s="1">
        <f>SUM(OSRRefP22_12x_0)</f>
        <v>0</v>
      </c>
      <c r="Q76" s="1"/>
      <c r="R76" s="5">
        <f t="shared" ref="R76:R85" si="65">IF(P$12=0,0,P76/P$12)</f>
        <v>0</v>
      </c>
      <c r="S76" s="1"/>
      <c r="T76" s="1">
        <f>SUM(OSRRefT22_12x_0)</f>
        <v>300</v>
      </c>
      <c r="U76" s="1"/>
      <c r="V76" s="5">
        <f t="shared" ref="V76:V85" si="66">IF(T$12=0,0,T76/T$12)</f>
        <v>4.8780487804878049E-4</v>
      </c>
      <c r="W76" s="1"/>
      <c r="X76" s="1">
        <f t="shared" ref="X76:X85" si="67">+P76-T76</f>
        <v>-300</v>
      </c>
      <c r="Y76" s="1"/>
      <c r="Z76" s="5">
        <f t="shared" ref="Z76:Z85" si="68">IF(T76=0,0,X76/T76)</f>
        <v>-1</v>
      </c>
    </row>
    <row r="77" spans="1:26" s="24" customFormat="1" hidden="1" outlineLevel="2" x14ac:dyDescent="0.25">
      <c r="A77" s="27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61"/>
        <v>0</v>
      </c>
      <c r="G77" s="2"/>
      <c r="H77" s="6"/>
      <c r="I77" s="2"/>
      <c r="J77" s="7">
        <f t="shared" si="62"/>
        <v>0</v>
      </c>
      <c r="K77" s="2"/>
      <c r="L77" s="6">
        <f t="shared" si="63"/>
        <v>0</v>
      </c>
      <c r="M77" s="2"/>
      <c r="N77" s="7">
        <f t="shared" si="64"/>
        <v>0</v>
      </c>
      <c r="O77" s="11"/>
      <c r="P77" s="6"/>
      <c r="Q77" s="2"/>
      <c r="R77" s="7">
        <f t="shared" si="65"/>
        <v>0</v>
      </c>
      <c r="S77" s="2"/>
      <c r="T77" s="6">
        <v>300</v>
      </c>
      <c r="U77" s="2"/>
      <c r="V77" s="7">
        <f t="shared" si="66"/>
        <v>4.8780487804878049E-4</v>
      </c>
      <c r="W77" s="2"/>
      <c r="X77" s="6">
        <f t="shared" si="67"/>
        <v>-300</v>
      </c>
      <c r="Y77" s="2"/>
      <c r="Z77" s="7">
        <f t="shared" si="68"/>
        <v>-1</v>
      </c>
    </row>
    <row r="78" spans="1:26" s="26" customFormat="1" outlineLevel="1" collapsed="1" x14ac:dyDescent="0.25">
      <c r="A78" s="25"/>
      <c r="B78" s="12" t="str">
        <f>CONCATENATE("     ","Supplies                                          ")</f>
        <v xml:space="preserve">     Supplies                                          </v>
      </c>
      <c r="C78" s="12"/>
      <c r="D78" s="1">
        <f>SUM(OSRRefD22_13x_0)</f>
        <v>0</v>
      </c>
      <c r="E78" s="1"/>
      <c r="F78" s="5">
        <f t="shared" si="61"/>
        <v>0</v>
      </c>
      <c r="G78" s="1"/>
      <c r="H78" s="1">
        <f>SUM(OSRRefH22_13x_0)</f>
        <v>450</v>
      </c>
      <c r="I78" s="1"/>
      <c r="J78" s="5">
        <f t="shared" si="62"/>
        <v>0.03</v>
      </c>
      <c r="K78" s="1"/>
      <c r="L78" s="1">
        <f t="shared" si="63"/>
        <v>-450</v>
      </c>
      <c r="M78" s="1"/>
      <c r="N78" s="5">
        <f t="shared" si="64"/>
        <v>-1</v>
      </c>
      <c r="O78" s="12"/>
      <c r="P78" s="1">
        <f>SUM(OSRRefP22_13x_0)</f>
        <v>15992.96</v>
      </c>
      <c r="Q78" s="1"/>
      <c r="R78" s="5">
        <f t="shared" si="65"/>
        <v>4.0764210682039226E-2</v>
      </c>
      <c r="S78" s="1"/>
      <c r="T78" s="1">
        <f>SUM(OSRRefT22_13x_0)</f>
        <v>6500</v>
      </c>
      <c r="U78" s="1"/>
      <c r="V78" s="5">
        <f t="shared" si="66"/>
        <v>1.056910569105691E-2</v>
      </c>
      <c r="W78" s="1"/>
      <c r="X78" s="1">
        <f t="shared" si="67"/>
        <v>9492.9599999999991</v>
      </c>
      <c r="Y78" s="1"/>
      <c r="Z78" s="5">
        <f t="shared" si="68"/>
        <v>1.4604553846153845</v>
      </c>
    </row>
    <row r="79" spans="1:26" s="24" customFormat="1" hidden="1" outlineLevel="2" x14ac:dyDescent="0.25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6"/>
      <c r="E79" s="2"/>
      <c r="F79" s="7">
        <f t="shared" si="61"/>
        <v>0</v>
      </c>
      <c r="G79" s="2"/>
      <c r="H79" s="6"/>
      <c r="I79" s="2"/>
      <c r="J79" s="7">
        <f t="shared" si="62"/>
        <v>0</v>
      </c>
      <c r="K79" s="2"/>
      <c r="L79" s="6">
        <f t="shared" si="63"/>
        <v>0</v>
      </c>
      <c r="M79" s="2"/>
      <c r="N79" s="7">
        <f t="shared" si="64"/>
        <v>0</v>
      </c>
      <c r="O79" s="11"/>
      <c r="P79" s="6">
        <v>3756.46</v>
      </c>
      <c r="Q79" s="2"/>
      <c r="R79" s="7">
        <f t="shared" si="65"/>
        <v>9.574783333332483E-3</v>
      </c>
      <c r="S79" s="2"/>
      <c r="T79" s="6"/>
      <c r="U79" s="2"/>
      <c r="V79" s="7">
        <f t="shared" si="66"/>
        <v>0</v>
      </c>
      <c r="W79" s="2"/>
      <c r="X79" s="6">
        <f t="shared" si="67"/>
        <v>3756.46</v>
      </c>
      <c r="Y79" s="2"/>
      <c r="Z79" s="7">
        <f t="shared" si="68"/>
        <v>0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6"/>
      <c r="E80" s="2"/>
      <c r="F80" s="7">
        <f t="shared" si="61"/>
        <v>0</v>
      </c>
      <c r="G80" s="2"/>
      <c r="H80" s="6"/>
      <c r="I80" s="2"/>
      <c r="J80" s="7">
        <f t="shared" si="62"/>
        <v>0</v>
      </c>
      <c r="K80" s="2"/>
      <c r="L80" s="6">
        <f t="shared" si="63"/>
        <v>0</v>
      </c>
      <c r="M80" s="2"/>
      <c r="N80" s="7">
        <f t="shared" si="64"/>
        <v>0</v>
      </c>
      <c r="O80" s="11"/>
      <c r="P80" s="6">
        <v>1507.19</v>
      </c>
      <c r="Q80" s="2"/>
      <c r="R80" s="7">
        <f t="shared" si="65"/>
        <v>3.8416534961547271E-3</v>
      </c>
      <c r="S80" s="2"/>
      <c r="T80" s="6">
        <v>900</v>
      </c>
      <c r="U80" s="2"/>
      <c r="V80" s="7">
        <f t="shared" si="66"/>
        <v>1.4634146341463415E-3</v>
      </c>
      <c r="W80" s="2"/>
      <c r="X80" s="6">
        <f t="shared" si="67"/>
        <v>607.19000000000005</v>
      </c>
      <c r="Y80" s="2"/>
      <c r="Z80" s="7">
        <f t="shared" si="68"/>
        <v>0.67465555555555556</v>
      </c>
    </row>
    <row r="81" spans="1:26" s="24" customFormat="1" hidden="1" outlineLevel="2" x14ac:dyDescent="0.25">
      <c r="A81" s="27"/>
      <c r="B81" s="11" t="str">
        <f>CONCATENATE("          ", "6239", " - ", "KITCHEN SUPPLIES")</f>
        <v xml:space="preserve">          6239 - KITCHEN SUPPLIES</v>
      </c>
      <c r="C81" s="11"/>
      <c r="D81" s="6"/>
      <c r="E81" s="2"/>
      <c r="F81" s="7">
        <f t="shared" si="61"/>
        <v>0</v>
      </c>
      <c r="G81" s="2"/>
      <c r="H81" s="6">
        <v>200</v>
      </c>
      <c r="I81" s="2"/>
      <c r="J81" s="7">
        <f t="shared" si="62"/>
        <v>1.3333333333333334E-2</v>
      </c>
      <c r="K81" s="2"/>
      <c r="L81" s="6">
        <f t="shared" si="63"/>
        <v>-200</v>
      </c>
      <c r="M81" s="2"/>
      <c r="N81" s="7">
        <f t="shared" si="64"/>
        <v>-1</v>
      </c>
      <c r="O81" s="11"/>
      <c r="P81" s="6">
        <v>7140.25</v>
      </c>
      <c r="Q81" s="2"/>
      <c r="R81" s="7">
        <f t="shared" si="65"/>
        <v>1.8199673814130127E-2</v>
      </c>
      <c r="S81" s="2"/>
      <c r="T81" s="6">
        <v>800</v>
      </c>
      <c r="U81" s="2"/>
      <c r="V81" s="7">
        <f t="shared" si="66"/>
        <v>1.3008130081300813E-3</v>
      </c>
      <c r="W81" s="2"/>
      <c r="X81" s="6">
        <f t="shared" si="67"/>
        <v>6340.25</v>
      </c>
      <c r="Y81" s="2"/>
      <c r="Z81" s="7">
        <f t="shared" si="68"/>
        <v>7.9253125000000004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6"/>
      <c r="E82" s="2"/>
      <c r="F82" s="7">
        <f t="shared" si="61"/>
        <v>0</v>
      </c>
      <c r="G82" s="2"/>
      <c r="H82" s="6"/>
      <c r="I82" s="2"/>
      <c r="J82" s="7">
        <f t="shared" si="62"/>
        <v>0</v>
      </c>
      <c r="K82" s="2"/>
      <c r="L82" s="6">
        <f t="shared" si="63"/>
        <v>0</v>
      </c>
      <c r="M82" s="2"/>
      <c r="N82" s="7">
        <f t="shared" si="64"/>
        <v>0</v>
      </c>
      <c r="O82" s="11"/>
      <c r="P82" s="6">
        <v>599.88</v>
      </c>
      <c r="Q82" s="2"/>
      <c r="R82" s="7">
        <f t="shared" si="65"/>
        <v>1.5290249399699425E-3</v>
      </c>
      <c r="S82" s="2"/>
      <c r="T82" s="6">
        <v>600</v>
      </c>
      <c r="U82" s="2"/>
      <c r="V82" s="7">
        <f t="shared" si="66"/>
        <v>9.7560975609756097E-4</v>
      </c>
      <c r="W82" s="2"/>
      <c r="X82" s="6">
        <f t="shared" si="67"/>
        <v>-0.12000000000000455</v>
      </c>
      <c r="Y82" s="2"/>
      <c r="Z82" s="7">
        <f t="shared" si="68"/>
        <v>-2.0000000000000757E-4</v>
      </c>
    </row>
    <row r="83" spans="1:26" s="24" customFormat="1" hidden="1" outlineLevel="2" x14ac:dyDescent="0.25">
      <c r="A83" s="27"/>
      <c r="B83" s="11" t="str">
        <f>CONCATENATE("          ", "6243", " - ", "PAPER SUPPLIES")</f>
        <v xml:space="preserve">          6243 - PAPER SUPPLIES</v>
      </c>
      <c r="C83" s="11"/>
      <c r="D83" s="6"/>
      <c r="E83" s="2"/>
      <c r="F83" s="7">
        <f t="shared" si="61"/>
        <v>0</v>
      </c>
      <c r="G83" s="2"/>
      <c r="H83" s="6">
        <v>250</v>
      </c>
      <c r="I83" s="2"/>
      <c r="J83" s="7">
        <f t="shared" si="62"/>
        <v>1.6666666666666666E-2</v>
      </c>
      <c r="K83" s="2"/>
      <c r="L83" s="6">
        <f t="shared" si="63"/>
        <v>-250</v>
      </c>
      <c r="M83" s="2"/>
      <c r="N83" s="7">
        <f t="shared" si="64"/>
        <v>-1</v>
      </c>
      <c r="O83" s="11"/>
      <c r="P83" s="6">
        <v>2632.41</v>
      </c>
      <c r="Q83" s="2"/>
      <c r="R83" s="7">
        <f t="shared" si="65"/>
        <v>6.7097095122795828E-3</v>
      </c>
      <c r="S83" s="2"/>
      <c r="T83" s="6">
        <v>3000</v>
      </c>
      <c r="U83" s="2"/>
      <c r="V83" s="7">
        <f t="shared" si="66"/>
        <v>4.8780487804878049E-3</v>
      </c>
      <c r="W83" s="2"/>
      <c r="X83" s="6">
        <f t="shared" si="67"/>
        <v>-367.59000000000015</v>
      </c>
      <c r="Y83" s="2"/>
      <c r="Z83" s="7">
        <f t="shared" si="68"/>
        <v>-0.12253000000000004</v>
      </c>
    </row>
    <row r="84" spans="1:26" s="24" customFormat="1" hidden="1" outlineLevel="2" x14ac:dyDescent="0.25">
      <c r="A84" s="27"/>
      <c r="B84" s="11" t="str">
        <f>CONCATENATE("          ", "6247", " - ", "STORE SUPPLIES")</f>
        <v xml:space="preserve">          6247 - STORE SUPPLIES</v>
      </c>
      <c r="C84" s="11"/>
      <c r="D84" s="6"/>
      <c r="E84" s="2"/>
      <c r="F84" s="7">
        <f t="shared" si="61"/>
        <v>0</v>
      </c>
      <c r="G84" s="2"/>
      <c r="H84" s="6"/>
      <c r="I84" s="2"/>
      <c r="J84" s="7">
        <f t="shared" si="62"/>
        <v>0</v>
      </c>
      <c r="K84" s="2"/>
      <c r="L84" s="6">
        <f t="shared" si="63"/>
        <v>0</v>
      </c>
      <c r="M84" s="2"/>
      <c r="N84" s="7">
        <f t="shared" si="64"/>
        <v>0</v>
      </c>
      <c r="O84" s="11"/>
      <c r="P84" s="6">
        <v>-97.67</v>
      </c>
      <c r="Q84" s="2"/>
      <c r="R84" s="7">
        <f t="shared" si="65"/>
        <v>-2.4894956639138539E-4</v>
      </c>
      <c r="S84" s="2"/>
      <c r="T84" s="6"/>
      <c r="U84" s="2"/>
      <c r="V84" s="7">
        <f t="shared" si="66"/>
        <v>0</v>
      </c>
      <c r="W84" s="2"/>
      <c r="X84" s="6">
        <f t="shared" si="67"/>
        <v>-97.67</v>
      </c>
      <c r="Y84" s="2"/>
      <c r="Z84" s="7">
        <f t="shared" si="68"/>
        <v>0</v>
      </c>
    </row>
    <row r="85" spans="1:26" s="24" customFormat="1" hidden="1" outlineLevel="2" x14ac:dyDescent="0.25">
      <c r="A85" s="27"/>
      <c r="B85" s="11" t="str">
        <f>CONCATENATE("          ", "6248", " - ", "UNIFORMS")</f>
        <v xml:space="preserve">          6248 - UNIFORMS</v>
      </c>
      <c r="C85" s="11"/>
      <c r="D85" s="6"/>
      <c r="E85" s="2"/>
      <c r="F85" s="7">
        <f t="shared" si="61"/>
        <v>0</v>
      </c>
      <c r="G85" s="2"/>
      <c r="H85" s="6"/>
      <c r="I85" s="2"/>
      <c r="J85" s="7">
        <f t="shared" si="62"/>
        <v>0</v>
      </c>
      <c r="K85" s="2"/>
      <c r="L85" s="6">
        <f t="shared" si="63"/>
        <v>0</v>
      </c>
      <c r="M85" s="2"/>
      <c r="N85" s="7">
        <f t="shared" si="64"/>
        <v>0</v>
      </c>
      <c r="O85" s="11"/>
      <c r="P85" s="6">
        <v>454.44</v>
      </c>
      <c r="Q85" s="2"/>
      <c r="R85" s="7">
        <f t="shared" si="65"/>
        <v>1.158315152563747E-3</v>
      </c>
      <c r="S85" s="2"/>
      <c r="T85" s="6">
        <v>1200</v>
      </c>
      <c r="U85" s="2"/>
      <c r="V85" s="7">
        <f t="shared" si="66"/>
        <v>1.9512195121951219E-3</v>
      </c>
      <c r="W85" s="2"/>
      <c r="X85" s="6">
        <f t="shared" si="67"/>
        <v>-745.56</v>
      </c>
      <c r="Y85" s="2"/>
      <c r="Z85" s="7">
        <f t="shared" si="68"/>
        <v>-0.62129999999999996</v>
      </c>
    </row>
    <row r="86" spans="1:26" s="26" customFormat="1" outlineLevel="1" collapsed="1" x14ac:dyDescent="0.25">
      <c r="A86" s="25"/>
      <c r="B86" s="12" t="str">
        <f>CONCATENATE("     ","Telephone/Data Lines                              ")</f>
        <v xml:space="preserve">     Telephone/Data Lines                              </v>
      </c>
      <c r="C86" s="12"/>
      <c r="D86" s="1">
        <f>SUM(OSRRefD22_14x_0)</f>
        <v>21.62</v>
      </c>
      <c r="E86" s="1"/>
      <c r="F86" s="5">
        <f t="shared" ref="F86:F88" si="69">IF(D$12=0,0,D86/D$12)</f>
        <v>0</v>
      </c>
      <c r="G86" s="1"/>
      <c r="H86" s="1">
        <f>SUM(OSRRefH22_14x_0)</f>
        <v>343</v>
      </c>
      <c r="I86" s="1"/>
      <c r="J86" s="5">
        <f t="shared" ref="J86:J88" si="70">IF(H$12=0,0,H86/H$12)</f>
        <v>2.2866666666666667E-2</v>
      </c>
      <c r="K86" s="1"/>
      <c r="L86" s="1">
        <f t="shared" ref="L86:L88" si="71">+D86-H86</f>
        <v>-321.38</v>
      </c>
      <c r="M86" s="1"/>
      <c r="N86" s="5">
        <f t="shared" ref="N86:N88" si="72">IF(H86=0,0,L86/H86)</f>
        <v>-0.93696793002915446</v>
      </c>
      <c r="O86" s="12"/>
      <c r="P86" s="1">
        <f>SUM(OSRRefP22_14x_0)</f>
        <v>3533.18</v>
      </c>
      <c r="Q86" s="1"/>
      <c r="R86" s="5">
        <f t="shared" ref="R86:R88" si="73">IF(P$12=0,0,P86/P$12)</f>
        <v>9.005668362677537E-3</v>
      </c>
      <c r="S86" s="1"/>
      <c r="T86" s="1">
        <f>SUM(OSRRefT22_14x_0)</f>
        <v>3187</v>
      </c>
      <c r="U86" s="1"/>
      <c r="V86" s="5">
        <f t="shared" ref="V86:V88" si="74">IF(T$12=0,0,T86/T$12)</f>
        <v>5.1821138211382116E-3</v>
      </c>
      <c r="W86" s="1"/>
      <c r="X86" s="1">
        <f t="shared" ref="X86:X88" si="75">+P86-T86</f>
        <v>346.17999999999984</v>
      </c>
      <c r="Y86" s="1"/>
      <c r="Z86" s="5">
        <f t="shared" ref="Z86:Z88" si="76">IF(T86=0,0,X86/T86)</f>
        <v>0.1086225290241606</v>
      </c>
    </row>
    <row r="87" spans="1:26" s="24" customFormat="1" hidden="1" outlineLevel="2" x14ac:dyDescent="0.25">
      <c r="A87" s="27"/>
      <c r="B87" s="11" t="str">
        <f>CONCATENATE("          ", "6303", " - ", "DATA PHONE LINES")</f>
        <v xml:space="preserve">          6303 - DATA PHONE LINES</v>
      </c>
      <c r="C87" s="11"/>
      <c r="D87" s="6"/>
      <c r="E87" s="2"/>
      <c r="F87" s="7">
        <f t="shared" si="69"/>
        <v>0</v>
      </c>
      <c r="G87" s="2"/>
      <c r="H87" s="6">
        <v>298</v>
      </c>
      <c r="I87" s="2"/>
      <c r="J87" s="7">
        <f t="shared" si="70"/>
        <v>1.9866666666666668E-2</v>
      </c>
      <c r="K87" s="2"/>
      <c r="L87" s="6">
        <f t="shared" si="71"/>
        <v>-298</v>
      </c>
      <c r="M87" s="2"/>
      <c r="N87" s="7">
        <f t="shared" si="72"/>
        <v>-1</v>
      </c>
      <c r="O87" s="11"/>
      <c r="P87" s="6"/>
      <c r="Q87" s="2"/>
      <c r="R87" s="7">
        <f t="shared" si="73"/>
        <v>0</v>
      </c>
      <c r="S87" s="2"/>
      <c r="T87" s="6">
        <v>2782</v>
      </c>
      <c r="U87" s="2"/>
      <c r="V87" s="7">
        <f t="shared" si="74"/>
        <v>4.5235772357723573E-3</v>
      </c>
      <c r="W87" s="2"/>
      <c r="X87" s="6">
        <f t="shared" si="75"/>
        <v>-2782</v>
      </c>
      <c r="Y87" s="2"/>
      <c r="Z87" s="7">
        <f t="shared" si="76"/>
        <v>-1</v>
      </c>
    </row>
    <row r="88" spans="1:26" s="24" customFormat="1" hidden="1" outlineLevel="2" x14ac:dyDescent="0.25">
      <c r="A88" s="27"/>
      <c r="B88" s="11" t="str">
        <f>CONCATENATE("          ", "6309", " - ", "TELEPHONE")</f>
        <v xml:space="preserve">          6309 - TELEPHONE</v>
      </c>
      <c r="C88" s="11"/>
      <c r="D88" s="6">
        <v>21.62</v>
      </c>
      <c r="E88" s="2"/>
      <c r="F88" s="7">
        <f t="shared" si="69"/>
        <v>0</v>
      </c>
      <c r="G88" s="2"/>
      <c r="H88" s="6">
        <v>45</v>
      </c>
      <c r="I88" s="2"/>
      <c r="J88" s="7">
        <f t="shared" si="70"/>
        <v>3.0000000000000001E-3</v>
      </c>
      <c r="K88" s="2"/>
      <c r="L88" s="6">
        <f t="shared" si="71"/>
        <v>-23.38</v>
      </c>
      <c r="M88" s="2"/>
      <c r="N88" s="7">
        <f t="shared" si="72"/>
        <v>-0.51955555555555555</v>
      </c>
      <c r="O88" s="11"/>
      <c r="P88" s="6">
        <v>3533.18</v>
      </c>
      <c r="Q88" s="2"/>
      <c r="R88" s="7">
        <f t="shared" si="73"/>
        <v>9.005668362677537E-3</v>
      </c>
      <c r="S88" s="2"/>
      <c r="T88" s="6">
        <v>405</v>
      </c>
      <c r="U88" s="2"/>
      <c r="V88" s="7">
        <f t="shared" si="74"/>
        <v>6.585365853658537E-4</v>
      </c>
      <c r="W88" s="2"/>
      <c r="X88" s="6">
        <f t="shared" si="75"/>
        <v>3128.18</v>
      </c>
      <c r="Y88" s="2"/>
      <c r="Z88" s="7">
        <f t="shared" si="76"/>
        <v>7.7239012345679008</v>
      </c>
    </row>
    <row r="89" spans="1:26" s="26" customFormat="1" outlineLevel="1" collapsed="1" x14ac:dyDescent="0.25">
      <c r="A89" s="25"/>
      <c r="B89" s="12" t="str">
        <f>CONCATENATE("     ","Training                                          ")</f>
        <v xml:space="preserve">     Training                                          </v>
      </c>
      <c r="C89" s="12"/>
      <c r="D89" s="1">
        <f>SUM(OSRRefD22_15x_0)</f>
        <v>0</v>
      </c>
      <c r="E89" s="1"/>
      <c r="F89" s="5">
        <f t="shared" ref="F89:F92" si="77">IF(D$12=0,0,D89/D$12)</f>
        <v>0</v>
      </c>
      <c r="G89" s="1"/>
      <c r="H89" s="1">
        <f>SUM(OSRRefH22_15x_0)</f>
        <v>0</v>
      </c>
      <c r="I89" s="1"/>
      <c r="J89" s="5">
        <f t="shared" ref="J89:J92" si="78">IF(H$12=0,0,H89/H$12)</f>
        <v>0</v>
      </c>
      <c r="K89" s="1"/>
      <c r="L89" s="1">
        <f t="shared" ref="L89:L92" si="79">+D89-H89</f>
        <v>0</v>
      </c>
      <c r="M89" s="1"/>
      <c r="N89" s="5">
        <f t="shared" ref="N89:N92" si="80">IF(H89=0,0,L89/H89)</f>
        <v>0</v>
      </c>
      <c r="O89" s="12"/>
      <c r="P89" s="1">
        <f>SUM(OSRRefP22_15x_0)</f>
        <v>337.96</v>
      </c>
      <c r="Q89" s="1"/>
      <c r="R89" s="5">
        <f t="shared" ref="R89:R92" si="81">IF(P$12=0,0,P89/P$12)</f>
        <v>8.6142106540014962E-4</v>
      </c>
      <c r="S89" s="1"/>
      <c r="T89" s="1">
        <f>SUM(OSRRefT22_15x_0)</f>
        <v>500</v>
      </c>
      <c r="U89" s="1"/>
      <c r="V89" s="5">
        <f t="shared" ref="V89:V92" si="82">IF(T$12=0,0,T89/T$12)</f>
        <v>8.1300813008130081E-4</v>
      </c>
      <c r="W89" s="1"/>
      <c r="X89" s="1">
        <f t="shared" ref="X89:X92" si="83">+P89-T89</f>
        <v>-162.04000000000002</v>
      </c>
      <c r="Y89" s="1"/>
      <c r="Z89" s="5">
        <f t="shared" ref="Z89:Z92" si="84">IF(T89=0,0,X89/T89)</f>
        <v>-0.32408000000000003</v>
      </c>
    </row>
    <row r="90" spans="1:26" s="24" customFormat="1" hidden="1" outlineLevel="2" x14ac:dyDescent="0.25">
      <c r="A90" s="27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77"/>
        <v>0</v>
      </c>
      <c r="G90" s="2"/>
      <c r="H90" s="6"/>
      <c r="I90" s="2"/>
      <c r="J90" s="7">
        <f t="shared" si="78"/>
        <v>0</v>
      </c>
      <c r="K90" s="2"/>
      <c r="L90" s="6">
        <f t="shared" si="79"/>
        <v>0</v>
      </c>
      <c r="M90" s="2"/>
      <c r="N90" s="7">
        <f t="shared" si="80"/>
        <v>0</v>
      </c>
      <c r="O90" s="11"/>
      <c r="P90" s="6">
        <v>337.96</v>
      </c>
      <c r="Q90" s="2"/>
      <c r="R90" s="7">
        <f t="shared" si="81"/>
        <v>8.6142106540014962E-4</v>
      </c>
      <c r="S90" s="2"/>
      <c r="T90" s="6">
        <v>500</v>
      </c>
      <c r="U90" s="2"/>
      <c r="V90" s="7">
        <f t="shared" si="82"/>
        <v>8.1300813008130081E-4</v>
      </c>
      <c r="W90" s="2"/>
      <c r="X90" s="6">
        <f t="shared" si="83"/>
        <v>-162.04000000000002</v>
      </c>
      <c r="Y90" s="2"/>
      <c r="Z90" s="7">
        <f t="shared" si="84"/>
        <v>-0.32408000000000003</v>
      </c>
    </row>
    <row r="91" spans="1:26" s="26" customFormat="1" outlineLevel="1" collapsed="1" x14ac:dyDescent="0.25">
      <c r="A91" s="25"/>
      <c r="B91" s="12" t="str">
        <f>CONCATENATE("     ","Travel                                            ")</f>
        <v xml:space="preserve">     Travel                                            </v>
      </c>
      <c r="C91" s="12"/>
      <c r="D91" s="1">
        <f>SUM(OSRRefD22_16x_0)</f>
        <v>0</v>
      </c>
      <c r="E91" s="1"/>
      <c r="F91" s="5">
        <f t="shared" si="77"/>
        <v>0</v>
      </c>
      <c r="G91" s="1"/>
      <c r="H91" s="1">
        <f>SUM(OSRRefH22_16x_0)</f>
        <v>1000</v>
      </c>
      <c r="I91" s="1"/>
      <c r="J91" s="5">
        <f t="shared" si="78"/>
        <v>6.6666666666666666E-2</v>
      </c>
      <c r="K91" s="1"/>
      <c r="L91" s="1">
        <f t="shared" si="79"/>
        <v>-1000</v>
      </c>
      <c r="M91" s="1"/>
      <c r="N91" s="5">
        <f t="shared" si="80"/>
        <v>-1</v>
      </c>
      <c r="O91" s="12"/>
      <c r="P91" s="1">
        <f>SUM(OSRRefP22_16x_0)</f>
        <v>0</v>
      </c>
      <c r="Q91" s="1"/>
      <c r="R91" s="5">
        <f t="shared" si="81"/>
        <v>0</v>
      </c>
      <c r="S91" s="1"/>
      <c r="T91" s="1">
        <f>SUM(OSRRefT22_16x_0)</f>
        <v>1500</v>
      </c>
      <c r="U91" s="1"/>
      <c r="V91" s="5">
        <f t="shared" si="82"/>
        <v>2.4390243902439024E-3</v>
      </c>
      <c r="W91" s="1"/>
      <c r="X91" s="1">
        <f t="shared" si="83"/>
        <v>-1500</v>
      </c>
      <c r="Y91" s="1"/>
      <c r="Z91" s="5">
        <f t="shared" si="84"/>
        <v>-1</v>
      </c>
    </row>
    <row r="92" spans="1:26" s="24" customFormat="1" hidden="1" outlineLevel="2" x14ac:dyDescent="0.25">
      <c r="A92" s="27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77"/>
        <v>0</v>
      </c>
      <c r="G92" s="2"/>
      <c r="H92" s="6">
        <v>1000</v>
      </c>
      <c r="I92" s="2"/>
      <c r="J92" s="7">
        <f t="shared" si="78"/>
        <v>6.6666666666666666E-2</v>
      </c>
      <c r="K92" s="2"/>
      <c r="L92" s="6">
        <f t="shared" si="79"/>
        <v>-1000</v>
      </c>
      <c r="M92" s="2"/>
      <c r="N92" s="7">
        <f t="shared" si="80"/>
        <v>-1</v>
      </c>
      <c r="O92" s="11"/>
      <c r="P92" s="6"/>
      <c r="Q92" s="2"/>
      <c r="R92" s="7">
        <f t="shared" si="81"/>
        <v>0</v>
      </c>
      <c r="S92" s="2"/>
      <c r="T92" s="6">
        <v>1500</v>
      </c>
      <c r="U92" s="2"/>
      <c r="V92" s="7">
        <f t="shared" si="82"/>
        <v>2.4390243902439024E-3</v>
      </c>
      <c r="W92" s="2"/>
      <c r="X92" s="6">
        <f t="shared" si="83"/>
        <v>-1500</v>
      </c>
      <c r="Y92" s="2"/>
      <c r="Z92" s="7">
        <f t="shared" si="84"/>
        <v>-1</v>
      </c>
    </row>
    <row r="93" spans="1:26" s="60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25">
      <c r="A94" s="10"/>
      <c r="B94" s="28" t="s">
        <v>0</v>
      </c>
      <c r="C94" s="10"/>
      <c r="D94" s="4">
        <f>SUM(OSRRefD25x_0)</f>
        <v>0</v>
      </c>
      <c r="E94" s="4"/>
      <c r="F94" s="13">
        <f t="shared" ref="F94:F95" si="85">IF(D$12=0,0,D94/D$12)</f>
        <v>0</v>
      </c>
      <c r="G94" s="4"/>
      <c r="H94" s="4">
        <f>SUM(OSRRefH25x_0)</f>
        <v>2050</v>
      </c>
      <c r="I94" s="4"/>
      <c r="J94" s="13">
        <f t="shared" ref="J94:J95" si="86">IF(H$12=0,0,H94/H$12)</f>
        <v>0.13666666666666666</v>
      </c>
      <c r="K94" s="4"/>
      <c r="L94" s="4">
        <f t="shared" ref="L94:L95" si="87">+D94-H94</f>
        <v>-2050</v>
      </c>
      <c r="M94" s="4"/>
      <c r="N94" s="13">
        <f t="shared" ref="N94:N95" si="88">IF(H94=0,0,L94/H94)</f>
        <v>-1</v>
      </c>
      <c r="O94" s="10"/>
      <c r="P94" s="4">
        <f>SUM(OSRRefP25x_0)</f>
        <v>39607.82</v>
      </c>
      <c r="Q94" s="4"/>
      <c r="R94" s="13">
        <f t="shared" ref="R94:R95" si="89">IF(P$12=0,0,P94/P$12)</f>
        <v>0.10095576548283038</v>
      </c>
      <c r="S94" s="4"/>
      <c r="T94" s="4">
        <f>SUM(OSRRefT25x_0)</f>
        <v>12300</v>
      </c>
      <c r="U94" s="4"/>
      <c r="V94" s="13">
        <f t="shared" ref="V94:V95" si="90">IF(T$12=0,0,T94/T$12)</f>
        <v>0.02</v>
      </c>
      <c r="W94" s="4"/>
      <c r="X94" s="4">
        <f t="shared" ref="X94:X95" si="91">+P94-T94</f>
        <v>27307.82</v>
      </c>
      <c r="Y94" s="4"/>
      <c r="Z94" s="13">
        <f t="shared" ref="Z94:Z95" si="92">IF(T94=0,0,X94/T94)</f>
        <v>2.2201479674796749</v>
      </c>
    </row>
    <row r="95" spans="1:26" s="24" customFormat="1" hidden="1" outlineLevel="1" x14ac:dyDescent="0.25">
      <c r="A95" s="44"/>
      <c r="B95" s="11" t="str">
        <f>CONCATENATE("          ", "9150", " - ", "MISC. INCOME")</f>
        <v xml:space="preserve">          9150 - MISC. INCOME</v>
      </c>
      <c r="C95" s="11"/>
      <c r="D95" s="2">
        <f>0</f>
        <v>0</v>
      </c>
      <c r="E95" s="2"/>
      <c r="F95" s="19">
        <f t="shared" si="85"/>
        <v>0</v>
      </c>
      <c r="G95" s="2"/>
      <c r="H95" s="2">
        <v>2050</v>
      </c>
      <c r="I95" s="2"/>
      <c r="J95" s="19">
        <f t="shared" si="86"/>
        <v>0.13666666666666666</v>
      </c>
      <c r="K95" s="2"/>
      <c r="L95" s="2">
        <f t="shared" si="87"/>
        <v>-2050</v>
      </c>
      <c r="M95" s="2"/>
      <c r="N95" s="19">
        <f t="shared" si="88"/>
        <v>-1</v>
      </c>
      <c r="O95" s="11"/>
      <c r="P95" s="2">
        <f>--39607.82</f>
        <v>39607.82</v>
      </c>
      <c r="Q95" s="2"/>
      <c r="R95" s="19">
        <f t="shared" si="89"/>
        <v>0.10095576548283038</v>
      </c>
      <c r="S95" s="2"/>
      <c r="T95" s="2">
        <v>12300</v>
      </c>
      <c r="U95" s="2"/>
      <c r="V95" s="19">
        <f t="shared" si="90"/>
        <v>0.02</v>
      </c>
      <c r="W95" s="2"/>
      <c r="X95" s="2">
        <f t="shared" si="91"/>
        <v>27307.82</v>
      </c>
      <c r="Y95" s="2"/>
      <c r="Z95" s="19">
        <f t="shared" si="92"/>
        <v>2.2201479674796749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9" t="s">
        <v>3</v>
      </c>
      <c r="C97" s="29"/>
      <c r="D97" s="22">
        <f>+D25-D27+D94</f>
        <v>-5915.2800000000007</v>
      </c>
      <c r="E97" s="14"/>
      <c r="F97" s="20">
        <f>IF(D$12=0,0,D97/D$12)</f>
        <v>0</v>
      </c>
      <c r="G97" s="14"/>
      <c r="H97" s="22">
        <f>+H25-H27+H94</f>
        <v>-5171.188264999997</v>
      </c>
      <c r="I97" s="14"/>
      <c r="J97" s="20">
        <f>IF(H$12=0,0,H97/H$12)</f>
        <v>-0.34474588433333314</v>
      </c>
      <c r="K97" s="15"/>
      <c r="L97" s="22">
        <f>+D97-H97</f>
        <v>-744.09173500000361</v>
      </c>
      <c r="M97" s="15"/>
      <c r="N97" s="20">
        <f>IF(H97=0,0,L97/H97)</f>
        <v>0.14389182850607432</v>
      </c>
      <c r="O97" s="28"/>
      <c r="P97" s="22">
        <f>+P25-P27+P94</f>
        <v>-46394.989999999969</v>
      </c>
      <c r="Q97" s="14"/>
      <c r="R97" s="20">
        <f>IF(P$12=0,0,P97/P$12)</f>
        <v>-0.11825547909524577</v>
      </c>
      <c r="S97" s="14"/>
      <c r="T97" s="22">
        <f>+T25-T27+T94</f>
        <v>120497.85486000002</v>
      </c>
      <c r="U97" s="14"/>
      <c r="V97" s="20">
        <f>IF(T$12=0,0,T97/T$12)</f>
        <v>0.1959314713170732</v>
      </c>
      <c r="W97" s="15"/>
      <c r="X97" s="22">
        <f>+P97-T97</f>
        <v>-166892.84485999998</v>
      </c>
      <c r="Y97" s="15"/>
      <c r="Z97" s="20">
        <f>IF(T97=0,0,X97/T97)</f>
        <v>-1.3850275181570975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14</v>
      </c>
      <c r="C99" s="10"/>
      <c r="D99" s="4">
        <v>12953.97</v>
      </c>
      <c r="E99" s="4"/>
      <c r="F99" s="13">
        <f>IF(D$12=0,0,D99/D$12)</f>
        <v>0</v>
      </c>
      <c r="G99" s="4"/>
      <c r="H99" s="4">
        <v>10068</v>
      </c>
      <c r="I99" s="4"/>
      <c r="J99" s="13">
        <f>IF(H$12=0,0,H99/H$12)</f>
        <v>0.67120000000000002</v>
      </c>
      <c r="K99" s="4"/>
      <c r="L99" s="4">
        <f>+D99-H99</f>
        <v>2885.9699999999993</v>
      </c>
      <c r="M99" s="4"/>
      <c r="N99" s="13">
        <f>IF(H99=0,0,L99/H99)</f>
        <v>0.28664779499404047</v>
      </c>
      <c r="O99" s="10"/>
      <c r="P99" s="4">
        <v>59413.73</v>
      </c>
      <c r="Q99" s="4"/>
      <c r="R99" s="13">
        <f>IF(P$12=0,0,P99/P$12)</f>
        <v>0.15143874599359936</v>
      </c>
      <c r="S99" s="4"/>
      <c r="T99" s="4">
        <v>79563</v>
      </c>
      <c r="U99" s="4"/>
      <c r="V99" s="13">
        <f>IF(T$12=0,0,T99/T$12)</f>
        <v>0.12937073170731708</v>
      </c>
      <c r="W99" s="4"/>
      <c r="X99" s="4">
        <f>+P99-T99</f>
        <v>-20149.269999999997</v>
      </c>
      <c r="Y99" s="4"/>
      <c r="Z99" s="13">
        <f>IF(T99=0,0,X99/T99)</f>
        <v>-0.25324924902278695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4</v>
      </c>
      <c r="C101" s="29"/>
      <c r="D101" s="31">
        <f>+D97-D99</f>
        <v>-18869.25</v>
      </c>
      <c r="E101" s="14"/>
      <c r="F101" s="33">
        <f>IF(D$12=0,0,D101/D$12)</f>
        <v>0</v>
      </c>
      <c r="G101" s="14"/>
      <c r="H101" s="31">
        <f>+H97-H99</f>
        <v>-15239.188264999997</v>
      </c>
      <c r="I101" s="14"/>
      <c r="J101" s="33">
        <f>IF(H$12=0,0,H101/H$12)</f>
        <v>-1.0159458843333331</v>
      </c>
      <c r="K101" s="15"/>
      <c r="L101" s="31">
        <f>D101-H101</f>
        <v>-3630.061735000003</v>
      </c>
      <c r="M101" s="15"/>
      <c r="N101" s="33">
        <f>IF(H101=0,0,L101/H101)</f>
        <v>0.23820571488949996</v>
      </c>
      <c r="O101" s="28"/>
      <c r="P101" s="31">
        <f>+P97-P99</f>
        <v>-105808.71999999997</v>
      </c>
      <c r="Q101" s="14"/>
      <c r="R101" s="33">
        <f>IF(P$12=0,0,P101/P$12)</f>
        <v>-0.26969422508884511</v>
      </c>
      <c r="S101" s="14"/>
      <c r="T101" s="31">
        <f>+T97-T99</f>
        <v>40934.854860000021</v>
      </c>
      <c r="U101" s="14"/>
      <c r="V101" s="33">
        <f>IF(T$12=0,0,T101/T$12)</f>
        <v>6.6560739609756128E-2</v>
      </c>
      <c r="W101" s="15"/>
      <c r="X101" s="31">
        <f>P101-T101</f>
        <v>-146743.57485999999</v>
      </c>
      <c r="Y101" s="15"/>
      <c r="Z101" s="33">
        <f>IF(T101=0,0,X101/T101)</f>
        <v>-3.5848075035778915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5</v>
      </c>
      <c r="C104" s="29"/>
      <c r="D104" s="34">
        <f>SUM(D101:D103)</f>
        <v>-18869.25</v>
      </c>
      <c r="E104" s="14"/>
      <c r="F104" s="35">
        <f>IF(D$12=0,0,D104/D$12)</f>
        <v>0</v>
      </c>
      <c r="G104" s="14"/>
      <c r="H104" s="34">
        <f>SUM(H101:H103)</f>
        <v>-15239.188264999997</v>
      </c>
      <c r="I104" s="14"/>
      <c r="J104" s="35">
        <f>IF(H$12=0,0,H104/H$12)</f>
        <v>-1.0159458843333331</v>
      </c>
      <c r="K104" s="15"/>
      <c r="L104" s="34">
        <f>+D104-H104</f>
        <v>-3630.061735000003</v>
      </c>
      <c r="M104" s="15"/>
      <c r="N104" s="35">
        <f>IF(H104=0,0,L104/H104)</f>
        <v>0.23820571488949996</v>
      </c>
      <c r="O104" s="28"/>
      <c r="P104" s="34">
        <f>SUM(P101:P103)</f>
        <v>-105808.71999999997</v>
      </c>
      <c r="Q104" s="14"/>
      <c r="R104" s="35">
        <f>IF(P$12=0,0,P104/P$12)</f>
        <v>-0.26969422508884511</v>
      </c>
      <c r="S104" s="14"/>
      <c r="T104" s="34">
        <f>SUM(T101:T103)</f>
        <v>40934.854860000021</v>
      </c>
      <c r="U104" s="14"/>
      <c r="V104" s="35">
        <f>IF(T$12=0,0,T104/T$12)</f>
        <v>6.6560739609756128E-2</v>
      </c>
      <c r="W104" s="15"/>
      <c r="X104" s="34">
        <f>+P104-T104</f>
        <v>-146743.57485999999</v>
      </c>
      <c r="Y104" s="15"/>
      <c r="Z104" s="35">
        <f>IF(T104=0,0,X104/T104)</f>
        <v>-3.5848075035778915</v>
      </c>
    </row>
    <row r="105" spans="1:26" ht="15.75" thickTop="1" x14ac:dyDescent="0.25">
      <c r="A105" s="9"/>
      <c r="C105" s="9"/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55">
        <v>44043.473890775465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62" t="s">
        <v>314</v>
      </c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63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","455", " - ", "Vending")</f>
        <v>Department 455 - Vending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-134.31</v>
      </c>
      <c r="E18" s="21"/>
      <c r="F18" s="32">
        <f t="shared" ref="F18:F27" si="0">IF(D$12=0,0,D18/D$12)</f>
        <v>0</v>
      </c>
      <c r="G18" s="21"/>
      <c r="H18" s="21">
        <f>SUM(OSRRefH22x_0)</f>
        <v>5329.3879716076881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-5463.6979716076885</v>
      </c>
      <c r="M18" s="4"/>
      <c r="N18" s="32">
        <f t="shared" ref="N18:N27" si="3">IF(H18=0,0,L18/H18)</f>
        <v>-1.0252017681421464</v>
      </c>
      <c r="O18" s="10"/>
      <c r="P18" s="21">
        <f>SUM(OSRRefP22x_0)</f>
        <v>67827.100000000006</v>
      </c>
      <c r="Q18" s="21"/>
      <c r="R18" s="32">
        <f t="shared" ref="R18:R27" si="4">IF(P$12=0,0,P18/P$12)</f>
        <v>0</v>
      </c>
      <c r="S18" s="21"/>
      <c r="T18" s="21">
        <f>SUM(OSRRefT22x_0)</f>
        <v>69282.043630899963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-1454.9436308999575</v>
      </c>
      <c r="Y18" s="4"/>
      <c r="Z18" s="32">
        <f t="shared" ref="Z18:Z27" si="7">IF(T18=0,0,X18/T18)</f>
        <v>-2.100029899018523E-2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-134.31</v>
      </c>
      <c r="E19" s="1"/>
      <c r="F19" s="5">
        <f t="shared" si="0"/>
        <v>0</v>
      </c>
      <c r="G19" s="1"/>
      <c r="H19" s="1">
        <f>SUM(OSRRefH22_0x_0)</f>
        <v>1212.7235869923079</v>
      </c>
      <c r="I19" s="1"/>
      <c r="J19" s="5">
        <f t="shared" si="1"/>
        <v>0</v>
      </c>
      <c r="K19" s="1"/>
      <c r="L19" s="1">
        <f t="shared" si="2"/>
        <v>-1347.0335869923078</v>
      </c>
      <c r="M19" s="1"/>
      <c r="N19" s="5">
        <f t="shared" si="3"/>
        <v>-1.110750711407456</v>
      </c>
      <c r="O19" s="12"/>
      <c r="P19" s="1">
        <f>SUM(OSRRefP22_0x_0)</f>
        <v>30639.9</v>
      </c>
      <c r="Q19" s="1"/>
      <c r="R19" s="5">
        <f t="shared" si="4"/>
        <v>0</v>
      </c>
      <c r="S19" s="1"/>
      <c r="T19" s="1">
        <f>SUM(OSRRefT22_0x_0)</f>
        <v>15765.406630899999</v>
      </c>
      <c r="U19" s="1"/>
      <c r="V19" s="5">
        <f t="shared" si="5"/>
        <v>0</v>
      </c>
      <c r="W19" s="1"/>
      <c r="X19" s="1">
        <f t="shared" si="6"/>
        <v>14874.493369100002</v>
      </c>
      <c r="Y19" s="1"/>
      <c r="Z19" s="5">
        <f t="shared" si="7"/>
        <v>0.94348935725807304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350.05369483846198</v>
      </c>
      <c r="I20" s="2"/>
      <c r="J20" s="7">
        <f t="shared" si="1"/>
        <v>0</v>
      </c>
      <c r="K20" s="2"/>
      <c r="L20" s="6">
        <f t="shared" si="2"/>
        <v>-350.05369483846198</v>
      </c>
      <c r="M20" s="2"/>
      <c r="N20" s="7">
        <f t="shared" si="3"/>
        <v>-1</v>
      </c>
      <c r="O20" s="11"/>
      <c r="P20" s="6">
        <v>2908.48</v>
      </c>
      <c r="Q20" s="2"/>
      <c r="R20" s="7">
        <f t="shared" si="4"/>
        <v>0</v>
      </c>
      <c r="S20" s="2"/>
      <c r="T20" s="6">
        <v>4550.6980329000044</v>
      </c>
      <c r="U20" s="2"/>
      <c r="V20" s="7">
        <f t="shared" si="5"/>
        <v>0</v>
      </c>
      <c r="W20" s="2"/>
      <c r="X20" s="6">
        <f t="shared" si="6"/>
        <v>-1642.2180329000043</v>
      </c>
      <c r="Y20" s="2"/>
      <c r="Z20" s="7">
        <f t="shared" si="7"/>
        <v>-0.36087167749372173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>
        <v>159.32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159.32</v>
      </c>
      <c r="Y21" s="2"/>
      <c r="Z21" s="7">
        <f t="shared" si="7"/>
        <v>0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8394</v>
      </c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8394</v>
      </c>
      <c r="Y22" s="2"/>
      <c r="Z22" s="7">
        <f t="shared" si="7"/>
        <v>0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-134.31</v>
      </c>
      <c r="E23" s="2"/>
      <c r="F23" s="7">
        <f t="shared" si="0"/>
        <v>0</v>
      </c>
      <c r="G23" s="2"/>
      <c r="H23" s="6">
        <v>11.892586</v>
      </c>
      <c r="I23" s="2"/>
      <c r="J23" s="7">
        <f t="shared" si="1"/>
        <v>0</v>
      </c>
      <c r="K23" s="2"/>
      <c r="L23" s="6">
        <f t="shared" si="2"/>
        <v>-146.202586</v>
      </c>
      <c r="M23" s="2"/>
      <c r="N23" s="7">
        <f t="shared" si="3"/>
        <v>-12.29359081363801</v>
      </c>
      <c r="O23" s="11"/>
      <c r="P23" s="6">
        <v>0</v>
      </c>
      <c r="Q23" s="2"/>
      <c r="R23" s="7">
        <f t="shared" si="4"/>
        <v>0</v>
      </c>
      <c r="S23" s="2"/>
      <c r="T23" s="6">
        <v>154.60361800000001</v>
      </c>
      <c r="U23" s="2"/>
      <c r="V23" s="7">
        <f t="shared" si="5"/>
        <v>0</v>
      </c>
      <c r="W23" s="2"/>
      <c r="X23" s="6">
        <f t="shared" si="6"/>
        <v>-154.60361800000001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393.37015230769197</v>
      </c>
      <c r="I24" s="2"/>
      <c r="J24" s="7">
        <f t="shared" si="1"/>
        <v>0</v>
      </c>
      <c r="K24" s="2"/>
      <c r="L24" s="6">
        <f t="shared" si="2"/>
        <v>-393.37015230769197</v>
      </c>
      <c r="M24" s="2"/>
      <c r="N24" s="7">
        <f t="shared" si="3"/>
        <v>-1</v>
      </c>
      <c r="O24" s="11"/>
      <c r="P24" s="6">
        <v>5280.61</v>
      </c>
      <c r="Q24" s="2"/>
      <c r="R24" s="7">
        <f t="shared" si="4"/>
        <v>0</v>
      </c>
      <c r="S24" s="2"/>
      <c r="T24" s="6">
        <v>5113.8119799999959</v>
      </c>
      <c r="U24" s="2"/>
      <c r="V24" s="7">
        <f t="shared" si="5"/>
        <v>0</v>
      </c>
      <c r="W24" s="2"/>
      <c r="X24" s="6">
        <f t="shared" si="6"/>
        <v>166.79802000000382</v>
      </c>
      <c r="Y24" s="2"/>
      <c r="Z24" s="7">
        <f t="shared" si="7"/>
        <v>3.2617159303538562E-2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457.40715384615396</v>
      </c>
      <c r="I26" s="2"/>
      <c r="J26" s="7">
        <f t="shared" si="1"/>
        <v>0</v>
      </c>
      <c r="K26" s="2"/>
      <c r="L26" s="6">
        <f t="shared" si="2"/>
        <v>-457.40715384615396</v>
      </c>
      <c r="M26" s="2"/>
      <c r="N26" s="7">
        <f t="shared" si="3"/>
        <v>-1</v>
      </c>
      <c r="O26" s="11"/>
      <c r="P26" s="6">
        <v>5313.38</v>
      </c>
      <c r="Q26" s="2"/>
      <c r="R26" s="7">
        <f t="shared" si="4"/>
        <v>0</v>
      </c>
      <c r="S26" s="2"/>
      <c r="T26" s="6">
        <v>5946.2929999999997</v>
      </c>
      <c r="U26" s="2"/>
      <c r="V26" s="7">
        <f t="shared" si="5"/>
        <v>0</v>
      </c>
      <c r="W26" s="2"/>
      <c r="X26" s="6">
        <f t="shared" si="6"/>
        <v>-632.91299999999956</v>
      </c>
      <c r="Y26" s="2"/>
      <c r="Z26" s="7">
        <f t="shared" si="7"/>
        <v>-0.10643824648398584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>
        <v>8584.11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8584.11</v>
      </c>
      <c r="Y27" s="2"/>
      <c r="Z27" s="7">
        <f t="shared" si="7"/>
        <v>0</v>
      </c>
    </row>
    <row r="28" spans="1:26" s="26" customFormat="1" outlineLevel="1" collapsed="1" x14ac:dyDescent="0.25">
      <c r="A28" s="25"/>
      <c r="B28" s="12" t="str">
        <f>CONCATENATE("     ","*Payroll                                          ")</f>
        <v xml:space="preserve">     *Payroll                                          </v>
      </c>
      <c r="C28" s="12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4116.6643846153802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-4116.6643846153802</v>
      </c>
      <c r="M28" s="1"/>
      <c r="N28" s="5">
        <f t="shared" ref="N28:N38" si="11">IF(H28=0,0,L28/H28)</f>
        <v>-1</v>
      </c>
      <c r="O28" s="12"/>
      <c r="P28" s="1">
        <f>SUM(OSRRefP22_1x_0)</f>
        <v>37187.199999999997</v>
      </c>
      <c r="Q28" s="1"/>
      <c r="R28" s="5">
        <f t="shared" ref="R28:R38" si="12">IF(P$12=0,0,P28/P$12)</f>
        <v>0</v>
      </c>
      <c r="S28" s="1"/>
      <c r="T28" s="1">
        <f>SUM(OSRRefT22_1x_0)</f>
        <v>53516.636999999959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-16329.436999999962</v>
      </c>
      <c r="Y28" s="1"/>
      <c r="Z28" s="5">
        <f t="shared" ref="Z28:Z38" si="15">IF(T28=0,0,X28/T28)</f>
        <v>-0.30512823516918625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4116.6643846153802</v>
      </c>
      <c r="I29" s="2"/>
      <c r="J29" s="7">
        <f t="shared" si="9"/>
        <v>0</v>
      </c>
      <c r="K29" s="2"/>
      <c r="L29" s="6">
        <f t="shared" si="10"/>
        <v>-4116.6643846153802</v>
      </c>
      <c r="M29" s="2"/>
      <c r="N29" s="7">
        <f t="shared" si="11"/>
        <v>-1</v>
      </c>
      <c r="O29" s="11"/>
      <c r="P29" s="6">
        <v>37187.199999999997</v>
      </c>
      <c r="Q29" s="2"/>
      <c r="R29" s="7">
        <f t="shared" si="12"/>
        <v>0</v>
      </c>
      <c r="S29" s="2"/>
      <c r="T29" s="6">
        <v>53516.636999999959</v>
      </c>
      <c r="U29" s="2"/>
      <c r="V29" s="7">
        <f t="shared" si="13"/>
        <v>0</v>
      </c>
      <c r="W29" s="2"/>
      <c r="X29" s="6">
        <f t="shared" si="14"/>
        <v>-16329.436999999962</v>
      </c>
      <c r="Y29" s="2"/>
      <c r="Z29" s="7">
        <f t="shared" si="15"/>
        <v>-0.30512823516918625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60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8" t="s">
        <v>0</v>
      </c>
      <c r="C40" s="10"/>
      <c r="D40" s="4">
        <f>SUM(OSRRefD25x_0)</f>
        <v>26309.79</v>
      </c>
      <c r="E40" s="4"/>
      <c r="F40" s="13">
        <f t="shared" ref="F40:F44" si="16">IF(D$12=0,0,D40/D$12)</f>
        <v>0</v>
      </c>
      <c r="G40" s="4"/>
      <c r="H40" s="4">
        <f>SUM(OSRRefH25x_0)</f>
        <v>5659</v>
      </c>
      <c r="I40" s="4"/>
      <c r="J40" s="13">
        <f t="shared" ref="J40:J44" si="17">IF(H$12=0,0,H40/H$12)</f>
        <v>0</v>
      </c>
      <c r="K40" s="4"/>
      <c r="L40" s="4">
        <f t="shared" ref="L40:L44" si="18">+D40-H40</f>
        <v>20650.79</v>
      </c>
      <c r="M40" s="4"/>
      <c r="N40" s="13">
        <f t="shared" ref="N40:N44" si="19">IF(H40=0,0,L40/H40)</f>
        <v>3.6491942039229546</v>
      </c>
      <c r="O40" s="10"/>
      <c r="P40" s="4">
        <f>SUM(OSRRefP25x_0)</f>
        <v>397474.1</v>
      </c>
      <c r="Q40" s="4"/>
      <c r="R40" s="13">
        <f t="shared" ref="R40:R44" si="20">IF(P$12=0,0,P40/P$12)</f>
        <v>0</v>
      </c>
      <c r="S40" s="4"/>
      <c r="T40" s="4">
        <f>SUM(OSRRefT25x_0)</f>
        <v>404308</v>
      </c>
      <c r="U40" s="4"/>
      <c r="V40" s="13">
        <f t="shared" ref="V40:V44" si="21">IF(T$12=0,0,T40/T$12)</f>
        <v>0</v>
      </c>
      <c r="W40" s="4"/>
      <c r="X40" s="4">
        <f t="shared" ref="X40:X44" si="22">+P40-T40</f>
        <v>-6833.9000000000233</v>
      </c>
      <c r="Y40" s="4"/>
      <c r="Z40" s="13">
        <f t="shared" ref="Z40:Z44" si="23">IF(T40=0,0,X40/T40)</f>
        <v>-1.6902707836599879E-2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 t="shared" ref="D41:D42" si="24">0</f>
        <v>0</v>
      </c>
      <c r="E41" s="2"/>
      <c r="F41" s="19">
        <f t="shared" si="16"/>
        <v>0</v>
      </c>
      <c r="G41" s="2"/>
      <c r="H41" s="2"/>
      <c r="I41" s="2"/>
      <c r="J41" s="19">
        <f t="shared" si="17"/>
        <v>0</v>
      </c>
      <c r="K41" s="2"/>
      <c r="L41" s="2">
        <f t="shared" si="18"/>
        <v>0</v>
      </c>
      <c r="M41" s="2"/>
      <c r="N41" s="19">
        <f t="shared" si="19"/>
        <v>0</v>
      </c>
      <c r="O41" s="11"/>
      <c r="P41" s="2">
        <f t="shared" ref="P41:P42" si="25">0</f>
        <v>0</v>
      </c>
      <c r="Q41" s="2"/>
      <c r="R41" s="19">
        <f t="shared" si="20"/>
        <v>0</v>
      </c>
      <c r="S41" s="2"/>
      <c r="T41" s="2">
        <v>74753</v>
      </c>
      <c r="U41" s="2"/>
      <c r="V41" s="19">
        <f t="shared" si="21"/>
        <v>0</v>
      </c>
      <c r="W41" s="2"/>
      <c r="X41" s="2">
        <f t="shared" si="22"/>
        <v>-74753</v>
      </c>
      <c r="Y41" s="2"/>
      <c r="Z41" s="19">
        <f t="shared" si="23"/>
        <v>-1</v>
      </c>
    </row>
    <row r="42" spans="1:26" s="24" customFormat="1" hidden="1" outlineLevel="1" x14ac:dyDescent="0.25">
      <c r="A42" s="44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19">
        <f t="shared" si="16"/>
        <v>0</v>
      </c>
      <c r="G42" s="2"/>
      <c r="H42" s="2">
        <v>5659</v>
      </c>
      <c r="I42" s="2"/>
      <c r="J42" s="19">
        <f t="shared" si="17"/>
        <v>0</v>
      </c>
      <c r="K42" s="2"/>
      <c r="L42" s="2">
        <f t="shared" si="18"/>
        <v>-5659</v>
      </c>
      <c r="M42" s="2"/>
      <c r="N42" s="19">
        <f t="shared" si="19"/>
        <v>-1</v>
      </c>
      <c r="O42" s="11"/>
      <c r="P42" s="2">
        <f t="shared" si="25"/>
        <v>0</v>
      </c>
      <c r="Q42" s="2"/>
      <c r="R42" s="19">
        <f t="shared" si="20"/>
        <v>0</v>
      </c>
      <c r="S42" s="2"/>
      <c r="T42" s="2">
        <v>329555</v>
      </c>
      <c r="U42" s="2"/>
      <c r="V42" s="19">
        <f t="shared" si="21"/>
        <v>0</v>
      </c>
      <c r="W42" s="2"/>
      <c r="X42" s="2">
        <f t="shared" si="22"/>
        <v>-329555</v>
      </c>
      <c r="Y42" s="2"/>
      <c r="Z42" s="19">
        <f t="shared" si="23"/>
        <v>-1</v>
      </c>
    </row>
    <row r="43" spans="1:26" s="24" customFormat="1" hidden="1" outlineLevel="1" x14ac:dyDescent="0.25">
      <c r="A43" s="44"/>
      <c r="B43" s="11" t="str">
        <f>CONCATENATE("          ", "9160", " - ", "MISC. INCOME")</f>
        <v xml:space="preserve">          9160 - MISC. INCOME</v>
      </c>
      <c r="C43" s="11"/>
      <c r="D43" s="2">
        <f>--25000.02</f>
        <v>25000.02</v>
      </c>
      <c r="E43" s="2"/>
      <c r="F43" s="19">
        <f t="shared" si="16"/>
        <v>0</v>
      </c>
      <c r="G43" s="2"/>
      <c r="H43" s="2"/>
      <c r="I43" s="2"/>
      <c r="J43" s="19">
        <f t="shared" si="17"/>
        <v>0</v>
      </c>
      <c r="K43" s="2"/>
      <c r="L43" s="2">
        <f t="shared" si="18"/>
        <v>25000.02</v>
      </c>
      <c r="M43" s="2"/>
      <c r="N43" s="19">
        <f t="shared" si="19"/>
        <v>0</v>
      </c>
      <c r="O43" s="11"/>
      <c r="P43" s="2">
        <f>--153039.31</f>
        <v>153039.31</v>
      </c>
      <c r="Q43" s="2"/>
      <c r="R43" s="19">
        <f t="shared" si="20"/>
        <v>0</v>
      </c>
      <c r="S43" s="2"/>
      <c r="T43" s="2"/>
      <c r="U43" s="2"/>
      <c r="V43" s="19">
        <f t="shared" si="21"/>
        <v>0</v>
      </c>
      <c r="W43" s="2"/>
      <c r="X43" s="2">
        <f t="shared" si="22"/>
        <v>153039.31</v>
      </c>
      <c r="Y43" s="2"/>
      <c r="Z43" s="19">
        <f t="shared" si="23"/>
        <v>0</v>
      </c>
    </row>
    <row r="44" spans="1:26" s="24" customFormat="1" hidden="1" outlineLevel="1" x14ac:dyDescent="0.25">
      <c r="A44" s="44"/>
      <c r="B44" s="11" t="str">
        <f>CONCATENATE("          ", "9165", " - ", "OTHER INCOME")</f>
        <v xml:space="preserve">          9165 - OTHER INCOME</v>
      </c>
      <c r="C44" s="11"/>
      <c r="D44" s="2">
        <f>--1309.77</f>
        <v>1309.77</v>
      </c>
      <c r="E44" s="2"/>
      <c r="F44" s="19">
        <f t="shared" si="16"/>
        <v>0</v>
      </c>
      <c r="G44" s="2"/>
      <c r="H44" s="2"/>
      <c r="I44" s="2"/>
      <c r="J44" s="19">
        <f t="shared" si="17"/>
        <v>0</v>
      </c>
      <c r="K44" s="2"/>
      <c r="L44" s="2">
        <f t="shared" si="18"/>
        <v>1309.77</v>
      </c>
      <c r="M44" s="2"/>
      <c r="N44" s="19">
        <f t="shared" si="19"/>
        <v>0</v>
      </c>
      <c r="O44" s="11"/>
      <c r="P44" s="2">
        <f>--244434.79</f>
        <v>244434.79</v>
      </c>
      <c r="Q44" s="2"/>
      <c r="R44" s="19">
        <f t="shared" si="20"/>
        <v>0</v>
      </c>
      <c r="S44" s="2"/>
      <c r="T44" s="2"/>
      <c r="U44" s="2"/>
      <c r="V44" s="19">
        <f t="shared" si="21"/>
        <v>0</v>
      </c>
      <c r="W44" s="2"/>
      <c r="X44" s="2">
        <f t="shared" si="22"/>
        <v>244434.79</v>
      </c>
      <c r="Y44" s="2"/>
      <c r="Z44" s="19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9" t="s">
        <v>3</v>
      </c>
      <c r="C46" s="29"/>
      <c r="D46" s="22">
        <f>+D16-D18+D40</f>
        <v>26444.100000000002</v>
      </c>
      <c r="E46" s="14"/>
      <c r="F46" s="20">
        <f>IF(D$12=0,0,D46/D$12)</f>
        <v>0</v>
      </c>
      <c r="G46" s="14"/>
      <c r="H46" s="22">
        <f>+H16-H18+H40</f>
        <v>329.61202839231191</v>
      </c>
      <c r="I46" s="14"/>
      <c r="J46" s="20">
        <f>IF(H$12=0,0,H46/H$12)</f>
        <v>0</v>
      </c>
      <c r="K46" s="15"/>
      <c r="L46" s="22">
        <f>+D46-H46</f>
        <v>26114.48797160769</v>
      </c>
      <c r="M46" s="15"/>
      <c r="N46" s="20">
        <f>IF(H46=0,0,L46/H46)</f>
        <v>79.227958090551297</v>
      </c>
      <c r="O46" s="28"/>
      <c r="P46" s="22">
        <f>+P16-P18+P40</f>
        <v>329647</v>
      </c>
      <c r="Q46" s="14"/>
      <c r="R46" s="20">
        <f>IF(P$12=0,0,P46/P$12)</f>
        <v>0</v>
      </c>
      <c r="S46" s="14"/>
      <c r="T46" s="22">
        <f>+T16-T18+T40</f>
        <v>335025.95636910002</v>
      </c>
      <c r="U46" s="14"/>
      <c r="V46" s="20">
        <f>IF(T$12=0,0,T46/T$12)</f>
        <v>0</v>
      </c>
      <c r="W46" s="15"/>
      <c r="X46" s="22">
        <f>+P46-T46</f>
        <v>-5378.9563691000221</v>
      </c>
      <c r="Y46" s="15"/>
      <c r="Z46" s="20">
        <f>IF(T46=0,0,X46/T46)</f>
        <v>-1.6055342181230864E-2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3">
        <f>IF(D$12=0,0,D48/D$12)</f>
        <v>0</v>
      </c>
      <c r="G48" s="4"/>
      <c r="H48" s="4"/>
      <c r="I48" s="4"/>
      <c r="J48" s="13">
        <f>IF(H$12=0,0,H48/H$12)</f>
        <v>0</v>
      </c>
      <c r="K48" s="4"/>
      <c r="L48" s="4">
        <f>+D48-H48</f>
        <v>0</v>
      </c>
      <c r="M48" s="4"/>
      <c r="N48" s="13">
        <f>IF(H48=0,0,L48/H48)</f>
        <v>0</v>
      </c>
      <c r="O48" s="10"/>
      <c r="P48" s="4"/>
      <c r="Q48" s="4"/>
      <c r="R48" s="13">
        <f>IF(P$12=0,0,P48/P$12)</f>
        <v>0</v>
      </c>
      <c r="S48" s="4"/>
      <c r="T48" s="4"/>
      <c r="U48" s="4"/>
      <c r="V48" s="13">
        <f>IF(T$12=0,0,T48/T$12)</f>
        <v>0</v>
      </c>
      <c r="W48" s="4"/>
      <c r="X48" s="4">
        <f>+P48-T48</f>
        <v>0</v>
      </c>
      <c r="Y48" s="4"/>
      <c r="Z48" s="13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4</v>
      </c>
      <c r="C50" s="29"/>
      <c r="D50" s="31">
        <f>+D46-D48</f>
        <v>26444.100000000002</v>
      </c>
      <c r="E50" s="14"/>
      <c r="F50" s="33">
        <f>IF(D$12=0,0,D50/D$12)</f>
        <v>0</v>
      </c>
      <c r="G50" s="14"/>
      <c r="H50" s="31">
        <f>+H46-H48</f>
        <v>329.61202839231191</v>
      </c>
      <c r="I50" s="14"/>
      <c r="J50" s="33">
        <f>IF(H$12=0,0,H50/H$12)</f>
        <v>0</v>
      </c>
      <c r="K50" s="15"/>
      <c r="L50" s="31">
        <f>D50-H50</f>
        <v>26114.48797160769</v>
      </c>
      <c r="M50" s="15"/>
      <c r="N50" s="33">
        <f>IF(H50=0,0,L50/H50)</f>
        <v>79.227958090551297</v>
      </c>
      <c r="O50" s="28"/>
      <c r="P50" s="31">
        <f>+P46-P48</f>
        <v>329647</v>
      </c>
      <c r="Q50" s="14"/>
      <c r="R50" s="33">
        <f>IF(P$12=0,0,P50/P$12)</f>
        <v>0</v>
      </c>
      <c r="S50" s="14"/>
      <c r="T50" s="31">
        <f>+T46-T48</f>
        <v>335025.95636910002</v>
      </c>
      <c r="U50" s="14"/>
      <c r="V50" s="33">
        <f>IF(T$12=0,0,T50/T$12)</f>
        <v>0</v>
      </c>
      <c r="W50" s="15"/>
      <c r="X50" s="31">
        <f>P50-T50</f>
        <v>-5378.9563691000221</v>
      </c>
      <c r="Y50" s="15"/>
      <c r="Z50" s="33">
        <f>IF(T50=0,0,X50/T50)</f>
        <v>-1.6055342181230864E-2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5</v>
      </c>
      <c r="C53" s="29"/>
      <c r="D53" s="34">
        <f>SUM(D50:D52)</f>
        <v>26444.100000000002</v>
      </c>
      <c r="E53" s="14"/>
      <c r="F53" s="35">
        <f>IF(D$12=0,0,D53/D$12)</f>
        <v>0</v>
      </c>
      <c r="G53" s="14"/>
      <c r="H53" s="34">
        <f>SUM(H50:H52)</f>
        <v>329.61202839231191</v>
      </c>
      <c r="I53" s="14"/>
      <c r="J53" s="35">
        <f>IF(H$12=0,0,H53/H$12)</f>
        <v>0</v>
      </c>
      <c r="K53" s="15"/>
      <c r="L53" s="34">
        <f>+D53-H53</f>
        <v>26114.48797160769</v>
      </c>
      <c r="M53" s="15"/>
      <c r="N53" s="35">
        <f>IF(H53=0,0,L53/H53)</f>
        <v>79.227958090551297</v>
      </c>
      <c r="O53" s="28"/>
      <c r="P53" s="34">
        <f>SUM(P50:P52)</f>
        <v>329647</v>
      </c>
      <c r="Q53" s="14"/>
      <c r="R53" s="35">
        <f>IF(P$12=0,0,P53/P$12)</f>
        <v>0</v>
      </c>
      <c r="S53" s="14"/>
      <c r="T53" s="34">
        <f>SUM(T50:T52)</f>
        <v>335025.95636910002</v>
      </c>
      <c r="U53" s="14"/>
      <c r="V53" s="35">
        <f>IF(T$12=0,0,T53/T$12)</f>
        <v>0</v>
      </c>
      <c r="W53" s="15"/>
      <c r="X53" s="34">
        <f>+P53-T53</f>
        <v>-5378.9563691000221</v>
      </c>
      <c r="Y53" s="15"/>
      <c r="Z53" s="35">
        <f>IF(T53=0,0,X53/T53)</f>
        <v>-1.6055342181230864E-2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55">
        <v>44043.474005243057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62" t="s">
        <v>314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63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300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302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-133638.92000000001</v>
      </c>
      <c r="E12" s="4"/>
      <c r="F12" s="13"/>
      <c r="G12" s="4"/>
      <c r="H12" s="4">
        <f>SUM(OSRRefH13x_0)</f>
        <v>118670.00000000001</v>
      </c>
      <c r="I12" s="4"/>
      <c r="J12" s="13"/>
      <c r="K12" s="4"/>
      <c r="L12" s="4">
        <f t="shared" ref="L12:L19" si="0">+D12-H12</f>
        <v>-252308.92000000004</v>
      </c>
      <c r="M12" s="4"/>
      <c r="N12" s="13">
        <f t="shared" ref="N12:N19" si="1">IF(H12=0,0,L12/H12)</f>
        <v>-2.1261390410381731</v>
      </c>
      <c r="O12" s="10"/>
      <c r="P12" s="4">
        <f>SUM(OSRRefP13x_0)</f>
        <v>9037345.8499999996</v>
      </c>
      <c r="Q12" s="4"/>
      <c r="R12" s="13"/>
      <c r="S12" s="4"/>
      <c r="T12" s="4">
        <f>SUM(OSRRefT13x_0)</f>
        <v>11246375</v>
      </c>
      <c r="U12" s="4"/>
      <c r="V12" s="13"/>
      <c r="W12" s="4"/>
      <c r="X12" s="4">
        <f t="shared" ref="X12:X19" si="2">+P12-T12</f>
        <v>-2209029.1500000004</v>
      </c>
      <c r="Y12" s="4"/>
      <c r="Z12" s="13">
        <f t="shared" ref="Z12:Z19" si="3">IF(T12=0,0,X12/T12)</f>
        <v>-0.19642143801891723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--27.9</f>
        <v>27.9</v>
      </c>
      <c r="E13" s="2"/>
      <c r="F13" s="19"/>
      <c r="G13" s="2"/>
      <c r="H13" s="2"/>
      <c r="I13" s="2"/>
      <c r="J13" s="19"/>
      <c r="K13" s="2"/>
      <c r="L13" s="2">
        <f t="shared" si="0"/>
        <v>27.9</v>
      </c>
      <c r="M13" s="2"/>
      <c r="N13" s="19">
        <f t="shared" si="1"/>
        <v>0</v>
      </c>
      <c r="O13" s="11"/>
      <c r="P13" s="2">
        <f>--26743.59</f>
        <v>26743.59</v>
      </c>
      <c r="Q13" s="2"/>
      <c r="R13" s="19"/>
      <c r="S13" s="2"/>
      <c r="T13" s="2"/>
      <c r="U13" s="2"/>
      <c r="V13" s="19"/>
      <c r="W13" s="2"/>
      <c r="X13" s="2">
        <f t="shared" si="2"/>
        <v>26743.59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 t="shared" ref="D14:D15" si="4"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--973.49</f>
        <v>973.49</v>
      </c>
      <c r="Q14" s="2"/>
      <c r="R14" s="19"/>
      <c r="S14" s="2"/>
      <c r="T14" s="2"/>
      <c r="U14" s="2"/>
      <c r="V14" s="19"/>
      <c r="W14" s="2"/>
      <c r="X14" s="2">
        <f t="shared" si="2"/>
        <v>973.49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118670.00000000001</v>
      </c>
      <c r="I15" s="2"/>
      <c r="J15" s="19"/>
      <c r="K15" s="2"/>
      <c r="L15" s="2">
        <f t="shared" si="0"/>
        <v>-118670.00000000001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11246375</v>
      </c>
      <c r="U15" s="2"/>
      <c r="V15" s="19"/>
      <c r="W15" s="2"/>
      <c r="X15" s="2">
        <f t="shared" si="2"/>
        <v>-11246375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-138366.42</f>
        <v>-138366.42000000001</v>
      </c>
      <c r="E16" s="2"/>
      <c r="F16" s="19"/>
      <c r="G16" s="2"/>
      <c r="H16" s="2"/>
      <c r="I16" s="2"/>
      <c r="J16" s="19"/>
      <c r="K16" s="2"/>
      <c r="L16" s="2">
        <f t="shared" si="0"/>
        <v>-138366.42000000001</v>
      </c>
      <c r="M16" s="2"/>
      <c r="N16" s="19">
        <f t="shared" si="1"/>
        <v>0</v>
      </c>
      <c r="O16" s="11"/>
      <c r="P16" s="2">
        <f>--8700859.44</f>
        <v>8700859.4399999995</v>
      </c>
      <c r="Q16" s="2"/>
      <c r="R16" s="19"/>
      <c r="S16" s="2"/>
      <c r="T16" s="2"/>
      <c r="U16" s="2"/>
      <c r="V16" s="19"/>
      <c r="W16" s="2"/>
      <c r="X16" s="2">
        <f t="shared" si="2"/>
        <v>8700859.4399999995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--4699.6</f>
        <v>4699.6000000000004</v>
      </c>
      <c r="E17" s="2"/>
      <c r="F17" s="19"/>
      <c r="G17" s="2"/>
      <c r="H17" s="2"/>
      <c r="I17" s="2"/>
      <c r="J17" s="19"/>
      <c r="K17" s="2"/>
      <c r="L17" s="2">
        <f t="shared" si="0"/>
        <v>4699.6000000000004</v>
      </c>
      <c r="M17" s="2"/>
      <c r="N17" s="19">
        <f t="shared" si="1"/>
        <v>0</v>
      </c>
      <c r="O17" s="11"/>
      <c r="P17" s="2">
        <f>--304651.73</f>
        <v>304651.73</v>
      </c>
      <c r="Q17" s="2"/>
      <c r="R17" s="19"/>
      <c r="S17" s="2"/>
      <c r="T17" s="2"/>
      <c r="U17" s="2"/>
      <c r="V17" s="19"/>
      <c r="W17" s="2"/>
      <c r="X17" s="2">
        <f t="shared" si="2"/>
        <v>304651.73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"4155", " - ", "NON-TAXABLE SALES-FOOD")</f>
        <v xml:space="preserve">          4155 - NON-TAXABLE SALES-FOOD</v>
      </c>
      <c r="C18" s="11"/>
      <c r="D18" s="2">
        <f t="shared" ref="D18:D19" si="5"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--3733.9</f>
        <v>3733.9</v>
      </c>
      <c r="Q18" s="2"/>
      <c r="R18" s="19"/>
      <c r="S18" s="2"/>
      <c r="T18" s="2"/>
      <c r="U18" s="2"/>
      <c r="V18" s="19"/>
      <c r="W18" s="2"/>
      <c r="X18" s="2">
        <f t="shared" si="2"/>
        <v>3733.9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"4159", " - ", "NON-TAXABLE SALES-FOOD")</f>
        <v xml:space="preserve">          4159 - NON-TAXABLE SALES-FOOD</v>
      </c>
      <c r="C19" s="11"/>
      <c r="D19" s="2">
        <f t="shared" si="5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--383.7</f>
        <v>383.7</v>
      </c>
      <c r="Q19" s="2"/>
      <c r="R19" s="19"/>
      <c r="S19" s="2"/>
      <c r="T19" s="2"/>
      <c r="U19" s="2"/>
      <c r="V19" s="19"/>
      <c r="W19" s="2"/>
      <c r="X19" s="2">
        <f t="shared" si="2"/>
        <v>383.7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8" t="s">
        <v>8</v>
      </c>
      <c r="C21" s="10"/>
      <c r="D21" s="4">
        <f>SUM(OSRRefD16x_0)</f>
        <v>18200.21</v>
      </c>
      <c r="E21" s="4"/>
      <c r="F21" s="13">
        <f t="shared" ref="F21:F24" si="6">IF(D$12=0,0,D21/D$12)</f>
        <v>-0.13618944241692463</v>
      </c>
      <c r="G21" s="4"/>
      <c r="H21" s="4">
        <f>SUM(OSRRefH16x_0)</f>
        <v>37784</v>
      </c>
      <c r="I21" s="4"/>
      <c r="J21" s="13">
        <f t="shared" ref="J21:J24" si="7">IF(H$12=0,0,H21/H$12)</f>
        <v>0.31839555068677844</v>
      </c>
      <c r="K21" s="4"/>
      <c r="L21" s="4">
        <f t="shared" ref="L21:L24" si="8">+D21-H21</f>
        <v>-19583.79</v>
      </c>
      <c r="M21" s="4"/>
      <c r="N21" s="13">
        <f t="shared" ref="N21:N24" si="9">IF(H21=0,0,L21/H21)</f>
        <v>-0.5183090726233327</v>
      </c>
      <c r="O21" s="10"/>
      <c r="P21" s="4">
        <f>SUM(OSRRefP16x_0)</f>
        <v>2213342.3500000006</v>
      </c>
      <c r="Q21" s="4"/>
      <c r="R21" s="13">
        <f t="shared" ref="R21:R24" si="10">IF(P$12=0,0,P21/P$12)</f>
        <v>0.24491066146373061</v>
      </c>
      <c r="S21" s="4"/>
      <c r="T21" s="4">
        <f>SUM(OSRRefT16x_0)</f>
        <v>2967968.64</v>
      </c>
      <c r="U21" s="4"/>
      <c r="V21" s="13">
        <f t="shared" ref="V21:V24" si="11">IF(T$12=0,0,T21/T$12)</f>
        <v>0.26390447055162219</v>
      </c>
      <c r="W21" s="4"/>
      <c r="X21" s="4">
        <f t="shared" ref="X21:X24" si="12">+P21-T21</f>
        <v>-754626.28999999957</v>
      </c>
      <c r="Y21" s="4"/>
      <c r="Z21" s="13">
        <f t="shared" ref="Z21:Z24" si="13">IF(T21=0,0,X21/T21)</f>
        <v>-0.25425682732281146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19">
        <f t="shared" si="6"/>
        <v>0</v>
      </c>
      <c r="G22" s="2"/>
      <c r="H22" s="2">
        <v>37784</v>
      </c>
      <c r="I22" s="2"/>
      <c r="J22" s="19">
        <f t="shared" si="7"/>
        <v>0.31839555068677844</v>
      </c>
      <c r="K22" s="2"/>
      <c r="L22" s="2">
        <f t="shared" si="8"/>
        <v>-37784</v>
      </c>
      <c r="M22" s="2"/>
      <c r="N22" s="19">
        <f t="shared" si="9"/>
        <v>-1</v>
      </c>
      <c r="O22" s="11"/>
      <c r="P22" s="2"/>
      <c r="Q22" s="2"/>
      <c r="R22" s="19">
        <f t="shared" si="10"/>
        <v>0</v>
      </c>
      <c r="S22" s="2"/>
      <c r="T22" s="2">
        <v>2967968.64</v>
      </c>
      <c r="U22" s="2"/>
      <c r="V22" s="19">
        <f t="shared" si="11"/>
        <v>0.26390447055162219</v>
      </c>
      <c r="W22" s="2"/>
      <c r="X22" s="2">
        <f t="shared" si="12"/>
        <v>-2967968.64</v>
      </c>
      <c r="Y22" s="2"/>
      <c r="Z22" s="19">
        <f t="shared" si="13"/>
        <v>-1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10968.21</v>
      </c>
      <c r="E23" s="2"/>
      <c r="F23" s="19">
        <f t="shared" si="6"/>
        <v>-8.2073470812245405E-2</v>
      </c>
      <c r="G23" s="2"/>
      <c r="H23" s="2"/>
      <c r="I23" s="2"/>
      <c r="J23" s="19">
        <f t="shared" si="7"/>
        <v>0</v>
      </c>
      <c r="K23" s="2"/>
      <c r="L23" s="2">
        <f t="shared" si="8"/>
        <v>10968.21</v>
      </c>
      <c r="M23" s="2"/>
      <c r="N23" s="19">
        <f t="shared" si="9"/>
        <v>0</v>
      </c>
      <c r="O23" s="11"/>
      <c r="P23" s="2">
        <v>2183108.6100000003</v>
      </c>
      <c r="Q23" s="2"/>
      <c r="R23" s="19">
        <f t="shared" si="10"/>
        <v>0.24156523897998219</v>
      </c>
      <c r="S23" s="2"/>
      <c r="T23" s="2"/>
      <c r="U23" s="2"/>
      <c r="V23" s="19">
        <f t="shared" si="11"/>
        <v>0</v>
      </c>
      <c r="W23" s="2"/>
      <c r="X23" s="2">
        <f t="shared" si="12"/>
        <v>2183108.6100000003</v>
      </c>
      <c r="Y23" s="2"/>
      <c r="Z23" s="19">
        <f t="shared" si="13"/>
        <v>0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7232</v>
      </c>
      <c r="E24" s="2"/>
      <c r="F24" s="19">
        <f t="shared" si="6"/>
        <v>-5.4115971604679229E-2</v>
      </c>
      <c r="G24" s="2"/>
      <c r="H24" s="2"/>
      <c r="I24" s="2"/>
      <c r="J24" s="19">
        <f t="shared" si="7"/>
        <v>0</v>
      </c>
      <c r="K24" s="2"/>
      <c r="L24" s="2">
        <f t="shared" si="8"/>
        <v>7232</v>
      </c>
      <c r="M24" s="2"/>
      <c r="N24" s="19">
        <f t="shared" si="9"/>
        <v>0</v>
      </c>
      <c r="O24" s="11"/>
      <c r="P24" s="2">
        <v>30233.74</v>
      </c>
      <c r="Q24" s="2"/>
      <c r="R24" s="19">
        <f t="shared" si="10"/>
        <v>3.3454224837483676E-3</v>
      </c>
      <c r="S24" s="2"/>
      <c r="T24" s="2"/>
      <c r="U24" s="2"/>
      <c r="V24" s="19">
        <f t="shared" si="11"/>
        <v>0</v>
      </c>
      <c r="W24" s="2"/>
      <c r="X24" s="2">
        <f t="shared" si="12"/>
        <v>30233.74</v>
      </c>
      <c r="Y24" s="2"/>
      <c r="Z24" s="19">
        <f t="shared" si="13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6</v>
      </c>
      <c r="C26" s="29"/>
      <c r="D26" s="22">
        <f>D12-D21</f>
        <v>-151839.13</v>
      </c>
      <c r="E26" s="14"/>
      <c r="F26" s="20">
        <f>IF(D$12=0,0,D26/D$12)</f>
        <v>1.1361894424169245</v>
      </c>
      <c r="G26" s="14"/>
      <c r="H26" s="22">
        <f>H12-H21</f>
        <v>80886.000000000015</v>
      </c>
      <c r="I26" s="14"/>
      <c r="J26" s="20">
        <f>IF(H$12=0,0,H26/H$12)</f>
        <v>0.68160444931322162</v>
      </c>
      <c r="K26" s="15"/>
      <c r="L26" s="22">
        <f>+D26-H26</f>
        <v>-232725.13</v>
      </c>
      <c r="M26" s="15"/>
      <c r="N26" s="20">
        <f>IF(H26=0,0,L26/H26)</f>
        <v>-2.8771991444749396</v>
      </c>
      <c r="O26" s="28"/>
      <c r="P26" s="22">
        <f>P12-P21</f>
        <v>6824003.4999999991</v>
      </c>
      <c r="Q26" s="14"/>
      <c r="R26" s="20">
        <f>IF(P$12=0,0,P26/P$12)</f>
        <v>0.75508933853626936</v>
      </c>
      <c r="S26" s="14"/>
      <c r="T26" s="22">
        <f>T12-T21</f>
        <v>8278406.3599999994</v>
      </c>
      <c r="U26" s="14"/>
      <c r="V26" s="20">
        <f>IF(T$12=0,0,T26/T$12)</f>
        <v>0.73609552944837775</v>
      </c>
      <c r="W26" s="15"/>
      <c r="X26" s="22">
        <f>+P26-T26</f>
        <v>-1454402.8600000003</v>
      </c>
      <c r="Y26" s="15"/>
      <c r="Z26" s="20">
        <f>IF(T26=0,0,X26/T26)</f>
        <v>-0.17568633342613546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9</v>
      </c>
      <c r="C28" s="10"/>
      <c r="D28" s="21">
        <f>SUM(OSRRefD22x_0)</f>
        <v>124798.58999999998</v>
      </c>
      <c r="E28" s="21"/>
      <c r="F28" s="32">
        <f t="shared" ref="F28:F39" si="14">IF(D$12=0,0,D28/D$12)</f>
        <v>-0.93384913616482357</v>
      </c>
      <c r="G28" s="21"/>
      <c r="H28" s="21">
        <f>SUM(OSRRefH22x_0)</f>
        <v>287195.6188961803</v>
      </c>
      <c r="I28" s="21"/>
      <c r="J28" s="32">
        <f t="shared" ref="J28:J39" si="15">IF(H$12=0,0,H28/H$12)</f>
        <v>2.4201198187931259</v>
      </c>
      <c r="K28" s="4"/>
      <c r="L28" s="21">
        <f t="shared" ref="L28:L39" si="16">+D28-H28</f>
        <v>-162397.02889618033</v>
      </c>
      <c r="M28" s="4"/>
      <c r="N28" s="32">
        <f t="shared" ref="N28:N39" si="17">IF(H28=0,0,L28/H28)</f>
        <v>-0.56545789075872355</v>
      </c>
      <c r="O28" s="10"/>
      <c r="P28" s="21">
        <f>SUM(OSRRefP22x_0)</f>
        <v>4940577.41</v>
      </c>
      <c r="Q28" s="21"/>
      <c r="R28" s="32">
        <f t="shared" ref="R28:R39" si="18">IF(P$12=0,0,P28/P$12)</f>
        <v>0.54668455672745997</v>
      </c>
      <c r="S28" s="21"/>
      <c r="T28" s="21">
        <f>SUM(OSRRefT22x_0)</f>
        <v>5643524.4444434652</v>
      </c>
      <c r="U28" s="21"/>
      <c r="V28" s="32">
        <f t="shared" ref="V28:V39" si="19">IF(T$12=0,0,T28/T$12)</f>
        <v>0.50180831107298707</v>
      </c>
      <c r="W28" s="4"/>
      <c r="X28" s="21">
        <f t="shared" ref="X28:X39" si="20">+P28-T28</f>
        <v>-702947.03444346506</v>
      </c>
      <c r="Y28" s="4"/>
      <c r="Z28" s="32">
        <f t="shared" ref="Z28:Z39" si="21">IF(T28=0,0,X28/T28)</f>
        <v>-0.12455816243262255</v>
      </c>
    </row>
    <row r="29" spans="1:26" s="26" customFormat="1" outlineLevel="1" collapsed="1" x14ac:dyDescent="0.25">
      <c r="A29" s="25"/>
      <c r="B29" s="12" t="str">
        <f>CONCATENATE("     ","*Benefits                                         ")</f>
        <v xml:space="preserve">     *Benefits                                         </v>
      </c>
      <c r="C29" s="12"/>
      <c r="D29" s="1">
        <f>SUM(OSRRefD22_0x_0)</f>
        <v>61855.169999999991</v>
      </c>
      <c r="E29" s="1"/>
      <c r="F29" s="5">
        <f t="shared" si="14"/>
        <v>-0.46285296229571432</v>
      </c>
      <c r="G29" s="1"/>
      <c r="H29" s="1">
        <f>SUM(OSRRefH22_0x_0)</f>
        <v>74556.474477411073</v>
      </c>
      <c r="I29" s="1"/>
      <c r="J29" s="5">
        <f t="shared" si="15"/>
        <v>0.62826724932511224</v>
      </c>
      <c r="K29" s="1"/>
      <c r="L29" s="1">
        <f t="shared" si="16"/>
        <v>-12701.304477411082</v>
      </c>
      <c r="M29" s="1"/>
      <c r="N29" s="5">
        <f t="shared" si="17"/>
        <v>-0.17035816897778999</v>
      </c>
      <c r="O29" s="12"/>
      <c r="P29" s="1">
        <f>SUM(OSRRefP22_0x_0)</f>
        <v>1005352.1799999999</v>
      </c>
      <c r="Q29" s="1"/>
      <c r="R29" s="5">
        <f t="shared" si="18"/>
        <v>0.11124418570304023</v>
      </c>
      <c r="S29" s="1"/>
      <c r="T29" s="1">
        <f>SUM(OSRRefT22_0x_0)</f>
        <v>1028666.9024574655</v>
      </c>
      <c r="U29" s="1"/>
      <c r="V29" s="5">
        <f t="shared" si="19"/>
        <v>9.1466530544950311E-2</v>
      </c>
      <c r="W29" s="1"/>
      <c r="X29" s="1">
        <f t="shared" si="20"/>
        <v>-23314.722457465599</v>
      </c>
      <c r="Y29" s="1"/>
      <c r="Z29" s="5">
        <f t="shared" si="21"/>
        <v>-2.2664987472394781E-2</v>
      </c>
    </row>
    <row r="30" spans="1:26" s="24" customFormat="1" hidden="1" outlineLevel="2" x14ac:dyDescent="0.25">
      <c r="A30" s="27"/>
      <c r="B30" s="11" t="str">
        <f>CONCATENATE("          ", "6111", " - ", "F.I.C.A.")</f>
        <v xml:space="preserve">          6111 - F.I.C.A.</v>
      </c>
      <c r="C30" s="11"/>
      <c r="D30" s="6">
        <v>6677.71</v>
      </c>
      <c r="E30" s="2"/>
      <c r="F30" s="7">
        <f t="shared" si="14"/>
        <v>-4.9968302647162961E-2</v>
      </c>
      <c r="G30" s="2"/>
      <c r="H30" s="6">
        <v>10846.19230826031</v>
      </c>
      <c r="I30" s="2"/>
      <c r="J30" s="7">
        <f t="shared" si="15"/>
        <v>9.1397929622148044E-2</v>
      </c>
      <c r="K30" s="2"/>
      <c r="L30" s="6">
        <f t="shared" si="16"/>
        <v>-4168.4823082603098</v>
      </c>
      <c r="M30" s="2"/>
      <c r="N30" s="7">
        <f t="shared" si="17"/>
        <v>-0.38432679319964219</v>
      </c>
      <c r="O30" s="11"/>
      <c r="P30" s="6">
        <v>150355.07</v>
      </c>
      <c r="Q30" s="2"/>
      <c r="R30" s="7">
        <f t="shared" si="18"/>
        <v>1.663708266736301E-2</v>
      </c>
      <c r="S30" s="2"/>
      <c r="T30" s="6">
        <v>151108.76408960402</v>
      </c>
      <c r="U30" s="2"/>
      <c r="V30" s="7">
        <f t="shared" si="19"/>
        <v>1.3436219589832637E-2</v>
      </c>
      <c r="W30" s="2"/>
      <c r="X30" s="6">
        <f t="shared" si="20"/>
        <v>-753.69408960401779</v>
      </c>
      <c r="Y30" s="2"/>
      <c r="Z30" s="7">
        <f t="shared" si="21"/>
        <v>-4.9877589439954288E-3</v>
      </c>
    </row>
    <row r="31" spans="1:26" s="24" customFormat="1" hidden="1" outlineLevel="2" x14ac:dyDescent="0.25">
      <c r="A31" s="27"/>
      <c r="B31" s="11" t="str">
        <f>CONCATENATE("          ", "6112", " - ", "COMPENSATION INSURANCE")</f>
        <v xml:space="preserve">          6112 - COMPENSATION INSURANCE</v>
      </c>
      <c r="C31" s="11"/>
      <c r="D31" s="6">
        <v>3350.78</v>
      </c>
      <c r="E31" s="2"/>
      <c r="F31" s="7">
        <f t="shared" si="14"/>
        <v>-2.5073384310498766E-2</v>
      </c>
      <c r="G31" s="2"/>
      <c r="H31" s="6">
        <v>6080.3327319015352</v>
      </c>
      <c r="I31" s="2"/>
      <c r="J31" s="7">
        <f t="shared" si="15"/>
        <v>5.1237319726144218E-2</v>
      </c>
      <c r="K31" s="2"/>
      <c r="L31" s="6">
        <f t="shared" si="16"/>
        <v>-2729.552731901535</v>
      </c>
      <c r="M31" s="2"/>
      <c r="N31" s="7">
        <f t="shared" si="17"/>
        <v>-0.44891502689983664</v>
      </c>
      <c r="O31" s="11"/>
      <c r="P31" s="6">
        <v>94904.450000000012</v>
      </c>
      <c r="Q31" s="2"/>
      <c r="R31" s="7">
        <f t="shared" si="18"/>
        <v>1.0501363074425221E-2</v>
      </c>
      <c r="S31" s="2"/>
      <c r="T31" s="6">
        <v>117450.83142520001</v>
      </c>
      <c r="U31" s="2"/>
      <c r="V31" s="7">
        <f t="shared" si="19"/>
        <v>1.0443439012588502E-2</v>
      </c>
      <c r="W31" s="2"/>
      <c r="X31" s="6">
        <f t="shared" si="20"/>
        <v>-22546.381425200001</v>
      </c>
      <c r="Y31" s="2"/>
      <c r="Z31" s="7">
        <f t="shared" si="21"/>
        <v>-0.19196442589305074</v>
      </c>
    </row>
    <row r="32" spans="1:26" s="24" customFormat="1" hidden="1" outlineLevel="2" x14ac:dyDescent="0.25">
      <c r="A32" s="27"/>
      <c r="B32" s="11" t="str">
        <f>CONCATENATE("          ", "6113", " - ", "GROUP INSURANCE")</f>
        <v xml:space="preserve">          6113 - GROUP INSURANCE</v>
      </c>
      <c r="C32" s="11"/>
      <c r="D32" s="6">
        <v>41691.089999999997</v>
      </c>
      <c r="E32" s="2"/>
      <c r="F32" s="7">
        <f t="shared" si="14"/>
        <v>-0.31196817513939795</v>
      </c>
      <c r="G32" s="2"/>
      <c r="H32" s="6">
        <v>44401.692307692305</v>
      </c>
      <c r="I32" s="2"/>
      <c r="J32" s="7">
        <f t="shared" si="15"/>
        <v>0.37416105424869217</v>
      </c>
      <c r="K32" s="2"/>
      <c r="L32" s="6">
        <f t="shared" si="16"/>
        <v>-2710.6023076923084</v>
      </c>
      <c r="M32" s="2"/>
      <c r="N32" s="7">
        <f t="shared" si="17"/>
        <v>-6.1047274705399328E-2</v>
      </c>
      <c r="O32" s="11"/>
      <c r="P32" s="6">
        <v>557939.72</v>
      </c>
      <c r="Q32" s="2"/>
      <c r="R32" s="7">
        <f t="shared" si="18"/>
        <v>6.173712163510927E-2</v>
      </c>
      <c r="S32" s="2"/>
      <c r="T32" s="6">
        <v>557379.46153846139</v>
      </c>
      <c r="U32" s="2"/>
      <c r="V32" s="7">
        <f t="shared" si="19"/>
        <v>4.956081062017418E-2</v>
      </c>
      <c r="W32" s="2"/>
      <c r="X32" s="6">
        <f t="shared" si="20"/>
        <v>560.25846153858583</v>
      </c>
      <c r="Y32" s="2"/>
      <c r="Z32" s="7">
        <f t="shared" si="21"/>
        <v>1.0051652423506562E-3</v>
      </c>
    </row>
    <row r="33" spans="1:26" s="24" customFormat="1" hidden="1" outlineLevel="2" x14ac:dyDescent="0.25">
      <c r="A33" s="27"/>
      <c r="B33" s="11" t="str">
        <f>CONCATENATE("          ", "6114", " - ", "STATE UNEMPLOYMENT INSURANCE")</f>
        <v xml:space="preserve">          6114 - STATE UNEMPLOYMENT INSURANCE</v>
      </c>
      <c r="C33" s="11"/>
      <c r="D33" s="6">
        <v>-7153.84</v>
      </c>
      <c r="E33" s="2"/>
      <c r="F33" s="7">
        <f t="shared" si="14"/>
        <v>5.3531112044305655E-2</v>
      </c>
      <c r="G33" s="2"/>
      <c r="H33" s="6">
        <v>407.44497688000001</v>
      </c>
      <c r="I33" s="2"/>
      <c r="J33" s="7">
        <f t="shared" si="15"/>
        <v>3.4334286414426556E-3</v>
      </c>
      <c r="K33" s="2"/>
      <c r="L33" s="6">
        <f t="shared" si="16"/>
        <v>-7561.2849768800006</v>
      </c>
      <c r="M33" s="2"/>
      <c r="N33" s="7">
        <f t="shared" si="17"/>
        <v>-18.557806344258694</v>
      </c>
      <c r="O33" s="11"/>
      <c r="P33" s="6">
        <v>0</v>
      </c>
      <c r="Q33" s="2"/>
      <c r="R33" s="7">
        <f t="shared" si="18"/>
        <v>0</v>
      </c>
      <c r="S33" s="2"/>
      <c r="T33" s="6">
        <v>7895.4840614000004</v>
      </c>
      <c r="U33" s="2"/>
      <c r="V33" s="7">
        <f t="shared" si="19"/>
        <v>7.0204702060886295E-4</v>
      </c>
      <c r="W33" s="2"/>
      <c r="X33" s="6">
        <f t="shared" si="20"/>
        <v>-7895.4840614000004</v>
      </c>
      <c r="Y33" s="2"/>
      <c r="Z33" s="7">
        <f t="shared" si="21"/>
        <v>-1</v>
      </c>
    </row>
    <row r="34" spans="1:26" s="24" customFormat="1" hidden="1" outlineLevel="2" x14ac:dyDescent="0.25">
      <c r="A34" s="27"/>
      <c r="B34" s="11" t="str">
        <f>CONCATENATE("          ", "6115", " - ", "P.E.R.S.")</f>
        <v xml:space="preserve">          6115 - P.E.R.S.</v>
      </c>
      <c r="C34" s="11"/>
      <c r="D34" s="6">
        <v>3282.73</v>
      </c>
      <c r="E34" s="2"/>
      <c r="F34" s="7">
        <f t="shared" si="14"/>
        <v>-2.456417636419091E-2</v>
      </c>
      <c r="G34" s="2"/>
      <c r="H34" s="6">
        <v>3642.2280791384651</v>
      </c>
      <c r="I34" s="2"/>
      <c r="J34" s="7">
        <f t="shared" si="15"/>
        <v>3.0692071114337784E-2</v>
      </c>
      <c r="K34" s="2"/>
      <c r="L34" s="6">
        <f t="shared" si="16"/>
        <v>-359.49807913846507</v>
      </c>
      <c r="M34" s="2"/>
      <c r="N34" s="7">
        <f t="shared" si="17"/>
        <v>-9.8702791622951022E-2</v>
      </c>
      <c r="O34" s="11"/>
      <c r="P34" s="6">
        <v>51688.44</v>
      </c>
      <c r="Q34" s="2"/>
      <c r="R34" s="7">
        <f t="shared" si="18"/>
        <v>5.719427015178356E-3</v>
      </c>
      <c r="S34" s="2"/>
      <c r="T34" s="6">
        <v>47348.965028800041</v>
      </c>
      <c r="U34" s="2"/>
      <c r="V34" s="7">
        <f t="shared" si="19"/>
        <v>4.2101534964644203E-3</v>
      </c>
      <c r="W34" s="2"/>
      <c r="X34" s="6">
        <f t="shared" si="20"/>
        <v>4339.4749711999611</v>
      </c>
      <c r="Y34" s="2"/>
      <c r="Z34" s="7">
        <f t="shared" si="21"/>
        <v>9.1648781944029242E-2</v>
      </c>
    </row>
    <row r="35" spans="1:26" s="24" customFormat="1" hidden="1" outlineLevel="2" x14ac:dyDescent="0.25">
      <c r="A35" s="27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14"/>
        <v>0</v>
      </c>
      <c r="G35" s="2"/>
      <c r="H35" s="6">
        <v>0</v>
      </c>
      <c r="I35" s="2"/>
      <c r="J35" s="7">
        <f t="shared" si="15"/>
        <v>0</v>
      </c>
      <c r="K35" s="2"/>
      <c r="L35" s="6">
        <f t="shared" si="16"/>
        <v>0</v>
      </c>
      <c r="M35" s="2"/>
      <c r="N35" s="7">
        <f t="shared" si="17"/>
        <v>0</v>
      </c>
      <c r="O35" s="11"/>
      <c r="P35" s="6"/>
      <c r="Q35" s="2"/>
      <c r="R35" s="7">
        <f t="shared" si="18"/>
        <v>0</v>
      </c>
      <c r="S35" s="2"/>
      <c r="T35" s="6">
        <v>0</v>
      </c>
      <c r="U35" s="2"/>
      <c r="V35" s="7">
        <f t="shared" si="19"/>
        <v>0</v>
      </c>
      <c r="W35" s="2"/>
      <c r="X35" s="6">
        <f t="shared" si="20"/>
        <v>0</v>
      </c>
      <c r="Y35" s="2"/>
      <c r="Z35" s="7">
        <f t="shared" si="21"/>
        <v>0</v>
      </c>
    </row>
    <row r="36" spans="1:26" s="24" customFormat="1" hidden="1" outlineLevel="2" x14ac:dyDescent="0.25">
      <c r="A36" s="27"/>
      <c r="B36" s="11" t="str">
        <f>CONCATENATE("          ", "6117", " - ", "RETIREMENT STAFF HOURLY")</f>
        <v xml:space="preserve">          6117 - RETIREMENT STAFF HOURLY</v>
      </c>
      <c r="C36" s="11"/>
      <c r="D36" s="6">
        <v>1453.91</v>
      </c>
      <c r="E36" s="2"/>
      <c r="F36" s="7">
        <f t="shared" si="14"/>
        <v>-1.0879390524856081E-2</v>
      </c>
      <c r="G36" s="2"/>
      <c r="H36" s="6"/>
      <c r="I36" s="2"/>
      <c r="J36" s="7">
        <f t="shared" si="15"/>
        <v>0</v>
      </c>
      <c r="K36" s="2"/>
      <c r="L36" s="6">
        <f t="shared" si="16"/>
        <v>1453.91</v>
      </c>
      <c r="M36" s="2"/>
      <c r="N36" s="7">
        <f t="shared" si="17"/>
        <v>0</v>
      </c>
      <c r="O36" s="11"/>
      <c r="P36" s="6">
        <v>20877.599999999999</v>
      </c>
      <c r="Q36" s="2"/>
      <c r="R36" s="7">
        <f t="shared" si="18"/>
        <v>2.3101472873255148E-3</v>
      </c>
      <c r="S36" s="2"/>
      <c r="T36" s="6"/>
      <c r="U36" s="2"/>
      <c r="V36" s="7">
        <f t="shared" si="19"/>
        <v>0</v>
      </c>
      <c r="W36" s="2"/>
      <c r="X36" s="6">
        <f t="shared" si="20"/>
        <v>20877.599999999999</v>
      </c>
      <c r="Y36" s="2"/>
      <c r="Z36" s="7">
        <f t="shared" si="21"/>
        <v>0</v>
      </c>
    </row>
    <row r="37" spans="1:26" s="24" customFormat="1" hidden="1" outlineLevel="2" x14ac:dyDescent="0.25">
      <c r="A37" s="27"/>
      <c r="B37" s="11" t="str">
        <f>CONCATENATE("          ", "6118", " - ", "VACATION")</f>
        <v xml:space="preserve">          6118 - VACATION</v>
      </c>
      <c r="C37" s="11"/>
      <c r="D37" s="6">
        <v>5831.78</v>
      </c>
      <c r="E37" s="2"/>
      <c r="F37" s="7">
        <f t="shared" si="14"/>
        <v>-4.3638335299327466E-2</v>
      </c>
      <c r="G37" s="2"/>
      <c r="H37" s="6">
        <v>3611.6687587692322</v>
      </c>
      <c r="I37" s="2"/>
      <c r="J37" s="7">
        <f t="shared" si="15"/>
        <v>3.0434555985246751E-2</v>
      </c>
      <c r="K37" s="2"/>
      <c r="L37" s="6">
        <f t="shared" si="16"/>
        <v>2220.1112412307675</v>
      </c>
      <c r="M37" s="2"/>
      <c r="N37" s="7">
        <f t="shared" si="17"/>
        <v>0.61470510988591509</v>
      </c>
      <c r="O37" s="11"/>
      <c r="P37" s="6">
        <v>98573.73000000001</v>
      </c>
      <c r="Q37" s="2"/>
      <c r="R37" s="7">
        <f t="shared" si="18"/>
        <v>1.0907376085424463E-2</v>
      </c>
      <c r="S37" s="2"/>
      <c r="T37" s="6">
        <v>46681.652583999996</v>
      </c>
      <c r="U37" s="2"/>
      <c r="V37" s="7">
        <f t="shared" si="19"/>
        <v>4.1508177153971836E-3</v>
      </c>
      <c r="W37" s="2"/>
      <c r="X37" s="6">
        <f t="shared" si="20"/>
        <v>51892.077416000015</v>
      </c>
      <c r="Y37" s="2"/>
      <c r="Z37" s="7">
        <f t="shared" si="21"/>
        <v>1.1116161177589903</v>
      </c>
    </row>
    <row r="38" spans="1:26" s="24" customFormat="1" hidden="1" outlineLevel="2" x14ac:dyDescent="0.25">
      <c r="A38" s="27"/>
      <c r="B38" s="11" t="str">
        <f>CONCATENATE("          ", "6119", " - ", "SICK LEAVE")</f>
        <v xml:space="preserve">          6119 - SICK LEAVE</v>
      </c>
      <c r="C38" s="11"/>
      <c r="D38" s="6">
        <v>4472.3100000000004</v>
      </c>
      <c r="E38" s="2"/>
      <c r="F38" s="7">
        <f t="shared" si="14"/>
        <v>-3.3465625133755943E-2</v>
      </c>
      <c r="G38" s="2"/>
      <c r="H38" s="6">
        <v>4066.9153147692318</v>
      </c>
      <c r="I38" s="2"/>
      <c r="J38" s="7">
        <f t="shared" si="15"/>
        <v>3.4270795607729262E-2</v>
      </c>
      <c r="K38" s="2"/>
      <c r="L38" s="6">
        <f t="shared" si="16"/>
        <v>405.39468523076857</v>
      </c>
      <c r="M38" s="2"/>
      <c r="N38" s="7">
        <f t="shared" si="17"/>
        <v>9.9681122879189288E-2</v>
      </c>
      <c r="O38" s="11"/>
      <c r="P38" s="6">
        <v>-9843.3700000000008</v>
      </c>
      <c r="Q38" s="2"/>
      <c r="R38" s="7">
        <f t="shared" si="18"/>
        <v>-1.0891881491953749E-3</v>
      </c>
      <c r="S38" s="2"/>
      <c r="T38" s="6">
        <v>82801.743730000002</v>
      </c>
      <c r="U38" s="2"/>
      <c r="V38" s="7">
        <f t="shared" si="19"/>
        <v>7.3625273681519601E-3</v>
      </c>
      <c r="W38" s="2"/>
      <c r="X38" s="6">
        <f t="shared" si="20"/>
        <v>-92645.113729999997</v>
      </c>
      <c r="Y38" s="2"/>
      <c r="Z38" s="7">
        <f t="shared" si="21"/>
        <v>-1.118878776660758</v>
      </c>
    </row>
    <row r="39" spans="1:26" s="24" customFormat="1" hidden="1" outlineLevel="2" x14ac:dyDescent="0.25">
      <c r="A39" s="27"/>
      <c r="B39" s="11" t="str">
        <f>CONCATENATE("          ", "6156", " - ", "EMPLOYEE MEALS")</f>
        <v xml:space="preserve">          6156 - EMPLOYEE MEALS</v>
      </c>
      <c r="C39" s="11"/>
      <c r="D39" s="6">
        <v>2248.6999999999998</v>
      </c>
      <c r="E39" s="2"/>
      <c r="F39" s="7">
        <f t="shared" si="14"/>
        <v>-1.6826684920829948E-2</v>
      </c>
      <c r="G39" s="2"/>
      <c r="H39" s="6">
        <v>1500</v>
      </c>
      <c r="I39" s="2"/>
      <c r="J39" s="7">
        <f t="shared" si="15"/>
        <v>1.2640094379371365E-2</v>
      </c>
      <c r="K39" s="2"/>
      <c r="L39" s="6">
        <f t="shared" si="16"/>
        <v>748.69999999999982</v>
      </c>
      <c r="M39" s="2"/>
      <c r="N39" s="7">
        <f t="shared" si="17"/>
        <v>0.49913333333333321</v>
      </c>
      <c r="O39" s="11"/>
      <c r="P39" s="6">
        <v>40856.54</v>
      </c>
      <c r="Q39" s="2"/>
      <c r="R39" s="7">
        <f t="shared" si="18"/>
        <v>4.5208560874097792E-3</v>
      </c>
      <c r="S39" s="2"/>
      <c r="T39" s="6">
        <v>18000</v>
      </c>
      <c r="U39" s="2"/>
      <c r="V39" s="7">
        <f t="shared" si="19"/>
        <v>1.6005157217325583E-3</v>
      </c>
      <c r="W39" s="2"/>
      <c r="X39" s="6">
        <f t="shared" si="20"/>
        <v>22856.54</v>
      </c>
      <c r="Y39" s="2"/>
      <c r="Z39" s="7">
        <f t="shared" si="21"/>
        <v>1.2698077777777779</v>
      </c>
    </row>
    <row r="40" spans="1:26" s="26" customFormat="1" outlineLevel="1" collapsed="1" x14ac:dyDescent="0.25">
      <c r="A40" s="25"/>
      <c r="B40" s="12" t="str">
        <f>CONCATENATE("     ","*Payroll                                          ")</f>
        <v xml:space="preserve">     *Payroll                                          </v>
      </c>
      <c r="C40" s="12"/>
      <c r="D40" s="1">
        <f>SUM(OSRRefD22_1x_0)</f>
        <v>61595</v>
      </c>
      <c r="E40" s="1"/>
      <c r="F40" s="5">
        <f t="shared" ref="F40:F50" si="22">IF(D$12=0,0,D40/D$12)</f>
        <v>-0.46090614919665612</v>
      </c>
      <c r="G40" s="1"/>
      <c r="H40" s="1">
        <f>SUM(OSRRefH22_1x_0)</f>
        <v>149644.1444187692</v>
      </c>
      <c r="I40" s="1"/>
      <c r="J40" s="5">
        <f t="shared" ref="J40:J50" si="23">IF(H$12=0,0,H40/H$12)</f>
        <v>1.2610107391823475</v>
      </c>
      <c r="K40" s="1"/>
      <c r="L40" s="1">
        <f t="shared" ref="L40:L50" si="24">+D40-H40</f>
        <v>-88049.144418769196</v>
      </c>
      <c r="M40" s="1"/>
      <c r="N40" s="5">
        <f t="shared" ref="N40:N50" si="25">IF(H40=0,0,L40/H40)</f>
        <v>-0.58839017564475837</v>
      </c>
      <c r="O40" s="12"/>
      <c r="P40" s="1">
        <f>SUM(OSRRefP22_1x_0)</f>
        <v>2595607.4</v>
      </c>
      <c r="Q40" s="1"/>
      <c r="R40" s="5">
        <f t="shared" ref="R40:R50" si="26">IF(P$12=0,0,P40/P$12)</f>
        <v>0.2872090371533142</v>
      </c>
      <c r="S40" s="1"/>
      <c r="T40" s="1">
        <f>SUM(OSRRefT22_1x_0)</f>
        <v>2927240.5419859998</v>
      </c>
      <c r="U40" s="1"/>
      <c r="V40" s="5">
        <f t="shared" ref="V40:V50" si="27">IF(T$12=0,0,T40/T$12)</f>
        <v>0.2602830282634182</v>
      </c>
      <c r="W40" s="1"/>
      <c r="X40" s="1">
        <f t="shared" ref="X40:X50" si="28">+P40-T40</f>
        <v>-331633.14198599989</v>
      </c>
      <c r="Y40" s="1"/>
      <c r="Z40" s="5">
        <f t="shared" ref="Z40:Z50" si="29">IF(T40=0,0,X40/T40)</f>
        <v>-0.11329207054538874</v>
      </c>
    </row>
    <row r="41" spans="1:26" s="24" customFormat="1" hidden="1" outlineLevel="2" x14ac:dyDescent="0.25">
      <c r="A41" s="27"/>
      <c r="B41" s="11" t="str">
        <f>CONCATENATE("          ", "6001", " - ", "ADMINISTRATIVE SALARIES")</f>
        <v xml:space="preserve">          6001 - ADMINISTRATIVE SALARIES</v>
      </c>
      <c r="C41" s="11"/>
      <c r="D41" s="6">
        <v>8511.56</v>
      </c>
      <c r="E41" s="2"/>
      <c r="F41" s="7">
        <f t="shared" si="22"/>
        <v>-6.3690727222279253E-2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8511.56</v>
      </c>
      <c r="M41" s="2"/>
      <c r="N41" s="7">
        <f t="shared" si="25"/>
        <v>0</v>
      </c>
      <c r="O41" s="11"/>
      <c r="P41" s="6">
        <v>100143.27</v>
      </c>
      <c r="Q41" s="2"/>
      <c r="R41" s="7">
        <f t="shared" si="26"/>
        <v>1.108104875725211E-2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100143.27</v>
      </c>
      <c r="Y41" s="2"/>
      <c r="Z41" s="7">
        <f t="shared" si="29"/>
        <v>0</v>
      </c>
    </row>
    <row r="42" spans="1:26" s="24" customFormat="1" hidden="1" outlineLevel="2" x14ac:dyDescent="0.25">
      <c r="A42" s="27"/>
      <c r="B42" s="11" t="str">
        <f>CONCATENATE("          ", "6002", " - ", "STAFF SALARIES")</f>
        <v xml:space="preserve">          6002 - STAFF SALARIES</v>
      </c>
      <c r="C42" s="11"/>
      <c r="D42" s="6">
        <v>22233.230000000003</v>
      </c>
      <c r="E42" s="2"/>
      <c r="F42" s="7">
        <f t="shared" si="22"/>
        <v>-0.16636792634959935</v>
      </c>
      <c r="G42" s="2"/>
      <c r="H42" s="6">
        <v>39678.938974769218</v>
      </c>
      <c r="I42" s="2"/>
      <c r="J42" s="7">
        <f t="shared" si="23"/>
        <v>0.33436368900959984</v>
      </c>
      <c r="K42" s="2"/>
      <c r="L42" s="6">
        <f t="shared" si="24"/>
        <v>-17445.708974769215</v>
      </c>
      <c r="M42" s="2"/>
      <c r="N42" s="7">
        <f t="shared" si="25"/>
        <v>-0.43967176102824923</v>
      </c>
      <c r="O42" s="11"/>
      <c r="P42" s="6">
        <v>432106.04</v>
      </c>
      <c r="Q42" s="2"/>
      <c r="R42" s="7">
        <f t="shared" si="26"/>
        <v>4.7813378747699468E-2</v>
      </c>
      <c r="S42" s="2"/>
      <c r="T42" s="6">
        <v>515826.20667199953</v>
      </c>
      <c r="U42" s="2"/>
      <c r="V42" s="7">
        <f t="shared" si="27"/>
        <v>4.5865997414455725E-2</v>
      </c>
      <c r="W42" s="2"/>
      <c r="X42" s="6">
        <f t="shared" si="28"/>
        <v>-83720.166671999556</v>
      </c>
      <c r="Y42" s="2"/>
      <c r="Z42" s="7">
        <f t="shared" si="29"/>
        <v>-0.16230305011477447</v>
      </c>
    </row>
    <row r="43" spans="1:26" s="24" customFormat="1" hidden="1" outlineLevel="2" x14ac:dyDescent="0.25">
      <c r="A43" s="27"/>
      <c r="B43" s="11" t="str">
        <f>CONCATENATE("          ", "6003", " - ", "STAFF HOURLY-9 MONTH")</f>
        <v xml:space="preserve">          6003 - STAFF HOURLY-9 MONTH</v>
      </c>
      <c r="C43" s="11"/>
      <c r="D43" s="6"/>
      <c r="E43" s="2"/>
      <c r="F43" s="7">
        <f t="shared" si="22"/>
        <v>0</v>
      </c>
      <c r="G43" s="2"/>
      <c r="H43" s="6">
        <v>0</v>
      </c>
      <c r="I43" s="2"/>
      <c r="J43" s="7">
        <f t="shared" si="23"/>
        <v>0</v>
      </c>
      <c r="K43" s="2"/>
      <c r="L43" s="6">
        <f t="shared" si="24"/>
        <v>0</v>
      </c>
      <c r="M43" s="2"/>
      <c r="N43" s="7">
        <f t="shared" si="25"/>
        <v>0</v>
      </c>
      <c r="O43" s="11"/>
      <c r="P43" s="6"/>
      <c r="Q43" s="2"/>
      <c r="R43" s="7">
        <f t="shared" si="26"/>
        <v>0</v>
      </c>
      <c r="S43" s="2"/>
      <c r="T43" s="6">
        <v>0</v>
      </c>
      <c r="U43" s="2"/>
      <c r="V43" s="7">
        <f t="shared" si="27"/>
        <v>0</v>
      </c>
      <c r="W43" s="2"/>
      <c r="X43" s="6">
        <f t="shared" si="28"/>
        <v>0</v>
      </c>
      <c r="Y43" s="2"/>
      <c r="Z43" s="7">
        <f t="shared" si="29"/>
        <v>0</v>
      </c>
    </row>
    <row r="44" spans="1:26" s="24" customFormat="1" hidden="1" outlineLevel="2" x14ac:dyDescent="0.25">
      <c r="A44" s="27"/>
      <c r="B44" s="11" t="str">
        <f>CONCATENATE("          ", "6004", " - ", "STAFF HOURLY")</f>
        <v xml:space="preserve">          6004 - STAFF HOURLY</v>
      </c>
      <c r="C44" s="11"/>
      <c r="D44" s="6">
        <v>30850.21</v>
      </c>
      <c r="E44" s="2"/>
      <c r="F44" s="7">
        <f t="shared" si="22"/>
        <v>-0.23084749562477755</v>
      </c>
      <c r="G44" s="2"/>
      <c r="H44" s="6">
        <v>62975.403039999997</v>
      </c>
      <c r="I44" s="2"/>
      <c r="J44" s="7">
        <f t="shared" si="23"/>
        <v>0.53067669200303358</v>
      </c>
      <c r="K44" s="2"/>
      <c r="L44" s="6">
        <f t="shared" si="24"/>
        <v>-32125.193039999998</v>
      </c>
      <c r="M44" s="2"/>
      <c r="N44" s="7">
        <f t="shared" si="25"/>
        <v>-0.51012286526527006</v>
      </c>
      <c r="O44" s="11"/>
      <c r="P44" s="6">
        <v>696011.51</v>
      </c>
      <c r="Q44" s="2"/>
      <c r="R44" s="7">
        <f t="shared" si="26"/>
        <v>7.70150353380578E-2</v>
      </c>
      <c r="S44" s="2"/>
      <c r="T44" s="6">
        <v>936108.84207999997</v>
      </c>
      <c r="U44" s="2"/>
      <c r="V44" s="7">
        <f t="shared" si="27"/>
        <v>8.323649550010559E-2</v>
      </c>
      <c r="W44" s="2"/>
      <c r="X44" s="6">
        <f t="shared" si="28"/>
        <v>-240097.33207999996</v>
      </c>
      <c r="Y44" s="2"/>
      <c r="Z44" s="7">
        <f t="shared" si="29"/>
        <v>-0.25648441857093496</v>
      </c>
    </row>
    <row r="45" spans="1:26" s="24" customFormat="1" hidden="1" outlineLevel="2" x14ac:dyDescent="0.25">
      <c r="A45" s="27"/>
      <c r="B45" s="11" t="str">
        <f>CONCATENATE("          ", "6005", " - ", "TEMPORARY WAGES-HOURLY")</f>
        <v xml:space="preserve">          6005 - TEMPORARY WAGES-HOURLY</v>
      </c>
      <c r="C45" s="11"/>
      <c r="D45" s="6"/>
      <c r="E45" s="2"/>
      <c r="F45" s="7">
        <f t="shared" si="22"/>
        <v>0</v>
      </c>
      <c r="G45" s="2"/>
      <c r="H45" s="6">
        <v>14535.346404</v>
      </c>
      <c r="I45" s="2"/>
      <c r="J45" s="7">
        <f t="shared" si="23"/>
        <v>0.12248543358894412</v>
      </c>
      <c r="K45" s="2"/>
      <c r="L45" s="6">
        <f t="shared" si="24"/>
        <v>-14535.346404</v>
      </c>
      <c r="M45" s="2"/>
      <c r="N45" s="7">
        <f t="shared" si="25"/>
        <v>-1</v>
      </c>
      <c r="O45" s="11"/>
      <c r="P45" s="6">
        <v>393545.39999999997</v>
      </c>
      <c r="Q45" s="2"/>
      <c r="R45" s="7">
        <f t="shared" si="26"/>
        <v>4.354656848725115E-2</v>
      </c>
      <c r="S45" s="2"/>
      <c r="T45" s="6">
        <v>273435.42643399996</v>
      </c>
      <c r="U45" s="2"/>
      <c r="V45" s="7">
        <f t="shared" si="27"/>
        <v>2.4313205493681295E-2</v>
      </c>
      <c r="W45" s="2"/>
      <c r="X45" s="6">
        <f t="shared" si="28"/>
        <v>120109.973566</v>
      </c>
      <c r="Y45" s="2"/>
      <c r="Z45" s="7">
        <f t="shared" si="29"/>
        <v>0.43926266297096417</v>
      </c>
    </row>
    <row r="46" spans="1:26" s="24" customFormat="1" hidden="1" outlineLevel="2" x14ac:dyDescent="0.25">
      <c r="A46" s="27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2"/>
        <v>0</v>
      </c>
      <c r="G46" s="2"/>
      <c r="H46" s="6">
        <v>0</v>
      </c>
      <c r="I46" s="2"/>
      <c r="J46" s="7">
        <f t="shared" si="23"/>
        <v>0</v>
      </c>
      <c r="K46" s="2"/>
      <c r="L46" s="6">
        <f t="shared" si="24"/>
        <v>0</v>
      </c>
      <c r="M46" s="2"/>
      <c r="N46" s="7">
        <f t="shared" si="25"/>
        <v>0</v>
      </c>
      <c r="O46" s="11"/>
      <c r="P46" s="6">
        <v>34130.700000000004</v>
      </c>
      <c r="Q46" s="2"/>
      <c r="R46" s="7">
        <f t="shared" si="26"/>
        <v>3.7766287322068132E-3</v>
      </c>
      <c r="S46" s="2"/>
      <c r="T46" s="6">
        <v>0</v>
      </c>
      <c r="U46" s="2"/>
      <c r="V46" s="7">
        <f t="shared" si="27"/>
        <v>0</v>
      </c>
      <c r="W46" s="2"/>
      <c r="X46" s="6">
        <f t="shared" si="28"/>
        <v>34130.700000000004</v>
      </c>
      <c r="Y46" s="2"/>
      <c r="Z46" s="7">
        <f t="shared" si="29"/>
        <v>0</v>
      </c>
    </row>
    <row r="47" spans="1:26" s="24" customFormat="1" hidden="1" outlineLevel="2" x14ac:dyDescent="0.25">
      <c r="A47" s="27"/>
      <c r="B47" s="11" t="str">
        <f>CONCATENATE("          ", "6007", " - ", "STUDENT HOURLY")</f>
        <v xml:space="preserve">          6007 - STUDENT HOURLY</v>
      </c>
      <c r="C47" s="11"/>
      <c r="D47" s="6"/>
      <c r="E47" s="2"/>
      <c r="F47" s="7">
        <f t="shared" si="22"/>
        <v>0</v>
      </c>
      <c r="G47" s="2"/>
      <c r="H47" s="6">
        <v>32454.455999999998</v>
      </c>
      <c r="I47" s="2"/>
      <c r="J47" s="7">
        <f t="shared" si="23"/>
        <v>0.27348492458077017</v>
      </c>
      <c r="K47" s="2"/>
      <c r="L47" s="6">
        <f t="shared" si="24"/>
        <v>-32454.455999999998</v>
      </c>
      <c r="M47" s="2"/>
      <c r="N47" s="7">
        <f t="shared" si="25"/>
        <v>-1</v>
      </c>
      <c r="O47" s="11"/>
      <c r="P47" s="6">
        <v>767218.78</v>
      </c>
      <c r="Q47" s="2"/>
      <c r="R47" s="7">
        <f t="shared" si="26"/>
        <v>8.4894259081608581E-2</v>
      </c>
      <c r="S47" s="2"/>
      <c r="T47" s="6">
        <v>433063.5735</v>
      </c>
      <c r="U47" s="2"/>
      <c r="V47" s="7">
        <f t="shared" si="27"/>
        <v>3.8506947660912963E-2</v>
      </c>
      <c r="W47" s="2"/>
      <c r="X47" s="6">
        <f t="shared" si="28"/>
        <v>334155.20650000003</v>
      </c>
      <c r="Y47" s="2"/>
      <c r="Z47" s="7">
        <f t="shared" si="29"/>
        <v>0.77160774294492818</v>
      </c>
    </row>
    <row r="48" spans="1:26" s="24" customFormat="1" hidden="1" outlineLevel="2" x14ac:dyDescent="0.25">
      <c r="A48" s="27"/>
      <c r="B48" s="11" t="str">
        <f>CONCATENATE("          ", "6008", " - ", "STUDENT HOURLY-FICA EXEMPT")</f>
        <v xml:space="preserve">          6008 - STUDENT HOURLY-FICA EXEMPT</v>
      </c>
      <c r="C48" s="11"/>
      <c r="D48" s="6"/>
      <c r="E48" s="2"/>
      <c r="F48" s="7">
        <f t="shared" si="22"/>
        <v>0</v>
      </c>
      <c r="G48" s="2"/>
      <c r="H48" s="6">
        <v>0</v>
      </c>
      <c r="I48" s="2"/>
      <c r="J48" s="7">
        <f t="shared" si="23"/>
        <v>0</v>
      </c>
      <c r="K48" s="2"/>
      <c r="L48" s="6">
        <f t="shared" si="24"/>
        <v>0</v>
      </c>
      <c r="M48" s="2"/>
      <c r="N48" s="7">
        <f t="shared" si="25"/>
        <v>0</v>
      </c>
      <c r="O48" s="11"/>
      <c r="P48" s="6">
        <v>172451.69999999998</v>
      </c>
      <c r="Q48" s="2"/>
      <c r="R48" s="7">
        <f t="shared" si="26"/>
        <v>1.9082118009238296E-2</v>
      </c>
      <c r="S48" s="2"/>
      <c r="T48" s="6">
        <v>768806.49329999997</v>
      </c>
      <c r="U48" s="2"/>
      <c r="V48" s="7">
        <f t="shared" si="27"/>
        <v>6.8360382194262589E-2</v>
      </c>
      <c r="W48" s="2"/>
      <c r="X48" s="6">
        <f t="shared" si="28"/>
        <v>-596354.79330000002</v>
      </c>
      <c r="Y48" s="2"/>
      <c r="Z48" s="7">
        <f t="shared" si="29"/>
        <v>-0.77568906935245319</v>
      </c>
    </row>
    <row r="49" spans="1:26" s="24" customFormat="1" hidden="1" outlineLevel="2" x14ac:dyDescent="0.25">
      <c r="A49" s="27"/>
      <c r="B49" s="11" t="str">
        <f>CONCATENATE("          ", "6009", " - ", "TEMPORARY-SEASONAL")</f>
        <v xml:space="preserve">          6009 - TEMPORARY-SEASONAL</v>
      </c>
      <c r="C49" s="11"/>
      <c r="D49" s="6"/>
      <c r="E49" s="2"/>
      <c r="F49" s="7">
        <f t="shared" si="22"/>
        <v>0</v>
      </c>
      <c r="G49" s="2"/>
      <c r="H49" s="6">
        <v>0</v>
      </c>
      <c r="I49" s="2"/>
      <c r="J49" s="7">
        <f t="shared" si="23"/>
        <v>0</v>
      </c>
      <c r="K49" s="2"/>
      <c r="L49" s="6">
        <f t="shared" si="24"/>
        <v>0</v>
      </c>
      <c r="M49" s="2"/>
      <c r="N49" s="7">
        <f t="shared" si="25"/>
        <v>0</v>
      </c>
      <c r="O49" s="11"/>
      <c r="P49" s="6"/>
      <c r="Q49" s="2"/>
      <c r="R49" s="7">
        <f t="shared" si="26"/>
        <v>0</v>
      </c>
      <c r="S49" s="2"/>
      <c r="T49" s="6">
        <v>0</v>
      </c>
      <c r="U49" s="2"/>
      <c r="V49" s="7">
        <f t="shared" si="27"/>
        <v>0</v>
      </c>
      <c r="W49" s="2"/>
      <c r="X49" s="6">
        <f t="shared" si="28"/>
        <v>0</v>
      </c>
      <c r="Y49" s="2"/>
      <c r="Z49" s="7">
        <f t="shared" si="29"/>
        <v>0</v>
      </c>
    </row>
    <row r="50" spans="1:26" s="24" customFormat="1" hidden="1" outlineLevel="2" x14ac:dyDescent="0.25">
      <c r="A50" s="27"/>
      <c r="B50" s="11" t="str">
        <f>CONCATENATE("          ", "6010", " - ", "GRATUITY")</f>
        <v xml:space="preserve">          6010 - GRATUITY</v>
      </c>
      <c r="C50" s="11"/>
      <c r="D50" s="6"/>
      <c r="E50" s="2"/>
      <c r="F50" s="7">
        <f t="shared" si="22"/>
        <v>0</v>
      </c>
      <c r="G50" s="2"/>
      <c r="H50" s="6">
        <v>0</v>
      </c>
      <c r="I50" s="2"/>
      <c r="J50" s="7">
        <f t="shared" si="23"/>
        <v>0</v>
      </c>
      <c r="K50" s="2"/>
      <c r="L50" s="6">
        <f t="shared" si="24"/>
        <v>0</v>
      </c>
      <c r="M50" s="2"/>
      <c r="N50" s="7">
        <f t="shared" si="25"/>
        <v>0</v>
      </c>
      <c r="O50" s="11"/>
      <c r="P50" s="6"/>
      <c r="Q50" s="2"/>
      <c r="R50" s="7">
        <f t="shared" si="26"/>
        <v>0</v>
      </c>
      <c r="S50" s="2"/>
      <c r="T50" s="6">
        <v>0</v>
      </c>
      <c r="U50" s="2"/>
      <c r="V50" s="7">
        <f t="shared" si="27"/>
        <v>0</v>
      </c>
      <c r="W50" s="2"/>
      <c r="X50" s="6">
        <f t="shared" si="28"/>
        <v>0</v>
      </c>
      <c r="Y50" s="2"/>
      <c r="Z50" s="7">
        <f t="shared" si="29"/>
        <v>0</v>
      </c>
    </row>
    <row r="51" spans="1:26" s="26" customFormat="1" outlineLevel="1" collapsed="1" x14ac:dyDescent="0.25">
      <c r="A51" s="25"/>
      <c r="B51" s="12" t="str">
        <f>CONCATENATE("     ","Advertising/Promo                                 ")</f>
        <v xml:space="preserve">     Advertising/Promo                                 </v>
      </c>
      <c r="C51" s="12"/>
      <c r="D51" s="1">
        <f>SUM(OSRRefD22_2x_0)</f>
        <v>0</v>
      </c>
      <c r="E51" s="1"/>
      <c r="F51" s="5">
        <f t="shared" ref="F51:F55" si="30">IF(D$12=0,0,D51/D$12)</f>
        <v>0</v>
      </c>
      <c r="G51" s="1"/>
      <c r="H51" s="1">
        <f>SUM(OSRRefH22_2x_0)</f>
        <v>875</v>
      </c>
      <c r="I51" s="1"/>
      <c r="J51" s="5">
        <f t="shared" ref="J51:J55" si="31">IF(H$12=0,0,H51/H$12)</f>
        <v>7.3733883879666291E-3</v>
      </c>
      <c r="K51" s="1"/>
      <c r="L51" s="1">
        <f t="shared" ref="L51:L55" si="32">+D51-H51</f>
        <v>-875</v>
      </c>
      <c r="M51" s="1"/>
      <c r="N51" s="5">
        <f t="shared" ref="N51:N55" si="33">IF(H51=0,0,L51/H51)</f>
        <v>-1</v>
      </c>
      <c r="O51" s="12"/>
      <c r="P51" s="1">
        <f>SUM(OSRRefP22_2x_0)</f>
        <v>8477.7099999999991</v>
      </c>
      <c r="Q51" s="1"/>
      <c r="R51" s="5">
        <f t="shared" ref="R51:R55" si="34">IF(P$12=0,0,P51/P$12)</f>
        <v>9.3807519826188783E-4</v>
      </c>
      <c r="S51" s="1"/>
      <c r="T51" s="1">
        <f>SUM(OSRRefT22_2x_0)</f>
        <v>16000</v>
      </c>
      <c r="U51" s="1"/>
      <c r="V51" s="5">
        <f t="shared" ref="V51:V55" si="35">IF(T$12=0,0,T51/T$12)</f>
        <v>1.4226806415400517E-3</v>
      </c>
      <c r="W51" s="1"/>
      <c r="X51" s="1">
        <f t="shared" ref="X51:X55" si="36">+P51-T51</f>
        <v>-7522.2900000000009</v>
      </c>
      <c r="Y51" s="1"/>
      <c r="Z51" s="5">
        <f t="shared" ref="Z51:Z55" si="37">IF(T51=0,0,X51/T51)</f>
        <v>-0.47014312500000005</v>
      </c>
    </row>
    <row r="52" spans="1:26" s="24" customFormat="1" hidden="1" outlineLevel="2" x14ac:dyDescent="0.25">
      <c r="A52" s="27"/>
      <c r="B52" s="11" t="str">
        <f>CONCATENATE("          ", "6362", " - ", "ADVERTISING EXPENSE")</f>
        <v xml:space="preserve">          6362 - ADVERTISING EXPENSE</v>
      </c>
      <c r="C52" s="11"/>
      <c r="D52" s="6"/>
      <c r="E52" s="2"/>
      <c r="F52" s="7">
        <f t="shared" si="30"/>
        <v>0</v>
      </c>
      <c r="G52" s="2"/>
      <c r="H52" s="6">
        <v>875</v>
      </c>
      <c r="I52" s="2"/>
      <c r="J52" s="7">
        <f t="shared" si="31"/>
        <v>7.3733883879666291E-3</v>
      </c>
      <c r="K52" s="2"/>
      <c r="L52" s="6">
        <f t="shared" si="32"/>
        <v>-875</v>
      </c>
      <c r="M52" s="2"/>
      <c r="N52" s="7">
        <f t="shared" si="33"/>
        <v>-1</v>
      </c>
      <c r="O52" s="11"/>
      <c r="P52" s="6">
        <v>8477.7099999999991</v>
      </c>
      <c r="Q52" s="2"/>
      <c r="R52" s="7">
        <f t="shared" si="34"/>
        <v>9.3807519826188783E-4</v>
      </c>
      <c r="S52" s="2"/>
      <c r="T52" s="6">
        <v>16000</v>
      </c>
      <c r="U52" s="2"/>
      <c r="V52" s="7">
        <f t="shared" si="35"/>
        <v>1.4226806415400517E-3</v>
      </c>
      <c r="W52" s="2"/>
      <c r="X52" s="6">
        <f t="shared" si="36"/>
        <v>-7522.2900000000009</v>
      </c>
      <c r="Y52" s="2"/>
      <c r="Z52" s="7">
        <f t="shared" si="37"/>
        <v>-0.47014312500000005</v>
      </c>
    </row>
    <row r="53" spans="1:26" s="26" customFormat="1" outlineLevel="1" collapsed="1" x14ac:dyDescent="0.25">
      <c r="A53" s="25"/>
      <c r="B53" s="12" t="str">
        <f>CONCATENATE("     ","Bad Debts/Over/Short                              ")</f>
        <v xml:space="preserve">     Bad Debts/Over/Short                              </v>
      </c>
      <c r="C53" s="12"/>
      <c r="D53" s="1">
        <f>SUM(OSRRefD22_3x_0)</f>
        <v>0</v>
      </c>
      <c r="E53" s="1"/>
      <c r="F53" s="5">
        <f t="shared" si="30"/>
        <v>0</v>
      </c>
      <c r="G53" s="1"/>
      <c r="H53" s="1">
        <f>SUM(OSRRefH22_3x_0)</f>
        <v>113</v>
      </c>
      <c r="I53" s="1"/>
      <c r="J53" s="5">
        <f t="shared" si="31"/>
        <v>9.522204432459761E-4</v>
      </c>
      <c r="K53" s="1"/>
      <c r="L53" s="1">
        <f t="shared" si="32"/>
        <v>-113</v>
      </c>
      <c r="M53" s="1"/>
      <c r="N53" s="5">
        <f t="shared" si="33"/>
        <v>-1</v>
      </c>
      <c r="O53" s="12"/>
      <c r="P53" s="1">
        <f>SUM(OSRRefP22_3x_0)</f>
        <v>63.55</v>
      </c>
      <c r="Q53" s="1"/>
      <c r="R53" s="5">
        <f t="shared" si="34"/>
        <v>7.0319318364915733E-6</v>
      </c>
      <c r="S53" s="1"/>
      <c r="T53" s="1">
        <f>SUM(OSRRefT22_3x_0)</f>
        <v>1288</v>
      </c>
      <c r="U53" s="1"/>
      <c r="V53" s="5">
        <f t="shared" si="35"/>
        <v>1.1452579164397418E-4</v>
      </c>
      <c r="W53" s="1"/>
      <c r="X53" s="1">
        <f t="shared" si="36"/>
        <v>-1224.45</v>
      </c>
      <c r="Y53" s="1"/>
      <c r="Z53" s="5">
        <f t="shared" si="37"/>
        <v>-0.9506599378881988</v>
      </c>
    </row>
    <row r="54" spans="1:26" s="24" customFormat="1" hidden="1" outlineLevel="2" x14ac:dyDescent="0.25">
      <c r="A54" s="27"/>
      <c r="B54" s="11" t="str">
        <f>CONCATENATE("          ", "6272", " - ", "CASH (OVER/SHORT)")</f>
        <v xml:space="preserve">          6272 - CASH (OVER/SHORT)</v>
      </c>
      <c r="C54" s="11"/>
      <c r="D54" s="6"/>
      <c r="E54" s="2"/>
      <c r="F54" s="7">
        <f t="shared" si="30"/>
        <v>0</v>
      </c>
      <c r="G54" s="2"/>
      <c r="H54" s="6">
        <v>63</v>
      </c>
      <c r="I54" s="2"/>
      <c r="J54" s="7">
        <f t="shared" si="31"/>
        <v>5.3088396393359734E-4</v>
      </c>
      <c r="K54" s="2"/>
      <c r="L54" s="6">
        <f t="shared" si="32"/>
        <v>-63</v>
      </c>
      <c r="M54" s="2"/>
      <c r="N54" s="7">
        <f t="shared" si="33"/>
        <v>-1</v>
      </c>
      <c r="O54" s="11"/>
      <c r="P54" s="6">
        <v>63.55</v>
      </c>
      <c r="Q54" s="2"/>
      <c r="R54" s="7">
        <f t="shared" si="34"/>
        <v>7.0319318364915733E-6</v>
      </c>
      <c r="S54" s="2"/>
      <c r="T54" s="6">
        <v>738</v>
      </c>
      <c r="U54" s="2"/>
      <c r="V54" s="7">
        <f t="shared" si="35"/>
        <v>6.5621144591034892E-5</v>
      </c>
      <c r="W54" s="2"/>
      <c r="X54" s="6">
        <f t="shared" si="36"/>
        <v>-674.45</v>
      </c>
      <c r="Y54" s="2"/>
      <c r="Z54" s="7">
        <f t="shared" si="37"/>
        <v>-0.91388888888888897</v>
      </c>
    </row>
    <row r="55" spans="1:26" s="24" customFormat="1" hidden="1" outlineLevel="2" x14ac:dyDescent="0.25">
      <c r="A55" s="27"/>
      <c r="B55" s="11" t="str">
        <f>CONCATENATE("          ", "6342", " - ", "BAD DEBT")</f>
        <v xml:space="preserve">          6342 - BAD DEBT</v>
      </c>
      <c r="C55" s="11"/>
      <c r="D55" s="6"/>
      <c r="E55" s="2"/>
      <c r="F55" s="7">
        <f t="shared" si="30"/>
        <v>0</v>
      </c>
      <c r="G55" s="2"/>
      <c r="H55" s="6">
        <v>50</v>
      </c>
      <c r="I55" s="2"/>
      <c r="J55" s="7">
        <f t="shared" si="31"/>
        <v>4.2133647931237881E-4</v>
      </c>
      <c r="K55" s="2"/>
      <c r="L55" s="6">
        <f t="shared" si="32"/>
        <v>-50</v>
      </c>
      <c r="M55" s="2"/>
      <c r="N55" s="7">
        <f t="shared" si="33"/>
        <v>-1</v>
      </c>
      <c r="O55" s="11"/>
      <c r="P55" s="6"/>
      <c r="Q55" s="2"/>
      <c r="R55" s="7">
        <f t="shared" si="34"/>
        <v>0</v>
      </c>
      <c r="S55" s="2"/>
      <c r="T55" s="6">
        <v>550</v>
      </c>
      <c r="U55" s="2"/>
      <c r="V55" s="7">
        <f t="shared" si="35"/>
        <v>4.8904647052939283E-5</v>
      </c>
      <c r="W55" s="2"/>
      <c r="X55" s="6">
        <f t="shared" si="36"/>
        <v>-550</v>
      </c>
      <c r="Y55" s="2"/>
      <c r="Z55" s="7">
        <f t="shared" si="37"/>
        <v>-1</v>
      </c>
    </row>
    <row r="56" spans="1:26" s="26" customFormat="1" outlineLevel="1" collapsed="1" x14ac:dyDescent="0.25">
      <c r="A56" s="25"/>
      <c r="B56" s="12" t="str">
        <f>CONCATENATE("     ","Bank/card Fees                                    ")</f>
        <v xml:space="preserve">     Bank/card Fees                                    </v>
      </c>
      <c r="C56" s="12"/>
      <c r="D56" s="1">
        <f>SUM(OSRRefD22_4x_0)</f>
        <v>0</v>
      </c>
      <c r="E56" s="1"/>
      <c r="F56" s="5">
        <f t="shared" ref="F56:F62" si="38">IF(D$12=0,0,D56/D$12)</f>
        <v>0</v>
      </c>
      <c r="G56" s="1"/>
      <c r="H56" s="1">
        <f>SUM(OSRRefH22_4x_0)</f>
        <v>415</v>
      </c>
      <c r="I56" s="1"/>
      <c r="J56" s="5">
        <f t="shared" ref="J56:J62" si="39">IF(H$12=0,0,H56/H$12)</f>
        <v>3.4970927782927443E-3</v>
      </c>
      <c r="K56" s="1"/>
      <c r="L56" s="1">
        <f t="shared" ref="L56:L62" si="40">+D56-H56</f>
        <v>-415</v>
      </c>
      <c r="M56" s="1"/>
      <c r="N56" s="5">
        <f t="shared" ref="N56:N62" si="41">IF(H56=0,0,L56/H56)</f>
        <v>-1</v>
      </c>
      <c r="O56" s="12"/>
      <c r="P56" s="1">
        <f>SUM(OSRRefP22_4x_0)</f>
        <v>3181.84</v>
      </c>
      <c r="Q56" s="1"/>
      <c r="R56" s="5">
        <f t="shared" ref="R56:R62" si="42">IF(P$12=0,0,P56/P$12)</f>
        <v>3.5207682131585132E-4</v>
      </c>
      <c r="S56" s="1"/>
      <c r="T56" s="1">
        <f>SUM(OSRRefT22_4x_0)</f>
        <v>5219</v>
      </c>
      <c r="U56" s="1"/>
      <c r="V56" s="5">
        <f t="shared" ref="V56:V62" si="43">IF(T$12=0,0,T56/T$12)</f>
        <v>4.6406064176234566E-4</v>
      </c>
      <c r="W56" s="1"/>
      <c r="X56" s="1">
        <f t="shared" ref="X56:X62" si="44">+P56-T56</f>
        <v>-2037.1599999999999</v>
      </c>
      <c r="Y56" s="1"/>
      <c r="Z56" s="5">
        <f t="shared" ref="Z56:Z62" si="45">IF(T56=0,0,X56/T56)</f>
        <v>-0.39033531327840582</v>
      </c>
    </row>
    <row r="57" spans="1:26" s="24" customFormat="1" hidden="1" outlineLevel="2" x14ac:dyDescent="0.25">
      <c r="A57" s="27"/>
      <c r="B57" s="11" t="str">
        <f>CONCATENATE("          ", "6381", " - ", "BANK/CREDIT CARD FEES")</f>
        <v xml:space="preserve">          6381 - BANK/CREDIT CARD FEES</v>
      </c>
      <c r="C57" s="11"/>
      <c r="D57" s="6"/>
      <c r="E57" s="2"/>
      <c r="F57" s="7">
        <f t="shared" si="38"/>
        <v>0</v>
      </c>
      <c r="G57" s="2"/>
      <c r="H57" s="6">
        <v>415</v>
      </c>
      <c r="I57" s="2"/>
      <c r="J57" s="7">
        <f t="shared" si="39"/>
        <v>3.4970927782927443E-3</v>
      </c>
      <c r="K57" s="2"/>
      <c r="L57" s="6">
        <f t="shared" si="40"/>
        <v>-415</v>
      </c>
      <c r="M57" s="2"/>
      <c r="N57" s="7">
        <f t="shared" si="41"/>
        <v>-1</v>
      </c>
      <c r="O57" s="11"/>
      <c r="P57" s="6">
        <v>3181.84</v>
      </c>
      <c r="Q57" s="2"/>
      <c r="R57" s="7">
        <f t="shared" si="42"/>
        <v>3.5207682131585132E-4</v>
      </c>
      <c r="S57" s="2"/>
      <c r="T57" s="6">
        <v>5219</v>
      </c>
      <c r="U57" s="2"/>
      <c r="V57" s="7">
        <f t="shared" si="43"/>
        <v>4.6406064176234566E-4</v>
      </c>
      <c r="W57" s="2"/>
      <c r="X57" s="6">
        <f t="shared" si="44"/>
        <v>-2037.1599999999999</v>
      </c>
      <c r="Y57" s="2"/>
      <c r="Z57" s="7">
        <f t="shared" si="45"/>
        <v>-0.39033531327840582</v>
      </c>
    </row>
    <row r="58" spans="1:26" s="26" customFormat="1" outlineLevel="1" collapsed="1" x14ac:dyDescent="0.25">
      <c r="A58" s="25"/>
      <c r="B58" s="12" t="str">
        <f>CONCATENATE("     ","Depreciation                                      ")</f>
        <v xml:space="preserve">     Depreciation                                      </v>
      </c>
      <c r="C58" s="12"/>
      <c r="D58" s="1">
        <f>SUM(OSRRefD22_5x_0)</f>
        <v>213.01</v>
      </c>
      <c r="E58" s="1"/>
      <c r="F58" s="5">
        <f t="shared" si="38"/>
        <v>-1.5939218904193477E-3</v>
      </c>
      <c r="G58" s="1"/>
      <c r="H58" s="1">
        <f>SUM(OSRRefH22_5x_0)</f>
        <v>0</v>
      </c>
      <c r="I58" s="1"/>
      <c r="J58" s="5">
        <f t="shared" si="39"/>
        <v>0</v>
      </c>
      <c r="K58" s="1"/>
      <c r="L58" s="1">
        <f t="shared" si="40"/>
        <v>213.01</v>
      </c>
      <c r="M58" s="1"/>
      <c r="N58" s="5">
        <f t="shared" si="41"/>
        <v>0</v>
      </c>
      <c r="O58" s="12"/>
      <c r="P58" s="1">
        <f>SUM(OSRRefP22_5x_0)</f>
        <v>852.07</v>
      </c>
      <c r="Q58" s="1"/>
      <c r="R58" s="5">
        <f t="shared" si="42"/>
        <v>9.4283212587244309E-5</v>
      </c>
      <c r="S58" s="1"/>
      <c r="T58" s="1">
        <f>SUM(OSRRefT22_5x_0)</f>
        <v>0</v>
      </c>
      <c r="U58" s="1"/>
      <c r="V58" s="5">
        <f t="shared" si="43"/>
        <v>0</v>
      </c>
      <c r="W58" s="1"/>
      <c r="X58" s="1">
        <f t="shared" si="44"/>
        <v>852.07</v>
      </c>
      <c r="Y58" s="1"/>
      <c r="Z58" s="5">
        <f t="shared" si="45"/>
        <v>0</v>
      </c>
    </row>
    <row r="59" spans="1:26" s="24" customFormat="1" hidden="1" outlineLevel="2" x14ac:dyDescent="0.25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213.01</v>
      </c>
      <c r="E59" s="2"/>
      <c r="F59" s="7">
        <f t="shared" si="38"/>
        <v>-1.5939218904193477E-3</v>
      </c>
      <c r="G59" s="2"/>
      <c r="H59" s="6"/>
      <c r="I59" s="2"/>
      <c r="J59" s="7">
        <f t="shared" si="39"/>
        <v>0</v>
      </c>
      <c r="K59" s="2"/>
      <c r="L59" s="6">
        <f t="shared" si="40"/>
        <v>213.01</v>
      </c>
      <c r="M59" s="2"/>
      <c r="N59" s="7">
        <f t="shared" si="41"/>
        <v>0</v>
      </c>
      <c r="O59" s="11"/>
      <c r="P59" s="6">
        <v>852.07</v>
      </c>
      <c r="Q59" s="2"/>
      <c r="R59" s="7">
        <f t="shared" si="42"/>
        <v>9.4283212587244309E-5</v>
      </c>
      <c r="S59" s="2"/>
      <c r="T59" s="6"/>
      <c r="U59" s="2"/>
      <c r="V59" s="7">
        <f t="shared" si="43"/>
        <v>0</v>
      </c>
      <c r="W59" s="2"/>
      <c r="X59" s="6">
        <f t="shared" si="44"/>
        <v>852.07</v>
      </c>
      <c r="Y59" s="2"/>
      <c r="Z59" s="7">
        <f t="shared" si="45"/>
        <v>0</v>
      </c>
    </row>
    <row r="60" spans="1:26" s="26" customFormat="1" outlineLevel="1" collapsed="1" x14ac:dyDescent="0.25">
      <c r="A60" s="25"/>
      <c r="B60" s="12" t="str">
        <f>CONCATENATE("     ","Donations                                         ")</f>
        <v xml:space="preserve">     Donations                                         </v>
      </c>
      <c r="C60" s="12"/>
      <c r="D60" s="1">
        <f>SUM(OSRRefD22_6x_0)</f>
        <v>0</v>
      </c>
      <c r="E60" s="1"/>
      <c r="F60" s="5">
        <f t="shared" si="38"/>
        <v>0</v>
      </c>
      <c r="G60" s="1"/>
      <c r="H60" s="1">
        <f>SUM(OSRRefH22_6x_0)</f>
        <v>100</v>
      </c>
      <c r="I60" s="1"/>
      <c r="J60" s="5">
        <f t="shared" si="39"/>
        <v>8.4267295862475763E-4</v>
      </c>
      <c r="K60" s="1"/>
      <c r="L60" s="1">
        <f t="shared" si="40"/>
        <v>-100</v>
      </c>
      <c r="M60" s="1"/>
      <c r="N60" s="5">
        <f t="shared" si="41"/>
        <v>-1</v>
      </c>
      <c r="O60" s="12"/>
      <c r="P60" s="1">
        <f>SUM(OSRRefP22_6x_0)</f>
        <v>140099.51999999999</v>
      </c>
      <c r="Q60" s="1"/>
      <c r="R60" s="5">
        <f t="shared" si="42"/>
        <v>1.5502285994731517E-2</v>
      </c>
      <c r="S60" s="1"/>
      <c r="T60" s="1">
        <f>SUM(OSRRefT22_6x_0)</f>
        <v>134808</v>
      </c>
      <c r="U60" s="1"/>
      <c r="V60" s="5">
        <f t="shared" si="43"/>
        <v>1.1986795745295707E-2</v>
      </c>
      <c r="W60" s="1"/>
      <c r="X60" s="1">
        <f t="shared" si="44"/>
        <v>5291.5199999999895</v>
      </c>
      <c r="Y60" s="1"/>
      <c r="Z60" s="5">
        <f t="shared" si="45"/>
        <v>3.9252269894961646E-2</v>
      </c>
    </row>
    <row r="61" spans="1:26" s="24" customFormat="1" hidden="1" outlineLevel="2" x14ac:dyDescent="0.25">
      <c r="A61" s="27"/>
      <c r="B61" s="11" t="str">
        <f>CONCATENATE("          ", "6396", " - ", "COUPONS-CHARTROOM")</f>
        <v xml:space="preserve">          6396 - COUPONS-CHARTROOM</v>
      </c>
      <c r="C61" s="11"/>
      <c r="D61" s="6"/>
      <c r="E61" s="2"/>
      <c r="F61" s="7">
        <f t="shared" si="38"/>
        <v>0</v>
      </c>
      <c r="G61" s="2"/>
      <c r="H61" s="6">
        <v>100</v>
      </c>
      <c r="I61" s="2"/>
      <c r="J61" s="7">
        <f t="shared" si="39"/>
        <v>8.4267295862475763E-4</v>
      </c>
      <c r="K61" s="2"/>
      <c r="L61" s="6">
        <f t="shared" si="40"/>
        <v>-100</v>
      </c>
      <c r="M61" s="2"/>
      <c r="N61" s="7">
        <f t="shared" si="41"/>
        <v>-1</v>
      </c>
      <c r="O61" s="11"/>
      <c r="P61" s="6"/>
      <c r="Q61" s="2"/>
      <c r="R61" s="7">
        <f t="shared" si="42"/>
        <v>0</v>
      </c>
      <c r="S61" s="2"/>
      <c r="T61" s="6">
        <v>1200</v>
      </c>
      <c r="U61" s="2"/>
      <c r="V61" s="7">
        <f t="shared" si="43"/>
        <v>1.0670104811550388E-4</v>
      </c>
      <c r="W61" s="2"/>
      <c r="X61" s="6">
        <f t="shared" si="44"/>
        <v>-1200</v>
      </c>
      <c r="Y61" s="2"/>
      <c r="Z61" s="7">
        <f t="shared" si="45"/>
        <v>-1</v>
      </c>
    </row>
    <row r="62" spans="1:26" s="24" customFormat="1" hidden="1" outlineLevel="2" x14ac:dyDescent="0.25">
      <c r="A62" s="27"/>
      <c r="B62" s="11" t="str">
        <f>CONCATENATE("          ", "6399", " - ", "DONATION-ON CAMPUS")</f>
        <v xml:space="preserve">          6399 - DONATION-ON CAMPUS</v>
      </c>
      <c r="C62" s="11"/>
      <c r="D62" s="6"/>
      <c r="E62" s="2"/>
      <c r="F62" s="7">
        <f t="shared" si="38"/>
        <v>0</v>
      </c>
      <c r="G62" s="2"/>
      <c r="H62" s="6"/>
      <c r="I62" s="2"/>
      <c r="J62" s="7">
        <f t="shared" si="39"/>
        <v>0</v>
      </c>
      <c r="K62" s="2"/>
      <c r="L62" s="6">
        <f t="shared" si="40"/>
        <v>0</v>
      </c>
      <c r="M62" s="2"/>
      <c r="N62" s="7">
        <f t="shared" si="41"/>
        <v>0</v>
      </c>
      <c r="O62" s="11"/>
      <c r="P62" s="6">
        <v>140099.51999999999</v>
      </c>
      <c r="Q62" s="2"/>
      <c r="R62" s="7">
        <f t="shared" si="42"/>
        <v>1.5502285994731517E-2</v>
      </c>
      <c r="S62" s="2"/>
      <c r="T62" s="6">
        <v>133608</v>
      </c>
      <c r="U62" s="2"/>
      <c r="V62" s="7">
        <f t="shared" si="43"/>
        <v>1.1880094697180203E-2</v>
      </c>
      <c r="W62" s="2"/>
      <c r="X62" s="6">
        <f t="shared" si="44"/>
        <v>6491.5199999999895</v>
      </c>
      <c r="Y62" s="2"/>
      <c r="Z62" s="7">
        <f t="shared" si="45"/>
        <v>4.8586312196874364E-2</v>
      </c>
    </row>
    <row r="63" spans="1:26" s="26" customFormat="1" outlineLevel="1" collapsed="1" x14ac:dyDescent="0.25">
      <c r="A63" s="25"/>
      <c r="B63" s="12" t="str">
        <f>CONCATENATE("     ","Employees' Appreciation                           ")</f>
        <v xml:space="preserve">     Employees' Appreciation                           </v>
      </c>
      <c r="C63" s="12"/>
      <c r="D63" s="1">
        <f>SUM(OSRRefD22_7x_0)</f>
        <v>0</v>
      </c>
      <c r="E63" s="1"/>
      <c r="F63" s="5">
        <f t="shared" ref="F63:F79" si="46">IF(D$12=0,0,D63/D$12)</f>
        <v>0</v>
      </c>
      <c r="G63" s="1"/>
      <c r="H63" s="1">
        <f>SUM(OSRRefH22_7x_0)</f>
        <v>605</v>
      </c>
      <c r="I63" s="1"/>
      <c r="J63" s="5">
        <f t="shared" ref="J63:J79" si="47">IF(H$12=0,0,H63/H$12)</f>
        <v>5.0981713996797835E-3</v>
      </c>
      <c r="K63" s="1"/>
      <c r="L63" s="1">
        <f t="shared" ref="L63:L79" si="48">+D63-H63</f>
        <v>-605</v>
      </c>
      <c r="M63" s="1"/>
      <c r="N63" s="5">
        <f t="shared" ref="N63:N79" si="49">IF(H63=0,0,L63/H63)</f>
        <v>-1</v>
      </c>
      <c r="O63" s="12"/>
      <c r="P63" s="1">
        <f>SUM(OSRRefP22_7x_0)</f>
        <v>1798.43</v>
      </c>
      <c r="Q63" s="1"/>
      <c r="R63" s="5">
        <f t="shared" ref="R63:R79" si="50">IF(P$12=0,0,P63/P$12)</f>
        <v>1.9899979815423354E-4</v>
      </c>
      <c r="S63" s="1"/>
      <c r="T63" s="1">
        <f>SUM(OSRRefT22_7x_0)</f>
        <v>8070</v>
      </c>
      <c r="U63" s="1"/>
      <c r="V63" s="5">
        <f t="shared" ref="V63:V79" si="51">IF(T$12=0,0,T63/T$12)</f>
        <v>7.1756454857676362E-4</v>
      </c>
      <c r="W63" s="1"/>
      <c r="X63" s="1">
        <f t="shared" ref="X63:X79" si="52">+P63-T63</f>
        <v>-6271.57</v>
      </c>
      <c r="Y63" s="1"/>
      <c r="Z63" s="5">
        <f t="shared" ref="Z63:Z79" si="53">IF(T63=0,0,X63/T63)</f>
        <v>-0.77714622057001237</v>
      </c>
    </row>
    <row r="64" spans="1:26" s="24" customFormat="1" hidden="1" outlineLevel="2" x14ac:dyDescent="0.25">
      <c r="A64" s="27"/>
      <c r="B64" s="11" t="str">
        <f>CONCATENATE("          ", "6277", " - ", "EMPLOYEE APPRECIATION")</f>
        <v xml:space="preserve">          6277 - EMPLOYEE APPRECIATION</v>
      </c>
      <c r="C64" s="11"/>
      <c r="D64" s="6"/>
      <c r="E64" s="2"/>
      <c r="F64" s="7">
        <f t="shared" si="46"/>
        <v>0</v>
      </c>
      <c r="G64" s="2"/>
      <c r="H64" s="6">
        <v>605</v>
      </c>
      <c r="I64" s="2"/>
      <c r="J64" s="7">
        <f t="shared" si="47"/>
        <v>5.0981713996797835E-3</v>
      </c>
      <c r="K64" s="2"/>
      <c r="L64" s="6">
        <f t="shared" si="48"/>
        <v>-605</v>
      </c>
      <c r="M64" s="2"/>
      <c r="N64" s="7">
        <f t="shared" si="49"/>
        <v>-1</v>
      </c>
      <c r="O64" s="11"/>
      <c r="P64" s="6">
        <v>1798.43</v>
      </c>
      <c r="Q64" s="2"/>
      <c r="R64" s="7">
        <f t="shared" si="50"/>
        <v>1.9899979815423354E-4</v>
      </c>
      <c r="S64" s="2"/>
      <c r="T64" s="6">
        <v>8070</v>
      </c>
      <c r="U64" s="2"/>
      <c r="V64" s="7">
        <f t="shared" si="51"/>
        <v>7.1756454857676362E-4</v>
      </c>
      <c r="W64" s="2"/>
      <c r="X64" s="6">
        <f t="shared" si="52"/>
        <v>-6271.57</v>
      </c>
      <c r="Y64" s="2"/>
      <c r="Z64" s="7">
        <f t="shared" si="53"/>
        <v>-0.77714622057001237</v>
      </c>
    </row>
    <row r="65" spans="1:26" s="26" customFormat="1" outlineLevel="1" collapsed="1" x14ac:dyDescent="0.25">
      <c r="A65" s="25"/>
      <c r="B65" s="12" t="str">
        <f>CONCATENATE("     ","Equipment Rental                                  ")</f>
        <v xml:space="preserve">     Equipment Rental                                  </v>
      </c>
      <c r="C65" s="12"/>
      <c r="D65" s="1">
        <f>SUM(OSRRefD22_8x_0)</f>
        <v>961.42</v>
      </c>
      <c r="E65" s="1"/>
      <c r="F65" s="5">
        <f t="shared" si="46"/>
        <v>-7.1941617007979398E-3</v>
      </c>
      <c r="G65" s="1"/>
      <c r="H65" s="1">
        <f>SUM(OSRRefH22_8x_0)</f>
        <v>670</v>
      </c>
      <c r="I65" s="1"/>
      <c r="J65" s="5">
        <f t="shared" si="47"/>
        <v>5.6459088227858757E-3</v>
      </c>
      <c r="K65" s="1"/>
      <c r="L65" s="1">
        <f t="shared" si="48"/>
        <v>291.41999999999996</v>
      </c>
      <c r="M65" s="1"/>
      <c r="N65" s="5">
        <f t="shared" si="49"/>
        <v>0.43495522388059693</v>
      </c>
      <c r="O65" s="12"/>
      <c r="P65" s="1">
        <f>SUM(OSRRefP22_8x_0)</f>
        <v>5912.28</v>
      </c>
      <c r="Q65" s="1"/>
      <c r="R65" s="5">
        <f t="shared" si="50"/>
        <v>6.5420534946109205E-4</v>
      </c>
      <c r="S65" s="1"/>
      <c r="T65" s="1">
        <f>SUM(OSRRefT22_8x_0)</f>
        <v>8240</v>
      </c>
      <c r="U65" s="1"/>
      <c r="V65" s="5">
        <f t="shared" si="51"/>
        <v>7.3268053039312665E-4</v>
      </c>
      <c r="W65" s="1"/>
      <c r="X65" s="1">
        <f t="shared" si="52"/>
        <v>-2327.7200000000003</v>
      </c>
      <c r="Y65" s="1"/>
      <c r="Z65" s="5">
        <f t="shared" si="53"/>
        <v>-0.28249029126213593</v>
      </c>
    </row>
    <row r="66" spans="1:26" s="24" customFormat="1" hidden="1" outlineLevel="2" x14ac:dyDescent="0.25">
      <c r="A66" s="27"/>
      <c r="B66" s="11" t="str">
        <f>CONCATENATE("          ", "6351", " - ", "EQUIPMENT RENTAL")</f>
        <v xml:space="preserve">          6351 - EQUIPMENT RENTAL</v>
      </c>
      <c r="C66" s="11"/>
      <c r="D66" s="6">
        <v>961.42</v>
      </c>
      <c r="E66" s="2"/>
      <c r="F66" s="7">
        <f t="shared" si="46"/>
        <v>-7.1941617007979398E-3</v>
      </c>
      <c r="G66" s="2"/>
      <c r="H66" s="6">
        <v>670</v>
      </c>
      <c r="I66" s="2"/>
      <c r="J66" s="7">
        <f t="shared" si="47"/>
        <v>5.6459088227858757E-3</v>
      </c>
      <c r="K66" s="2"/>
      <c r="L66" s="6">
        <f t="shared" si="48"/>
        <v>291.41999999999996</v>
      </c>
      <c r="M66" s="2"/>
      <c r="N66" s="7">
        <f t="shared" si="49"/>
        <v>0.43495522388059693</v>
      </c>
      <c r="O66" s="11"/>
      <c r="P66" s="6">
        <v>5912.28</v>
      </c>
      <c r="Q66" s="2"/>
      <c r="R66" s="7">
        <f t="shared" si="50"/>
        <v>6.5420534946109205E-4</v>
      </c>
      <c r="S66" s="2"/>
      <c r="T66" s="6">
        <v>8240</v>
      </c>
      <c r="U66" s="2"/>
      <c r="V66" s="7">
        <f t="shared" si="51"/>
        <v>7.3268053039312665E-4</v>
      </c>
      <c r="W66" s="2"/>
      <c r="X66" s="6">
        <f t="shared" si="52"/>
        <v>-2327.7200000000003</v>
      </c>
      <c r="Y66" s="2"/>
      <c r="Z66" s="7">
        <f t="shared" si="53"/>
        <v>-0.28249029126213593</v>
      </c>
    </row>
    <row r="67" spans="1:26" s="26" customFormat="1" outlineLevel="1" collapsed="1" x14ac:dyDescent="0.25">
      <c r="A67" s="25"/>
      <c r="B67" s="12" t="str">
        <f>CONCATENATE("     ","Freight out/Postage                               ")</f>
        <v xml:space="preserve">     Freight out/Postage                               </v>
      </c>
      <c r="C67" s="12"/>
      <c r="D67" s="1">
        <f>SUM(OSRRefD22_9x_0)</f>
        <v>0</v>
      </c>
      <c r="E67" s="1"/>
      <c r="F67" s="5">
        <f t="shared" si="46"/>
        <v>0</v>
      </c>
      <c r="G67" s="1"/>
      <c r="H67" s="1">
        <f>SUM(OSRRefH22_9x_0)</f>
        <v>1</v>
      </c>
      <c r="I67" s="1"/>
      <c r="J67" s="5">
        <f t="shared" si="47"/>
        <v>8.4267295862475756E-6</v>
      </c>
      <c r="K67" s="1"/>
      <c r="L67" s="1">
        <f t="shared" si="48"/>
        <v>-1</v>
      </c>
      <c r="M67" s="1"/>
      <c r="N67" s="5">
        <f t="shared" si="49"/>
        <v>-1</v>
      </c>
      <c r="O67" s="12"/>
      <c r="P67" s="1">
        <f>SUM(OSRRefP22_9x_0)</f>
        <v>0</v>
      </c>
      <c r="Q67" s="1"/>
      <c r="R67" s="5">
        <f t="shared" si="50"/>
        <v>0</v>
      </c>
      <c r="S67" s="1"/>
      <c r="T67" s="1">
        <f>SUM(OSRRefT22_9x_0)</f>
        <v>12</v>
      </c>
      <c r="U67" s="1"/>
      <c r="V67" s="5">
        <f t="shared" si="51"/>
        <v>1.0670104811550389E-6</v>
      </c>
      <c r="W67" s="1"/>
      <c r="X67" s="1">
        <f t="shared" si="52"/>
        <v>-12</v>
      </c>
      <c r="Y67" s="1"/>
      <c r="Z67" s="5">
        <f t="shared" si="53"/>
        <v>-1</v>
      </c>
    </row>
    <row r="68" spans="1:26" s="24" customFormat="1" hidden="1" outlineLevel="2" x14ac:dyDescent="0.25">
      <c r="A68" s="27"/>
      <c r="B68" s="11" t="str">
        <f>CONCATENATE("          ", "6307", " - ", "POSTAGE")</f>
        <v xml:space="preserve">          6307 - POSTAGE</v>
      </c>
      <c r="C68" s="11"/>
      <c r="D68" s="6"/>
      <c r="E68" s="2"/>
      <c r="F68" s="7">
        <f t="shared" si="46"/>
        <v>0</v>
      </c>
      <c r="G68" s="2"/>
      <c r="H68" s="6">
        <v>1</v>
      </c>
      <c r="I68" s="2"/>
      <c r="J68" s="7">
        <f t="shared" si="47"/>
        <v>8.4267295862475756E-6</v>
      </c>
      <c r="K68" s="2"/>
      <c r="L68" s="6">
        <f t="shared" si="48"/>
        <v>-1</v>
      </c>
      <c r="M68" s="2"/>
      <c r="N68" s="7">
        <f t="shared" si="49"/>
        <v>-1</v>
      </c>
      <c r="O68" s="11"/>
      <c r="P68" s="6"/>
      <c r="Q68" s="2"/>
      <c r="R68" s="7">
        <f t="shared" si="50"/>
        <v>0</v>
      </c>
      <c r="S68" s="2"/>
      <c r="T68" s="6">
        <v>12</v>
      </c>
      <c r="U68" s="2"/>
      <c r="V68" s="7">
        <f t="shared" si="51"/>
        <v>1.0670104811550389E-6</v>
      </c>
      <c r="W68" s="2"/>
      <c r="X68" s="6">
        <f t="shared" si="52"/>
        <v>-12</v>
      </c>
      <c r="Y68" s="2"/>
      <c r="Z68" s="7">
        <f t="shared" si="53"/>
        <v>-1</v>
      </c>
    </row>
    <row r="69" spans="1:26" s="26" customFormat="1" outlineLevel="1" collapsed="1" x14ac:dyDescent="0.25">
      <c r="A69" s="25"/>
      <c r="B69" s="12" t="str">
        <f>CONCATENATE("     ","General                                           ")</f>
        <v xml:space="preserve">     General                                           </v>
      </c>
      <c r="C69" s="12"/>
      <c r="D69" s="1">
        <f>SUM(OSRRefD22_10x_0)</f>
        <v>0</v>
      </c>
      <c r="E69" s="1"/>
      <c r="F69" s="5">
        <f t="shared" si="46"/>
        <v>0</v>
      </c>
      <c r="G69" s="1"/>
      <c r="H69" s="1">
        <f>SUM(OSRRefH22_10x_0)</f>
        <v>750</v>
      </c>
      <c r="I69" s="1"/>
      <c r="J69" s="5">
        <f t="shared" si="47"/>
        <v>6.3200471896856826E-3</v>
      </c>
      <c r="K69" s="1"/>
      <c r="L69" s="1">
        <f t="shared" si="48"/>
        <v>-750</v>
      </c>
      <c r="M69" s="1"/>
      <c r="N69" s="5">
        <f t="shared" si="49"/>
        <v>-1</v>
      </c>
      <c r="O69" s="12"/>
      <c r="P69" s="1">
        <f>SUM(OSRRefP22_10x_0)</f>
        <v>9014.11</v>
      </c>
      <c r="Q69" s="1"/>
      <c r="R69" s="5">
        <f t="shared" si="50"/>
        <v>9.9742890773622437E-4</v>
      </c>
      <c r="S69" s="1"/>
      <c r="T69" s="1">
        <f>SUM(OSRRefT22_10x_0)</f>
        <v>15311</v>
      </c>
      <c r="U69" s="1"/>
      <c r="V69" s="5">
        <f t="shared" si="51"/>
        <v>1.3614164564137333E-3</v>
      </c>
      <c r="W69" s="1"/>
      <c r="X69" s="1">
        <f t="shared" si="52"/>
        <v>-6296.8899999999994</v>
      </c>
      <c r="Y69" s="1"/>
      <c r="Z69" s="5">
        <f t="shared" si="53"/>
        <v>-0.41126575664554893</v>
      </c>
    </row>
    <row r="70" spans="1:26" s="24" customFormat="1" hidden="1" outlineLevel="2" x14ac:dyDescent="0.25">
      <c r="A70" s="27"/>
      <c r="B70" s="11" t="str">
        <f>CONCATENATE("          ", "6279", " - ", "GENERAL EXPENSE")</f>
        <v xml:space="preserve">          6279 - GENERAL EXPENSE</v>
      </c>
      <c r="C70" s="11"/>
      <c r="D70" s="6"/>
      <c r="E70" s="2"/>
      <c r="F70" s="7">
        <f t="shared" si="46"/>
        <v>0</v>
      </c>
      <c r="G70" s="2"/>
      <c r="H70" s="6">
        <v>750</v>
      </c>
      <c r="I70" s="2"/>
      <c r="J70" s="7">
        <f t="shared" si="47"/>
        <v>6.3200471896856826E-3</v>
      </c>
      <c r="K70" s="2"/>
      <c r="L70" s="6">
        <f t="shared" si="48"/>
        <v>-750</v>
      </c>
      <c r="M70" s="2"/>
      <c r="N70" s="7">
        <f t="shared" si="49"/>
        <v>-1</v>
      </c>
      <c r="O70" s="11"/>
      <c r="P70" s="6">
        <v>9014.11</v>
      </c>
      <c r="Q70" s="2"/>
      <c r="R70" s="7">
        <f t="shared" si="50"/>
        <v>9.9742890773622437E-4</v>
      </c>
      <c r="S70" s="2"/>
      <c r="T70" s="6">
        <v>15311</v>
      </c>
      <c r="U70" s="2"/>
      <c r="V70" s="7">
        <f t="shared" si="51"/>
        <v>1.3614164564137333E-3</v>
      </c>
      <c r="W70" s="2"/>
      <c r="X70" s="6">
        <f t="shared" si="52"/>
        <v>-6296.8899999999994</v>
      </c>
      <c r="Y70" s="2"/>
      <c r="Z70" s="7">
        <f t="shared" si="53"/>
        <v>-0.41126575664554893</v>
      </c>
    </row>
    <row r="71" spans="1:26" s="26" customFormat="1" outlineLevel="1" collapsed="1" x14ac:dyDescent="0.25">
      <c r="A71" s="25"/>
      <c r="B71" s="12" t="str">
        <f>CONCATENATE("     ","Insurance                                         ")</f>
        <v xml:space="preserve">     Insurance                                         </v>
      </c>
      <c r="C71" s="12"/>
      <c r="D71" s="1">
        <f>SUM(OSRRefD22_11x_0)</f>
        <v>5.9</v>
      </c>
      <c r="E71" s="1"/>
      <c r="F71" s="5">
        <f t="shared" si="46"/>
        <v>-4.4148815330144841E-5</v>
      </c>
      <c r="G71" s="1"/>
      <c r="H71" s="1">
        <f>SUM(OSRRefH22_11x_0)</f>
        <v>5</v>
      </c>
      <c r="I71" s="1"/>
      <c r="J71" s="5">
        <f t="shared" si="47"/>
        <v>4.2133647931237883E-5</v>
      </c>
      <c r="K71" s="1"/>
      <c r="L71" s="1">
        <f t="shared" si="48"/>
        <v>0.90000000000000036</v>
      </c>
      <c r="M71" s="1"/>
      <c r="N71" s="5">
        <f t="shared" si="49"/>
        <v>0.18000000000000008</v>
      </c>
      <c r="O71" s="12"/>
      <c r="P71" s="1">
        <f>SUM(OSRRefP22_11x_0)</f>
        <v>70.8</v>
      </c>
      <c r="Q71" s="1"/>
      <c r="R71" s="5">
        <f t="shared" si="50"/>
        <v>7.8341585212211401E-6</v>
      </c>
      <c r="S71" s="1"/>
      <c r="T71" s="1">
        <f>SUM(OSRRefT22_11x_0)</f>
        <v>60</v>
      </c>
      <c r="U71" s="1"/>
      <c r="V71" s="5">
        <f t="shared" si="51"/>
        <v>5.3350524057751944E-6</v>
      </c>
      <c r="W71" s="1"/>
      <c r="X71" s="1">
        <f t="shared" si="52"/>
        <v>10.799999999999997</v>
      </c>
      <c r="Y71" s="1"/>
      <c r="Z71" s="5">
        <f t="shared" si="53"/>
        <v>0.17999999999999997</v>
      </c>
    </row>
    <row r="72" spans="1:26" s="24" customFormat="1" hidden="1" outlineLevel="2" x14ac:dyDescent="0.25">
      <c r="A72" s="27"/>
      <c r="B72" s="11" t="str">
        <f>CONCATENATE("          ", "6314", " - ", "LIABILITY INSURANCE")</f>
        <v xml:space="preserve">          6314 - LIABILITY INSURANCE</v>
      </c>
      <c r="C72" s="11"/>
      <c r="D72" s="6">
        <v>5.9</v>
      </c>
      <c r="E72" s="2"/>
      <c r="F72" s="7">
        <f t="shared" si="46"/>
        <v>-4.4148815330144841E-5</v>
      </c>
      <c r="G72" s="2"/>
      <c r="H72" s="6">
        <v>5</v>
      </c>
      <c r="I72" s="2"/>
      <c r="J72" s="7">
        <f t="shared" si="47"/>
        <v>4.2133647931237883E-5</v>
      </c>
      <c r="K72" s="2"/>
      <c r="L72" s="6">
        <f t="shared" si="48"/>
        <v>0.90000000000000036</v>
      </c>
      <c r="M72" s="2"/>
      <c r="N72" s="7">
        <f t="shared" si="49"/>
        <v>0.18000000000000008</v>
      </c>
      <c r="O72" s="11"/>
      <c r="P72" s="6">
        <v>70.8</v>
      </c>
      <c r="Q72" s="2"/>
      <c r="R72" s="7">
        <f t="shared" si="50"/>
        <v>7.8341585212211401E-6</v>
      </c>
      <c r="S72" s="2"/>
      <c r="T72" s="6">
        <v>60</v>
      </c>
      <c r="U72" s="2"/>
      <c r="V72" s="7">
        <f t="shared" si="51"/>
        <v>5.3350524057751944E-6</v>
      </c>
      <c r="W72" s="2"/>
      <c r="X72" s="6">
        <f t="shared" si="52"/>
        <v>10.799999999999997</v>
      </c>
      <c r="Y72" s="2"/>
      <c r="Z72" s="7">
        <f t="shared" si="53"/>
        <v>0.17999999999999997</v>
      </c>
    </row>
    <row r="73" spans="1:26" s="26" customFormat="1" outlineLevel="1" collapsed="1" x14ac:dyDescent="0.25">
      <c r="A73" s="25"/>
      <c r="B73" s="12" t="str">
        <f>CONCATENATE("     ","R/H Commissions                                   ")</f>
        <v xml:space="preserve">     R/H Commissions                                   </v>
      </c>
      <c r="C73" s="12"/>
      <c r="D73" s="1">
        <f>SUM(OSRRefD22_12x_0)</f>
        <v>-11146.03</v>
      </c>
      <c r="E73" s="1"/>
      <c r="F73" s="5">
        <f t="shared" si="46"/>
        <v>8.3404071209195643E-2</v>
      </c>
      <c r="G73" s="1"/>
      <c r="H73" s="1">
        <f>SUM(OSRRefH22_12x_0)</f>
        <v>9494</v>
      </c>
      <c r="I73" s="1"/>
      <c r="J73" s="5">
        <f t="shared" si="47"/>
        <v>8.0003370691834483E-2</v>
      </c>
      <c r="K73" s="1"/>
      <c r="L73" s="1">
        <f t="shared" si="48"/>
        <v>-20640.03</v>
      </c>
      <c r="M73" s="1"/>
      <c r="N73" s="5">
        <f t="shared" si="49"/>
        <v>-2.1740077943964606</v>
      </c>
      <c r="O73" s="12"/>
      <c r="P73" s="1">
        <f>SUM(OSRRefP22_12x_0)</f>
        <v>703130.05</v>
      </c>
      <c r="Q73" s="1"/>
      <c r="R73" s="5">
        <f t="shared" si="50"/>
        <v>7.7802715716583981E-2</v>
      </c>
      <c r="S73" s="1"/>
      <c r="T73" s="1">
        <f>SUM(OSRRefT22_12x_0)</f>
        <v>899591</v>
      </c>
      <c r="U73" s="1"/>
      <c r="V73" s="5">
        <f t="shared" si="51"/>
        <v>7.9989418812728544E-2</v>
      </c>
      <c r="W73" s="1"/>
      <c r="X73" s="1">
        <f t="shared" si="52"/>
        <v>-196460.94999999995</v>
      </c>
      <c r="Y73" s="1"/>
      <c r="Z73" s="5">
        <f t="shared" si="53"/>
        <v>-0.21838919019865691</v>
      </c>
    </row>
    <row r="74" spans="1:26" s="24" customFormat="1" hidden="1" outlineLevel="2" x14ac:dyDescent="0.25">
      <c r="A74" s="27"/>
      <c r="B74" s="11" t="str">
        <f>CONCATENATE("          ", "6387", " - ", "COMMISSION DUE HOUSING")</f>
        <v xml:space="preserve">          6387 - COMMISSION DUE HOUSING</v>
      </c>
      <c r="C74" s="11"/>
      <c r="D74" s="6">
        <v>-11146.03</v>
      </c>
      <c r="E74" s="2"/>
      <c r="F74" s="7">
        <f t="shared" si="46"/>
        <v>8.3404071209195643E-2</v>
      </c>
      <c r="G74" s="2"/>
      <c r="H74" s="6">
        <v>9494</v>
      </c>
      <c r="I74" s="2"/>
      <c r="J74" s="7">
        <f t="shared" si="47"/>
        <v>8.0003370691834483E-2</v>
      </c>
      <c r="K74" s="2"/>
      <c r="L74" s="6">
        <f t="shared" si="48"/>
        <v>-20640.03</v>
      </c>
      <c r="M74" s="2"/>
      <c r="N74" s="7">
        <f t="shared" si="49"/>
        <v>-2.1740077943964606</v>
      </c>
      <c r="O74" s="11"/>
      <c r="P74" s="6">
        <v>703130.05</v>
      </c>
      <c r="Q74" s="2"/>
      <c r="R74" s="7">
        <f t="shared" si="50"/>
        <v>7.7802715716583981E-2</v>
      </c>
      <c r="S74" s="2"/>
      <c r="T74" s="6">
        <v>899591</v>
      </c>
      <c r="U74" s="2"/>
      <c r="V74" s="7">
        <f t="shared" si="51"/>
        <v>7.9989418812728544E-2</v>
      </c>
      <c r="W74" s="2"/>
      <c r="X74" s="6">
        <f t="shared" si="52"/>
        <v>-196460.94999999995</v>
      </c>
      <c r="Y74" s="2"/>
      <c r="Z74" s="7">
        <f t="shared" si="53"/>
        <v>-0.21838919019865691</v>
      </c>
    </row>
    <row r="75" spans="1:26" s="26" customFormat="1" outlineLevel="1" collapsed="1" x14ac:dyDescent="0.25">
      <c r="A75" s="25"/>
      <c r="B75" s="12" t="str">
        <f>CONCATENATE("     ","Repair and Maintenance                            ")</f>
        <v xml:space="preserve">     Repair and Maintenance                            </v>
      </c>
      <c r="C75" s="12"/>
      <c r="D75" s="1">
        <f>SUM(OSRRefD22_13x_0)</f>
        <v>218.49</v>
      </c>
      <c r="E75" s="1"/>
      <c r="F75" s="5">
        <f t="shared" si="46"/>
        <v>-1.6349279087259907E-3</v>
      </c>
      <c r="G75" s="1"/>
      <c r="H75" s="1">
        <f>SUM(OSRRefH22_13x_0)</f>
        <v>2107</v>
      </c>
      <c r="I75" s="1"/>
      <c r="J75" s="5">
        <f t="shared" si="47"/>
        <v>1.7755119238223642E-2</v>
      </c>
      <c r="K75" s="1"/>
      <c r="L75" s="1">
        <f t="shared" si="48"/>
        <v>-1888.51</v>
      </c>
      <c r="M75" s="1"/>
      <c r="N75" s="5">
        <f t="shared" si="49"/>
        <v>-0.89630280018984343</v>
      </c>
      <c r="O75" s="12"/>
      <c r="P75" s="1">
        <f>SUM(OSRRefP22_13x_0)</f>
        <v>65064.030000000013</v>
      </c>
      <c r="Q75" s="1"/>
      <c r="R75" s="5">
        <f t="shared" si="50"/>
        <v>7.1994622182131067E-3</v>
      </c>
      <c r="S75" s="1"/>
      <c r="T75" s="1">
        <f>SUM(OSRRefT22_13x_0)</f>
        <v>40724</v>
      </c>
      <c r="U75" s="1"/>
      <c r="V75" s="5">
        <f t="shared" si="51"/>
        <v>3.6210779028798168E-3</v>
      </c>
      <c r="W75" s="1"/>
      <c r="X75" s="1">
        <f t="shared" si="52"/>
        <v>24340.030000000013</v>
      </c>
      <c r="Y75" s="1"/>
      <c r="Z75" s="5">
        <f t="shared" si="53"/>
        <v>0.59768269325213663</v>
      </c>
    </row>
    <row r="76" spans="1:26" s="24" customFormat="1" hidden="1" outlineLevel="2" x14ac:dyDescent="0.25">
      <c r="A76" s="27"/>
      <c r="B76" s="11" t="str">
        <f>CONCATENATE("          ", "6371", " - ", "COMPUTER SOFTWARE MAINTENANCE")</f>
        <v xml:space="preserve">          6371 - COMPUTER SOFTWARE MAINTENANCE</v>
      </c>
      <c r="C76" s="11"/>
      <c r="D76" s="6"/>
      <c r="E76" s="2"/>
      <c r="F76" s="7">
        <f t="shared" si="46"/>
        <v>0</v>
      </c>
      <c r="G76" s="2"/>
      <c r="H76" s="6">
        <v>1497</v>
      </c>
      <c r="I76" s="2"/>
      <c r="J76" s="7">
        <f t="shared" si="47"/>
        <v>1.2614814190612621E-2</v>
      </c>
      <c r="K76" s="2"/>
      <c r="L76" s="6">
        <f t="shared" si="48"/>
        <v>-1497</v>
      </c>
      <c r="M76" s="2"/>
      <c r="N76" s="7">
        <f t="shared" si="49"/>
        <v>-1</v>
      </c>
      <c r="O76" s="11"/>
      <c r="P76" s="6">
        <v>63062.930000000008</v>
      </c>
      <c r="Q76" s="2"/>
      <c r="R76" s="7">
        <f t="shared" si="50"/>
        <v>6.9780365880320943E-3</v>
      </c>
      <c r="S76" s="2"/>
      <c r="T76" s="6">
        <v>26964</v>
      </c>
      <c r="U76" s="2"/>
      <c r="V76" s="7">
        <f t="shared" si="51"/>
        <v>2.3975725511553724E-3</v>
      </c>
      <c r="W76" s="2"/>
      <c r="X76" s="6">
        <f t="shared" si="52"/>
        <v>36098.930000000008</v>
      </c>
      <c r="Y76" s="2"/>
      <c r="Z76" s="7">
        <f t="shared" si="53"/>
        <v>1.3387824506749744</v>
      </c>
    </row>
    <row r="77" spans="1:26" s="24" customFormat="1" hidden="1" outlineLevel="2" x14ac:dyDescent="0.25">
      <c r="A77" s="27"/>
      <c r="B77" s="11" t="str">
        <f>CONCATENATE("          ", "6372", " - ", "COMPUTER HARDWARE MAINTENANCE")</f>
        <v xml:space="preserve">          6372 - COMPUTER HARDWARE MAINTENANCE</v>
      </c>
      <c r="C77" s="11"/>
      <c r="D77" s="6"/>
      <c r="E77" s="2"/>
      <c r="F77" s="7">
        <f t="shared" si="46"/>
        <v>0</v>
      </c>
      <c r="G77" s="2"/>
      <c r="H77" s="6">
        <v>70</v>
      </c>
      <c r="I77" s="2"/>
      <c r="J77" s="7">
        <f t="shared" si="47"/>
        <v>5.8987107103733037E-4</v>
      </c>
      <c r="K77" s="2"/>
      <c r="L77" s="6">
        <f t="shared" si="48"/>
        <v>-70</v>
      </c>
      <c r="M77" s="2"/>
      <c r="N77" s="7">
        <f t="shared" si="49"/>
        <v>-1</v>
      </c>
      <c r="O77" s="11"/>
      <c r="P77" s="6"/>
      <c r="Q77" s="2"/>
      <c r="R77" s="7">
        <f t="shared" si="50"/>
        <v>0</v>
      </c>
      <c r="S77" s="2"/>
      <c r="T77" s="6">
        <v>280</v>
      </c>
      <c r="U77" s="2"/>
      <c r="V77" s="7">
        <f t="shared" si="51"/>
        <v>2.4896911226950907E-5</v>
      </c>
      <c r="W77" s="2"/>
      <c r="X77" s="6">
        <f t="shared" si="52"/>
        <v>-280</v>
      </c>
      <c r="Y77" s="2"/>
      <c r="Z77" s="7">
        <f t="shared" si="53"/>
        <v>-1</v>
      </c>
    </row>
    <row r="78" spans="1:26" s="24" customFormat="1" hidden="1" outlineLevel="2" x14ac:dyDescent="0.25">
      <c r="A78" s="27"/>
      <c r="B78" s="11" t="str">
        <f>CONCATENATE("          ", "6373", " - ", "MAINTENANCE CONTRACTS")</f>
        <v xml:space="preserve">          6373 - MAINTENANCE CONTRACTS</v>
      </c>
      <c r="C78" s="11"/>
      <c r="D78" s="6">
        <v>218.49</v>
      </c>
      <c r="E78" s="2"/>
      <c r="F78" s="7">
        <f t="shared" si="46"/>
        <v>-1.6349279087259907E-3</v>
      </c>
      <c r="G78" s="2"/>
      <c r="H78" s="6">
        <v>30</v>
      </c>
      <c r="I78" s="2"/>
      <c r="J78" s="7">
        <f t="shared" si="47"/>
        <v>2.5280188758742731E-4</v>
      </c>
      <c r="K78" s="2"/>
      <c r="L78" s="6">
        <f t="shared" si="48"/>
        <v>188.49</v>
      </c>
      <c r="M78" s="2"/>
      <c r="N78" s="7">
        <f t="shared" si="49"/>
        <v>6.2830000000000004</v>
      </c>
      <c r="O78" s="11"/>
      <c r="P78" s="6">
        <v>941.91</v>
      </c>
      <c r="Q78" s="2"/>
      <c r="R78" s="7">
        <f t="shared" si="50"/>
        <v>1.0422418436050005E-4</v>
      </c>
      <c r="S78" s="2"/>
      <c r="T78" s="6">
        <v>7360</v>
      </c>
      <c r="U78" s="2"/>
      <c r="V78" s="7">
        <f t="shared" si="51"/>
        <v>6.544330951084238E-4</v>
      </c>
      <c r="W78" s="2"/>
      <c r="X78" s="6">
        <f t="shared" si="52"/>
        <v>-6418.09</v>
      </c>
      <c r="Y78" s="2"/>
      <c r="Z78" s="7">
        <f t="shared" si="53"/>
        <v>-0.872023097826087</v>
      </c>
    </row>
    <row r="79" spans="1:26" s="24" customFormat="1" hidden="1" outlineLevel="2" x14ac:dyDescent="0.25">
      <c r="A79" s="27"/>
      <c r="B79" s="11" t="str">
        <f>CONCATENATE("          ", "6375", " - ", "OUTSIDE REPAIRS &amp; MAINTENANCE")</f>
        <v xml:space="preserve">          6375 - OUTSIDE REPAIRS &amp; MAINTENANCE</v>
      </c>
      <c r="C79" s="11"/>
      <c r="D79" s="6"/>
      <c r="E79" s="2"/>
      <c r="F79" s="7">
        <f t="shared" si="46"/>
        <v>0</v>
      </c>
      <c r="G79" s="2"/>
      <c r="H79" s="6">
        <v>510</v>
      </c>
      <c r="I79" s="2"/>
      <c r="J79" s="7">
        <f t="shared" si="47"/>
        <v>4.2976320889862637E-3</v>
      </c>
      <c r="K79" s="2"/>
      <c r="L79" s="6">
        <f t="shared" si="48"/>
        <v>-510</v>
      </c>
      <c r="M79" s="2"/>
      <c r="N79" s="7">
        <f t="shared" si="49"/>
        <v>-1</v>
      </c>
      <c r="O79" s="11"/>
      <c r="P79" s="6">
        <v>1059.19</v>
      </c>
      <c r="Q79" s="2"/>
      <c r="R79" s="7">
        <f t="shared" si="50"/>
        <v>1.1720144582051158E-4</v>
      </c>
      <c r="S79" s="2"/>
      <c r="T79" s="6">
        <v>6120</v>
      </c>
      <c r="U79" s="2"/>
      <c r="V79" s="7">
        <f t="shared" si="51"/>
        <v>5.4417534538906982E-4</v>
      </c>
      <c r="W79" s="2"/>
      <c r="X79" s="6">
        <f t="shared" si="52"/>
        <v>-5060.8099999999995</v>
      </c>
      <c r="Y79" s="2"/>
      <c r="Z79" s="7">
        <f t="shared" si="53"/>
        <v>-0.8269297385620914</v>
      </c>
    </row>
    <row r="80" spans="1:26" s="26" customFormat="1" outlineLevel="1" collapsed="1" x14ac:dyDescent="0.25">
      <c r="A80" s="25"/>
      <c r="B80" s="12" t="str">
        <f>CONCATENATE("     ","Services                                          ")</f>
        <v xml:space="preserve">     Services                                          </v>
      </c>
      <c r="C80" s="12"/>
      <c r="D80" s="1">
        <f>SUM(OSRRefD22_14x_0)</f>
        <v>6408.69</v>
      </c>
      <c r="E80" s="1"/>
      <c r="F80" s="5">
        <f t="shared" ref="F80:F84" si="54">IF(D$12=0,0,D80/D$12)</f>
        <v>-4.7955266325109477E-2</v>
      </c>
      <c r="G80" s="1"/>
      <c r="H80" s="1">
        <f>SUM(OSRRefH22_14x_0)</f>
        <v>19185</v>
      </c>
      <c r="I80" s="1"/>
      <c r="J80" s="5">
        <f t="shared" ref="J80:J84" si="55">IF(H$12=0,0,H80/H$12)</f>
        <v>0.16166680711215975</v>
      </c>
      <c r="K80" s="1"/>
      <c r="L80" s="1">
        <f t="shared" ref="L80:L84" si="56">+D80-H80</f>
        <v>-12776.310000000001</v>
      </c>
      <c r="M80" s="1"/>
      <c r="N80" s="5">
        <f t="shared" ref="N80:N84" si="57">IF(H80=0,0,L80/H80)</f>
        <v>-0.66595308835027367</v>
      </c>
      <c r="O80" s="12"/>
      <c r="P80" s="1">
        <f>SUM(OSRRefP22_14x_0)</f>
        <v>189441.08</v>
      </c>
      <c r="Q80" s="1"/>
      <c r="R80" s="5">
        <f t="shared" ref="R80:R84" si="58">IF(P$12=0,0,P80/P$12)</f>
        <v>2.0962026146205303E-2</v>
      </c>
      <c r="S80" s="1"/>
      <c r="T80" s="1">
        <f>SUM(OSRRefT22_14x_0)</f>
        <v>232804</v>
      </c>
      <c r="U80" s="1"/>
      <c r="V80" s="5">
        <f t="shared" ref="V80:V84" si="59">IF(T$12=0,0,T80/T$12)</f>
        <v>2.0700359004568139E-2</v>
      </c>
      <c r="W80" s="1"/>
      <c r="X80" s="1">
        <f t="shared" ref="X80:X84" si="60">+P80-T80</f>
        <v>-43362.920000000013</v>
      </c>
      <c r="Y80" s="1"/>
      <c r="Z80" s="5">
        <f t="shared" ref="Z80:Z84" si="61">IF(T80=0,0,X80/T80)</f>
        <v>-0.18626363808181995</v>
      </c>
    </row>
    <row r="81" spans="1:26" s="24" customFormat="1" hidden="1" outlineLevel="2" x14ac:dyDescent="0.25">
      <c r="A81" s="27"/>
      <c r="B81" s="11" t="str">
        <f>CONCATENATE("          ", "6282", " - ", "JANITORIAL/EXTERMINATOR EXPENS")</f>
        <v xml:space="preserve">          6282 - JANITORIAL/EXTERMINATOR EXPENS</v>
      </c>
      <c r="C81" s="11"/>
      <c r="D81" s="6">
        <v>1580.07</v>
      </c>
      <c r="E81" s="2"/>
      <c r="F81" s="7">
        <f t="shared" si="54"/>
        <v>-1.1823426887915585E-2</v>
      </c>
      <c r="G81" s="2"/>
      <c r="H81" s="6">
        <v>1630</v>
      </c>
      <c r="I81" s="2"/>
      <c r="J81" s="7">
        <f t="shared" si="55"/>
        <v>1.373556922558355E-2</v>
      </c>
      <c r="K81" s="2"/>
      <c r="L81" s="6">
        <f t="shared" si="56"/>
        <v>-49.930000000000064</v>
      </c>
      <c r="M81" s="2"/>
      <c r="N81" s="7">
        <f t="shared" si="57"/>
        <v>-3.0631901840490836E-2</v>
      </c>
      <c r="O81" s="11"/>
      <c r="P81" s="6">
        <v>19877.900000000001</v>
      </c>
      <c r="Q81" s="2"/>
      <c r="R81" s="7">
        <f t="shared" si="58"/>
        <v>2.1995285263980468E-3</v>
      </c>
      <c r="S81" s="2"/>
      <c r="T81" s="6">
        <v>19560</v>
      </c>
      <c r="U81" s="2"/>
      <c r="V81" s="7">
        <f t="shared" si="59"/>
        <v>1.7392270842827133E-3</v>
      </c>
      <c r="W81" s="2"/>
      <c r="X81" s="6">
        <f t="shared" si="60"/>
        <v>317.90000000000146</v>
      </c>
      <c r="Y81" s="2"/>
      <c r="Z81" s="7">
        <f t="shared" si="61"/>
        <v>1.6252556237218888E-2</v>
      </c>
    </row>
    <row r="82" spans="1:26" s="24" customFormat="1" hidden="1" outlineLevel="2" x14ac:dyDescent="0.25">
      <c r="A82" s="27"/>
      <c r="B82" s="11" t="str">
        <f>CONCATENATE("          ", "6284", " - ", "TRASH REMOVAL EXPENSE")</f>
        <v xml:space="preserve">          6284 - TRASH REMOVAL EXPENSE</v>
      </c>
      <c r="C82" s="11"/>
      <c r="D82" s="6"/>
      <c r="E82" s="2"/>
      <c r="F82" s="7">
        <f t="shared" si="54"/>
        <v>0</v>
      </c>
      <c r="G82" s="2"/>
      <c r="H82" s="6">
        <v>550</v>
      </c>
      <c r="I82" s="2"/>
      <c r="J82" s="7">
        <f t="shared" si="55"/>
        <v>4.6347012724361671E-3</v>
      </c>
      <c r="K82" s="2"/>
      <c r="L82" s="6">
        <f t="shared" si="56"/>
        <v>-550</v>
      </c>
      <c r="M82" s="2"/>
      <c r="N82" s="7">
        <f t="shared" si="57"/>
        <v>-1</v>
      </c>
      <c r="O82" s="11"/>
      <c r="P82" s="6"/>
      <c r="Q82" s="2"/>
      <c r="R82" s="7">
        <f t="shared" si="58"/>
        <v>0</v>
      </c>
      <c r="S82" s="2"/>
      <c r="T82" s="6">
        <v>6550</v>
      </c>
      <c r="U82" s="2"/>
      <c r="V82" s="7">
        <f t="shared" si="59"/>
        <v>5.824098876304587E-4</v>
      </c>
      <c r="W82" s="2"/>
      <c r="X82" s="6">
        <f t="shared" si="60"/>
        <v>-6550</v>
      </c>
      <c r="Y82" s="2"/>
      <c r="Z82" s="7">
        <f t="shared" si="61"/>
        <v>-1</v>
      </c>
    </row>
    <row r="83" spans="1:26" s="24" customFormat="1" hidden="1" outlineLevel="2" x14ac:dyDescent="0.25">
      <c r="A83" s="27"/>
      <c r="B83" s="11" t="str">
        <f>CONCATENATE("          ", "6285", " - ", "JANITORIAL SERVICES")</f>
        <v xml:space="preserve">          6285 - JANITORIAL SERVICES</v>
      </c>
      <c r="C83" s="11"/>
      <c r="D83" s="6">
        <v>4157.05</v>
      </c>
      <c r="E83" s="2"/>
      <c r="F83" s="7">
        <f t="shared" si="54"/>
        <v>-3.1106581825115016E-2</v>
      </c>
      <c r="G83" s="2"/>
      <c r="H83" s="6">
        <v>12205</v>
      </c>
      <c r="I83" s="2"/>
      <c r="J83" s="7">
        <f t="shared" si="55"/>
        <v>0.10284823460015168</v>
      </c>
      <c r="K83" s="2"/>
      <c r="L83" s="6">
        <f t="shared" si="56"/>
        <v>-8047.95</v>
      </c>
      <c r="M83" s="2"/>
      <c r="N83" s="7">
        <f t="shared" si="57"/>
        <v>-0.65939778779188851</v>
      </c>
      <c r="O83" s="11"/>
      <c r="P83" s="6">
        <v>127353.62</v>
      </c>
      <c r="Q83" s="2"/>
      <c r="R83" s="7">
        <f t="shared" si="58"/>
        <v>1.4091927222194335E-2</v>
      </c>
      <c r="S83" s="2"/>
      <c r="T83" s="6">
        <v>150694</v>
      </c>
      <c r="U83" s="2"/>
      <c r="V83" s="7">
        <f t="shared" si="59"/>
        <v>1.3399339787264786E-2</v>
      </c>
      <c r="W83" s="2"/>
      <c r="X83" s="6">
        <f t="shared" si="60"/>
        <v>-23340.380000000005</v>
      </c>
      <c r="Y83" s="2"/>
      <c r="Z83" s="7">
        <f t="shared" si="61"/>
        <v>-0.15488592777416491</v>
      </c>
    </row>
    <row r="84" spans="1:26" s="24" customFormat="1" hidden="1" outlineLevel="2" x14ac:dyDescent="0.25">
      <c r="A84" s="27"/>
      <c r="B84" s="11" t="str">
        <f>CONCATENATE("          ", "6286", " - ", "LAUNDRY EXPENSE")</f>
        <v xml:space="preserve">          6286 - LAUNDRY EXPENSE</v>
      </c>
      <c r="C84" s="11"/>
      <c r="D84" s="6">
        <v>671.57</v>
      </c>
      <c r="E84" s="2"/>
      <c r="F84" s="7">
        <f t="shared" si="54"/>
        <v>-5.0252576120788763E-3</v>
      </c>
      <c r="G84" s="2"/>
      <c r="H84" s="6">
        <v>4800</v>
      </c>
      <c r="I84" s="2"/>
      <c r="J84" s="7">
        <f t="shared" si="55"/>
        <v>4.0448302013988365E-2</v>
      </c>
      <c r="K84" s="2"/>
      <c r="L84" s="6">
        <f t="shared" si="56"/>
        <v>-4128.43</v>
      </c>
      <c r="M84" s="2"/>
      <c r="N84" s="7">
        <f t="shared" si="57"/>
        <v>-0.86008958333333341</v>
      </c>
      <c r="O84" s="11"/>
      <c r="P84" s="6">
        <v>42209.56</v>
      </c>
      <c r="Q84" s="2"/>
      <c r="R84" s="7">
        <f t="shared" si="58"/>
        <v>4.6705703976129232E-3</v>
      </c>
      <c r="S84" s="2"/>
      <c r="T84" s="6">
        <v>56000</v>
      </c>
      <c r="U84" s="2"/>
      <c r="V84" s="7">
        <f t="shared" si="59"/>
        <v>4.9793822453901813E-3</v>
      </c>
      <c r="W84" s="2"/>
      <c r="X84" s="6">
        <f t="shared" si="60"/>
        <v>-13790.440000000002</v>
      </c>
      <c r="Y84" s="2"/>
      <c r="Z84" s="7">
        <f t="shared" si="61"/>
        <v>-0.24625785714285719</v>
      </c>
    </row>
    <row r="85" spans="1:26" s="26" customFormat="1" outlineLevel="1" collapsed="1" x14ac:dyDescent="0.25">
      <c r="A85" s="25"/>
      <c r="B85" s="12" t="str">
        <f>CONCATENATE("     ","Supplies                                          ")</f>
        <v xml:space="preserve">     Supplies                                          </v>
      </c>
      <c r="C85" s="12"/>
      <c r="D85" s="1">
        <f>SUM(OSRRefD22_15x_0)</f>
        <v>3861.24</v>
      </c>
      <c r="E85" s="1"/>
      <c r="F85" s="5">
        <f t="shared" ref="F85:F95" si="62">IF(D$12=0,0,D85/D$12)</f>
        <v>-2.8893079950062447E-2</v>
      </c>
      <c r="G85" s="1"/>
      <c r="H85" s="1">
        <f>SUM(OSRRefH22_15x_0)</f>
        <v>23193</v>
      </c>
      <c r="I85" s="1"/>
      <c r="J85" s="5">
        <f t="shared" ref="J85:J95" si="63">IF(H$12=0,0,H85/H$12)</f>
        <v>0.19544113929384005</v>
      </c>
      <c r="K85" s="1"/>
      <c r="L85" s="1">
        <f t="shared" ref="L85:L95" si="64">+D85-H85</f>
        <v>-19331.760000000002</v>
      </c>
      <c r="M85" s="1"/>
      <c r="N85" s="5">
        <f t="shared" ref="N85:N95" si="65">IF(H85=0,0,L85/H85)</f>
        <v>-0.83351700944250429</v>
      </c>
      <c r="O85" s="12"/>
      <c r="P85" s="1">
        <f>SUM(OSRRefP22_15x_0)</f>
        <v>196297.37000000002</v>
      </c>
      <c r="Q85" s="1"/>
      <c r="R85" s="5">
        <f t="shared" ref="R85:R95" si="66">IF(P$12=0,0,P85/P$12)</f>
        <v>2.1720688049135579E-2</v>
      </c>
      <c r="S85" s="1"/>
      <c r="T85" s="1">
        <f>SUM(OSRRefT22_15x_0)</f>
        <v>288354</v>
      </c>
      <c r="U85" s="1"/>
      <c r="V85" s="5">
        <f t="shared" ref="V85:V95" si="67">IF(T$12=0,0,T85/T$12)</f>
        <v>2.5639728356915005E-2</v>
      </c>
      <c r="W85" s="1"/>
      <c r="X85" s="1">
        <f t="shared" ref="X85:X95" si="68">+P85-T85</f>
        <v>-92056.629999999976</v>
      </c>
      <c r="Y85" s="1"/>
      <c r="Z85" s="5">
        <f t="shared" ref="Z85:Z95" si="69">IF(T85=0,0,X85/T85)</f>
        <v>-0.31924866656956369</v>
      </c>
    </row>
    <row r="86" spans="1:26" s="24" customFormat="1" hidden="1" outlineLevel="2" x14ac:dyDescent="0.25">
      <c r="A86" s="27"/>
      <c r="B86" s="11" t="str">
        <f>CONCATENATE("          ", "6234", " - ", "EXPENDABLE SUPPLIES &amp; EQUIPMEN")</f>
        <v xml:space="preserve">          6234 - EXPENDABLE SUPPLIES &amp; EQUIPMEN</v>
      </c>
      <c r="C86" s="11"/>
      <c r="D86" s="6"/>
      <c r="E86" s="2"/>
      <c r="F86" s="7">
        <f t="shared" si="62"/>
        <v>0</v>
      </c>
      <c r="G86" s="2"/>
      <c r="H86" s="6"/>
      <c r="I86" s="2"/>
      <c r="J86" s="7">
        <f t="shared" si="63"/>
        <v>0</v>
      </c>
      <c r="K86" s="2"/>
      <c r="L86" s="6">
        <f t="shared" si="64"/>
        <v>0</v>
      </c>
      <c r="M86" s="2"/>
      <c r="N86" s="7">
        <f t="shared" si="65"/>
        <v>0</v>
      </c>
      <c r="O86" s="11"/>
      <c r="P86" s="6">
        <v>118.34</v>
      </c>
      <c r="Q86" s="2"/>
      <c r="R86" s="7">
        <f t="shared" si="66"/>
        <v>1.3094552533916804E-5</v>
      </c>
      <c r="S86" s="2"/>
      <c r="T86" s="6">
        <v>1200</v>
      </c>
      <c r="U86" s="2"/>
      <c r="V86" s="7">
        <f t="shared" si="67"/>
        <v>1.0670104811550388E-4</v>
      </c>
      <c r="W86" s="2"/>
      <c r="X86" s="6">
        <f t="shared" si="68"/>
        <v>-1081.6600000000001</v>
      </c>
      <c r="Y86" s="2"/>
      <c r="Z86" s="7">
        <f t="shared" si="69"/>
        <v>-0.90138333333333343</v>
      </c>
    </row>
    <row r="87" spans="1:26" s="24" customFormat="1" hidden="1" outlineLevel="2" x14ac:dyDescent="0.25">
      <c r="A87" s="27"/>
      <c r="B87" s="11" t="str">
        <f>CONCATENATE("          ", "6235", " - ", "COVID-19 EXPENSES")</f>
        <v xml:space="preserve">          6235 - COVID-19 EXPENSES</v>
      </c>
      <c r="C87" s="11"/>
      <c r="D87" s="6">
        <v>29.77</v>
      </c>
      <c r="E87" s="2"/>
      <c r="F87" s="7">
        <f t="shared" si="62"/>
        <v>-2.2276444616583249E-4</v>
      </c>
      <c r="G87" s="2"/>
      <c r="H87" s="6"/>
      <c r="I87" s="2"/>
      <c r="J87" s="7">
        <f t="shared" si="63"/>
        <v>0</v>
      </c>
      <c r="K87" s="2"/>
      <c r="L87" s="6">
        <f t="shared" si="64"/>
        <v>29.77</v>
      </c>
      <c r="M87" s="2"/>
      <c r="N87" s="7">
        <f t="shared" si="65"/>
        <v>0</v>
      </c>
      <c r="O87" s="11"/>
      <c r="P87" s="6">
        <v>885.8</v>
      </c>
      <c r="Q87" s="2"/>
      <c r="R87" s="7">
        <f t="shared" si="66"/>
        <v>9.8015503080475772E-5</v>
      </c>
      <c r="S87" s="2"/>
      <c r="T87" s="6"/>
      <c r="U87" s="2"/>
      <c r="V87" s="7">
        <f t="shared" si="67"/>
        <v>0</v>
      </c>
      <c r="W87" s="2"/>
      <c r="X87" s="6">
        <f t="shared" si="68"/>
        <v>885.8</v>
      </c>
      <c r="Y87" s="2"/>
      <c r="Z87" s="7">
        <f t="shared" si="69"/>
        <v>0</v>
      </c>
    </row>
    <row r="88" spans="1:26" s="24" customFormat="1" hidden="1" outlineLevel="2" x14ac:dyDescent="0.25">
      <c r="A88" s="27"/>
      <c r="B88" s="11" t="str">
        <f>CONCATENATE("          ", "6237", " - ", "JANITORIAL SUPPLIES")</f>
        <v xml:space="preserve">          6237 - JANITORIAL SUPPLIES</v>
      </c>
      <c r="C88" s="11"/>
      <c r="D88" s="6">
        <v>2339.62</v>
      </c>
      <c r="E88" s="2"/>
      <c r="F88" s="7">
        <f t="shared" si="62"/>
        <v>-1.7507025647917535E-2</v>
      </c>
      <c r="G88" s="2"/>
      <c r="H88" s="6">
        <v>9605</v>
      </c>
      <c r="I88" s="2"/>
      <c r="J88" s="7">
        <f t="shared" si="63"/>
        <v>8.0938737675907965E-2</v>
      </c>
      <c r="K88" s="2"/>
      <c r="L88" s="6">
        <f t="shared" si="64"/>
        <v>-7265.38</v>
      </c>
      <c r="M88" s="2"/>
      <c r="N88" s="7">
        <f t="shared" si="65"/>
        <v>-0.75641644976574707</v>
      </c>
      <c r="O88" s="11"/>
      <c r="P88" s="6">
        <v>76546.850000000006</v>
      </c>
      <c r="Q88" s="2"/>
      <c r="R88" s="7">
        <f t="shared" si="66"/>
        <v>8.4700587175160508E-3</v>
      </c>
      <c r="S88" s="2"/>
      <c r="T88" s="6">
        <v>116855</v>
      </c>
      <c r="U88" s="2"/>
      <c r="V88" s="7">
        <f t="shared" si="67"/>
        <v>1.0390459147947673E-2</v>
      </c>
      <c r="W88" s="2"/>
      <c r="X88" s="6">
        <f t="shared" si="68"/>
        <v>-40308.149999999994</v>
      </c>
      <c r="Y88" s="2"/>
      <c r="Z88" s="7">
        <f t="shared" si="69"/>
        <v>-0.34494159428351373</v>
      </c>
    </row>
    <row r="89" spans="1:26" s="24" customFormat="1" hidden="1" outlineLevel="2" x14ac:dyDescent="0.25">
      <c r="A89" s="27"/>
      <c r="B89" s="11" t="str">
        <f>CONCATENATE("          ", "6239", " - ", "KITCHEN SUPPLIES")</f>
        <v xml:space="preserve">          6239 - KITCHEN SUPPLIES</v>
      </c>
      <c r="C89" s="11"/>
      <c r="D89" s="6">
        <v>349.26</v>
      </c>
      <c r="E89" s="2"/>
      <c r="F89" s="7">
        <f t="shared" si="62"/>
        <v>-2.6134602105434552E-3</v>
      </c>
      <c r="G89" s="2"/>
      <c r="H89" s="6">
        <v>4600</v>
      </c>
      <c r="I89" s="2"/>
      <c r="J89" s="7">
        <f t="shared" si="63"/>
        <v>3.8762956096738854E-2</v>
      </c>
      <c r="K89" s="2"/>
      <c r="L89" s="6">
        <f t="shared" si="64"/>
        <v>-4250.74</v>
      </c>
      <c r="M89" s="2"/>
      <c r="N89" s="7">
        <f t="shared" si="65"/>
        <v>-0.92407391304347819</v>
      </c>
      <c r="O89" s="11"/>
      <c r="P89" s="6">
        <v>27197.759999999998</v>
      </c>
      <c r="Q89" s="2"/>
      <c r="R89" s="7">
        <f t="shared" si="66"/>
        <v>3.0094853568097099E-3</v>
      </c>
      <c r="S89" s="2"/>
      <c r="T89" s="6">
        <v>52450</v>
      </c>
      <c r="U89" s="2"/>
      <c r="V89" s="7">
        <f t="shared" si="67"/>
        <v>4.6637249780484826E-3</v>
      </c>
      <c r="W89" s="2"/>
      <c r="X89" s="6">
        <f t="shared" si="68"/>
        <v>-25252.240000000002</v>
      </c>
      <c r="Y89" s="2"/>
      <c r="Z89" s="7">
        <f t="shared" si="69"/>
        <v>-0.48145357483317447</v>
      </c>
    </row>
    <row r="90" spans="1:26" s="24" customFormat="1" hidden="1" outlineLevel="2" x14ac:dyDescent="0.25">
      <c r="A90" s="27"/>
      <c r="B90" s="11" t="str">
        <f>CONCATENATE("          ", "6241", " - ", "OFFICE EXPENSE")</f>
        <v xml:space="preserve">          6241 - OFFICE EXPENSE</v>
      </c>
      <c r="C90" s="11"/>
      <c r="D90" s="6">
        <v>282.73</v>
      </c>
      <c r="E90" s="2"/>
      <c r="F90" s="7">
        <f t="shared" si="62"/>
        <v>-2.1156261963206527E-3</v>
      </c>
      <c r="G90" s="2"/>
      <c r="H90" s="6">
        <v>1479</v>
      </c>
      <c r="I90" s="2"/>
      <c r="J90" s="7">
        <f t="shared" si="63"/>
        <v>1.2463133058060166E-2</v>
      </c>
      <c r="K90" s="2"/>
      <c r="L90" s="6">
        <f t="shared" si="64"/>
        <v>-1196.27</v>
      </c>
      <c r="M90" s="2"/>
      <c r="N90" s="7">
        <f t="shared" si="65"/>
        <v>-0.80883705206220413</v>
      </c>
      <c r="O90" s="11"/>
      <c r="P90" s="6">
        <v>28840.79</v>
      </c>
      <c r="Q90" s="2"/>
      <c r="R90" s="7">
        <f t="shared" si="66"/>
        <v>3.1912898409216022E-3</v>
      </c>
      <c r="S90" s="2"/>
      <c r="T90" s="6">
        <v>16724</v>
      </c>
      <c r="U90" s="2"/>
      <c r="V90" s="7">
        <f t="shared" si="67"/>
        <v>1.4870569405697391E-3</v>
      </c>
      <c r="W90" s="2"/>
      <c r="X90" s="6">
        <f t="shared" si="68"/>
        <v>12116.79</v>
      </c>
      <c r="Y90" s="2"/>
      <c r="Z90" s="7">
        <f t="shared" si="69"/>
        <v>0.7245150681655107</v>
      </c>
    </row>
    <row r="91" spans="1:26" s="24" customFormat="1" hidden="1" outlineLevel="2" x14ac:dyDescent="0.25">
      <c r="A91" s="27"/>
      <c r="B91" s="11" t="str">
        <f>CONCATENATE("          ", "6243", " - ", "PAPER SUPPLIES")</f>
        <v xml:space="preserve">          6243 - PAPER SUPPLIES</v>
      </c>
      <c r="C91" s="11"/>
      <c r="D91" s="6">
        <v>859.86</v>
      </c>
      <c r="E91" s="2"/>
      <c r="F91" s="7">
        <f t="shared" si="62"/>
        <v>-6.434203449114973E-3</v>
      </c>
      <c r="G91" s="2"/>
      <c r="H91" s="6">
        <v>6859</v>
      </c>
      <c r="I91" s="2"/>
      <c r="J91" s="7">
        <f t="shared" si="63"/>
        <v>5.7798938232072126E-2</v>
      </c>
      <c r="K91" s="2"/>
      <c r="L91" s="6">
        <f t="shared" si="64"/>
        <v>-5999.14</v>
      </c>
      <c r="M91" s="2"/>
      <c r="N91" s="7">
        <f t="shared" si="65"/>
        <v>-0.87463770228896343</v>
      </c>
      <c r="O91" s="11"/>
      <c r="P91" s="6">
        <v>60815.41</v>
      </c>
      <c r="Q91" s="2"/>
      <c r="R91" s="7">
        <f t="shared" si="66"/>
        <v>6.7293441027267984E-3</v>
      </c>
      <c r="S91" s="2"/>
      <c r="T91" s="6">
        <v>80499</v>
      </c>
      <c r="U91" s="2"/>
      <c r="V91" s="7">
        <f t="shared" si="67"/>
        <v>7.157773060208289E-3</v>
      </c>
      <c r="W91" s="2"/>
      <c r="X91" s="6">
        <f t="shared" si="68"/>
        <v>-19683.589999999997</v>
      </c>
      <c r="Y91" s="2"/>
      <c r="Z91" s="7">
        <f t="shared" si="69"/>
        <v>-0.24451968347432884</v>
      </c>
    </row>
    <row r="92" spans="1:26" s="24" customFormat="1" hidden="1" outlineLevel="2" x14ac:dyDescent="0.25">
      <c r="A92" s="27"/>
      <c r="B92" s="11" t="str">
        <f>CONCATENATE("          ", "6244", " - ", "SAFETY SUPPLY EXPENSE")</f>
        <v xml:space="preserve">          6244 - SAFETY SUPPLY EXPENSE</v>
      </c>
      <c r="C92" s="11"/>
      <c r="D92" s="6"/>
      <c r="E92" s="2"/>
      <c r="F92" s="7">
        <f t="shared" si="62"/>
        <v>0</v>
      </c>
      <c r="G92" s="2"/>
      <c r="H92" s="6">
        <v>125</v>
      </c>
      <c r="I92" s="2"/>
      <c r="J92" s="7">
        <f t="shared" si="63"/>
        <v>1.053341198280947E-3</v>
      </c>
      <c r="K92" s="2"/>
      <c r="L92" s="6">
        <f t="shared" si="64"/>
        <v>-125</v>
      </c>
      <c r="M92" s="2"/>
      <c r="N92" s="7">
        <f t="shared" si="65"/>
        <v>-1</v>
      </c>
      <c r="O92" s="11"/>
      <c r="P92" s="6"/>
      <c r="Q92" s="2"/>
      <c r="R92" s="7">
        <f t="shared" si="66"/>
        <v>0</v>
      </c>
      <c r="S92" s="2"/>
      <c r="T92" s="6">
        <v>1500</v>
      </c>
      <c r="U92" s="2"/>
      <c r="V92" s="7">
        <f t="shared" si="67"/>
        <v>1.3337631014437987E-4</v>
      </c>
      <c r="W92" s="2"/>
      <c r="X92" s="6">
        <f t="shared" si="68"/>
        <v>-1500</v>
      </c>
      <c r="Y92" s="2"/>
      <c r="Z92" s="7">
        <f t="shared" si="69"/>
        <v>-1</v>
      </c>
    </row>
    <row r="93" spans="1:26" s="24" customFormat="1" hidden="1" outlineLevel="2" x14ac:dyDescent="0.25">
      <c r="A93" s="27"/>
      <c r="B93" s="11" t="str">
        <f>CONCATENATE("          ", "6245", " - ", "PRINTING")</f>
        <v xml:space="preserve">          6245 - PRINTING</v>
      </c>
      <c r="C93" s="11"/>
      <c r="D93" s="6"/>
      <c r="E93" s="2"/>
      <c r="F93" s="7">
        <f t="shared" si="62"/>
        <v>0</v>
      </c>
      <c r="G93" s="2"/>
      <c r="H93" s="6">
        <v>150</v>
      </c>
      <c r="I93" s="2"/>
      <c r="J93" s="7">
        <f t="shared" si="63"/>
        <v>1.2640094379371364E-3</v>
      </c>
      <c r="K93" s="2"/>
      <c r="L93" s="6">
        <f t="shared" si="64"/>
        <v>-150</v>
      </c>
      <c r="M93" s="2"/>
      <c r="N93" s="7">
        <f t="shared" si="65"/>
        <v>-1</v>
      </c>
      <c r="O93" s="11"/>
      <c r="P93" s="6">
        <v>1351.44</v>
      </c>
      <c r="Q93" s="2"/>
      <c r="R93" s="7">
        <f t="shared" si="66"/>
        <v>1.4953948011185166E-4</v>
      </c>
      <c r="S93" s="2"/>
      <c r="T93" s="6">
        <v>1900</v>
      </c>
      <c r="U93" s="2"/>
      <c r="V93" s="7">
        <f t="shared" si="67"/>
        <v>1.6894332618288115E-4</v>
      </c>
      <c r="W93" s="2"/>
      <c r="X93" s="6">
        <f t="shared" si="68"/>
        <v>-548.55999999999995</v>
      </c>
      <c r="Y93" s="2"/>
      <c r="Z93" s="7">
        <f t="shared" si="69"/>
        <v>-0.2887157894736842</v>
      </c>
    </row>
    <row r="94" spans="1:26" s="24" customFormat="1" hidden="1" outlineLevel="2" x14ac:dyDescent="0.25">
      <c r="A94" s="27"/>
      <c r="B94" s="11" t="str">
        <f>CONCATENATE("          ", "6247", " - ", "STORE SUPPLIES")</f>
        <v xml:space="preserve">          6247 - STORE SUPPLIES</v>
      </c>
      <c r="C94" s="11"/>
      <c r="D94" s="6"/>
      <c r="E94" s="2"/>
      <c r="F94" s="7">
        <f t="shared" si="62"/>
        <v>0</v>
      </c>
      <c r="G94" s="2"/>
      <c r="H94" s="6">
        <v>0</v>
      </c>
      <c r="I94" s="2"/>
      <c r="J94" s="7">
        <f t="shared" si="63"/>
        <v>0</v>
      </c>
      <c r="K94" s="2"/>
      <c r="L94" s="6">
        <f t="shared" si="64"/>
        <v>0</v>
      </c>
      <c r="M94" s="2"/>
      <c r="N94" s="7">
        <f t="shared" si="65"/>
        <v>0</v>
      </c>
      <c r="O94" s="11"/>
      <c r="P94" s="6">
        <v>667.78</v>
      </c>
      <c r="Q94" s="2"/>
      <c r="R94" s="7">
        <f t="shared" si="66"/>
        <v>7.3891163521201301E-5</v>
      </c>
      <c r="S94" s="2"/>
      <c r="T94" s="6">
        <v>226</v>
      </c>
      <c r="U94" s="2"/>
      <c r="V94" s="7">
        <f t="shared" si="67"/>
        <v>2.0095364061753231E-5</v>
      </c>
      <c r="W94" s="2"/>
      <c r="X94" s="6">
        <f t="shared" si="68"/>
        <v>441.78</v>
      </c>
      <c r="Y94" s="2"/>
      <c r="Z94" s="7">
        <f t="shared" si="69"/>
        <v>1.9547787610619467</v>
      </c>
    </row>
    <row r="95" spans="1:26" s="24" customFormat="1" hidden="1" outlineLevel="2" x14ac:dyDescent="0.25">
      <c r="A95" s="27"/>
      <c r="B95" s="11" t="str">
        <f>CONCATENATE("          ", "6248", " - ", "UNIFORMS")</f>
        <v xml:space="preserve">          6248 - UNIFORMS</v>
      </c>
      <c r="C95" s="11"/>
      <c r="D95" s="6"/>
      <c r="E95" s="2"/>
      <c r="F95" s="7">
        <f t="shared" si="62"/>
        <v>0</v>
      </c>
      <c r="G95" s="2"/>
      <c r="H95" s="6">
        <v>375</v>
      </c>
      <c r="I95" s="2"/>
      <c r="J95" s="7">
        <f t="shared" si="63"/>
        <v>3.1600235948428413E-3</v>
      </c>
      <c r="K95" s="2"/>
      <c r="L95" s="6">
        <f t="shared" si="64"/>
        <v>-375</v>
      </c>
      <c r="M95" s="2"/>
      <c r="N95" s="7">
        <f t="shared" si="65"/>
        <v>-1</v>
      </c>
      <c r="O95" s="11"/>
      <c r="P95" s="6">
        <v>-126.8</v>
      </c>
      <c r="Q95" s="2"/>
      <c r="R95" s="7">
        <f t="shared" si="66"/>
        <v>-1.403066808602882E-5</v>
      </c>
      <c r="S95" s="2"/>
      <c r="T95" s="6">
        <v>17000</v>
      </c>
      <c r="U95" s="2"/>
      <c r="V95" s="7">
        <f t="shared" si="67"/>
        <v>1.511598181636305E-3</v>
      </c>
      <c r="W95" s="2"/>
      <c r="X95" s="6">
        <f t="shared" si="68"/>
        <v>-17126.8</v>
      </c>
      <c r="Y95" s="2"/>
      <c r="Z95" s="7">
        <f t="shared" si="69"/>
        <v>-1.0074588235294117</v>
      </c>
    </row>
    <row r="96" spans="1:26" s="26" customFormat="1" outlineLevel="1" collapsed="1" x14ac:dyDescent="0.25">
      <c r="A96" s="25"/>
      <c r="B96" s="12" t="str">
        <f>CONCATENATE("     ","Telephone/Data Lines                              ")</f>
        <v xml:space="preserve">     Telephone/Data Lines                              </v>
      </c>
      <c r="C96" s="12"/>
      <c r="D96" s="1">
        <f>SUM(OSRRefD22_16x_0)</f>
        <v>331.7</v>
      </c>
      <c r="E96" s="1"/>
      <c r="F96" s="5">
        <f t="shared" ref="F96:F102" si="70">IF(D$12=0,0,D96/D$12)</f>
        <v>-2.4820613635608544E-3</v>
      </c>
      <c r="G96" s="1"/>
      <c r="H96" s="1">
        <f>SUM(OSRRefH22_16x_0)</f>
        <v>693</v>
      </c>
      <c r="I96" s="1"/>
      <c r="J96" s="5">
        <f t="shared" ref="J96:J102" si="71">IF(H$12=0,0,H96/H$12)</f>
        <v>5.8397236032695704E-3</v>
      </c>
      <c r="K96" s="1"/>
      <c r="L96" s="1">
        <f t="shared" ref="L96:L102" si="72">+D96-H96</f>
        <v>-361.3</v>
      </c>
      <c r="M96" s="1"/>
      <c r="N96" s="5">
        <f t="shared" ref="N96:N102" si="73">IF(H96=0,0,L96/H96)</f>
        <v>-0.52135642135642135</v>
      </c>
      <c r="O96" s="12"/>
      <c r="P96" s="1">
        <f>SUM(OSRRefP22_16x_0)</f>
        <v>7428.5</v>
      </c>
      <c r="Q96" s="1"/>
      <c r="R96" s="5">
        <f t="shared" ref="R96:R102" si="74">IF(P$12=0,0,P96/P$12)</f>
        <v>8.2197805896739033E-4</v>
      </c>
      <c r="S96" s="1"/>
      <c r="T96" s="1">
        <f>SUM(OSRRefT22_16x_0)</f>
        <v>9321</v>
      </c>
      <c r="U96" s="1"/>
      <c r="V96" s="5">
        <f t="shared" ref="V96:V102" si="75">IF(T$12=0,0,T96/T$12)</f>
        <v>8.2880039123717642E-4</v>
      </c>
      <c r="W96" s="1"/>
      <c r="X96" s="1">
        <f t="shared" ref="X96:X102" si="76">+P96-T96</f>
        <v>-1892.5</v>
      </c>
      <c r="Y96" s="1"/>
      <c r="Z96" s="5">
        <f t="shared" ref="Z96:Z102" si="77">IF(T96=0,0,X96/T96)</f>
        <v>-0.20303615491900009</v>
      </c>
    </row>
    <row r="97" spans="1:26" s="24" customFormat="1" hidden="1" outlineLevel="2" x14ac:dyDescent="0.25">
      <c r="A97" s="27"/>
      <c r="B97" s="11" t="str">
        <f>CONCATENATE("          ", "6309", " - ", "TELEPHONE")</f>
        <v xml:space="preserve">          6309 - TELEPHONE</v>
      </c>
      <c r="C97" s="11"/>
      <c r="D97" s="6">
        <v>331.7</v>
      </c>
      <c r="E97" s="2"/>
      <c r="F97" s="7">
        <f t="shared" si="70"/>
        <v>-2.4820613635608544E-3</v>
      </c>
      <c r="G97" s="2"/>
      <c r="H97" s="6">
        <v>693</v>
      </c>
      <c r="I97" s="2"/>
      <c r="J97" s="7">
        <f t="shared" si="71"/>
        <v>5.8397236032695704E-3</v>
      </c>
      <c r="K97" s="2"/>
      <c r="L97" s="6">
        <f t="shared" si="72"/>
        <v>-361.3</v>
      </c>
      <c r="M97" s="2"/>
      <c r="N97" s="7">
        <f t="shared" si="73"/>
        <v>-0.52135642135642135</v>
      </c>
      <c r="O97" s="11"/>
      <c r="P97" s="6">
        <v>7428.5</v>
      </c>
      <c r="Q97" s="2"/>
      <c r="R97" s="7">
        <f t="shared" si="74"/>
        <v>8.2197805896739033E-4</v>
      </c>
      <c r="S97" s="2"/>
      <c r="T97" s="6">
        <v>9321</v>
      </c>
      <c r="U97" s="2"/>
      <c r="V97" s="7">
        <f t="shared" si="75"/>
        <v>8.2880039123717642E-4</v>
      </c>
      <c r="W97" s="2"/>
      <c r="X97" s="6">
        <f t="shared" si="76"/>
        <v>-1892.5</v>
      </c>
      <c r="Y97" s="2"/>
      <c r="Z97" s="7">
        <f t="shared" si="77"/>
        <v>-0.20303615491900009</v>
      </c>
    </row>
    <row r="98" spans="1:26" s="26" customFormat="1" outlineLevel="1" collapsed="1" x14ac:dyDescent="0.25">
      <c r="A98" s="25"/>
      <c r="B98" s="12" t="str">
        <f>CONCATENATE("     ","Training                                          ")</f>
        <v xml:space="preserve">     Training                                          </v>
      </c>
      <c r="C98" s="12"/>
      <c r="D98" s="1">
        <f>SUM(OSRRefD22_17x_0)</f>
        <v>494</v>
      </c>
      <c r="E98" s="1"/>
      <c r="F98" s="5">
        <f t="shared" si="70"/>
        <v>-3.6965279276426357E-3</v>
      </c>
      <c r="G98" s="1"/>
      <c r="H98" s="1">
        <f>SUM(OSRRefH22_17x_0)</f>
        <v>4379</v>
      </c>
      <c r="I98" s="1"/>
      <c r="J98" s="5">
        <f t="shared" si="71"/>
        <v>3.6900648858178134E-2</v>
      </c>
      <c r="K98" s="1"/>
      <c r="L98" s="1">
        <f t="shared" si="72"/>
        <v>-3885</v>
      </c>
      <c r="M98" s="1"/>
      <c r="N98" s="5">
        <f t="shared" si="73"/>
        <v>-0.8871888559031742</v>
      </c>
      <c r="O98" s="12"/>
      <c r="P98" s="1">
        <f>SUM(OSRRefP22_17x_0)</f>
        <v>6892.23</v>
      </c>
      <c r="Q98" s="1"/>
      <c r="R98" s="5">
        <f t="shared" si="74"/>
        <v>7.6263873424740078E-4</v>
      </c>
      <c r="S98" s="1"/>
      <c r="T98" s="1">
        <f>SUM(OSRRefT22_17x_0)</f>
        <v>22895</v>
      </c>
      <c r="U98" s="1"/>
      <c r="V98" s="5">
        <f t="shared" si="75"/>
        <v>2.0357670805037178E-3</v>
      </c>
      <c r="W98" s="1"/>
      <c r="X98" s="1">
        <f t="shared" si="76"/>
        <v>-16002.77</v>
      </c>
      <c r="Y98" s="1"/>
      <c r="Z98" s="5">
        <f t="shared" si="77"/>
        <v>-0.69896352915483728</v>
      </c>
    </row>
    <row r="99" spans="1:26" s="24" customFormat="1" hidden="1" outlineLevel="2" x14ac:dyDescent="0.25">
      <c r="A99" s="27"/>
      <c r="B99" s="11" t="str">
        <f>CONCATENATE("          ", "6376", " - ", "TRAINING")</f>
        <v xml:space="preserve">          6376 - TRAINING</v>
      </c>
      <c r="C99" s="11"/>
      <c r="D99" s="6">
        <v>494</v>
      </c>
      <c r="E99" s="2"/>
      <c r="F99" s="7">
        <f t="shared" si="70"/>
        <v>-3.6965279276426357E-3</v>
      </c>
      <c r="G99" s="2"/>
      <c r="H99" s="6">
        <v>4379</v>
      </c>
      <c r="I99" s="2"/>
      <c r="J99" s="7">
        <f t="shared" si="71"/>
        <v>3.6900648858178134E-2</v>
      </c>
      <c r="K99" s="2"/>
      <c r="L99" s="6">
        <f t="shared" si="72"/>
        <v>-3885</v>
      </c>
      <c r="M99" s="2"/>
      <c r="N99" s="7">
        <f t="shared" si="73"/>
        <v>-0.8871888559031742</v>
      </c>
      <c r="O99" s="11"/>
      <c r="P99" s="6">
        <v>6892.23</v>
      </c>
      <c r="Q99" s="2"/>
      <c r="R99" s="7">
        <f t="shared" si="74"/>
        <v>7.6263873424740078E-4</v>
      </c>
      <c r="S99" s="2"/>
      <c r="T99" s="6">
        <v>22895</v>
      </c>
      <c r="U99" s="2"/>
      <c r="V99" s="7">
        <f t="shared" si="75"/>
        <v>2.0357670805037178E-3</v>
      </c>
      <c r="W99" s="2"/>
      <c r="X99" s="6">
        <f t="shared" si="76"/>
        <v>-16002.77</v>
      </c>
      <c r="Y99" s="2"/>
      <c r="Z99" s="7">
        <f t="shared" si="77"/>
        <v>-0.69896352915483728</v>
      </c>
    </row>
    <row r="100" spans="1:26" s="26" customFormat="1" outlineLevel="1" collapsed="1" x14ac:dyDescent="0.25">
      <c r="A100" s="25"/>
      <c r="B100" s="12" t="str">
        <f>CONCATENATE("     ","Travel                                            ")</f>
        <v xml:space="preserve">     Travel                                            </v>
      </c>
      <c r="C100" s="12"/>
      <c r="D100" s="1">
        <f>SUM(OSRRefD22_18x_0)</f>
        <v>0</v>
      </c>
      <c r="E100" s="1"/>
      <c r="F100" s="5">
        <f t="shared" si="70"/>
        <v>0</v>
      </c>
      <c r="G100" s="1"/>
      <c r="H100" s="1">
        <f>SUM(OSRRefH22_18x_0)</f>
        <v>410</v>
      </c>
      <c r="I100" s="1"/>
      <c r="J100" s="5">
        <f t="shared" si="71"/>
        <v>3.4549591303615064E-3</v>
      </c>
      <c r="K100" s="1"/>
      <c r="L100" s="1">
        <f t="shared" si="72"/>
        <v>-410</v>
      </c>
      <c r="M100" s="1"/>
      <c r="N100" s="5">
        <f t="shared" si="73"/>
        <v>-1</v>
      </c>
      <c r="O100" s="12"/>
      <c r="P100" s="1">
        <f>SUM(OSRRefP22_18x_0)</f>
        <v>1894.26</v>
      </c>
      <c r="Q100" s="1"/>
      <c r="R100" s="5">
        <f t="shared" si="74"/>
        <v>2.0960357514701068E-4</v>
      </c>
      <c r="S100" s="1"/>
      <c r="T100" s="1">
        <f>SUM(OSRRefT22_18x_0)</f>
        <v>4920</v>
      </c>
      <c r="U100" s="1"/>
      <c r="V100" s="5">
        <f t="shared" si="75"/>
        <v>4.3747429727356593E-4</v>
      </c>
      <c r="W100" s="1"/>
      <c r="X100" s="1">
        <f t="shared" si="76"/>
        <v>-3025.74</v>
      </c>
      <c r="Y100" s="1"/>
      <c r="Z100" s="5">
        <f t="shared" si="77"/>
        <v>-0.61498780487804872</v>
      </c>
    </row>
    <row r="101" spans="1:26" s="24" customFormat="1" hidden="1" outlineLevel="2" x14ac:dyDescent="0.25">
      <c r="A101" s="27"/>
      <c r="B101" s="11" t="str">
        <f>CONCATENATE("          ", "6292", " - ", "TRAVEL/CONFERENCE")</f>
        <v xml:space="preserve">          6292 - TRAVEL/CONFERENCE</v>
      </c>
      <c r="C101" s="11"/>
      <c r="D101" s="6"/>
      <c r="E101" s="2"/>
      <c r="F101" s="7">
        <f t="shared" si="70"/>
        <v>0</v>
      </c>
      <c r="G101" s="2"/>
      <c r="H101" s="6">
        <v>300</v>
      </c>
      <c r="I101" s="2"/>
      <c r="J101" s="7">
        <f t="shared" si="71"/>
        <v>2.5280188758742728E-3</v>
      </c>
      <c r="K101" s="2"/>
      <c r="L101" s="6">
        <f t="shared" si="72"/>
        <v>-300</v>
      </c>
      <c r="M101" s="2"/>
      <c r="N101" s="7">
        <f t="shared" si="73"/>
        <v>-1</v>
      </c>
      <c r="O101" s="11"/>
      <c r="P101" s="6">
        <v>1894.26</v>
      </c>
      <c r="Q101" s="2"/>
      <c r="R101" s="7">
        <f t="shared" si="74"/>
        <v>2.0960357514701068E-4</v>
      </c>
      <c r="S101" s="2"/>
      <c r="T101" s="6">
        <v>3600</v>
      </c>
      <c r="U101" s="2"/>
      <c r="V101" s="7">
        <f t="shared" si="75"/>
        <v>3.2010314434651165E-4</v>
      </c>
      <c r="W101" s="2"/>
      <c r="X101" s="6">
        <f t="shared" si="76"/>
        <v>-1705.74</v>
      </c>
      <c r="Y101" s="2"/>
      <c r="Z101" s="7">
        <f t="shared" si="77"/>
        <v>-0.47381666666666666</v>
      </c>
    </row>
    <row r="102" spans="1:26" s="24" customFormat="1" hidden="1" outlineLevel="2" x14ac:dyDescent="0.25">
      <c r="A102" s="27"/>
      <c r="B102" s="11" t="str">
        <f>CONCATENATE("          ", "6298", " - ", "VEHICLE MILEAGE")</f>
        <v xml:space="preserve">          6298 - VEHICLE MILEAGE</v>
      </c>
      <c r="C102" s="11"/>
      <c r="D102" s="6"/>
      <c r="E102" s="2"/>
      <c r="F102" s="7">
        <f t="shared" si="70"/>
        <v>0</v>
      </c>
      <c r="G102" s="2"/>
      <c r="H102" s="6">
        <v>110</v>
      </c>
      <c r="I102" s="2"/>
      <c r="J102" s="7">
        <f t="shared" si="71"/>
        <v>9.2694025448723338E-4</v>
      </c>
      <c r="K102" s="2"/>
      <c r="L102" s="6">
        <f t="shared" si="72"/>
        <v>-110</v>
      </c>
      <c r="M102" s="2"/>
      <c r="N102" s="7">
        <f t="shared" si="73"/>
        <v>-1</v>
      </c>
      <c r="O102" s="11"/>
      <c r="P102" s="6"/>
      <c r="Q102" s="2"/>
      <c r="R102" s="7">
        <f t="shared" si="74"/>
        <v>0</v>
      </c>
      <c r="S102" s="2"/>
      <c r="T102" s="6">
        <v>1320</v>
      </c>
      <c r="U102" s="2"/>
      <c r="V102" s="7">
        <f t="shared" si="75"/>
        <v>1.1737115292705428E-4</v>
      </c>
      <c r="W102" s="2"/>
      <c r="X102" s="6">
        <f t="shared" si="76"/>
        <v>-1320</v>
      </c>
      <c r="Y102" s="2"/>
      <c r="Z102" s="7">
        <f t="shared" si="77"/>
        <v>-1</v>
      </c>
    </row>
    <row r="103" spans="1:26" s="60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x14ac:dyDescent="0.25">
      <c r="A104" s="10"/>
      <c r="B104" s="28" t="s">
        <v>0</v>
      </c>
      <c r="C104" s="10"/>
      <c r="D104" s="4">
        <f>SUM(0)</f>
        <v>0</v>
      </c>
      <c r="E104" s="4"/>
      <c r="F104" s="13">
        <f>IF(D$12=0,0,D104/D$12)</f>
        <v>0</v>
      </c>
      <c r="G104" s="4"/>
      <c r="H104" s="4">
        <f>SUM(0)</f>
        <v>0</v>
      </c>
      <c r="I104" s="4"/>
      <c r="J104" s="13">
        <f>IF(H$12=0,0,H104/H$12)</f>
        <v>0</v>
      </c>
      <c r="K104" s="4"/>
      <c r="L104" s="4">
        <f>+D104-H104</f>
        <v>0</v>
      </c>
      <c r="M104" s="4"/>
      <c r="N104" s="13">
        <f>IF(H104=0,0,L104/H104)</f>
        <v>0</v>
      </c>
      <c r="O104" s="10"/>
      <c r="P104" s="4">
        <f>SUM(0)</f>
        <v>0</v>
      </c>
      <c r="Q104" s="4"/>
      <c r="R104" s="13">
        <f>IF(P$12=0,0,P104/P$12)</f>
        <v>0</v>
      </c>
      <c r="S104" s="4"/>
      <c r="T104" s="4">
        <f>SUM(0)</f>
        <v>0</v>
      </c>
      <c r="U104" s="4"/>
      <c r="V104" s="13">
        <f>IF(T$12=0,0,T104/T$12)</f>
        <v>0</v>
      </c>
      <c r="W104" s="4"/>
      <c r="X104" s="4">
        <f>+P104-T104</f>
        <v>0</v>
      </c>
      <c r="Y104" s="4"/>
      <c r="Z104" s="13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9" t="s">
        <v>3</v>
      </c>
      <c r="C106" s="29"/>
      <c r="D106" s="22">
        <f>+D26-D28+D104</f>
        <v>-276637.71999999997</v>
      </c>
      <c r="E106" s="14"/>
      <c r="F106" s="20">
        <f>IF(D$12=0,0,D106/D$12)</f>
        <v>2.0700385785817481</v>
      </c>
      <c r="G106" s="14"/>
      <c r="H106" s="22">
        <f>+H26-H28+H104</f>
        <v>-206309.6188961803</v>
      </c>
      <c r="I106" s="14"/>
      <c r="J106" s="20">
        <f>IF(H$12=0,0,H106/H$12)</f>
        <v>-1.7385153694799045</v>
      </c>
      <c r="K106" s="15"/>
      <c r="L106" s="22">
        <f>+D106-H106</f>
        <v>-70328.101103819674</v>
      </c>
      <c r="M106" s="15"/>
      <c r="N106" s="20">
        <f>IF(H106=0,0,L106/H106)</f>
        <v>0.34088619561267464</v>
      </c>
      <c r="O106" s="28"/>
      <c r="P106" s="22">
        <f>+P26-P28+P104</f>
        <v>1883426.0899999989</v>
      </c>
      <c r="Q106" s="14"/>
      <c r="R106" s="20">
        <f>IF(P$12=0,0,P106/P$12)</f>
        <v>0.20840478180880939</v>
      </c>
      <c r="S106" s="14"/>
      <c r="T106" s="22">
        <f>+T26-T28+T104</f>
        <v>2634881.9155565342</v>
      </c>
      <c r="U106" s="14"/>
      <c r="V106" s="20">
        <f>IF(T$12=0,0,T106/T$12)</f>
        <v>0.23428721837539065</v>
      </c>
      <c r="W106" s="15"/>
      <c r="X106" s="22">
        <f>+P106-T106</f>
        <v>-751455.82555653527</v>
      </c>
      <c r="Y106" s="15"/>
      <c r="Z106" s="20">
        <f>IF(T106=0,0,X106/T106)</f>
        <v>-0.28519525718396921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2"/>
      <c r="B108" s="10" t="s">
        <v>14</v>
      </c>
      <c r="C108" s="10"/>
      <c r="D108" s="4">
        <v>282571.07</v>
      </c>
      <c r="E108" s="4"/>
      <c r="F108" s="13">
        <f>IF(D$12=0,0,D108/D$12)</f>
        <v>-2.1144369469612592</v>
      </c>
      <c r="G108" s="4"/>
      <c r="H108" s="4">
        <v>166078</v>
      </c>
      <c r="I108" s="4"/>
      <c r="J108" s="13">
        <f>IF(H$12=0,0,H108/H$12)</f>
        <v>1.399494396224825</v>
      </c>
      <c r="K108" s="4"/>
      <c r="L108" s="4">
        <f>+D108-H108</f>
        <v>116493.07</v>
      </c>
      <c r="M108" s="4"/>
      <c r="N108" s="13">
        <f>IF(H108=0,0,L108/H108)</f>
        <v>0.70143589156902186</v>
      </c>
      <c r="O108" s="10"/>
      <c r="P108" s="4">
        <v>1368604.3599999999</v>
      </c>
      <c r="Q108" s="4"/>
      <c r="R108" s="13">
        <f>IF(P$12=0,0,P108/P$12)</f>
        <v>0.15143875012816954</v>
      </c>
      <c r="S108" s="4"/>
      <c r="T108" s="4">
        <v>1454953</v>
      </c>
      <c r="U108" s="4"/>
      <c r="V108" s="13">
        <f>IF(T$12=0,0,T108/T$12)</f>
        <v>0.12937084171566393</v>
      </c>
      <c r="W108" s="4"/>
      <c r="X108" s="4">
        <f>+P108-T108</f>
        <v>-86348.64000000013</v>
      </c>
      <c r="Y108" s="4"/>
      <c r="Z108" s="13">
        <f>IF(T108=0,0,X108/T108)</f>
        <v>-5.9348061415042362E-2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4</v>
      </c>
      <c r="C110" s="29"/>
      <c r="D110" s="31">
        <f>+D106-D108</f>
        <v>-559208.79</v>
      </c>
      <c r="E110" s="14"/>
      <c r="F110" s="33">
        <f>IF(D$12=0,0,D110/D$12)</f>
        <v>4.1844755255430082</v>
      </c>
      <c r="G110" s="14"/>
      <c r="H110" s="31">
        <f>+H106-H108</f>
        <v>-372387.6188961803</v>
      </c>
      <c r="I110" s="14"/>
      <c r="J110" s="33">
        <f>IF(H$12=0,0,H110/H$12)</f>
        <v>-3.1380097657047297</v>
      </c>
      <c r="K110" s="15"/>
      <c r="L110" s="31">
        <f>D110-H110</f>
        <v>-186821.17110381974</v>
      </c>
      <c r="M110" s="15"/>
      <c r="N110" s="33">
        <f>IF(H110=0,0,L110/H110)</f>
        <v>0.50168470062884796</v>
      </c>
      <c r="O110" s="28"/>
      <c r="P110" s="31">
        <f>+P106-P108</f>
        <v>514821.72999999905</v>
      </c>
      <c r="Q110" s="14"/>
      <c r="R110" s="33">
        <f>IF(P$12=0,0,P110/P$12)</f>
        <v>5.696603168063985E-2</v>
      </c>
      <c r="S110" s="14"/>
      <c r="T110" s="31">
        <f>+T106-T108</f>
        <v>1179928.9155565342</v>
      </c>
      <c r="U110" s="14"/>
      <c r="V110" s="33">
        <f>IF(T$12=0,0,T110/T$12)</f>
        <v>0.10491637665972672</v>
      </c>
      <c r="W110" s="15"/>
      <c r="X110" s="31">
        <f>P110-T110</f>
        <v>-665107.18555653514</v>
      </c>
      <c r="Y110" s="15"/>
      <c r="Z110" s="33">
        <f>IF(T110=0,0,X110/T110)</f>
        <v>-0.56368411417634057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5</v>
      </c>
      <c r="C113" s="29"/>
      <c r="D113" s="34">
        <f>SUM(D110:D112)</f>
        <v>-559208.79</v>
      </c>
      <c r="E113" s="14"/>
      <c r="F113" s="35">
        <f>IF(D$12=0,0,D113/D$12)</f>
        <v>4.1844755255430082</v>
      </c>
      <c r="G113" s="14"/>
      <c r="H113" s="34">
        <f>SUM(H110:H112)</f>
        <v>-372387.6188961803</v>
      </c>
      <c r="I113" s="14"/>
      <c r="J113" s="35">
        <f>IF(H$12=0,0,H113/H$12)</f>
        <v>-3.1380097657047297</v>
      </c>
      <c r="K113" s="15"/>
      <c r="L113" s="34">
        <f>+D113-H113</f>
        <v>-186821.17110381974</v>
      </c>
      <c r="M113" s="15"/>
      <c r="N113" s="35">
        <f>IF(H113=0,0,L113/H113)</f>
        <v>0.50168470062884796</v>
      </c>
      <c r="O113" s="28"/>
      <c r="P113" s="34">
        <f>SUM(P110:P112)</f>
        <v>514821.72999999905</v>
      </c>
      <c r="Q113" s="14"/>
      <c r="R113" s="35">
        <f>IF(P$12=0,0,P113/P$12)</f>
        <v>5.696603168063985E-2</v>
      </c>
      <c r="S113" s="14"/>
      <c r="T113" s="34">
        <f>SUM(T110:T112)</f>
        <v>1179928.9155565342</v>
      </c>
      <c r="U113" s="14"/>
      <c r="V113" s="35">
        <f>IF(T$12=0,0,T113/T$12)</f>
        <v>0.10491637665972672</v>
      </c>
      <c r="W113" s="15"/>
      <c r="X113" s="34">
        <f>+P113-T113</f>
        <v>-665107.18555653514</v>
      </c>
      <c r="Y113" s="15"/>
      <c r="Z113" s="35">
        <f>IF(T113=0,0,X113/T113)</f>
        <v>-0.56368411417634057</v>
      </c>
    </row>
    <row r="114" spans="1:26" ht="15.75" thickTop="1" x14ac:dyDescent="0.25">
      <c r="A114" s="9"/>
      <c r="C114" s="9"/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6" x14ac:dyDescent="0.25">
      <c r="A115" s="9"/>
      <c r="B115" s="55">
        <v>44043.473087349535</v>
      </c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6" x14ac:dyDescent="0.25">
      <c r="A116" s="9"/>
      <c r="B116" s="62" t="s">
        <v>314</v>
      </c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63"/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","430", " - ", "Res Hall Management")</f>
        <v>Department 430 - Res Hall Management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3"/>
      <c r="G12" s="4"/>
      <c r="H12" s="4">
        <f>SUM(0)</f>
        <v>0</v>
      </c>
      <c r="I12" s="4"/>
      <c r="J12" s="13"/>
      <c r="K12" s="4"/>
      <c r="L12" s="4">
        <f>+D12-H12</f>
        <v>0</v>
      </c>
      <c r="M12" s="4"/>
      <c r="N12" s="13">
        <f>IF(H12=0,0,L12/H12)</f>
        <v>0</v>
      </c>
      <c r="O12" s="10"/>
      <c r="P12" s="4">
        <f>SUM(0)</f>
        <v>0</v>
      </c>
      <c r="Q12" s="4"/>
      <c r="R12" s="13"/>
      <c r="S12" s="4"/>
      <c r="T12" s="4">
        <f>SUM(0)</f>
        <v>0</v>
      </c>
      <c r="U12" s="4"/>
      <c r="V12" s="13"/>
      <c r="W12" s="4"/>
      <c r="X12" s="4">
        <f>+P12-T12</f>
        <v>0</v>
      </c>
      <c r="Y12" s="4"/>
      <c r="Z12" s="13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3">
        <f>IF(D$12=0,0,D14/D$12)</f>
        <v>0</v>
      </c>
      <c r="G14" s="4"/>
      <c r="H14" s="4">
        <f>SUM(0)</f>
        <v>0</v>
      </c>
      <c r="I14" s="4"/>
      <c r="J14" s="13">
        <f>IF(H$12=0,0,H14/H$12)</f>
        <v>0</v>
      </c>
      <c r="K14" s="4"/>
      <c r="L14" s="4">
        <f>+D14-H14</f>
        <v>0</v>
      </c>
      <c r="M14" s="4"/>
      <c r="N14" s="13">
        <f>IF(H14=0,0,L14/H14)</f>
        <v>0</v>
      </c>
      <c r="O14" s="10"/>
      <c r="P14" s="4">
        <f>SUM(0)</f>
        <v>0</v>
      </c>
      <c r="Q14" s="4"/>
      <c r="R14" s="13">
        <f>IF(P$12=0,0,P14/P$12)</f>
        <v>0</v>
      </c>
      <c r="S14" s="4"/>
      <c r="T14" s="4">
        <f>SUM(0)</f>
        <v>0</v>
      </c>
      <c r="U14" s="4"/>
      <c r="V14" s="13">
        <f>IF(T$12=0,0,T14/T$12)</f>
        <v>0</v>
      </c>
      <c r="W14" s="4"/>
      <c r="X14" s="4">
        <f>+P14-T14</f>
        <v>0</v>
      </c>
      <c r="Y14" s="4"/>
      <c r="Z14" s="13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13767.529999999999</v>
      </c>
      <c r="E18" s="21"/>
      <c r="F18" s="32">
        <f t="shared" ref="F18:F28" si="0">IF(D$12=0,0,D18/D$12)</f>
        <v>0</v>
      </c>
      <c r="G18" s="21"/>
      <c r="H18" s="21">
        <f>SUM(OSRRefH22x_0)</f>
        <v>13408.050783619999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359.47921637999934</v>
      </c>
      <c r="M18" s="4"/>
      <c r="N18" s="32">
        <f t="shared" ref="N18:N28" si="3">IF(H18=0,0,L18/H18)</f>
        <v>2.6810699197168809E-2</v>
      </c>
      <c r="O18" s="10"/>
      <c r="P18" s="21">
        <f>SUM(OSRRefP22x_0)</f>
        <v>225107.52000000002</v>
      </c>
      <c r="Q18" s="21"/>
      <c r="R18" s="32">
        <f t="shared" ref="R18:R28" si="4">IF(P$12=0,0,P18/P$12)</f>
        <v>0</v>
      </c>
      <c r="S18" s="21"/>
      <c r="T18" s="21">
        <f>SUM(OSRRefT22x_0)</f>
        <v>172202.66018706001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52904.859812940005</v>
      </c>
      <c r="Y18" s="4"/>
      <c r="Z18" s="32">
        <f t="shared" ref="Z18:Z28" si="7">IF(T18=0,0,X18/T18)</f>
        <v>0.30722440498579179</v>
      </c>
    </row>
    <row r="19" spans="1:26" s="26" customFormat="1" outlineLevel="1" collapsed="1" x14ac:dyDescent="0.25">
      <c r="A19" s="25"/>
      <c r="B19" s="12" t="str">
        <f>CONCATENATE("     ","*Benefits                                         ")</f>
        <v xml:space="preserve">     *Benefits                                         </v>
      </c>
      <c r="C19" s="12"/>
      <c r="D19" s="1">
        <f>SUM(OSRRefD22_0x_0)</f>
        <v>4941.3999999999996</v>
      </c>
      <c r="E19" s="1"/>
      <c r="F19" s="5">
        <f t="shared" si="0"/>
        <v>0</v>
      </c>
      <c r="G19" s="1"/>
      <c r="H19" s="1">
        <f>SUM(OSRRefH22_0x_0)</f>
        <v>4452.5201836199994</v>
      </c>
      <c r="I19" s="1"/>
      <c r="J19" s="5">
        <f t="shared" si="1"/>
        <v>0</v>
      </c>
      <c r="K19" s="1"/>
      <c r="L19" s="1">
        <f t="shared" si="2"/>
        <v>488.87981638000019</v>
      </c>
      <c r="M19" s="1"/>
      <c r="N19" s="5">
        <f t="shared" si="3"/>
        <v>0.10979845036491892</v>
      </c>
      <c r="O19" s="12"/>
      <c r="P19" s="1">
        <f>SUM(OSRRefP22_0x_0)</f>
        <v>70479.14</v>
      </c>
      <c r="Q19" s="1"/>
      <c r="R19" s="5">
        <f t="shared" si="4"/>
        <v>0</v>
      </c>
      <c r="S19" s="1"/>
      <c r="T19" s="1">
        <f>SUM(OSRRefT22_0x_0)</f>
        <v>55905.76238706</v>
      </c>
      <c r="U19" s="1"/>
      <c r="V19" s="5">
        <f t="shared" si="5"/>
        <v>0</v>
      </c>
      <c r="W19" s="1"/>
      <c r="X19" s="1">
        <f t="shared" si="6"/>
        <v>14573.377612939999</v>
      </c>
      <c r="Y19" s="1"/>
      <c r="Z19" s="5">
        <f t="shared" si="7"/>
        <v>0.26067755792403197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685.42</v>
      </c>
      <c r="E20" s="2"/>
      <c r="F20" s="7">
        <f t="shared" si="0"/>
        <v>0</v>
      </c>
      <c r="G20" s="2"/>
      <c r="H20" s="6">
        <v>623.33945201999995</v>
      </c>
      <c r="I20" s="2"/>
      <c r="J20" s="7">
        <f t="shared" si="1"/>
        <v>0</v>
      </c>
      <c r="K20" s="2"/>
      <c r="L20" s="6">
        <f t="shared" si="2"/>
        <v>62.080547980000006</v>
      </c>
      <c r="M20" s="2"/>
      <c r="N20" s="7">
        <f t="shared" si="3"/>
        <v>9.9593484382901123E-2</v>
      </c>
      <c r="O20" s="11"/>
      <c r="P20" s="6">
        <v>9246.1299999999992</v>
      </c>
      <c r="Q20" s="2"/>
      <c r="R20" s="7">
        <f t="shared" si="4"/>
        <v>0</v>
      </c>
      <c r="S20" s="2"/>
      <c r="T20" s="6">
        <v>8103.4128762599994</v>
      </c>
      <c r="U20" s="2"/>
      <c r="V20" s="7">
        <f t="shared" si="5"/>
        <v>0</v>
      </c>
      <c r="W20" s="2"/>
      <c r="X20" s="6">
        <f t="shared" si="6"/>
        <v>1142.7171237399998</v>
      </c>
      <c r="Y20" s="2"/>
      <c r="Z20" s="7">
        <f t="shared" si="7"/>
        <v>0.14101677172191707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347.63</v>
      </c>
      <c r="E21" s="2"/>
      <c r="F21" s="7">
        <f t="shared" si="0"/>
        <v>0</v>
      </c>
      <c r="G21" s="2"/>
      <c r="H21" s="6">
        <v>316.02731920000002</v>
      </c>
      <c r="I21" s="2"/>
      <c r="J21" s="7">
        <f t="shared" si="1"/>
        <v>0</v>
      </c>
      <c r="K21" s="2"/>
      <c r="L21" s="6">
        <f t="shared" si="2"/>
        <v>31.602680799999973</v>
      </c>
      <c r="M21" s="2"/>
      <c r="N21" s="7">
        <f t="shared" si="3"/>
        <v>9.999983824183252E-2</v>
      </c>
      <c r="O21" s="11"/>
      <c r="P21" s="6">
        <v>4099.1499999999996</v>
      </c>
      <c r="Q21" s="2"/>
      <c r="R21" s="7">
        <f t="shared" si="4"/>
        <v>0</v>
      </c>
      <c r="S21" s="2"/>
      <c r="T21" s="6">
        <v>4108.3551496</v>
      </c>
      <c r="U21" s="2"/>
      <c r="V21" s="7">
        <f t="shared" si="5"/>
        <v>0</v>
      </c>
      <c r="W21" s="2"/>
      <c r="X21" s="6">
        <f t="shared" si="6"/>
        <v>-9.2051496000003681</v>
      </c>
      <c r="Y21" s="2"/>
      <c r="Z21" s="7">
        <f t="shared" si="7"/>
        <v>-2.2405924670111845E-3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760.90000000000009</v>
      </c>
      <c r="M22" s="2"/>
      <c r="N22" s="7">
        <f t="shared" si="3"/>
        <v>0.38487607486090042</v>
      </c>
      <c r="O22" s="11"/>
      <c r="P22" s="6">
        <v>32811</v>
      </c>
      <c r="Q22" s="2"/>
      <c r="R22" s="7">
        <f t="shared" si="4"/>
        <v>0</v>
      </c>
      <c r="S22" s="2"/>
      <c r="T22" s="6">
        <v>23724</v>
      </c>
      <c r="U22" s="2"/>
      <c r="V22" s="7">
        <f t="shared" si="5"/>
        <v>0</v>
      </c>
      <c r="W22" s="2"/>
      <c r="X22" s="6">
        <f t="shared" si="6"/>
        <v>9087</v>
      </c>
      <c r="Y22" s="2"/>
      <c r="Z22" s="7">
        <f t="shared" si="7"/>
        <v>0.38302984319676275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-290.45</v>
      </c>
      <c r="E23" s="2"/>
      <c r="F23" s="7">
        <f t="shared" si="0"/>
        <v>0</v>
      </c>
      <c r="G23" s="2"/>
      <c r="H23" s="6">
        <v>21.177088399999999</v>
      </c>
      <c r="I23" s="2"/>
      <c r="J23" s="7">
        <f t="shared" si="1"/>
        <v>0</v>
      </c>
      <c r="K23" s="2"/>
      <c r="L23" s="6">
        <f t="shared" si="2"/>
        <v>-311.62708839999999</v>
      </c>
      <c r="M23" s="2"/>
      <c r="N23" s="7">
        <f t="shared" si="3"/>
        <v>-14.715294308352606</v>
      </c>
      <c r="O23" s="11"/>
      <c r="P23" s="6">
        <v>0</v>
      </c>
      <c r="Q23" s="2"/>
      <c r="R23" s="7">
        <f t="shared" si="4"/>
        <v>0</v>
      </c>
      <c r="S23" s="2"/>
      <c r="T23" s="6">
        <v>275.30214919999997</v>
      </c>
      <c r="U23" s="2"/>
      <c r="V23" s="7">
        <f t="shared" si="5"/>
        <v>0</v>
      </c>
      <c r="W23" s="2"/>
      <c r="X23" s="6">
        <f t="shared" si="6"/>
        <v>-275.30214919999997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625.82000000000005</v>
      </c>
      <c r="E24" s="2"/>
      <c r="F24" s="7">
        <f t="shared" si="0"/>
        <v>0</v>
      </c>
      <c r="G24" s="2"/>
      <c r="H24" s="6">
        <v>700.47292400000003</v>
      </c>
      <c r="I24" s="2"/>
      <c r="J24" s="7">
        <f t="shared" si="1"/>
        <v>0</v>
      </c>
      <c r="K24" s="2"/>
      <c r="L24" s="6">
        <f t="shared" si="2"/>
        <v>-74.652923999999985</v>
      </c>
      <c r="M24" s="2"/>
      <c r="N24" s="7">
        <f t="shared" si="3"/>
        <v>-0.106575031585375</v>
      </c>
      <c r="O24" s="11"/>
      <c r="P24" s="6">
        <v>7339.19</v>
      </c>
      <c r="Q24" s="2"/>
      <c r="R24" s="7">
        <f t="shared" si="4"/>
        <v>0</v>
      </c>
      <c r="S24" s="2"/>
      <c r="T24" s="6">
        <v>9106.1480119999997</v>
      </c>
      <c r="U24" s="2"/>
      <c r="V24" s="7">
        <f t="shared" si="5"/>
        <v>0</v>
      </c>
      <c r="W24" s="2"/>
      <c r="X24" s="6">
        <f t="shared" si="6"/>
        <v>-1766.9580120000001</v>
      </c>
      <c r="Y24" s="2"/>
      <c r="Z24" s="7">
        <f t="shared" si="7"/>
        <v>-0.19404011549905831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413.82</v>
      </c>
      <c r="E26" s="2"/>
      <c r="F26" s="7">
        <f t="shared" si="0"/>
        <v>0</v>
      </c>
      <c r="G26" s="2"/>
      <c r="H26" s="6">
        <v>570.15237999999999</v>
      </c>
      <c r="I26" s="2"/>
      <c r="J26" s="7">
        <f t="shared" si="1"/>
        <v>0</v>
      </c>
      <c r="K26" s="2"/>
      <c r="L26" s="6">
        <f t="shared" si="2"/>
        <v>-156.33238</v>
      </c>
      <c r="M26" s="2"/>
      <c r="N26" s="7">
        <f t="shared" si="3"/>
        <v>-0.27419403212874427</v>
      </c>
      <c r="O26" s="11"/>
      <c r="P26" s="6">
        <v>9601.31</v>
      </c>
      <c r="Q26" s="2"/>
      <c r="R26" s="7">
        <f t="shared" si="4"/>
        <v>0</v>
      </c>
      <c r="S26" s="2"/>
      <c r="T26" s="6">
        <v>7411.9809400000004</v>
      </c>
      <c r="U26" s="2"/>
      <c r="V26" s="7">
        <f t="shared" si="5"/>
        <v>0</v>
      </c>
      <c r="W26" s="2"/>
      <c r="X26" s="6">
        <f t="shared" si="6"/>
        <v>2189.3290599999991</v>
      </c>
      <c r="Y26" s="2"/>
      <c r="Z26" s="7">
        <f t="shared" si="7"/>
        <v>0.29537704936407988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413.26</v>
      </c>
      <c r="E27" s="2"/>
      <c r="F27" s="7">
        <f t="shared" si="0"/>
        <v>0</v>
      </c>
      <c r="G27" s="2"/>
      <c r="H27" s="6">
        <v>244.35102000000001</v>
      </c>
      <c r="I27" s="2"/>
      <c r="J27" s="7">
        <f t="shared" si="1"/>
        <v>0</v>
      </c>
      <c r="K27" s="2"/>
      <c r="L27" s="6">
        <f t="shared" si="2"/>
        <v>168.90897999999999</v>
      </c>
      <c r="M27" s="2"/>
      <c r="N27" s="7">
        <f t="shared" si="3"/>
        <v>0.69125547337596538</v>
      </c>
      <c r="O27" s="11"/>
      <c r="P27" s="6">
        <v>6149.77</v>
      </c>
      <c r="Q27" s="2"/>
      <c r="R27" s="7">
        <f t="shared" si="4"/>
        <v>0</v>
      </c>
      <c r="S27" s="2"/>
      <c r="T27" s="6">
        <v>3176.5632599999999</v>
      </c>
      <c r="U27" s="2"/>
      <c r="V27" s="7">
        <f t="shared" si="5"/>
        <v>0</v>
      </c>
      <c r="W27" s="2"/>
      <c r="X27" s="6">
        <f t="shared" si="6"/>
        <v>2973.2067400000005</v>
      </c>
      <c r="Y27" s="2"/>
      <c r="Z27" s="7">
        <f t="shared" si="7"/>
        <v>0.93598222249790819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8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8</v>
      </c>
      <c r="M28" s="2"/>
      <c r="N28" s="7">
        <f t="shared" si="3"/>
        <v>0</v>
      </c>
      <c r="O28" s="11"/>
      <c r="P28" s="6">
        <v>1232.5899999999999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1232.5899999999999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2" t="str">
        <f>CONCATENATE("     ","*Payroll                                          ")</f>
        <v xml:space="preserve">     *Payroll                                          </v>
      </c>
      <c r="C29" s="12"/>
      <c r="D29" s="1">
        <f>SUM(OSRRefD22_1x_0)</f>
        <v>8511.56</v>
      </c>
      <c r="E29" s="1"/>
      <c r="F29" s="5">
        <f t="shared" ref="F29:F39" si="8">IF(D$12=0,0,D29/D$12)</f>
        <v>0</v>
      </c>
      <c r="G29" s="1"/>
      <c r="H29" s="1">
        <f>SUM(OSRRefH22_1x_0)</f>
        <v>7330.5306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1181.0293999999994</v>
      </c>
      <c r="M29" s="1"/>
      <c r="N29" s="5">
        <f t="shared" ref="N29:N39" si="11">IF(H29=0,0,L29/H29)</f>
        <v>0.16111103881075123</v>
      </c>
      <c r="O29" s="12"/>
      <c r="P29" s="1">
        <f>SUM(OSRRefP22_1x_0)</f>
        <v>100143.27</v>
      </c>
      <c r="Q29" s="1"/>
      <c r="R29" s="5">
        <f t="shared" ref="R29:R39" si="12">IF(P$12=0,0,P29/P$12)</f>
        <v>0</v>
      </c>
      <c r="S29" s="1"/>
      <c r="T29" s="1">
        <f>SUM(OSRRefT22_1x_0)</f>
        <v>95296.897800000006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4846.372199999998</v>
      </c>
      <c r="Y29" s="1"/>
      <c r="Z29" s="5">
        <f t="shared" ref="Z29:Z39" si="15">IF(T29=0,0,X29/T29)</f>
        <v>5.0855508541013575E-2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8511.56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8511.56</v>
      </c>
      <c r="M30" s="2"/>
      <c r="N30" s="7">
        <f t="shared" si="11"/>
        <v>0</v>
      </c>
      <c r="O30" s="11"/>
      <c r="P30" s="6">
        <v>100143.27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100143.27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7330.5306</v>
      </c>
      <c r="I31" s="2"/>
      <c r="J31" s="7">
        <f t="shared" si="9"/>
        <v>0</v>
      </c>
      <c r="K31" s="2"/>
      <c r="L31" s="6">
        <f t="shared" si="10"/>
        <v>-7330.5306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95296.897800000006</v>
      </c>
      <c r="U31" s="2"/>
      <c r="V31" s="7">
        <f t="shared" si="13"/>
        <v>0</v>
      </c>
      <c r="W31" s="2"/>
      <c r="X31" s="6">
        <f t="shared" si="14"/>
        <v>-95296.897800000006</v>
      </c>
      <c r="Y31" s="2"/>
      <c r="Z31" s="7">
        <f t="shared" si="15"/>
        <v>-1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2" t="str">
        <f>CONCATENATE("     ","Advertising/Promo                                 ")</f>
        <v xml:space="preserve">     Advertising/Promo                                 </v>
      </c>
      <c r="C40" s="12"/>
      <c r="D40" s="1">
        <f>SUM(OSRRefD22_2x_0)</f>
        <v>0</v>
      </c>
      <c r="E40" s="1"/>
      <c r="F40" s="5">
        <f t="shared" ref="F40:F54" si="16">IF(D$12=0,0,D40/D$12)</f>
        <v>0</v>
      </c>
      <c r="G40" s="1"/>
      <c r="H40" s="1">
        <f>SUM(OSRRefH22_2x_0)</f>
        <v>125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-125</v>
      </c>
      <c r="M40" s="1"/>
      <c r="N40" s="5">
        <f t="shared" ref="N40:N54" si="19">IF(H40=0,0,L40/H40)</f>
        <v>-1</v>
      </c>
      <c r="O40" s="12"/>
      <c r="P40" s="1">
        <f>SUM(OSRRefP22_2x_0)</f>
        <v>0</v>
      </c>
      <c r="Q40" s="1"/>
      <c r="R40" s="5">
        <f t="shared" ref="R40:R54" si="20">IF(P$12=0,0,P40/P$12)</f>
        <v>0</v>
      </c>
      <c r="S40" s="1"/>
      <c r="T40" s="1">
        <f>SUM(OSRRefT22_2x_0)</f>
        <v>1500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-1500</v>
      </c>
      <c r="Y40" s="1"/>
      <c r="Z40" s="5">
        <f t="shared" ref="Z40:Z54" si="23">IF(T40=0,0,X40/T40)</f>
        <v>-1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125</v>
      </c>
      <c r="I41" s="2"/>
      <c r="J41" s="7">
        <f t="shared" si="17"/>
        <v>0</v>
      </c>
      <c r="K41" s="2"/>
      <c r="L41" s="6">
        <f t="shared" si="18"/>
        <v>-125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1500</v>
      </c>
      <c r="U41" s="2"/>
      <c r="V41" s="7">
        <f t="shared" si="21"/>
        <v>0</v>
      </c>
      <c r="W41" s="2"/>
      <c r="X41" s="6">
        <f t="shared" si="22"/>
        <v>-1500</v>
      </c>
      <c r="Y41" s="2"/>
      <c r="Z41" s="7">
        <f t="shared" si="23"/>
        <v>-1</v>
      </c>
    </row>
    <row r="42" spans="1:26" s="26" customFormat="1" outlineLevel="1" collapsed="1" x14ac:dyDescent="0.25">
      <c r="A42" s="25"/>
      <c r="B42" s="12" t="str">
        <f>CONCATENATE("     ","Donations                                         ")</f>
        <v xml:space="preserve">     Donations                                         </v>
      </c>
      <c r="C42" s="12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2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1200</v>
      </c>
      <c r="U42" s="1"/>
      <c r="V42" s="5">
        <f t="shared" si="21"/>
        <v>0</v>
      </c>
      <c r="W42" s="1"/>
      <c r="X42" s="1">
        <f t="shared" si="22"/>
        <v>-1200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"6396", " - ", "COUPONS-CHARTROOM")</f>
        <v xml:space="preserve">          6396 - COUPONS-CHARTROOM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1200</v>
      </c>
      <c r="U43" s="2"/>
      <c r="V43" s="7">
        <f t="shared" si="21"/>
        <v>0</v>
      </c>
      <c r="W43" s="2"/>
      <c r="X43" s="6">
        <f t="shared" si="22"/>
        <v>-1200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2" t="str">
        <f>CONCATENATE("     ","Employees' Appreciation                           ")</f>
        <v xml:space="preserve">     Employees' Appreciation                           </v>
      </c>
      <c r="C44" s="12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2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3600</v>
      </c>
      <c r="U44" s="1"/>
      <c r="V44" s="5">
        <f t="shared" si="21"/>
        <v>0</v>
      </c>
      <c r="W44" s="1"/>
      <c r="X44" s="1">
        <f t="shared" si="22"/>
        <v>-3600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300</v>
      </c>
      <c r="I45" s="2"/>
      <c r="J45" s="7">
        <f t="shared" si="17"/>
        <v>0</v>
      </c>
      <c r="K45" s="2"/>
      <c r="L45" s="6">
        <f t="shared" si="18"/>
        <v>-300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3600</v>
      </c>
      <c r="U45" s="2"/>
      <c r="V45" s="7">
        <f t="shared" si="21"/>
        <v>0</v>
      </c>
      <c r="W45" s="2"/>
      <c r="X45" s="6">
        <f t="shared" si="22"/>
        <v>-3600</v>
      </c>
      <c r="Y45" s="2"/>
      <c r="Z45" s="7">
        <f t="shared" si="23"/>
        <v>-1</v>
      </c>
    </row>
    <row r="46" spans="1:26" s="26" customFormat="1" outlineLevel="1" collapsed="1" x14ac:dyDescent="0.25">
      <c r="A46" s="25"/>
      <c r="B46" s="12" t="str">
        <f>CONCATENATE("     ","General                                           ")</f>
        <v xml:space="preserve">     General                                           </v>
      </c>
      <c r="C46" s="12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-200</v>
      </c>
      <c r="M46" s="1"/>
      <c r="N46" s="5">
        <f t="shared" si="19"/>
        <v>-1</v>
      </c>
      <c r="O46" s="12"/>
      <c r="P46" s="1">
        <f>SUM(OSRRefP22_5x_0)</f>
        <v>293.82</v>
      </c>
      <c r="Q46" s="1"/>
      <c r="R46" s="5">
        <f t="shared" si="20"/>
        <v>0</v>
      </c>
      <c r="S46" s="1"/>
      <c r="T46" s="1">
        <f>SUM(OSRRefT22_5x_0)</f>
        <v>2400</v>
      </c>
      <c r="U46" s="1"/>
      <c r="V46" s="5">
        <f t="shared" si="21"/>
        <v>0</v>
      </c>
      <c r="W46" s="1"/>
      <c r="X46" s="1">
        <f t="shared" si="22"/>
        <v>-2106.1799999999998</v>
      </c>
      <c r="Y46" s="1"/>
      <c r="Z46" s="5">
        <f t="shared" si="23"/>
        <v>-0.87757499999999988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16"/>
        <v>0</v>
      </c>
      <c r="G47" s="2"/>
      <c r="H47" s="6">
        <v>200</v>
      </c>
      <c r="I47" s="2"/>
      <c r="J47" s="7">
        <f t="shared" si="17"/>
        <v>0</v>
      </c>
      <c r="K47" s="2"/>
      <c r="L47" s="6">
        <f t="shared" si="18"/>
        <v>-200</v>
      </c>
      <c r="M47" s="2"/>
      <c r="N47" s="7">
        <f t="shared" si="19"/>
        <v>-1</v>
      </c>
      <c r="O47" s="11"/>
      <c r="P47" s="6">
        <v>293.82</v>
      </c>
      <c r="Q47" s="2"/>
      <c r="R47" s="7">
        <f t="shared" si="20"/>
        <v>0</v>
      </c>
      <c r="S47" s="2"/>
      <c r="T47" s="6">
        <v>2400</v>
      </c>
      <c r="U47" s="2"/>
      <c r="V47" s="7">
        <f t="shared" si="21"/>
        <v>0</v>
      </c>
      <c r="W47" s="2"/>
      <c r="X47" s="6">
        <f t="shared" si="22"/>
        <v>-2106.1799999999998</v>
      </c>
      <c r="Y47" s="2"/>
      <c r="Z47" s="7">
        <f t="shared" si="23"/>
        <v>-0.87757499999999988</v>
      </c>
    </row>
    <row r="48" spans="1:26" s="26" customFormat="1" outlineLevel="1" collapsed="1" x14ac:dyDescent="0.25">
      <c r="A48" s="25"/>
      <c r="B48" s="12" t="str">
        <f>CONCATENATE("     ","Repair and Maintenance                            ")</f>
        <v xml:space="preserve">     Repair and Maintenance                            </v>
      </c>
      <c r="C48" s="12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2"/>
      <c r="P48" s="1">
        <f>SUM(OSRRefP22_6x_0)</f>
        <v>46585.43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46585.43</v>
      </c>
      <c r="Y48" s="1"/>
      <c r="Z48" s="5">
        <f t="shared" si="23"/>
        <v>0</v>
      </c>
    </row>
    <row r="49" spans="1:26" s="24" customFormat="1" hidden="1" outlineLevel="2" x14ac:dyDescent="0.25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46585.43</v>
      </c>
      <c r="Q49" s="2"/>
      <c r="R49" s="7">
        <f t="shared" si="20"/>
        <v>0</v>
      </c>
      <c r="S49" s="2"/>
      <c r="T49" s="6">
        <v>0</v>
      </c>
      <c r="U49" s="2"/>
      <c r="V49" s="7">
        <f t="shared" si="21"/>
        <v>0</v>
      </c>
      <c r="W49" s="2"/>
      <c r="X49" s="6">
        <f t="shared" si="22"/>
        <v>46585.43</v>
      </c>
      <c r="Y49" s="2"/>
      <c r="Z49" s="7">
        <f t="shared" si="23"/>
        <v>0</v>
      </c>
    </row>
    <row r="50" spans="1:26" s="26" customFormat="1" outlineLevel="1" collapsed="1" x14ac:dyDescent="0.25">
      <c r="A50" s="25"/>
      <c r="B50" s="12" t="str">
        <f>CONCATENATE("     ","Supplies                                          ")</f>
        <v xml:space="preserve">     Supplies                                          </v>
      </c>
      <c r="C50" s="12"/>
      <c r="D50" s="1">
        <f>SUM(OSRRefD22_7x_0)</f>
        <v>264.57</v>
      </c>
      <c r="E50" s="1"/>
      <c r="F50" s="5">
        <f t="shared" si="16"/>
        <v>0</v>
      </c>
      <c r="G50" s="1"/>
      <c r="H50" s="1">
        <f>SUM(OSRRefH22_7x_0)</f>
        <v>300</v>
      </c>
      <c r="I50" s="1"/>
      <c r="J50" s="5">
        <f t="shared" si="17"/>
        <v>0</v>
      </c>
      <c r="K50" s="1"/>
      <c r="L50" s="1">
        <f t="shared" si="18"/>
        <v>-35.430000000000007</v>
      </c>
      <c r="M50" s="1"/>
      <c r="N50" s="5">
        <f t="shared" si="19"/>
        <v>-0.11810000000000002</v>
      </c>
      <c r="O50" s="12"/>
      <c r="P50" s="1">
        <f>SUM(OSRRefP22_7x_0)</f>
        <v>4729.8899999999994</v>
      </c>
      <c r="Q50" s="1"/>
      <c r="R50" s="5">
        <f t="shared" si="20"/>
        <v>0</v>
      </c>
      <c r="S50" s="1"/>
      <c r="T50" s="1">
        <f>SUM(OSRRefT22_7x_0)</f>
        <v>4100</v>
      </c>
      <c r="U50" s="1"/>
      <c r="V50" s="5">
        <f t="shared" si="21"/>
        <v>0</v>
      </c>
      <c r="W50" s="1"/>
      <c r="X50" s="1">
        <f t="shared" si="22"/>
        <v>629.88999999999942</v>
      </c>
      <c r="Y50" s="1"/>
      <c r="Z50" s="5">
        <f t="shared" si="23"/>
        <v>0.15363170731707304</v>
      </c>
    </row>
    <row r="51" spans="1:26" s="24" customFormat="1" hidden="1" outlineLevel="2" x14ac:dyDescent="0.25">
      <c r="A51" s="27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/>
      <c r="Q51" s="2"/>
      <c r="R51" s="7">
        <f t="shared" si="20"/>
        <v>0</v>
      </c>
      <c r="S51" s="2"/>
      <c r="T51" s="6">
        <v>1200</v>
      </c>
      <c r="U51" s="2"/>
      <c r="V51" s="7">
        <f t="shared" si="21"/>
        <v>0</v>
      </c>
      <c r="W51" s="2"/>
      <c r="X51" s="6">
        <f t="shared" si="22"/>
        <v>-1200</v>
      </c>
      <c r="Y51" s="2"/>
      <c r="Z51" s="7">
        <f t="shared" si="23"/>
        <v>-1</v>
      </c>
    </row>
    <row r="52" spans="1:26" s="24" customFormat="1" hidden="1" outlineLevel="2" x14ac:dyDescent="0.25">
      <c r="A52" s="27"/>
      <c r="B52" s="11" t="str">
        <f>CONCATENATE("          ", "6235", " - ", "COVID-19 EXPENSES")</f>
        <v xml:space="preserve">          6235 - COVID-19 EXPENSES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529.20000000000005</v>
      </c>
      <c r="Q52" s="2"/>
      <c r="R52" s="7">
        <f t="shared" si="20"/>
        <v>0</v>
      </c>
      <c r="S52" s="2"/>
      <c r="T52" s="6"/>
      <c r="U52" s="2"/>
      <c r="V52" s="7">
        <f t="shared" si="21"/>
        <v>0</v>
      </c>
      <c r="W52" s="2"/>
      <c r="X52" s="6">
        <f t="shared" si="22"/>
        <v>529.20000000000005</v>
      </c>
      <c r="Y52" s="2"/>
      <c r="Z52" s="7">
        <f t="shared" si="23"/>
        <v>0</v>
      </c>
    </row>
    <row r="53" spans="1:26" s="24" customFormat="1" hidden="1" outlineLevel="2" x14ac:dyDescent="0.25">
      <c r="A53" s="27"/>
      <c r="B53" s="11" t="str">
        <f>CONCATENATE("          ", "6239", " - ", "KITCHEN SUPPLIES")</f>
        <v xml:space="preserve">          6239 - KITCHEN SUPPLIES</v>
      </c>
      <c r="C53" s="11"/>
      <c r="D53" s="6"/>
      <c r="E53" s="2"/>
      <c r="F53" s="7">
        <f t="shared" si="16"/>
        <v>0</v>
      </c>
      <c r="G53" s="2"/>
      <c r="H53" s="6">
        <v>100</v>
      </c>
      <c r="I53" s="2"/>
      <c r="J53" s="7">
        <f t="shared" si="17"/>
        <v>0</v>
      </c>
      <c r="K53" s="2"/>
      <c r="L53" s="6">
        <f t="shared" si="18"/>
        <v>-100</v>
      </c>
      <c r="M53" s="2"/>
      <c r="N53" s="7">
        <f t="shared" si="19"/>
        <v>-1</v>
      </c>
      <c r="O53" s="11"/>
      <c r="P53" s="6"/>
      <c r="Q53" s="2"/>
      <c r="R53" s="7">
        <f t="shared" si="20"/>
        <v>0</v>
      </c>
      <c r="S53" s="2"/>
      <c r="T53" s="6">
        <v>1200</v>
      </c>
      <c r="U53" s="2"/>
      <c r="V53" s="7">
        <f t="shared" si="21"/>
        <v>0</v>
      </c>
      <c r="W53" s="2"/>
      <c r="X53" s="6">
        <f t="shared" si="22"/>
        <v>-1200</v>
      </c>
      <c r="Y53" s="2"/>
      <c r="Z53" s="7">
        <f t="shared" si="23"/>
        <v>-1</v>
      </c>
    </row>
    <row r="54" spans="1:26" s="24" customFormat="1" hidden="1" outlineLevel="2" x14ac:dyDescent="0.25">
      <c r="A54" s="27"/>
      <c r="B54" s="11" t="str">
        <f>CONCATENATE("          ", "6241", " - ", "OFFICE EXPENSE")</f>
        <v xml:space="preserve">          6241 - OFFICE EXPENSE</v>
      </c>
      <c r="C54" s="11"/>
      <c r="D54" s="6">
        <v>264.57</v>
      </c>
      <c r="E54" s="2"/>
      <c r="F54" s="7">
        <f t="shared" si="16"/>
        <v>0</v>
      </c>
      <c r="G54" s="2"/>
      <c r="H54" s="6">
        <v>200</v>
      </c>
      <c r="I54" s="2"/>
      <c r="J54" s="7">
        <f t="shared" si="17"/>
        <v>0</v>
      </c>
      <c r="K54" s="2"/>
      <c r="L54" s="6">
        <f t="shared" si="18"/>
        <v>64.569999999999993</v>
      </c>
      <c r="M54" s="2"/>
      <c r="N54" s="7">
        <f t="shared" si="19"/>
        <v>0.32284999999999997</v>
      </c>
      <c r="O54" s="11"/>
      <c r="P54" s="6">
        <v>4200.6899999999996</v>
      </c>
      <c r="Q54" s="2"/>
      <c r="R54" s="7">
        <f t="shared" si="20"/>
        <v>0</v>
      </c>
      <c r="S54" s="2"/>
      <c r="T54" s="6">
        <v>1700</v>
      </c>
      <c r="U54" s="2"/>
      <c r="V54" s="7">
        <f t="shared" si="21"/>
        <v>0</v>
      </c>
      <c r="W54" s="2"/>
      <c r="X54" s="6">
        <f t="shared" si="22"/>
        <v>2500.6899999999996</v>
      </c>
      <c r="Y54" s="2"/>
      <c r="Z54" s="7">
        <f t="shared" si="23"/>
        <v>1.4709941176470587</v>
      </c>
    </row>
    <row r="55" spans="1:26" s="26" customFormat="1" outlineLevel="1" collapsed="1" x14ac:dyDescent="0.25">
      <c r="A55" s="25"/>
      <c r="B55" s="12" t="str">
        <f>CONCATENATE("     ","Telephone/Data Lines                              ")</f>
        <v xml:space="preserve">     Telephone/Data Lines                              </v>
      </c>
      <c r="C55" s="12"/>
      <c r="D55" s="1">
        <f>SUM(OSRRefD22_8x_0)</f>
        <v>50</v>
      </c>
      <c r="E55" s="1"/>
      <c r="F55" s="5">
        <f t="shared" ref="F55:F60" si="24">IF(D$12=0,0,D55/D$12)</f>
        <v>0</v>
      </c>
      <c r="G55" s="1"/>
      <c r="H55" s="1">
        <f>SUM(OSRRefH22_8x_0)</f>
        <v>0</v>
      </c>
      <c r="I55" s="1"/>
      <c r="J55" s="5">
        <f t="shared" ref="J55:J60" si="25">IF(H$12=0,0,H55/H$12)</f>
        <v>0</v>
      </c>
      <c r="K55" s="1"/>
      <c r="L55" s="1">
        <f t="shared" ref="L55:L60" si="26">+D55-H55</f>
        <v>50</v>
      </c>
      <c r="M55" s="1"/>
      <c r="N55" s="5">
        <f t="shared" ref="N55:N60" si="27">IF(H55=0,0,L55/H55)</f>
        <v>0</v>
      </c>
      <c r="O55" s="12"/>
      <c r="P55" s="1">
        <f>SUM(OSRRefP22_8x_0)</f>
        <v>-400</v>
      </c>
      <c r="Q55" s="1"/>
      <c r="R55" s="5">
        <f t="shared" ref="R55:R60" si="28">IF(P$12=0,0,P55/P$12)</f>
        <v>0</v>
      </c>
      <c r="S55" s="1"/>
      <c r="T55" s="1">
        <f>SUM(OSRRefT22_8x_0)</f>
        <v>1000</v>
      </c>
      <c r="U55" s="1"/>
      <c r="V55" s="5">
        <f t="shared" ref="V55:V60" si="29">IF(T$12=0,0,T55/T$12)</f>
        <v>0</v>
      </c>
      <c r="W55" s="1"/>
      <c r="X55" s="1">
        <f t="shared" ref="X55:X60" si="30">+P55-T55</f>
        <v>-1400</v>
      </c>
      <c r="Y55" s="1"/>
      <c r="Z55" s="5">
        <f t="shared" ref="Z55:Z60" si="31">IF(T55=0,0,X55/T55)</f>
        <v>-1.4</v>
      </c>
    </row>
    <row r="56" spans="1:26" s="24" customFormat="1" hidden="1" outlineLevel="2" x14ac:dyDescent="0.25">
      <c r="A56" s="27"/>
      <c r="B56" s="11" t="str">
        <f>CONCATENATE("          ", "6309", " - ", "TELEPHONE")</f>
        <v xml:space="preserve">          6309 - TELEPHONE</v>
      </c>
      <c r="C56" s="11"/>
      <c r="D56" s="6">
        <v>50</v>
      </c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50</v>
      </c>
      <c r="M56" s="2"/>
      <c r="N56" s="7">
        <f t="shared" si="27"/>
        <v>0</v>
      </c>
      <c r="O56" s="11"/>
      <c r="P56" s="6">
        <v>-400</v>
      </c>
      <c r="Q56" s="2"/>
      <c r="R56" s="7">
        <f t="shared" si="28"/>
        <v>0</v>
      </c>
      <c r="S56" s="2"/>
      <c r="T56" s="6">
        <v>1000</v>
      </c>
      <c r="U56" s="2"/>
      <c r="V56" s="7">
        <f t="shared" si="29"/>
        <v>0</v>
      </c>
      <c r="W56" s="2"/>
      <c r="X56" s="6">
        <f t="shared" si="30"/>
        <v>-1400</v>
      </c>
      <c r="Y56" s="2"/>
      <c r="Z56" s="7">
        <f t="shared" si="31"/>
        <v>-1.4</v>
      </c>
    </row>
    <row r="57" spans="1:26" s="26" customFormat="1" outlineLevel="1" collapsed="1" x14ac:dyDescent="0.25">
      <c r="A57" s="25"/>
      <c r="B57" s="12" t="str">
        <f>CONCATENATE("     ","Training                                          ")</f>
        <v xml:space="preserve">     Training                                          </v>
      </c>
      <c r="C57" s="12"/>
      <c r="D57" s="1">
        <f>SUM(OSRRefD22_9x_0)</f>
        <v>0</v>
      </c>
      <c r="E57" s="1"/>
      <c r="F57" s="5">
        <f t="shared" si="24"/>
        <v>0</v>
      </c>
      <c r="G57" s="1"/>
      <c r="H57" s="1">
        <f>SUM(OSRRefH22_9x_0)</f>
        <v>300</v>
      </c>
      <c r="I57" s="1"/>
      <c r="J57" s="5">
        <f t="shared" si="25"/>
        <v>0</v>
      </c>
      <c r="K57" s="1"/>
      <c r="L57" s="1">
        <f t="shared" si="26"/>
        <v>-300</v>
      </c>
      <c r="M57" s="1"/>
      <c r="N57" s="5">
        <f t="shared" si="27"/>
        <v>-1</v>
      </c>
      <c r="O57" s="12"/>
      <c r="P57" s="1">
        <f>SUM(OSRRefP22_9x_0)</f>
        <v>2950.22</v>
      </c>
      <c r="Q57" s="1"/>
      <c r="R57" s="5">
        <f t="shared" si="28"/>
        <v>0</v>
      </c>
      <c r="S57" s="1"/>
      <c r="T57" s="1">
        <f>SUM(OSRRefT22_9x_0)</f>
        <v>3600</v>
      </c>
      <c r="U57" s="1"/>
      <c r="V57" s="5">
        <f t="shared" si="29"/>
        <v>0</v>
      </c>
      <c r="W57" s="1"/>
      <c r="X57" s="1">
        <f t="shared" si="30"/>
        <v>-649.7800000000002</v>
      </c>
      <c r="Y57" s="1"/>
      <c r="Z57" s="5">
        <f t="shared" si="31"/>
        <v>-0.18049444444444451</v>
      </c>
    </row>
    <row r="58" spans="1:26" s="24" customFormat="1" hidden="1" outlineLevel="2" x14ac:dyDescent="0.25">
      <c r="A58" s="27"/>
      <c r="B58" s="11" t="str">
        <f>CONCATENATE("          ", "6376", " - ", "TRAINING")</f>
        <v xml:space="preserve">          6376 - TRAINING</v>
      </c>
      <c r="C58" s="11"/>
      <c r="D58" s="6"/>
      <c r="E58" s="2"/>
      <c r="F58" s="7">
        <f t="shared" si="24"/>
        <v>0</v>
      </c>
      <c r="G58" s="2"/>
      <c r="H58" s="6">
        <v>300</v>
      </c>
      <c r="I58" s="2"/>
      <c r="J58" s="7">
        <f t="shared" si="25"/>
        <v>0</v>
      </c>
      <c r="K58" s="2"/>
      <c r="L58" s="6">
        <f t="shared" si="26"/>
        <v>-300</v>
      </c>
      <c r="M58" s="2"/>
      <c r="N58" s="7">
        <f t="shared" si="27"/>
        <v>-1</v>
      </c>
      <c r="O58" s="11"/>
      <c r="P58" s="6">
        <v>2950.22</v>
      </c>
      <c r="Q58" s="2"/>
      <c r="R58" s="7">
        <f t="shared" si="28"/>
        <v>0</v>
      </c>
      <c r="S58" s="2"/>
      <c r="T58" s="6">
        <v>3600</v>
      </c>
      <c r="U58" s="2"/>
      <c r="V58" s="7">
        <f t="shared" si="29"/>
        <v>0</v>
      </c>
      <c r="W58" s="2"/>
      <c r="X58" s="6">
        <f t="shared" si="30"/>
        <v>-649.7800000000002</v>
      </c>
      <c r="Y58" s="2"/>
      <c r="Z58" s="7">
        <f t="shared" si="31"/>
        <v>-0.18049444444444451</v>
      </c>
    </row>
    <row r="59" spans="1:26" s="26" customFormat="1" outlineLevel="1" collapsed="1" x14ac:dyDescent="0.25">
      <c r="A59" s="25"/>
      <c r="B59" s="12" t="str">
        <f>CONCATENATE("     ","Travel                                            ")</f>
        <v xml:space="preserve">     Travel                                            </v>
      </c>
      <c r="C59" s="12"/>
      <c r="D59" s="1">
        <f>SUM(OSRRefD22_10x_0)</f>
        <v>0</v>
      </c>
      <c r="E59" s="1"/>
      <c r="F59" s="5">
        <f t="shared" si="24"/>
        <v>0</v>
      </c>
      <c r="G59" s="1"/>
      <c r="H59" s="1">
        <f>SUM(OSRRefH22_10x_0)</f>
        <v>300</v>
      </c>
      <c r="I59" s="1"/>
      <c r="J59" s="5">
        <f t="shared" si="25"/>
        <v>0</v>
      </c>
      <c r="K59" s="1"/>
      <c r="L59" s="1">
        <f t="shared" si="26"/>
        <v>-300</v>
      </c>
      <c r="M59" s="1"/>
      <c r="N59" s="5">
        <f t="shared" si="27"/>
        <v>-1</v>
      </c>
      <c r="O59" s="12"/>
      <c r="P59" s="1">
        <f>SUM(OSRRefP22_10x_0)</f>
        <v>325.75</v>
      </c>
      <c r="Q59" s="1"/>
      <c r="R59" s="5">
        <f t="shared" si="28"/>
        <v>0</v>
      </c>
      <c r="S59" s="1"/>
      <c r="T59" s="1">
        <f>SUM(OSRRefT22_10x_0)</f>
        <v>3600</v>
      </c>
      <c r="U59" s="1"/>
      <c r="V59" s="5">
        <f t="shared" si="29"/>
        <v>0</v>
      </c>
      <c r="W59" s="1"/>
      <c r="X59" s="1">
        <f t="shared" si="30"/>
        <v>-3274.25</v>
      </c>
      <c r="Y59" s="1"/>
      <c r="Z59" s="5">
        <f t="shared" si="31"/>
        <v>-0.90951388888888884</v>
      </c>
    </row>
    <row r="60" spans="1:26" s="24" customFormat="1" hidden="1" outlineLevel="2" x14ac:dyDescent="0.25">
      <c r="A60" s="27"/>
      <c r="B60" s="11" t="str">
        <f>CONCATENATE("          ", "6292", " - ", "TRAVEL/CONFERENCE")</f>
        <v xml:space="preserve">          6292 - TRAVEL/CONFERENCE</v>
      </c>
      <c r="C60" s="11"/>
      <c r="D60" s="6"/>
      <c r="E60" s="2"/>
      <c r="F60" s="7">
        <f t="shared" si="24"/>
        <v>0</v>
      </c>
      <c r="G60" s="2"/>
      <c r="H60" s="6">
        <v>300</v>
      </c>
      <c r="I60" s="2"/>
      <c r="J60" s="7">
        <f t="shared" si="25"/>
        <v>0</v>
      </c>
      <c r="K60" s="2"/>
      <c r="L60" s="6">
        <f t="shared" si="26"/>
        <v>-300</v>
      </c>
      <c r="M60" s="2"/>
      <c r="N60" s="7">
        <f t="shared" si="27"/>
        <v>-1</v>
      </c>
      <c r="O60" s="11"/>
      <c r="P60" s="6">
        <v>325.75</v>
      </c>
      <c r="Q60" s="2"/>
      <c r="R60" s="7">
        <f t="shared" si="28"/>
        <v>0</v>
      </c>
      <c r="S60" s="2"/>
      <c r="T60" s="6">
        <v>3600</v>
      </c>
      <c r="U60" s="2"/>
      <c r="V60" s="7">
        <f t="shared" si="29"/>
        <v>0</v>
      </c>
      <c r="W60" s="2"/>
      <c r="X60" s="6">
        <f t="shared" si="30"/>
        <v>-3274.25</v>
      </c>
      <c r="Y60" s="2"/>
      <c r="Z60" s="7">
        <f t="shared" si="31"/>
        <v>-0.90951388888888884</v>
      </c>
    </row>
    <row r="61" spans="1:26" s="60" customFormat="1" x14ac:dyDescent="0.25">
      <c r="A61" s="36"/>
      <c r="B61" s="36"/>
      <c r="C61" s="36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6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8" t="s">
        <v>0</v>
      </c>
      <c r="C62" s="10"/>
      <c r="D62" s="4">
        <f>SUM(0)</f>
        <v>0</v>
      </c>
      <c r="E62" s="4"/>
      <c r="F62" s="13">
        <f>IF(D$12=0,0,D62/D$12)</f>
        <v>0</v>
      </c>
      <c r="G62" s="4"/>
      <c r="H62" s="4">
        <f>SUM(0)</f>
        <v>0</v>
      </c>
      <c r="I62" s="4"/>
      <c r="J62" s="13">
        <f>IF(H$12=0,0,H62/H$12)</f>
        <v>0</v>
      </c>
      <c r="K62" s="4"/>
      <c r="L62" s="4">
        <f>+D62-H62</f>
        <v>0</v>
      </c>
      <c r="M62" s="4"/>
      <c r="N62" s="13">
        <f>IF(H62=0,0,L62/H62)</f>
        <v>0</v>
      </c>
      <c r="O62" s="10"/>
      <c r="P62" s="4">
        <f>SUM(0)</f>
        <v>0</v>
      </c>
      <c r="Q62" s="4"/>
      <c r="R62" s="13">
        <f>IF(P$12=0,0,P62/P$12)</f>
        <v>0</v>
      </c>
      <c r="S62" s="4"/>
      <c r="T62" s="4">
        <f>SUM(0)</f>
        <v>0</v>
      </c>
      <c r="U62" s="4"/>
      <c r="V62" s="13">
        <f>IF(T$12=0,0,T62/T$12)</f>
        <v>0</v>
      </c>
      <c r="W62" s="4"/>
      <c r="X62" s="4">
        <f>+P62-T62</f>
        <v>0</v>
      </c>
      <c r="Y62" s="4"/>
      <c r="Z62" s="13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9" t="s">
        <v>3</v>
      </c>
      <c r="C64" s="29"/>
      <c r="D64" s="22">
        <f>+D16-D18+D62</f>
        <v>-13767.529999999999</v>
      </c>
      <c r="E64" s="14"/>
      <c r="F64" s="20">
        <f>IF(D$12=0,0,D64/D$12)</f>
        <v>0</v>
      </c>
      <c r="G64" s="14"/>
      <c r="H64" s="22">
        <f>+H16-H18+H62</f>
        <v>-13408.050783619999</v>
      </c>
      <c r="I64" s="14"/>
      <c r="J64" s="20">
        <f>IF(H$12=0,0,H64/H$12)</f>
        <v>0</v>
      </c>
      <c r="K64" s="15"/>
      <c r="L64" s="22">
        <f>+D64-H64</f>
        <v>-359.47921637999934</v>
      </c>
      <c r="M64" s="15"/>
      <c r="N64" s="20">
        <f>IF(H64=0,0,L64/H64)</f>
        <v>2.6810699197168809E-2</v>
      </c>
      <c r="O64" s="28"/>
      <c r="P64" s="22">
        <f>+P16-P18+P62</f>
        <v>-225107.52000000002</v>
      </c>
      <c r="Q64" s="14"/>
      <c r="R64" s="20">
        <f>IF(P$12=0,0,P64/P$12)</f>
        <v>0</v>
      </c>
      <c r="S64" s="14"/>
      <c r="T64" s="22">
        <f>+T16-T18+T62</f>
        <v>-172202.66018706001</v>
      </c>
      <c r="U64" s="14"/>
      <c r="V64" s="20">
        <f>IF(T$12=0,0,T64/T$12)</f>
        <v>0</v>
      </c>
      <c r="W64" s="15"/>
      <c r="X64" s="22">
        <f>+P64-T64</f>
        <v>-52904.859812940005</v>
      </c>
      <c r="Y64" s="15"/>
      <c r="Z64" s="20">
        <f>IF(T64=0,0,X64/T64)</f>
        <v>0.30722440498579179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2"/>
      <c r="B66" s="10" t="s">
        <v>14</v>
      </c>
      <c r="C66" s="10"/>
      <c r="D66" s="4"/>
      <c r="E66" s="4"/>
      <c r="F66" s="13">
        <f>IF(D$12=0,0,D66/D$12)</f>
        <v>0</v>
      </c>
      <c r="G66" s="4"/>
      <c r="H66" s="4"/>
      <c r="I66" s="4"/>
      <c r="J66" s="13">
        <f>IF(H$12=0,0,H66/H$12)</f>
        <v>0</v>
      </c>
      <c r="K66" s="4"/>
      <c r="L66" s="4">
        <f>+D66-H66</f>
        <v>0</v>
      </c>
      <c r="M66" s="4"/>
      <c r="N66" s="13">
        <f>IF(H66=0,0,L66/H66)</f>
        <v>0</v>
      </c>
      <c r="O66" s="10"/>
      <c r="P66" s="4"/>
      <c r="Q66" s="4"/>
      <c r="R66" s="13">
        <f>IF(P$12=0,0,P66/P$12)</f>
        <v>0</v>
      </c>
      <c r="S66" s="4"/>
      <c r="T66" s="4"/>
      <c r="U66" s="4"/>
      <c r="V66" s="13">
        <f>IF(T$12=0,0,T66/T$12)</f>
        <v>0</v>
      </c>
      <c r="W66" s="4"/>
      <c r="X66" s="4">
        <f>+P66-T66</f>
        <v>0</v>
      </c>
      <c r="Y66" s="4"/>
      <c r="Z66" s="13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4</v>
      </c>
      <c r="C68" s="29"/>
      <c r="D68" s="31">
        <f>+D64-D66</f>
        <v>-13767.529999999999</v>
      </c>
      <c r="E68" s="14"/>
      <c r="F68" s="33">
        <f>IF(D$12=0,0,D68/D$12)</f>
        <v>0</v>
      </c>
      <c r="G68" s="14"/>
      <c r="H68" s="31">
        <f>+H64-H66</f>
        <v>-13408.050783619999</v>
      </c>
      <c r="I68" s="14"/>
      <c r="J68" s="33">
        <f>IF(H$12=0,0,H68/H$12)</f>
        <v>0</v>
      </c>
      <c r="K68" s="15"/>
      <c r="L68" s="31">
        <f>D68-H68</f>
        <v>-359.47921637999934</v>
      </c>
      <c r="M68" s="15"/>
      <c r="N68" s="33">
        <f>IF(H68=0,0,L68/H68)</f>
        <v>2.6810699197168809E-2</v>
      </c>
      <c r="O68" s="28"/>
      <c r="P68" s="31">
        <f>+P64-P66</f>
        <v>-225107.52000000002</v>
      </c>
      <c r="Q68" s="14"/>
      <c r="R68" s="33">
        <f>IF(P$12=0,0,P68/P$12)</f>
        <v>0</v>
      </c>
      <c r="S68" s="14"/>
      <c r="T68" s="31">
        <f>+T64-T66</f>
        <v>-172202.66018706001</v>
      </c>
      <c r="U68" s="14"/>
      <c r="V68" s="33">
        <f>IF(T$12=0,0,T68/T$12)</f>
        <v>0</v>
      </c>
      <c r="W68" s="15"/>
      <c r="X68" s="31">
        <f>P68-T68</f>
        <v>-52904.859812940005</v>
      </c>
      <c r="Y68" s="15"/>
      <c r="Z68" s="33">
        <f>IF(T68=0,0,X68/T68)</f>
        <v>0.30722440498579179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9" t="s">
        <v>5</v>
      </c>
      <c r="C71" s="29"/>
      <c r="D71" s="34">
        <f>SUM(D68:D70)</f>
        <v>-13767.529999999999</v>
      </c>
      <c r="E71" s="14"/>
      <c r="F71" s="35">
        <f>IF(D$12=0,0,D71/D$12)</f>
        <v>0</v>
      </c>
      <c r="G71" s="14"/>
      <c r="H71" s="34">
        <f>SUM(H68:H70)</f>
        <v>-13408.050783619999</v>
      </c>
      <c r="I71" s="14"/>
      <c r="J71" s="35">
        <f>IF(H$12=0,0,H71/H$12)</f>
        <v>0</v>
      </c>
      <c r="K71" s="15"/>
      <c r="L71" s="34">
        <f>+D71-H71</f>
        <v>-359.47921637999934</v>
      </c>
      <c r="M71" s="15"/>
      <c r="N71" s="35">
        <f>IF(H71=0,0,L71/H71)</f>
        <v>2.6810699197168809E-2</v>
      </c>
      <c r="O71" s="28"/>
      <c r="P71" s="34">
        <f>SUM(P68:P70)</f>
        <v>-225107.52000000002</v>
      </c>
      <c r="Q71" s="14"/>
      <c r="R71" s="35">
        <f>IF(P$12=0,0,P71/P$12)</f>
        <v>0</v>
      </c>
      <c r="S71" s="14"/>
      <c r="T71" s="34">
        <f>SUM(T68:T70)</f>
        <v>-172202.66018706001</v>
      </c>
      <c r="U71" s="14"/>
      <c r="V71" s="35">
        <f>IF(T$12=0,0,T71/T$12)</f>
        <v>0</v>
      </c>
      <c r="W71" s="15"/>
      <c r="X71" s="34">
        <f>+P71-T71</f>
        <v>-52904.859812940005</v>
      </c>
      <c r="Y71" s="15"/>
      <c r="Z71" s="35">
        <f>IF(T71=0,0,X71/T71)</f>
        <v>0.30722440498579179</v>
      </c>
    </row>
    <row r="72" spans="1:26" ht="15.75" thickTop="1" x14ac:dyDescent="0.25">
      <c r="A72" s="9"/>
      <c r="C72" s="9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5">
        <v>44043.473905555555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62" t="s">
        <v>314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3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6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","433", " - ", "Hillside Dining Hall")</f>
        <v>Department 433 - Hillside Dining Hall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-33612.1</v>
      </c>
      <c r="E12" s="4"/>
      <c r="F12" s="13"/>
      <c r="G12" s="4"/>
      <c r="H12" s="4">
        <f>SUM(OSRRefH13x_0)</f>
        <v>75000</v>
      </c>
      <c r="I12" s="4"/>
      <c r="J12" s="13"/>
      <c r="K12" s="4"/>
      <c r="L12" s="4">
        <f t="shared" ref="L12:L17" si="0">+D12-H12</f>
        <v>-108612.1</v>
      </c>
      <c r="M12" s="4"/>
      <c r="N12" s="13">
        <f t="shared" ref="N12:N17" si="1">IF(H12=0,0,L12/H12)</f>
        <v>-1.4481613333333334</v>
      </c>
      <c r="O12" s="10"/>
      <c r="P12" s="4">
        <f>SUM(OSRRefP13x_0)</f>
        <v>3757412.4699999997</v>
      </c>
      <c r="Q12" s="4"/>
      <c r="R12" s="13"/>
      <c r="S12" s="4"/>
      <c r="T12" s="4">
        <f>SUM(OSRRefT13x_0)</f>
        <v>4565000</v>
      </c>
      <c r="U12" s="4"/>
      <c r="V12" s="13"/>
      <c r="W12" s="4"/>
      <c r="X12" s="4">
        <f t="shared" ref="X12:X17" si="2">+P12-T12</f>
        <v>-807587.53000000026</v>
      </c>
      <c r="Y12" s="4"/>
      <c r="Z12" s="13">
        <f t="shared" ref="Z12:Z17" si="3">IF(T12=0,0,X12/T12)</f>
        <v>-0.17690854983570653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--27.9</f>
        <v>27.9</v>
      </c>
      <c r="E13" s="2"/>
      <c r="F13" s="19"/>
      <c r="G13" s="2"/>
      <c r="H13" s="2"/>
      <c r="I13" s="2"/>
      <c r="J13" s="19"/>
      <c r="K13" s="2"/>
      <c r="L13" s="2">
        <f t="shared" si="0"/>
        <v>27.9</v>
      </c>
      <c r="M13" s="2"/>
      <c r="N13" s="19">
        <f t="shared" si="1"/>
        <v>0</v>
      </c>
      <c r="O13" s="11"/>
      <c r="P13" s="2">
        <f>--21468.98</f>
        <v>21468.98</v>
      </c>
      <c r="Q13" s="2"/>
      <c r="R13" s="19"/>
      <c r="S13" s="2"/>
      <c r="T13" s="2"/>
      <c r="U13" s="2"/>
      <c r="V13" s="19"/>
      <c r="W13" s="2"/>
      <c r="X13" s="2">
        <f t="shared" si="2"/>
        <v>21468.98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75000</v>
      </c>
      <c r="I14" s="2"/>
      <c r="J14" s="19"/>
      <c r="K14" s="2"/>
      <c r="L14" s="2">
        <f t="shared" si="0"/>
        <v>-75000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4565000</v>
      </c>
      <c r="U14" s="2"/>
      <c r="V14" s="19"/>
      <c r="W14" s="2"/>
      <c r="X14" s="2">
        <f t="shared" si="2"/>
        <v>-4565000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-38339.6</f>
        <v>-38339.599999999999</v>
      </c>
      <c r="E15" s="2"/>
      <c r="F15" s="19"/>
      <c r="G15" s="2"/>
      <c r="H15" s="2"/>
      <c r="I15" s="2"/>
      <c r="J15" s="19"/>
      <c r="K15" s="2"/>
      <c r="L15" s="2">
        <f t="shared" si="0"/>
        <v>-38339.599999999999</v>
      </c>
      <c r="M15" s="2"/>
      <c r="N15" s="19">
        <f t="shared" si="1"/>
        <v>0</v>
      </c>
      <c r="O15" s="11"/>
      <c r="P15" s="2">
        <f>--3486658.53</f>
        <v>3486658.53</v>
      </c>
      <c r="Q15" s="2"/>
      <c r="R15" s="19"/>
      <c r="S15" s="2"/>
      <c r="T15" s="2"/>
      <c r="U15" s="2"/>
      <c r="V15" s="19"/>
      <c r="W15" s="2"/>
      <c r="X15" s="2">
        <f t="shared" si="2"/>
        <v>3486658.53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--4699.6</f>
        <v>4699.6000000000004</v>
      </c>
      <c r="E16" s="2"/>
      <c r="F16" s="19"/>
      <c r="G16" s="2"/>
      <c r="H16" s="2"/>
      <c r="I16" s="2"/>
      <c r="J16" s="19"/>
      <c r="K16" s="2"/>
      <c r="L16" s="2">
        <f t="shared" si="0"/>
        <v>4699.6000000000004</v>
      </c>
      <c r="M16" s="2"/>
      <c r="N16" s="19">
        <f t="shared" si="1"/>
        <v>0</v>
      </c>
      <c r="O16" s="11"/>
      <c r="P16" s="2">
        <f>--248901.26</f>
        <v>248901.26</v>
      </c>
      <c r="Q16" s="2"/>
      <c r="R16" s="19"/>
      <c r="S16" s="2"/>
      <c r="T16" s="2"/>
      <c r="U16" s="2"/>
      <c r="V16" s="19"/>
      <c r="W16" s="2"/>
      <c r="X16" s="2">
        <f t="shared" si="2"/>
        <v>248901.26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"4159", " - ", "NON-TAXABLE SALES-FOOD")</f>
        <v xml:space="preserve">          4159 - NON-TAXABLE SALES-FOOD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--383.7</f>
        <v>383.7</v>
      </c>
      <c r="Q17" s="2"/>
      <c r="R17" s="19"/>
      <c r="S17" s="2"/>
      <c r="T17" s="2"/>
      <c r="U17" s="2"/>
      <c r="V17" s="19"/>
      <c r="W17" s="2"/>
      <c r="X17" s="2">
        <f t="shared" si="2"/>
        <v>383.7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13685.21</v>
      </c>
      <c r="E19" s="4"/>
      <c r="F19" s="13">
        <f t="shared" ref="F19:F22" si="4">IF(D$12=0,0,D19/D$12)</f>
        <v>-0.40715129373053155</v>
      </c>
      <c r="G19" s="4"/>
      <c r="H19" s="4">
        <f>SUM(OSRRefH16x_0)</f>
        <v>22500</v>
      </c>
      <c r="I19" s="4"/>
      <c r="J19" s="13">
        <f t="shared" ref="J19:J22" si="5">IF(H$12=0,0,H19/H$12)</f>
        <v>0.3</v>
      </c>
      <c r="K19" s="4"/>
      <c r="L19" s="4">
        <f t="shared" ref="L19:L22" si="6">+D19-H19</f>
        <v>-8814.7900000000009</v>
      </c>
      <c r="M19" s="4"/>
      <c r="N19" s="13">
        <f t="shared" ref="N19:N22" si="7">IF(H19=0,0,L19/H19)</f>
        <v>-0.39176844444444447</v>
      </c>
      <c r="O19" s="10"/>
      <c r="P19" s="4">
        <f>SUM(OSRRefP16x_0)</f>
        <v>908218.79</v>
      </c>
      <c r="Q19" s="4"/>
      <c r="R19" s="13">
        <f t="shared" ref="R19:R22" si="8">IF(P$12=0,0,P19/P$12)</f>
        <v>0.24171389147489578</v>
      </c>
      <c r="S19" s="4"/>
      <c r="T19" s="4">
        <f>SUM(OSRRefT16x_0)</f>
        <v>1216778</v>
      </c>
      <c r="U19" s="4"/>
      <c r="V19" s="13">
        <f t="shared" ref="V19:V22" si="9">IF(T$12=0,0,T19/T$12)</f>
        <v>0.2665450164293538</v>
      </c>
      <c r="W19" s="4"/>
      <c r="X19" s="4">
        <f t="shared" ref="X19:X22" si="10">+P19-T19</f>
        <v>-308559.20999999996</v>
      </c>
      <c r="Y19" s="4"/>
      <c r="Z19" s="13">
        <f t="shared" ref="Z19:Z22" si="11">IF(T19=0,0,X19/T19)</f>
        <v>-0.25358710463206924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22500</v>
      </c>
      <c r="I20" s="2"/>
      <c r="J20" s="19">
        <f t="shared" si="5"/>
        <v>0.3</v>
      </c>
      <c r="K20" s="2"/>
      <c r="L20" s="2">
        <f t="shared" si="6"/>
        <v>-22500</v>
      </c>
      <c r="M20" s="2"/>
      <c r="N20" s="19">
        <f t="shared" si="7"/>
        <v>-1</v>
      </c>
      <c r="O20" s="11"/>
      <c r="P20" s="2"/>
      <c r="Q20" s="2"/>
      <c r="R20" s="19">
        <f t="shared" si="8"/>
        <v>0</v>
      </c>
      <c r="S20" s="2"/>
      <c r="T20" s="2">
        <v>1216778</v>
      </c>
      <c r="U20" s="2"/>
      <c r="V20" s="19">
        <f t="shared" si="9"/>
        <v>0.2665450164293538</v>
      </c>
      <c r="W20" s="2"/>
      <c r="X20" s="2">
        <f t="shared" si="10"/>
        <v>-1216778</v>
      </c>
      <c r="Y20" s="2"/>
      <c r="Z20" s="19">
        <f t="shared" si="11"/>
        <v>-1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11418.21</v>
      </c>
      <c r="E21" s="2"/>
      <c r="F21" s="19">
        <f t="shared" si="4"/>
        <v>-0.33970534420640186</v>
      </c>
      <c r="G21" s="2"/>
      <c r="H21" s="2"/>
      <c r="I21" s="2"/>
      <c r="J21" s="19">
        <f t="shared" si="5"/>
        <v>0</v>
      </c>
      <c r="K21" s="2"/>
      <c r="L21" s="2">
        <f t="shared" si="6"/>
        <v>11418.21</v>
      </c>
      <c r="M21" s="2"/>
      <c r="N21" s="19">
        <f t="shared" si="7"/>
        <v>0</v>
      </c>
      <c r="O21" s="11"/>
      <c r="P21" s="2">
        <v>911587.79</v>
      </c>
      <c r="Q21" s="2"/>
      <c r="R21" s="19">
        <f t="shared" si="8"/>
        <v>0.24261051914803489</v>
      </c>
      <c r="S21" s="2"/>
      <c r="T21" s="2"/>
      <c r="U21" s="2"/>
      <c r="V21" s="19">
        <f t="shared" si="9"/>
        <v>0</v>
      </c>
      <c r="W21" s="2"/>
      <c r="X21" s="2">
        <f t="shared" si="10"/>
        <v>911587.79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2267</v>
      </c>
      <c r="E22" s="2"/>
      <c r="F22" s="19">
        <f t="shared" si="4"/>
        <v>-6.7445949524129703E-2</v>
      </c>
      <c r="G22" s="2"/>
      <c r="H22" s="2"/>
      <c r="I22" s="2"/>
      <c r="J22" s="19">
        <f t="shared" si="5"/>
        <v>0</v>
      </c>
      <c r="K22" s="2"/>
      <c r="L22" s="2">
        <f t="shared" si="6"/>
        <v>2267</v>
      </c>
      <c r="M22" s="2"/>
      <c r="N22" s="19">
        <f t="shared" si="7"/>
        <v>0</v>
      </c>
      <c r="O22" s="11"/>
      <c r="P22" s="2">
        <v>-3369</v>
      </c>
      <c r="Q22" s="2"/>
      <c r="R22" s="19">
        <f t="shared" si="8"/>
        <v>-8.9662767313911649E-4</v>
      </c>
      <c r="S22" s="2"/>
      <c r="T22" s="2"/>
      <c r="U22" s="2"/>
      <c r="V22" s="19">
        <f t="shared" si="9"/>
        <v>0</v>
      </c>
      <c r="W22" s="2"/>
      <c r="X22" s="2">
        <f t="shared" si="10"/>
        <v>-3369</v>
      </c>
      <c r="Y22" s="2"/>
      <c r="Z22" s="19">
        <f t="shared" si="11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2">
        <f>D12-D19</f>
        <v>-47297.31</v>
      </c>
      <c r="E24" s="14"/>
      <c r="F24" s="20">
        <f>IF(D$12=0,0,D24/D$12)</f>
        <v>1.4071512937305315</v>
      </c>
      <c r="G24" s="14"/>
      <c r="H24" s="22">
        <f>H12-H19</f>
        <v>52500</v>
      </c>
      <c r="I24" s="14"/>
      <c r="J24" s="20">
        <f>IF(H$12=0,0,H24/H$12)</f>
        <v>0.7</v>
      </c>
      <c r="K24" s="15"/>
      <c r="L24" s="22">
        <f>+D24-H24</f>
        <v>-99797.31</v>
      </c>
      <c r="M24" s="15"/>
      <c r="N24" s="20">
        <f>IF(H24=0,0,L24/H24)</f>
        <v>-1.9009011428571427</v>
      </c>
      <c r="O24" s="28"/>
      <c r="P24" s="22">
        <f>P12-P19</f>
        <v>2849193.6799999997</v>
      </c>
      <c r="Q24" s="14"/>
      <c r="R24" s="20">
        <f>IF(P$12=0,0,P24/P$12)</f>
        <v>0.75828610852510425</v>
      </c>
      <c r="S24" s="14"/>
      <c r="T24" s="22">
        <f>T12-T19</f>
        <v>3348222</v>
      </c>
      <c r="U24" s="14"/>
      <c r="V24" s="20">
        <f>IF(T$12=0,0,T24/T$12)</f>
        <v>0.7334549835706462</v>
      </c>
      <c r="W24" s="15"/>
      <c r="X24" s="22">
        <f>+P24-T24</f>
        <v>-499028.3200000003</v>
      </c>
      <c r="Y24" s="15"/>
      <c r="Z24" s="20">
        <f>IF(T24=0,0,X24/T24)</f>
        <v>-0.14904278151209815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21">
        <f>SUM(OSRRefD22x_0)</f>
        <v>40300.73000000001</v>
      </c>
      <c r="E26" s="21"/>
      <c r="F26" s="32">
        <f t="shared" ref="F26:F37" si="12">IF(D$12=0,0,D26/D$12)</f>
        <v>-1.1989947072631586</v>
      </c>
      <c r="G26" s="21"/>
      <c r="H26" s="21">
        <f>SUM(OSRRefH22x_0)</f>
        <v>104325.57136548337</v>
      </c>
      <c r="I26" s="21"/>
      <c r="J26" s="32">
        <f t="shared" ref="J26:J37" si="13">IF(H$12=0,0,H26/H$12)</f>
        <v>1.3910076182064448</v>
      </c>
      <c r="K26" s="4"/>
      <c r="L26" s="21">
        <f t="shared" ref="L26:L37" si="14">+D26-H26</f>
        <v>-64024.841365483357</v>
      </c>
      <c r="M26" s="4"/>
      <c r="N26" s="32">
        <f t="shared" ref="N26:N37" si="15">IF(H26=0,0,L26/H26)</f>
        <v>-0.61370228341415334</v>
      </c>
      <c r="O26" s="10"/>
      <c r="P26" s="21">
        <f>SUM(OSRRefP22x_0)</f>
        <v>1729167.5999999999</v>
      </c>
      <c r="Q26" s="21"/>
      <c r="R26" s="32">
        <f t="shared" ref="R26:R37" si="16">IF(P$12=0,0,P26/P$12)</f>
        <v>0.46020169832459196</v>
      </c>
      <c r="S26" s="21"/>
      <c r="T26" s="21">
        <f>SUM(OSRRefT22x_0)</f>
        <v>2129221.5609474373</v>
      </c>
      <c r="U26" s="21"/>
      <c r="V26" s="32">
        <f t="shared" ref="V26:V37" si="17">IF(T$12=0,0,T26/T$12)</f>
        <v>0.46642312397534225</v>
      </c>
      <c r="W26" s="4"/>
      <c r="X26" s="21">
        <f t="shared" ref="X26:X37" si="18">+P26-T26</f>
        <v>-400053.96094743744</v>
      </c>
      <c r="Y26" s="4"/>
      <c r="Z26" s="32">
        <f t="shared" ref="Z26:Z37" si="19">IF(T26=0,0,X26/T26)</f>
        <v>-0.18788742716348686</v>
      </c>
    </row>
    <row r="27" spans="1:26" s="26" customFormat="1" outlineLevel="1" collapsed="1" x14ac:dyDescent="0.25">
      <c r="A27" s="25"/>
      <c r="B27" s="12" t="str">
        <f>CONCATENATE("     ","*Benefits                                         ")</f>
        <v xml:space="preserve">     *Benefits                                         </v>
      </c>
      <c r="C27" s="12"/>
      <c r="D27" s="1">
        <f>SUM(OSRRefD22_0x_0)</f>
        <v>15828.91</v>
      </c>
      <c r="E27" s="1"/>
      <c r="F27" s="5">
        <f t="shared" si="12"/>
        <v>-0.47092892143008025</v>
      </c>
      <c r="G27" s="1"/>
      <c r="H27" s="1">
        <f>SUM(OSRRefH22_0x_0)</f>
        <v>25670.452990714166</v>
      </c>
      <c r="I27" s="1"/>
      <c r="J27" s="5">
        <f t="shared" si="13"/>
        <v>0.34227270654285552</v>
      </c>
      <c r="K27" s="1"/>
      <c r="L27" s="1">
        <f t="shared" si="14"/>
        <v>-9841.5429907141661</v>
      </c>
      <c r="M27" s="1"/>
      <c r="N27" s="5">
        <f t="shared" si="15"/>
        <v>-0.38338018399107215</v>
      </c>
      <c r="O27" s="12"/>
      <c r="P27" s="1">
        <f>SUM(OSRRefP22_0x_0)</f>
        <v>303187.06</v>
      </c>
      <c r="Q27" s="1"/>
      <c r="R27" s="5">
        <f t="shared" si="16"/>
        <v>8.0690385317212732E-2</v>
      </c>
      <c r="S27" s="1"/>
      <c r="T27" s="1">
        <f>SUM(OSRRefT22_0x_0)</f>
        <v>360271.16007543774</v>
      </c>
      <c r="U27" s="1"/>
      <c r="V27" s="5">
        <f t="shared" si="17"/>
        <v>7.8920297935473768E-2</v>
      </c>
      <c r="W27" s="1"/>
      <c r="X27" s="1">
        <f t="shared" si="18"/>
        <v>-57084.100075437746</v>
      </c>
      <c r="Y27" s="1"/>
      <c r="Z27" s="5">
        <f t="shared" si="19"/>
        <v>-0.15844759836864217</v>
      </c>
    </row>
    <row r="28" spans="1:26" s="24" customFormat="1" hidden="1" outlineLevel="2" x14ac:dyDescent="0.25">
      <c r="A28" s="27"/>
      <c r="B28" s="11" t="str">
        <f>CONCATENATE("          ", "6111", " - ", "F.I.C.A.")</f>
        <v xml:space="preserve">          6111 - F.I.C.A.</v>
      </c>
      <c r="C28" s="11"/>
      <c r="D28" s="6">
        <v>1934.19</v>
      </c>
      <c r="E28" s="2"/>
      <c r="F28" s="7">
        <f t="shared" si="12"/>
        <v>-5.7544455716840068E-2</v>
      </c>
      <c r="G28" s="2"/>
      <c r="H28" s="6">
        <v>4321.5737403203102</v>
      </c>
      <c r="I28" s="2"/>
      <c r="J28" s="7">
        <f t="shared" si="13"/>
        <v>5.7620983204270802E-2</v>
      </c>
      <c r="K28" s="2"/>
      <c r="L28" s="6">
        <f t="shared" si="14"/>
        <v>-2387.3837403203102</v>
      </c>
      <c r="M28" s="2"/>
      <c r="N28" s="7">
        <f t="shared" si="15"/>
        <v>-0.5524338779750545</v>
      </c>
      <c r="O28" s="11"/>
      <c r="P28" s="6">
        <v>47604.729999999996</v>
      </c>
      <c r="Q28" s="2"/>
      <c r="R28" s="7">
        <f t="shared" si="16"/>
        <v>1.2669551288309851E-2</v>
      </c>
      <c r="S28" s="2"/>
      <c r="T28" s="6">
        <v>56947.289224164029</v>
      </c>
      <c r="U28" s="2"/>
      <c r="V28" s="7">
        <f t="shared" si="17"/>
        <v>1.2474762152062219E-2</v>
      </c>
      <c r="W28" s="2"/>
      <c r="X28" s="6">
        <f t="shared" si="18"/>
        <v>-9342.5592241640334</v>
      </c>
      <c r="Y28" s="2"/>
      <c r="Z28" s="7">
        <f t="shared" si="19"/>
        <v>-0.16405625889212253</v>
      </c>
    </row>
    <row r="29" spans="1:26" s="24" customFormat="1" hidden="1" outlineLevel="2" x14ac:dyDescent="0.25">
      <c r="A29" s="27"/>
      <c r="B29" s="11" t="str">
        <f>CONCATENATE("          ", "6112", " - ", "COMPENSATION INSURANCE")</f>
        <v xml:space="preserve">          6112 - COMPENSATION INSURANCE</v>
      </c>
      <c r="C29" s="11"/>
      <c r="D29" s="6">
        <v>1000.9</v>
      </c>
      <c r="E29" s="2"/>
      <c r="F29" s="7">
        <f t="shared" si="12"/>
        <v>-2.9777966863123697E-2</v>
      </c>
      <c r="G29" s="2"/>
      <c r="H29" s="6">
        <v>2190.9977933415398</v>
      </c>
      <c r="I29" s="2"/>
      <c r="J29" s="7">
        <f t="shared" si="13"/>
        <v>2.9213303911220533E-2</v>
      </c>
      <c r="K29" s="2"/>
      <c r="L29" s="6">
        <f t="shared" si="14"/>
        <v>-1190.0977933415397</v>
      </c>
      <c r="M29" s="2"/>
      <c r="N29" s="7">
        <f t="shared" si="15"/>
        <v>-0.54317617158641451</v>
      </c>
      <c r="O29" s="11"/>
      <c r="P29" s="6">
        <v>32114.019999999997</v>
      </c>
      <c r="Q29" s="2"/>
      <c r="R29" s="7">
        <f t="shared" si="16"/>
        <v>8.5468444724675109E-3</v>
      </c>
      <c r="S29" s="2"/>
      <c r="T29" s="6">
        <v>43513.266813440001</v>
      </c>
      <c r="U29" s="2"/>
      <c r="V29" s="7">
        <f t="shared" si="17"/>
        <v>9.5319313939627604E-3</v>
      </c>
      <c r="W29" s="2"/>
      <c r="X29" s="6">
        <f t="shared" si="18"/>
        <v>-11399.246813440004</v>
      </c>
      <c r="Y29" s="2"/>
      <c r="Z29" s="7">
        <f t="shared" si="19"/>
        <v>-0.26197175363351721</v>
      </c>
    </row>
    <row r="30" spans="1:26" s="24" customFormat="1" hidden="1" outlineLevel="2" x14ac:dyDescent="0.25">
      <c r="A30" s="27"/>
      <c r="B30" s="11" t="str">
        <f>CONCATENATE("          ", "6113", " - ", "GROUP INSURANCE")</f>
        <v xml:space="preserve">          6113 - GROUP INSURANCE</v>
      </c>
      <c r="C30" s="11"/>
      <c r="D30" s="6">
        <v>9826.58</v>
      </c>
      <c r="E30" s="2"/>
      <c r="F30" s="7">
        <f t="shared" si="12"/>
        <v>-0.2923524564070677</v>
      </c>
      <c r="G30" s="2"/>
      <c r="H30" s="6">
        <v>14965.615384615401</v>
      </c>
      <c r="I30" s="2"/>
      <c r="J30" s="7">
        <f t="shared" si="13"/>
        <v>0.19954153846153869</v>
      </c>
      <c r="K30" s="2"/>
      <c r="L30" s="6">
        <f t="shared" si="14"/>
        <v>-5139.0353846154012</v>
      </c>
      <c r="M30" s="2"/>
      <c r="N30" s="7">
        <f t="shared" si="15"/>
        <v>-0.34338951339737833</v>
      </c>
      <c r="O30" s="11"/>
      <c r="P30" s="6">
        <v>147328.03</v>
      </c>
      <c r="Q30" s="2"/>
      <c r="R30" s="7">
        <f t="shared" si="16"/>
        <v>3.9209969939765492E-2</v>
      </c>
      <c r="S30" s="2"/>
      <c r="T30" s="6">
        <v>192523.15384615379</v>
      </c>
      <c r="U30" s="2"/>
      <c r="V30" s="7">
        <f t="shared" si="17"/>
        <v>4.2173746735192502E-2</v>
      </c>
      <c r="W30" s="2"/>
      <c r="X30" s="6">
        <f t="shared" si="18"/>
        <v>-45195.123846153787</v>
      </c>
      <c r="Y30" s="2"/>
      <c r="Z30" s="7">
        <f t="shared" si="19"/>
        <v>-0.23475162827567969</v>
      </c>
    </row>
    <row r="31" spans="1:26" s="24" customFormat="1" hidden="1" outlineLevel="2" x14ac:dyDescent="0.25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6">
        <v>-2396.13</v>
      </c>
      <c r="E31" s="2"/>
      <c r="F31" s="7">
        <f t="shared" si="12"/>
        <v>7.1287720791024661E-2</v>
      </c>
      <c r="G31" s="2"/>
      <c r="H31" s="6">
        <v>146.81943975999999</v>
      </c>
      <c r="I31" s="2"/>
      <c r="J31" s="7">
        <f t="shared" si="13"/>
        <v>1.9575925301333333E-3</v>
      </c>
      <c r="K31" s="2"/>
      <c r="L31" s="6">
        <f t="shared" si="14"/>
        <v>-2542.9494397600001</v>
      </c>
      <c r="M31" s="2"/>
      <c r="N31" s="7">
        <f t="shared" si="15"/>
        <v>-17.320250260570809</v>
      </c>
      <c r="O31" s="11"/>
      <c r="P31" s="6">
        <v>0</v>
      </c>
      <c r="Q31" s="2"/>
      <c r="R31" s="7">
        <f t="shared" si="16"/>
        <v>0</v>
      </c>
      <c r="S31" s="2"/>
      <c r="T31" s="6">
        <v>2915.8374668800002</v>
      </c>
      <c r="U31" s="2"/>
      <c r="V31" s="7">
        <f t="shared" si="17"/>
        <v>6.387376707294633E-4</v>
      </c>
      <c r="W31" s="2"/>
      <c r="X31" s="6">
        <f t="shared" si="18"/>
        <v>-2915.8374668800002</v>
      </c>
      <c r="Y31" s="2"/>
      <c r="Z31" s="7">
        <f t="shared" si="19"/>
        <v>-1</v>
      </c>
    </row>
    <row r="32" spans="1:26" s="24" customFormat="1" hidden="1" outlineLevel="2" x14ac:dyDescent="0.25">
      <c r="A32" s="27"/>
      <c r="B32" s="11" t="str">
        <f>CONCATENATE("          ", "6115", " - ", "P.E.R.S.")</f>
        <v xml:space="preserve">          6115 - P.E.R.S.</v>
      </c>
      <c r="C32" s="11"/>
      <c r="D32" s="6">
        <v>872.8</v>
      </c>
      <c r="E32" s="2"/>
      <c r="F32" s="7">
        <f t="shared" si="12"/>
        <v>-2.5966839322743893E-2</v>
      </c>
      <c r="G32" s="2"/>
      <c r="H32" s="6">
        <v>1270.4277151384601</v>
      </c>
      <c r="I32" s="2"/>
      <c r="J32" s="7">
        <f t="shared" si="13"/>
        <v>1.6939036201846135E-2</v>
      </c>
      <c r="K32" s="2"/>
      <c r="L32" s="6">
        <f t="shared" si="14"/>
        <v>-397.62771513846019</v>
      </c>
      <c r="M32" s="2"/>
      <c r="N32" s="7">
        <f t="shared" si="15"/>
        <v>-0.31298728011071764</v>
      </c>
      <c r="O32" s="11"/>
      <c r="P32" s="6">
        <v>14731.47</v>
      </c>
      <c r="Q32" s="2"/>
      <c r="R32" s="7">
        <f t="shared" si="16"/>
        <v>3.9206422285600175E-3</v>
      </c>
      <c r="S32" s="2"/>
      <c r="T32" s="6">
        <v>16515.560296800002</v>
      </c>
      <c r="U32" s="2"/>
      <c r="V32" s="7">
        <f t="shared" si="17"/>
        <v>3.617866439605696E-3</v>
      </c>
      <c r="W32" s="2"/>
      <c r="X32" s="6">
        <f t="shared" si="18"/>
        <v>-1784.0902968000028</v>
      </c>
      <c r="Y32" s="2"/>
      <c r="Z32" s="7">
        <f t="shared" si="19"/>
        <v>-0.10802481204017535</v>
      </c>
    </row>
    <row r="33" spans="1:26" s="24" customFormat="1" hidden="1" outlineLevel="2" x14ac:dyDescent="0.25">
      <c r="A33" s="27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"6117", " - ", "RETIREMENT STAFF HOURLY")</f>
        <v xml:space="preserve">          6117 - RETIREMENT STAFF HOURLY</v>
      </c>
      <c r="C34" s="11"/>
      <c r="D34" s="6">
        <v>374.48</v>
      </c>
      <c r="E34" s="2"/>
      <c r="F34" s="7">
        <f t="shared" si="12"/>
        <v>-1.1141225927567751E-2</v>
      </c>
      <c r="G34" s="2"/>
      <c r="H34" s="6"/>
      <c r="I34" s="2"/>
      <c r="J34" s="7">
        <f t="shared" si="13"/>
        <v>0</v>
      </c>
      <c r="K34" s="2"/>
      <c r="L34" s="6">
        <f t="shared" si="14"/>
        <v>374.48</v>
      </c>
      <c r="M34" s="2"/>
      <c r="N34" s="7">
        <f t="shared" si="15"/>
        <v>0</v>
      </c>
      <c r="O34" s="11"/>
      <c r="P34" s="6">
        <v>6026.81</v>
      </c>
      <c r="Q34" s="2"/>
      <c r="R34" s="7">
        <f t="shared" si="16"/>
        <v>1.6039788147080912E-3</v>
      </c>
      <c r="S34" s="2"/>
      <c r="T34" s="6"/>
      <c r="U34" s="2"/>
      <c r="V34" s="7">
        <f t="shared" si="17"/>
        <v>0</v>
      </c>
      <c r="W34" s="2"/>
      <c r="X34" s="6">
        <f t="shared" si="18"/>
        <v>6026.81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"6118", " - ", "VACATION")</f>
        <v xml:space="preserve">          6118 - VACATION</v>
      </c>
      <c r="C35" s="11"/>
      <c r="D35" s="6">
        <v>1852.16</v>
      </c>
      <c r="E35" s="2"/>
      <c r="F35" s="7">
        <f t="shared" si="12"/>
        <v>-5.5103965536220594E-2</v>
      </c>
      <c r="G35" s="2"/>
      <c r="H35" s="6">
        <v>1293.5404587692301</v>
      </c>
      <c r="I35" s="2"/>
      <c r="J35" s="7">
        <f t="shared" si="13"/>
        <v>1.7247206116923069E-2</v>
      </c>
      <c r="K35" s="2"/>
      <c r="L35" s="6">
        <f t="shared" si="14"/>
        <v>558.61954123076998</v>
      </c>
      <c r="M35" s="2"/>
      <c r="N35" s="7">
        <f t="shared" si="15"/>
        <v>0.43185316504308019</v>
      </c>
      <c r="O35" s="11"/>
      <c r="P35" s="6">
        <v>29874.380000000005</v>
      </c>
      <c r="Q35" s="2"/>
      <c r="R35" s="7">
        <f t="shared" si="16"/>
        <v>7.9507853445751741E-3</v>
      </c>
      <c r="S35" s="2"/>
      <c r="T35" s="6">
        <v>17028.617963999997</v>
      </c>
      <c r="U35" s="2"/>
      <c r="V35" s="7">
        <f t="shared" si="17"/>
        <v>3.7302558519167572E-3</v>
      </c>
      <c r="W35" s="2"/>
      <c r="X35" s="6">
        <f t="shared" si="18"/>
        <v>12845.762036000007</v>
      </c>
      <c r="Y35" s="2"/>
      <c r="Z35" s="7">
        <f t="shared" si="19"/>
        <v>0.75436315872239801</v>
      </c>
    </row>
    <row r="36" spans="1:26" s="24" customFormat="1" hidden="1" outlineLevel="2" x14ac:dyDescent="0.25">
      <c r="A36" s="27"/>
      <c r="B36" s="11" t="str">
        <f>CONCATENATE("          ", "6119", " - ", "SICK LEAVE")</f>
        <v xml:space="preserve">          6119 - SICK LEAVE</v>
      </c>
      <c r="C36" s="11"/>
      <c r="D36" s="6">
        <v>1608.53</v>
      </c>
      <c r="E36" s="2"/>
      <c r="F36" s="7">
        <f t="shared" si="12"/>
        <v>-4.7855682923709023E-2</v>
      </c>
      <c r="G36" s="2"/>
      <c r="H36" s="6">
        <v>1481.47845876923</v>
      </c>
      <c r="I36" s="2"/>
      <c r="J36" s="7">
        <f t="shared" si="13"/>
        <v>1.9753046116923065E-2</v>
      </c>
      <c r="K36" s="2"/>
      <c r="L36" s="6">
        <f t="shared" si="14"/>
        <v>127.05154123077</v>
      </c>
      <c r="M36" s="2"/>
      <c r="N36" s="7">
        <f t="shared" si="15"/>
        <v>8.575996530946578E-2</v>
      </c>
      <c r="O36" s="11"/>
      <c r="P36" s="6">
        <v>13240.17</v>
      </c>
      <c r="Q36" s="2"/>
      <c r="R36" s="7">
        <f t="shared" si="16"/>
        <v>3.5237467554367278E-3</v>
      </c>
      <c r="S36" s="2"/>
      <c r="T36" s="6">
        <v>30827.434464000002</v>
      </c>
      <c r="U36" s="2"/>
      <c r="V36" s="7">
        <f t="shared" si="17"/>
        <v>6.7529976920043819E-3</v>
      </c>
      <c r="W36" s="2"/>
      <c r="X36" s="6">
        <f t="shared" si="18"/>
        <v>-17587.264464</v>
      </c>
      <c r="Y36" s="2"/>
      <c r="Z36" s="7">
        <f t="shared" si="19"/>
        <v>-0.57050691274806686</v>
      </c>
    </row>
    <row r="37" spans="1:26" s="24" customFormat="1" hidden="1" outlineLevel="2" x14ac:dyDescent="0.25">
      <c r="A37" s="27"/>
      <c r="B37" s="11" t="str">
        <f>CONCATENATE("          ", "6156", " - ", "EMPLOYEE MEALS")</f>
        <v xml:space="preserve">          6156 - EMPLOYEE MEALS</v>
      </c>
      <c r="C37" s="11"/>
      <c r="D37" s="6">
        <v>755.4</v>
      </c>
      <c r="E37" s="2"/>
      <c r="F37" s="7">
        <f t="shared" si="12"/>
        <v>-2.2474049523832192E-2</v>
      </c>
      <c r="G37" s="2"/>
      <c r="H37" s="6"/>
      <c r="I37" s="2"/>
      <c r="J37" s="7">
        <f t="shared" si="13"/>
        <v>0</v>
      </c>
      <c r="K37" s="2"/>
      <c r="L37" s="6">
        <f t="shared" si="14"/>
        <v>755.4</v>
      </c>
      <c r="M37" s="2"/>
      <c r="N37" s="7">
        <f t="shared" si="15"/>
        <v>0</v>
      </c>
      <c r="O37" s="11"/>
      <c r="P37" s="6">
        <v>12267.45</v>
      </c>
      <c r="Q37" s="2"/>
      <c r="R37" s="7">
        <f t="shared" si="16"/>
        <v>3.264866473389865E-3</v>
      </c>
      <c r="S37" s="2"/>
      <c r="T37" s="6"/>
      <c r="U37" s="2"/>
      <c r="V37" s="7">
        <f t="shared" si="17"/>
        <v>0</v>
      </c>
      <c r="W37" s="2"/>
      <c r="X37" s="6">
        <f t="shared" si="18"/>
        <v>12267.45</v>
      </c>
      <c r="Y37" s="2"/>
      <c r="Z37" s="7">
        <f t="shared" si="19"/>
        <v>0</v>
      </c>
    </row>
    <row r="38" spans="1:26" s="26" customFormat="1" outlineLevel="1" collapsed="1" x14ac:dyDescent="0.25">
      <c r="A38" s="25"/>
      <c r="B38" s="12" t="str">
        <f>CONCATENATE("     ","*Payroll                                          ")</f>
        <v xml:space="preserve">     *Payroll                                          </v>
      </c>
      <c r="C38" s="12"/>
      <c r="D38" s="1">
        <f>SUM(OSRRefD22_1x_0)</f>
        <v>18348.21</v>
      </c>
      <c r="E38" s="1"/>
      <c r="F38" s="5">
        <f t="shared" ref="F38:F48" si="20">IF(D$12=0,0,D38/D$12)</f>
        <v>-0.545881096390883</v>
      </c>
      <c r="G38" s="1"/>
      <c r="H38" s="1">
        <f>SUM(OSRRefH22_1x_0)</f>
        <v>54307.118374769198</v>
      </c>
      <c r="I38" s="1"/>
      <c r="J38" s="5">
        <f t="shared" ref="J38:J48" si="21">IF(H$12=0,0,H38/H$12)</f>
        <v>0.7240949116635893</v>
      </c>
      <c r="K38" s="1"/>
      <c r="L38" s="1">
        <f t="shared" ref="L38:L48" si="22">+D38-H38</f>
        <v>-35958.908374769198</v>
      </c>
      <c r="M38" s="1"/>
      <c r="N38" s="5">
        <f t="shared" ref="N38:N48" si="23">IF(H38=0,0,L38/H38)</f>
        <v>-0.66213987136307928</v>
      </c>
      <c r="O38" s="12"/>
      <c r="P38" s="1">
        <f>SUM(OSRRefP22_1x_0)</f>
        <v>877301.55999999994</v>
      </c>
      <c r="Q38" s="1"/>
      <c r="R38" s="5">
        <f t="shared" ref="R38:R48" si="24">IF(P$12=0,0,P38/P$12)</f>
        <v>0.23348556140816767</v>
      </c>
      <c r="S38" s="1"/>
      <c r="T38" s="1">
        <f>SUM(OSRRefT22_1x_0)</f>
        <v>1093052.4008719996</v>
      </c>
      <c r="U38" s="1"/>
      <c r="V38" s="5">
        <f t="shared" ref="V38:V48" si="25">IF(T$12=0,0,T38/T$12)</f>
        <v>0.23944192790186189</v>
      </c>
      <c r="W38" s="1"/>
      <c r="X38" s="1">
        <f t="shared" ref="X38:X48" si="26">+P38-T38</f>
        <v>-215750.84087199962</v>
      </c>
      <c r="Y38" s="1"/>
      <c r="Z38" s="5">
        <f t="shared" ref="Z38:Z48" si="27">IF(T38=0,0,X38/T38)</f>
        <v>-0.19738380401514238</v>
      </c>
    </row>
    <row r="39" spans="1:26" s="24" customFormat="1" hidden="1" outlineLevel="2" x14ac:dyDescent="0.25">
      <c r="A39" s="27"/>
      <c r="B39" s="11" t="str">
        <f>CONCATENATE("          ", "6001", " - ", "ADMINISTRATIVE SALARIES")</f>
        <v xml:space="preserve">          6001 - ADMINISTRATIVE SALARIES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"6002", " - ", "STAFF SALARIES")</f>
        <v xml:space="preserve">          6002 - STAFF SALARIES</v>
      </c>
      <c r="C40" s="11"/>
      <c r="D40" s="6">
        <v>6773.11</v>
      </c>
      <c r="E40" s="2"/>
      <c r="F40" s="7">
        <f t="shared" si="20"/>
        <v>-0.20150808786121666</v>
      </c>
      <c r="G40" s="2"/>
      <c r="H40" s="6">
        <v>13886.0703747692</v>
      </c>
      <c r="I40" s="2"/>
      <c r="J40" s="7">
        <f t="shared" si="21"/>
        <v>0.18514760499692268</v>
      </c>
      <c r="K40" s="2"/>
      <c r="L40" s="6">
        <f t="shared" si="22"/>
        <v>-7112.9603747692008</v>
      </c>
      <c r="M40" s="2"/>
      <c r="N40" s="7">
        <f t="shared" si="23"/>
        <v>-0.51223709680266005</v>
      </c>
      <c r="O40" s="11"/>
      <c r="P40" s="6">
        <v>156872.18</v>
      </c>
      <c r="Q40" s="2"/>
      <c r="R40" s="7">
        <f t="shared" si="24"/>
        <v>4.1750055723852965E-2</v>
      </c>
      <c r="S40" s="2"/>
      <c r="T40" s="6">
        <v>180518.91487199959</v>
      </c>
      <c r="U40" s="2"/>
      <c r="V40" s="7">
        <f t="shared" si="25"/>
        <v>3.954412154917844E-2</v>
      </c>
      <c r="W40" s="2"/>
      <c r="X40" s="6">
        <f t="shared" si="26"/>
        <v>-23646.734871999593</v>
      </c>
      <c r="Y40" s="2"/>
      <c r="Z40" s="7">
        <f t="shared" si="27"/>
        <v>-0.13099311442663372</v>
      </c>
    </row>
    <row r="41" spans="1:26" s="24" customFormat="1" hidden="1" outlineLevel="2" x14ac:dyDescent="0.25">
      <c r="A41" s="27"/>
      <c r="B41" s="11" t="str">
        <f>CONCATENATE("          ", "6003", " - ", "STAFF HOURLY-9 MONTH")</f>
        <v xml:space="preserve">          6003 - STAFF HOURLY-9 MONTH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"6004", " - ", "STAFF HOURLY")</f>
        <v xml:space="preserve">          6004 - STAFF HOURLY</v>
      </c>
      <c r="C42" s="11"/>
      <c r="D42" s="6">
        <v>11575.1</v>
      </c>
      <c r="E42" s="2"/>
      <c r="F42" s="7">
        <f t="shared" si="20"/>
        <v>-0.3443730085296664</v>
      </c>
      <c r="G42" s="2"/>
      <c r="H42" s="6">
        <v>26246.047999999999</v>
      </c>
      <c r="I42" s="2"/>
      <c r="J42" s="7">
        <f t="shared" si="21"/>
        <v>0.34994730666666662</v>
      </c>
      <c r="K42" s="2"/>
      <c r="L42" s="6">
        <f t="shared" si="22"/>
        <v>-14670.947999999999</v>
      </c>
      <c r="M42" s="2"/>
      <c r="N42" s="7">
        <f t="shared" si="23"/>
        <v>-0.55897741252321109</v>
      </c>
      <c r="O42" s="11"/>
      <c r="P42" s="6">
        <v>222140.88999999998</v>
      </c>
      <c r="Q42" s="2"/>
      <c r="R42" s="7">
        <f t="shared" si="24"/>
        <v>5.9120709204438231E-2</v>
      </c>
      <c r="S42" s="2"/>
      <c r="T42" s="6">
        <v>473749.73599999998</v>
      </c>
      <c r="U42" s="2"/>
      <c r="V42" s="7">
        <f t="shared" si="25"/>
        <v>0.10377869353778751</v>
      </c>
      <c r="W42" s="2"/>
      <c r="X42" s="6">
        <f t="shared" si="26"/>
        <v>-251608.84599999999</v>
      </c>
      <c r="Y42" s="2"/>
      <c r="Z42" s="7">
        <f t="shared" si="27"/>
        <v>-0.53110076244981808</v>
      </c>
    </row>
    <row r="43" spans="1:26" s="24" customFormat="1" hidden="1" outlineLevel="2" x14ac:dyDescent="0.25">
      <c r="A43" s="27"/>
      <c r="B43" s="11" t="str">
        <f>CONCATENATE("          ", "6005", " - ", "TEMPORARY WAGES-HOURLY")</f>
        <v xml:space="preserve">          6005 - TEMPORARY WAGES-HOURLY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132250.51</v>
      </c>
      <c r="Q43" s="2"/>
      <c r="R43" s="7">
        <f t="shared" si="24"/>
        <v>3.5197229757424002E-2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132250.51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"6006", " - ", "TEMPORARY PART TIME")</f>
        <v xml:space="preserve">          6006 - TEMPORARY PART TIME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10133.07</v>
      </c>
      <c r="Q44" s="2"/>
      <c r="R44" s="7">
        <f t="shared" si="24"/>
        <v>2.6968213047954249E-3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10133.07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"6007", " - ", "STUDENT HOURLY")</f>
        <v xml:space="preserve">          6007 - STUDENT HOURLY</v>
      </c>
      <c r="C45" s="11"/>
      <c r="D45" s="6"/>
      <c r="E45" s="2"/>
      <c r="F45" s="7">
        <f t="shared" si="20"/>
        <v>0</v>
      </c>
      <c r="G45" s="2"/>
      <c r="H45" s="6">
        <v>14175</v>
      </c>
      <c r="I45" s="2"/>
      <c r="J45" s="7">
        <f t="shared" si="21"/>
        <v>0.189</v>
      </c>
      <c r="K45" s="2"/>
      <c r="L45" s="6">
        <f t="shared" si="22"/>
        <v>-14175</v>
      </c>
      <c r="M45" s="2"/>
      <c r="N45" s="7">
        <f t="shared" si="23"/>
        <v>-1</v>
      </c>
      <c r="O45" s="11"/>
      <c r="P45" s="6">
        <v>326051.69</v>
      </c>
      <c r="Q45" s="2"/>
      <c r="R45" s="7">
        <f t="shared" si="24"/>
        <v>8.6775591608126007E-2</v>
      </c>
      <c r="S45" s="2"/>
      <c r="T45" s="6">
        <v>61424.999999999993</v>
      </c>
      <c r="U45" s="2"/>
      <c r="V45" s="7">
        <f t="shared" si="25"/>
        <v>1.3455640744797369E-2</v>
      </c>
      <c r="W45" s="2"/>
      <c r="X45" s="6">
        <f t="shared" si="26"/>
        <v>264626.69</v>
      </c>
      <c r="Y45" s="2"/>
      <c r="Z45" s="7">
        <f t="shared" si="27"/>
        <v>4.3081268213268222</v>
      </c>
    </row>
    <row r="46" spans="1:26" s="24" customFormat="1" hidden="1" outlineLevel="2" x14ac:dyDescent="0.25">
      <c r="A46" s="27"/>
      <c r="B46" s="11" t="str">
        <f>CONCATENATE("          ", "6008", " - ", "STUDENT HOURLY-FICA EXEMPT")</f>
        <v xml:space="preserve">          6008 - STUDENT HOURLY-FICA EXEMPT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>
        <v>29853.219999999998</v>
      </c>
      <c r="Q46" s="2"/>
      <c r="R46" s="7">
        <f t="shared" si="24"/>
        <v>7.9451538095310567E-3</v>
      </c>
      <c r="S46" s="2"/>
      <c r="T46" s="6">
        <v>377358.75</v>
      </c>
      <c r="U46" s="2"/>
      <c r="V46" s="7">
        <f t="shared" si="25"/>
        <v>8.2663472070098581E-2</v>
      </c>
      <c r="W46" s="2"/>
      <c r="X46" s="6">
        <f t="shared" si="26"/>
        <v>-347505.53</v>
      </c>
      <c r="Y46" s="2"/>
      <c r="Z46" s="7">
        <f t="shared" si="27"/>
        <v>-0.92088902138879791</v>
      </c>
    </row>
    <row r="47" spans="1:26" s="24" customFormat="1" hidden="1" outlineLevel="2" x14ac:dyDescent="0.25">
      <c r="A47" s="27"/>
      <c r="B47" s="11" t="str">
        <f>CONCATENATE("          ", "6009", " - ", "TEMPORARY-SEASONAL")</f>
        <v xml:space="preserve">          6009 - TEMPORARY-SEASONAL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7"/>
      <c r="B48" s="11" t="str">
        <f>CONCATENATE("          ", "6010", " - ", "GRATUITY")</f>
        <v xml:space="preserve">          6010 - GRATUITY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6" customFormat="1" outlineLevel="1" collapsed="1" x14ac:dyDescent="0.25">
      <c r="A49" s="25"/>
      <c r="B49" s="12" t="str">
        <f>CONCATENATE("     ","Advertising/Promo                                 ")</f>
        <v xml:space="preserve">     Advertising/Promo                                 </v>
      </c>
      <c r="C49" s="12"/>
      <c r="D49" s="1">
        <f>SUM(OSRRefD22_2x_0)</f>
        <v>0</v>
      </c>
      <c r="E49" s="1"/>
      <c r="F49" s="5">
        <f t="shared" ref="F49:F68" si="28">IF(D$12=0,0,D49/D$12)</f>
        <v>0</v>
      </c>
      <c r="G49" s="1"/>
      <c r="H49" s="1">
        <f>SUM(OSRRefH22_2x_0)</f>
        <v>200</v>
      </c>
      <c r="I49" s="1"/>
      <c r="J49" s="5">
        <f t="shared" ref="J49:J68" si="29">IF(H$12=0,0,H49/H$12)</f>
        <v>2.6666666666666666E-3</v>
      </c>
      <c r="K49" s="1"/>
      <c r="L49" s="1">
        <f t="shared" ref="L49:L68" si="30">+D49-H49</f>
        <v>-200</v>
      </c>
      <c r="M49" s="1"/>
      <c r="N49" s="5">
        <f t="shared" ref="N49:N68" si="31">IF(H49=0,0,L49/H49)</f>
        <v>-1</v>
      </c>
      <c r="O49" s="12"/>
      <c r="P49" s="1">
        <f>SUM(OSRRefP22_2x_0)</f>
        <v>2828.94</v>
      </c>
      <c r="Q49" s="1"/>
      <c r="R49" s="5">
        <f t="shared" ref="R49:R68" si="32">IF(P$12=0,0,P49/P$12)</f>
        <v>7.5289578202735895E-4</v>
      </c>
      <c r="S49" s="1"/>
      <c r="T49" s="1">
        <f>SUM(OSRRefT22_2x_0)</f>
        <v>4800</v>
      </c>
      <c r="U49" s="1"/>
      <c r="V49" s="5">
        <f t="shared" ref="V49:V68" si="33">IF(T$12=0,0,T49/T$12)</f>
        <v>1.0514786418400876E-3</v>
      </c>
      <c r="W49" s="1"/>
      <c r="X49" s="1">
        <f t="shared" ref="X49:X68" si="34">+P49-T49</f>
        <v>-1971.06</v>
      </c>
      <c r="Y49" s="1"/>
      <c r="Z49" s="5">
        <f t="shared" ref="Z49:Z68" si="35">IF(T49=0,0,X49/T49)</f>
        <v>-0.41063749999999999</v>
      </c>
    </row>
    <row r="50" spans="1:26" s="24" customFormat="1" hidden="1" outlineLevel="2" x14ac:dyDescent="0.25">
      <c r="A50" s="27"/>
      <c r="B50" s="11" t="str">
        <f>CONCATENATE("          ", "6362", " - ", "ADVERTISING EXPENSE")</f>
        <v xml:space="preserve">          6362 - ADVERTISING EXPENSE</v>
      </c>
      <c r="C50" s="11"/>
      <c r="D50" s="6"/>
      <c r="E50" s="2"/>
      <c r="F50" s="7">
        <f t="shared" si="28"/>
        <v>0</v>
      </c>
      <c r="G50" s="2"/>
      <c r="H50" s="6">
        <v>200</v>
      </c>
      <c r="I50" s="2"/>
      <c r="J50" s="7">
        <f t="shared" si="29"/>
        <v>2.6666666666666666E-3</v>
      </c>
      <c r="K50" s="2"/>
      <c r="L50" s="6">
        <f t="shared" si="30"/>
        <v>-200</v>
      </c>
      <c r="M50" s="2"/>
      <c r="N50" s="7">
        <f t="shared" si="31"/>
        <v>-1</v>
      </c>
      <c r="O50" s="11"/>
      <c r="P50" s="6">
        <v>2828.94</v>
      </c>
      <c r="Q50" s="2"/>
      <c r="R50" s="7">
        <f t="shared" si="32"/>
        <v>7.5289578202735895E-4</v>
      </c>
      <c r="S50" s="2"/>
      <c r="T50" s="6">
        <v>4800</v>
      </c>
      <c r="U50" s="2"/>
      <c r="V50" s="7">
        <f t="shared" si="33"/>
        <v>1.0514786418400876E-3</v>
      </c>
      <c r="W50" s="2"/>
      <c r="X50" s="6">
        <f t="shared" si="34"/>
        <v>-1971.06</v>
      </c>
      <c r="Y50" s="2"/>
      <c r="Z50" s="7">
        <f t="shared" si="35"/>
        <v>-0.41063749999999999</v>
      </c>
    </row>
    <row r="51" spans="1:26" s="26" customFormat="1" outlineLevel="1" collapsed="1" x14ac:dyDescent="0.25">
      <c r="A51" s="25"/>
      <c r="B51" s="12" t="str">
        <f>CONCATENATE("     ","Bad Debts/Over/Short                              ")</f>
        <v xml:space="preserve">     Bad Debts/Over/Short                              </v>
      </c>
      <c r="C51" s="12"/>
      <c r="D51" s="1">
        <f>SUM(OSRRefD22_3x_0)</f>
        <v>0</v>
      </c>
      <c r="E51" s="1"/>
      <c r="F51" s="5">
        <f t="shared" si="28"/>
        <v>0</v>
      </c>
      <c r="G51" s="1"/>
      <c r="H51" s="1">
        <f>SUM(OSRRefH22_3x_0)</f>
        <v>10</v>
      </c>
      <c r="I51" s="1"/>
      <c r="J51" s="5">
        <f t="shared" si="29"/>
        <v>1.3333333333333334E-4</v>
      </c>
      <c r="K51" s="1"/>
      <c r="L51" s="1">
        <f t="shared" si="30"/>
        <v>-10</v>
      </c>
      <c r="M51" s="1"/>
      <c r="N51" s="5">
        <f t="shared" si="31"/>
        <v>-1</v>
      </c>
      <c r="O51" s="12"/>
      <c r="P51" s="1">
        <f>SUM(OSRRefP22_3x_0)</f>
        <v>1.65</v>
      </c>
      <c r="Q51" s="1"/>
      <c r="R51" s="5">
        <f t="shared" si="32"/>
        <v>4.3913198595415317E-7</v>
      </c>
      <c r="S51" s="1"/>
      <c r="T51" s="1">
        <f>SUM(OSRRefT22_3x_0)</f>
        <v>122</v>
      </c>
      <c r="U51" s="1"/>
      <c r="V51" s="5">
        <f t="shared" si="33"/>
        <v>2.6725082146768895E-5</v>
      </c>
      <c r="W51" s="1"/>
      <c r="X51" s="1">
        <f t="shared" si="34"/>
        <v>-120.35</v>
      </c>
      <c r="Y51" s="1"/>
      <c r="Z51" s="5">
        <f t="shared" si="35"/>
        <v>-0.98647540983606552</v>
      </c>
    </row>
    <row r="52" spans="1:26" s="24" customFormat="1" hidden="1" outlineLevel="2" x14ac:dyDescent="0.25">
      <c r="A52" s="27"/>
      <c r="B52" s="11" t="str">
        <f>CONCATENATE("          ", "6272", " - ", "CASH (OVER/SHORT)")</f>
        <v xml:space="preserve">          6272 - CASH (OVER/SHORT)</v>
      </c>
      <c r="C52" s="11"/>
      <c r="D52" s="6"/>
      <c r="E52" s="2"/>
      <c r="F52" s="7">
        <f t="shared" si="28"/>
        <v>0</v>
      </c>
      <c r="G52" s="2"/>
      <c r="H52" s="6">
        <v>10</v>
      </c>
      <c r="I52" s="2"/>
      <c r="J52" s="7">
        <f t="shared" si="29"/>
        <v>1.3333333333333334E-4</v>
      </c>
      <c r="K52" s="2"/>
      <c r="L52" s="6">
        <f t="shared" si="30"/>
        <v>-10</v>
      </c>
      <c r="M52" s="2"/>
      <c r="N52" s="7">
        <f t="shared" si="31"/>
        <v>-1</v>
      </c>
      <c r="O52" s="11"/>
      <c r="P52" s="6">
        <v>1.65</v>
      </c>
      <c r="Q52" s="2"/>
      <c r="R52" s="7">
        <f t="shared" si="32"/>
        <v>4.3913198595415317E-7</v>
      </c>
      <c r="S52" s="2"/>
      <c r="T52" s="6">
        <v>122</v>
      </c>
      <c r="U52" s="2"/>
      <c r="V52" s="7">
        <f t="shared" si="33"/>
        <v>2.6725082146768895E-5</v>
      </c>
      <c r="W52" s="2"/>
      <c r="X52" s="6">
        <f t="shared" si="34"/>
        <v>-120.35</v>
      </c>
      <c r="Y52" s="2"/>
      <c r="Z52" s="7">
        <f t="shared" si="35"/>
        <v>-0.98647540983606552</v>
      </c>
    </row>
    <row r="53" spans="1:26" s="26" customFormat="1" outlineLevel="1" collapsed="1" x14ac:dyDescent="0.25">
      <c r="A53" s="25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0</v>
      </c>
      <c r="E53" s="1"/>
      <c r="F53" s="5">
        <f t="shared" si="28"/>
        <v>0</v>
      </c>
      <c r="G53" s="1"/>
      <c r="H53" s="1">
        <f>SUM(OSRRefH22_4x_0)</f>
        <v>225</v>
      </c>
      <c r="I53" s="1"/>
      <c r="J53" s="5">
        <f t="shared" si="29"/>
        <v>3.0000000000000001E-3</v>
      </c>
      <c r="K53" s="1"/>
      <c r="L53" s="1">
        <f t="shared" si="30"/>
        <v>-225</v>
      </c>
      <c r="M53" s="1"/>
      <c r="N53" s="5">
        <f t="shared" si="31"/>
        <v>-1</v>
      </c>
      <c r="O53" s="12"/>
      <c r="P53" s="1">
        <f>SUM(OSRRefP22_4x_0)</f>
        <v>1859.94</v>
      </c>
      <c r="Q53" s="1"/>
      <c r="R53" s="5">
        <f t="shared" si="32"/>
        <v>4.9500554300337444E-4</v>
      </c>
      <c r="S53" s="1"/>
      <c r="T53" s="1">
        <f>SUM(OSRRefT22_4x_0)</f>
        <v>2700</v>
      </c>
      <c r="U53" s="1"/>
      <c r="V53" s="5">
        <f t="shared" si="33"/>
        <v>5.9145673603504928E-4</v>
      </c>
      <c r="W53" s="1"/>
      <c r="X53" s="1">
        <f t="shared" si="34"/>
        <v>-840.06</v>
      </c>
      <c r="Y53" s="1"/>
      <c r="Z53" s="5">
        <f t="shared" si="35"/>
        <v>-0.31113333333333332</v>
      </c>
    </row>
    <row r="54" spans="1:26" s="24" customFormat="1" hidden="1" outlineLevel="2" x14ac:dyDescent="0.25">
      <c r="A54" s="27"/>
      <c r="B54" s="11" t="str">
        <f>CONCATENATE("          ", "6381", " - ", "BANK/CREDIT CARD FEES")</f>
        <v xml:space="preserve">          6381 - BANK/CREDIT CARD FEES</v>
      </c>
      <c r="C54" s="11"/>
      <c r="D54" s="6"/>
      <c r="E54" s="2"/>
      <c r="F54" s="7">
        <f t="shared" si="28"/>
        <v>0</v>
      </c>
      <c r="G54" s="2"/>
      <c r="H54" s="6">
        <v>225</v>
      </c>
      <c r="I54" s="2"/>
      <c r="J54" s="7">
        <f t="shared" si="29"/>
        <v>3.0000000000000001E-3</v>
      </c>
      <c r="K54" s="2"/>
      <c r="L54" s="6">
        <f t="shared" si="30"/>
        <v>-225</v>
      </c>
      <c r="M54" s="2"/>
      <c r="N54" s="7">
        <f t="shared" si="31"/>
        <v>-1</v>
      </c>
      <c r="O54" s="11"/>
      <c r="P54" s="6">
        <v>1859.94</v>
      </c>
      <c r="Q54" s="2"/>
      <c r="R54" s="7">
        <f t="shared" si="32"/>
        <v>4.9500554300337444E-4</v>
      </c>
      <c r="S54" s="2"/>
      <c r="T54" s="6">
        <v>2700</v>
      </c>
      <c r="U54" s="2"/>
      <c r="V54" s="7">
        <f t="shared" si="33"/>
        <v>5.9145673603504928E-4</v>
      </c>
      <c r="W54" s="2"/>
      <c r="X54" s="6">
        <f t="shared" si="34"/>
        <v>-840.06</v>
      </c>
      <c r="Y54" s="2"/>
      <c r="Z54" s="7">
        <f t="shared" si="35"/>
        <v>-0.31113333333333332</v>
      </c>
    </row>
    <row r="55" spans="1:26" s="26" customFormat="1" outlineLevel="1" collapsed="1" x14ac:dyDescent="0.25">
      <c r="A55" s="25"/>
      <c r="B55" s="12" t="str">
        <f>CONCATENATE("     ","Donations                                         ")</f>
        <v xml:space="preserve">     Donations                                         </v>
      </c>
      <c r="C55" s="12"/>
      <c r="D55" s="1">
        <f>SUM(OSRRefD22_5x_0)</f>
        <v>0</v>
      </c>
      <c r="E55" s="1"/>
      <c r="F55" s="5">
        <f t="shared" si="28"/>
        <v>0</v>
      </c>
      <c r="G55" s="1"/>
      <c r="H55" s="1">
        <f>SUM(OSRRefH22_5x_0)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2"/>
      <c r="P55" s="1">
        <f>SUM(OSRRefP22_5x_0)</f>
        <v>90514.12</v>
      </c>
      <c r="Q55" s="1"/>
      <c r="R55" s="5">
        <f t="shared" si="32"/>
        <v>2.408948198332881E-2</v>
      </c>
      <c r="S55" s="1"/>
      <c r="T55" s="1">
        <f>SUM(OSRRefT22_5x_0)</f>
        <v>80000</v>
      </c>
      <c r="U55" s="1"/>
      <c r="V55" s="5">
        <f t="shared" si="33"/>
        <v>1.7524644030668127E-2</v>
      </c>
      <c r="W55" s="1"/>
      <c r="X55" s="1">
        <f t="shared" si="34"/>
        <v>10514.119999999995</v>
      </c>
      <c r="Y55" s="1"/>
      <c r="Z55" s="5">
        <f t="shared" si="35"/>
        <v>0.13142649999999995</v>
      </c>
    </row>
    <row r="56" spans="1:26" s="24" customFormat="1" hidden="1" outlineLevel="2" x14ac:dyDescent="0.25">
      <c r="A56" s="27"/>
      <c r="B56" s="11" t="str">
        <f>CONCATENATE("          ", "6399", " - ", "DONATION-ON CAMPUS")</f>
        <v xml:space="preserve">          6399 - DONATION-ON CAMPUS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90514.12</v>
      </c>
      <c r="Q56" s="2"/>
      <c r="R56" s="7">
        <f t="shared" si="32"/>
        <v>2.408948198332881E-2</v>
      </c>
      <c r="S56" s="2"/>
      <c r="T56" s="6">
        <v>80000</v>
      </c>
      <c r="U56" s="2"/>
      <c r="V56" s="7">
        <f t="shared" si="33"/>
        <v>1.7524644030668127E-2</v>
      </c>
      <c r="W56" s="2"/>
      <c r="X56" s="6">
        <f t="shared" si="34"/>
        <v>10514.119999999995</v>
      </c>
      <c r="Y56" s="2"/>
      <c r="Z56" s="7">
        <f t="shared" si="35"/>
        <v>0.13142649999999995</v>
      </c>
    </row>
    <row r="57" spans="1:26" s="26" customFormat="1" outlineLevel="1" collapsed="1" x14ac:dyDescent="0.25">
      <c r="A57" s="25"/>
      <c r="B57" s="12" t="str">
        <f>CONCATENATE("     ","Employees' Appreciation                           ")</f>
        <v xml:space="preserve">     Employees' Appreciation                           </v>
      </c>
      <c r="C57" s="12"/>
      <c r="D57" s="1">
        <f>SUM(OSRRefD22_6x_0)</f>
        <v>0</v>
      </c>
      <c r="E57" s="1"/>
      <c r="F57" s="5">
        <f t="shared" si="28"/>
        <v>0</v>
      </c>
      <c r="G57" s="1"/>
      <c r="H57" s="1">
        <f>SUM(OSRRefH22_6x_0)</f>
        <v>160</v>
      </c>
      <c r="I57" s="1"/>
      <c r="J57" s="5">
        <f t="shared" si="29"/>
        <v>2.1333333333333334E-3</v>
      </c>
      <c r="K57" s="1"/>
      <c r="L57" s="1">
        <f t="shared" si="30"/>
        <v>-160</v>
      </c>
      <c r="M57" s="1"/>
      <c r="N57" s="5">
        <f t="shared" si="31"/>
        <v>-1</v>
      </c>
      <c r="O57" s="12"/>
      <c r="P57" s="1">
        <f>SUM(OSRRefP22_6x_0)</f>
        <v>172.29</v>
      </c>
      <c r="Q57" s="1"/>
      <c r="R57" s="5">
        <f t="shared" si="32"/>
        <v>4.5853363551540031E-5</v>
      </c>
      <c r="S57" s="1"/>
      <c r="T57" s="1">
        <f>SUM(OSRRefT22_6x_0)</f>
        <v>1930</v>
      </c>
      <c r="U57" s="1"/>
      <c r="V57" s="5">
        <f t="shared" si="33"/>
        <v>4.2278203723986854E-4</v>
      </c>
      <c r="W57" s="1"/>
      <c r="X57" s="1">
        <f t="shared" si="34"/>
        <v>-1757.71</v>
      </c>
      <c r="Y57" s="1"/>
      <c r="Z57" s="5">
        <f t="shared" si="35"/>
        <v>-0.91073056994818657</v>
      </c>
    </row>
    <row r="58" spans="1:26" s="24" customFormat="1" hidden="1" outlineLevel="2" x14ac:dyDescent="0.25">
      <c r="A58" s="27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28"/>
        <v>0</v>
      </c>
      <c r="G58" s="2"/>
      <c r="H58" s="6">
        <v>160</v>
      </c>
      <c r="I58" s="2"/>
      <c r="J58" s="7">
        <f t="shared" si="29"/>
        <v>2.1333333333333334E-3</v>
      </c>
      <c r="K58" s="2"/>
      <c r="L58" s="6">
        <f t="shared" si="30"/>
        <v>-160</v>
      </c>
      <c r="M58" s="2"/>
      <c r="N58" s="7">
        <f t="shared" si="31"/>
        <v>-1</v>
      </c>
      <c r="O58" s="11"/>
      <c r="P58" s="6">
        <v>172.29</v>
      </c>
      <c r="Q58" s="2"/>
      <c r="R58" s="7">
        <f t="shared" si="32"/>
        <v>4.5853363551540031E-5</v>
      </c>
      <c r="S58" s="2"/>
      <c r="T58" s="6">
        <v>1930</v>
      </c>
      <c r="U58" s="2"/>
      <c r="V58" s="7">
        <f t="shared" si="33"/>
        <v>4.2278203723986854E-4</v>
      </c>
      <c r="W58" s="2"/>
      <c r="X58" s="6">
        <f t="shared" si="34"/>
        <v>-1757.71</v>
      </c>
      <c r="Y58" s="2"/>
      <c r="Z58" s="7">
        <f t="shared" si="35"/>
        <v>-0.91073056994818657</v>
      </c>
    </row>
    <row r="59" spans="1:26" s="26" customFormat="1" outlineLevel="1" collapsed="1" x14ac:dyDescent="0.25">
      <c r="A59" s="25"/>
      <c r="B59" s="12" t="str">
        <f>CONCATENATE("     ","Equipment Rental                                  ")</f>
        <v xml:space="preserve">     Equipment Rental                                  </v>
      </c>
      <c r="C59" s="12"/>
      <c r="D59" s="1">
        <f>SUM(OSRRefD22_7x_0)</f>
        <v>637.48</v>
      </c>
      <c r="E59" s="1"/>
      <c r="F59" s="5">
        <f t="shared" si="28"/>
        <v>-1.8965789105708956E-2</v>
      </c>
      <c r="G59" s="1"/>
      <c r="H59" s="1">
        <f>SUM(OSRRefH22_7x_0)</f>
        <v>400</v>
      </c>
      <c r="I59" s="1"/>
      <c r="J59" s="5">
        <f t="shared" si="29"/>
        <v>5.3333333333333332E-3</v>
      </c>
      <c r="K59" s="1"/>
      <c r="L59" s="1">
        <f t="shared" si="30"/>
        <v>237.48000000000002</v>
      </c>
      <c r="M59" s="1"/>
      <c r="N59" s="5">
        <f t="shared" si="31"/>
        <v>0.59370000000000001</v>
      </c>
      <c r="O59" s="12"/>
      <c r="P59" s="1">
        <f>SUM(OSRRefP22_7x_0)</f>
        <v>2831.1</v>
      </c>
      <c r="Q59" s="1"/>
      <c r="R59" s="5">
        <f t="shared" si="32"/>
        <v>7.5347064571806247E-4</v>
      </c>
      <c r="S59" s="1"/>
      <c r="T59" s="1">
        <f>SUM(OSRRefT22_7x_0)</f>
        <v>5000</v>
      </c>
      <c r="U59" s="1"/>
      <c r="V59" s="5">
        <f t="shared" si="33"/>
        <v>1.0952902519167579E-3</v>
      </c>
      <c r="W59" s="1"/>
      <c r="X59" s="1">
        <f t="shared" si="34"/>
        <v>-2168.9</v>
      </c>
      <c r="Y59" s="1"/>
      <c r="Z59" s="5">
        <f t="shared" si="35"/>
        <v>-0.43378</v>
      </c>
    </row>
    <row r="60" spans="1:26" s="24" customFormat="1" hidden="1" outlineLevel="2" x14ac:dyDescent="0.25">
      <c r="A60" s="27"/>
      <c r="B60" s="11" t="str">
        <f>CONCATENATE("          ", "6351", " - ", "EQUIPMENT RENTAL")</f>
        <v xml:space="preserve">          6351 - EQUIPMENT RENTAL</v>
      </c>
      <c r="C60" s="11"/>
      <c r="D60" s="6">
        <v>637.48</v>
      </c>
      <c r="E60" s="2"/>
      <c r="F60" s="7">
        <f t="shared" si="28"/>
        <v>-1.8965789105708956E-2</v>
      </c>
      <c r="G60" s="2"/>
      <c r="H60" s="6">
        <v>400</v>
      </c>
      <c r="I60" s="2"/>
      <c r="J60" s="7">
        <f t="shared" si="29"/>
        <v>5.3333333333333332E-3</v>
      </c>
      <c r="K60" s="2"/>
      <c r="L60" s="6">
        <f t="shared" si="30"/>
        <v>237.48000000000002</v>
      </c>
      <c r="M60" s="2"/>
      <c r="N60" s="7">
        <f t="shared" si="31"/>
        <v>0.59370000000000001</v>
      </c>
      <c r="O60" s="11"/>
      <c r="P60" s="6">
        <v>2831.1</v>
      </c>
      <c r="Q60" s="2"/>
      <c r="R60" s="7">
        <f t="shared" si="32"/>
        <v>7.5347064571806247E-4</v>
      </c>
      <c r="S60" s="2"/>
      <c r="T60" s="6">
        <v>5000</v>
      </c>
      <c r="U60" s="2"/>
      <c r="V60" s="7">
        <f t="shared" si="33"/>
        <v>1.0952902519167579E-3</v>
      </c>
      <c r="W60" s="2"/>
      <c r="X60" s="6">
        <f t="shared" si="34"/>
        <v>-2168.9</v>
      </c>
      <c r="Y60" s="2"/>
      <c r="Z60" s="7">
        <f t="shared" si="35"/>
        <v>-0.43378</v>
      </c>
    </row>
    <row r="61" spans="1:26" s="26" customFormat="1" outlineLevel="1" collapsed="1" x14ac:dyDescent="0.25">
      <c r="A61" s="25"/>
      <c r="B61" s="12" t="str">
        <f>CONCATENATE("     ","General                                           ")</f>
        <v xml:space="preserve">     General                                           </v>
      </c>
      <c r="C61" s="12"/>
      <c r="D61" s="1">
        <f>SUM(OSRRefD22_8x_0)</f>
        <v>0</v>
      </c>
      <c r="E61" s="1"/>
      <c r="F61" s="5">
        <f t="shared" si="28"/>
        <v>0</v>
      </c>
      <c r="G61" s="1"/>
      <c r="H61" s="1">
        <f>SUM(OSRRefH22_8x_0)</f>
        <v>175</v>
      </c>
      <c r="I61" s="1"/>
      <c r="J61" s="5">
        <f t="shared" si="29"/>
        <v>2.3333333333333335E-3</v>
      </c>
      <c r="K61" s="1"/>
      <c r="L61" s="1">
        <f t="shared" si="30"/>
        <v>-175</v>
      </c>
      <c r="M61" s="1"/>
      <c r="N61" s="5">
        <f t="shared" si="31"/>
        <v>-1</v>
      </c>
      <c r="O61" s="12"/>
      <c r="P61" s="1">
        <f>SUM(OSRRefP22_8x_0)</f>
        <v>2391.19</v>
      </c>
      <c r="Q61" s="1"/>
      <c r="R61" s="5">
        <f t="shared" si="32"/>
        <v>6.3639273545073433E-4</v>
      </c>
      <c r="S61" s="1"/>
      <c r="T61" s="1">
        <f>SUM(OSRRefT22_8x_0)</f>
        <v>3700</v>
      </c>
      <c r="U61" s="1"/>
      <c r="V61" s="5">
        <f t="shared" si="33"/>
        <v>8.1051478641840091E-4</v>
      </c>
      <c r="W61" s="1"/>
      <c r="X61" s="1">
        <f t="shared" si="34"/>
        <v>-1308.81</v>
      </c>
      <c r="Y61" s="1"/>
      <c r="Z61" s="5">
        <f t="shared" si="35"/>
        <v>-0.35373243243243241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28"/>
        <v>0</v>
      </c>
      <c r="G62" s="2"/>
      <c r="H62" s="6">
        <v>175</v>
      </c>
      <c r="I62" s="2"/>
      <c r="J62" s="7">
        <f t="shared" si="29"/>
        <v>2.3333333333333335E-3</v>
      </c>
      <c r="K62" s="2"/>
      <c r="L62" s="6">
        <f t="shared" si="30"/>
        <v>-175</v>
      </c>
      <c r="M62" s="2"/>
      <c r="N62" s="7">
        <f t="shared" si="31"/>
        <v>-1</v>
      </c>
      <c r="O62" s="11"/>
      <c r="P62" s="6">
        <v>2391.19</v>
      </c>
      <c r="Q62" s="2"/>
      <c r="R62" s="7">
        <f t="shared" si="32"/>
        <v>6.3639273545073433E-4</v>
      </c>
      <c r="S62" s="2"/>
      <c r="T62" s="6">
        <v>3700</v>
      </c>
      <c r="U62" s="2"/>
      <c r="V62" s="7">
        <f t="shared" si="33"/>
        <v>8.1051478641840091E-4</v>
      </c>
      <c r="W62" s="2"/>
      <c r="X62" s="6">
        <f t="shared" si="34"/>
        <v>-1308.81</v>
      </c>
      <c r="Y62" s="2"/>
      <c r="Z62" s="7">
        <f t="shared" si="35"/>
        <v>-0.35373243243243241</v>
      </c>
    </row>
    <row r="63" spans="1:26" s="26" customFormat="1" outlineLevel="1" collapsed="1" x14ac:dyDescent="0.25">
      <c r="A63" s="25"/>
      <c r="B63" s="12" t="str">
        <f>CONCATENATE("     ","R/H Commissions                                   ")</f>
        <v xml:space="preserve">     R/H Commissions                                   </v>
      </c>
      <c r="C63" s="12"/>
      <c r="D63" s="1">
        <f>SUM(OSRRefD22_9x_0)</f>
        <v>-3144.03</v>
      </c>
      <c r="E63" s="1"/>
      <c r="F63" s="5">
        <f t="shared" si="28"/>
        <v>9.3538636383921278E-2</v>
      </c>
      <c r="G63" s="1"/>
      <c r="H63" s="1">
        <f>SUM(OSRRefH22_9x_0)</f>
        <v>6000</v>
      </c>
      <c r="I63" s="1"/>
      <c r="J63" s="5">
        <f t="shared" si="29"/>
        <v>0.08</v>
      </c>
      <c r="K63" s="1"/>
      <c r="L63" s="1">
        <f t="shared" si="30"/>
        <v>-9144.0300000000007</v>
      </c>
      <c r="M63" s="1"/>
      <c r="N63" s="5">
        <f t="shared" si="31"/>
        <v>-1.5240050000000001</v>
      </c>
      <c r="O63" s="12"/>
      <c r="P63" s="1">
        <f>SUM(OSRRefP22_9x_0)</f>
        <v>289579.68</v>
      </c>
      <c r="Q63" s="1"/>
      <c r="R63" s="5">
        <f t="shared" si="32"/>
        <v>7.7068909072950414E-2</v>
      </c>
      <c r="S63" s="1"/>
      <c r="T63" s="1">
        <f>SUM(OSRRefT22_9x_0)</f>
        <v>365201</v>
      </c>
      <c r="U63" s="1"/>
      <c r="V63" s="5">
        <f t="shared" si="33"/>
        <v>8.0000219058050381E-2</v>
      </c>
      <c r="W63" s="1"/>
      <c r="X63" s="1">
        <f t="shared" si="34"/>
        <v>-75621.320000000007</v>
      </c>
      <c r="Y63" s="1"/>
      <c r="Z63" s="5">
        <f t="shared" si="35"/>
        <v>-0.20706766958469447</v>
      </c>
    </row>
    <row r="64" spans="1:26" s="24" customFormat="1" hidden="1" outlineLevel="2" x14ac:dyDescent="0.25">
      <c r="A64" s="27"/>
      <c r="B64" s="11" t="str">
        <f>CONCATENATE("          ", "6387", " - ", "COMMISSION DUE HOUSING")</f>
        <v xml:space="preserve">          6387 - COMMISSION DUE HOUSING</v>
      </c>
      <c r="C64" s="11"/>
      <c r="D64" s="6">
        <v>-3144.03</v>
      </c>
      <c r="E64" s="2"/>
      <c r="F64" s="7">
        <f t="shared" si="28"/>
        <v>9.3538636383921278E-2</v>
      </c>
      <c r="G64" s="2"/>
      <c r="H64" s="6">
        <v>6000</v>
      </c>
      <c r="I64" s="2"/>
      <c r="J64" s="7">
        <f t="shared" si="29"/>
        <v>0.08</v>
      </c>
      <c r="K64" s="2"/>
      <c r="L64" s="6">
        <f t="shared" si="30"/>
        <v>-9144.0300000000007</v>
      </c>
      <c r="M64" s="2"/>
      <c r="N64" s="7">
        <f t="shared" si="31"/>
        <v>-1.5240050000000001</v>
      </c>
      <c r="O64" s="11"/>
      <c r="P64" s="6">
        <v>289579.68</v>
      </c>
      <c r="Q64" s="2"/>
      <c r="R64" s="7">
        <f t="shared" si="32"/>
        <v>7.7068909072950414E-2</v>
      </c>
      <c r="S64" s="2"/>
      <c r="T64" s="6">
        <v>365201</v>
      </c>
      <c r="U64" s="2"/>
      <c r="V64" s="7">
        <f t="shared" si="33"/>
        <v>8.0000219058050381E-2</v>
      </c>
      <c r="W64" s="2"/>
      <c r="X64" s="6">
        <f t="shared" si="34"/>
        <v>-75621.320000000007</v>
      </c>
      <c r="Y64" s="2"/>
      <c r="Z64" s="7">
        <f t="shared" si="35"/>
        <v>-0.20706766958469447</v>
      </c>
    </row>
    <row r="65" spans="1:26" s="26" customFormat="1" outlineLevel="1" collapsed="1" x14ac:dyDescent="0.25">
      <c r="A65" s="25"/>
      <c r="B65" s="12" t="str">
        <f>CONCATENATE("     ","Repair and Maintenance                            ")</f>
        <v xml:space="preserve">     Repair and Maintenance                            </v>
      </c>
      <c r="C65" s="12"/>
      <c r="D65" s="1">
        <f>SUM(OSRRefD22_10x_0)</f>
        <v>72.349999999999994</v>
      </c>
      <c r="E65" s="1"/>
      <c r="F65" s="5">
        <f t="shared" si="28"/>
        <v>-2.1524986537586168E-3</v>
      </c>
      <c r="G65" s="1"/>
      <c r="H65" s="1">
        <f>SUM(OSRRefH22_10x_0)</f>
        <v>250</v>
      </c>
      <c r="I65" s="1"/>
      <c r="J65" s="5">
        <f t="shared" si="29"/>
        <v>3.3333333333333335E-3</v>
      </c>
      <c r="K65" s="1"/>
      <c r="L65" s="1">
        <f t="shared" si="30"/>
        <v>-177.65</v>
      </c>
      <c r="M65" s="1"/>
      <c r="N65" s="5">
        <f t="shared" si="31"/>
        <v>-0.71060000000000001</v>
      </c>
      <c r="O65" s="12"/>
      <c r="P65" s="1">
        <f>SUM(OSRRefP22_10x_0)</f>
        <v>8675.0700000000015</v>
      </c>
      <c r="Q65" s="1"/>
      <c r="R65" s="5">
        <f t="shared" si="32"/>
        <v>2.3087883135704829E-3</v>
      </c>
      <c r="S65" s="1"/>
      <c r="T65" s="1">
        <f>SUM(OSRRefT22_10x_0)</f>
        <v>19000</v>
      </c>
      <c r="U65" s="1"/>
      <c r="V65" s="5">
        <f t="shared" si="33"/>
        <v>4.1621029572836803E-3</v>
      </c>
      <c r="W65" s="1"/>
      <c r="X65" s="1">
        <f t="shared" si="34"/>
        <v>-10324.929999999998</v>
      </c>
      <c r="Y65" s="1"/>
      <c r="Z65" s="5">
        <f t="shared" si="35"/>
        <v>-0.54341736842105259</v>
      </c>
    </row>
    <row r="66" spans="1:26" s="24" customFormat="1" hidden="1" outlineLevel="2" x14ac:dyDescent="0.25">
      <c r="A66" s="27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8238.75</v>
      </c>
      <c r="Q66" s="2"/>
      <c r="R66" s="7">
        <f t="shared" si="32"/>
        <v>2.1926658480483515E-3</v>
      </c>
      <c r="S66" s="2"/>
      <c r="T66" s="6">
        <v>9000</v>
      </c>
      <c r="U66" s="2"/>
      <c r="V66" s="7">
        <f t="shared" si="33"/>
        <v>1.9715224534501644E-3</v>
      </c>
      <c r="W66" s="2"/>
      <c r="X66" s="6">
        <f t="shared" si="34"/>
        <v>-761.25</v>
      </c>
      <c r="Y66" s="2"/>
      <c r="Z66" s="7">
        <f t="shared" si="35"/>
        <v>-8.458333333333333E-2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6">
        <v>72.349999999999994</v>
      </c>
      <c r="E67" s="2"/>
      <c r="F67" s="7">
        <f t="shared" si="28"/>
        <v>-2.1524986537586168E-3</v>
      </c>
      <c r="G67" s="2"/>
      <c r="H67" s="6"/>
      <c r="I67" s="2"/>
      <c r="J67" s="7">
        <f t="shared" si="29"/>
        <v>0</v>
      </c>
      <c r="K67" s="2"/>
      <c r="L67" s="6">
        <f t="shared" si="30"/>
        <v>72.349999999999994</v>
      </c>
      <c r="M67" s="2"/>
      <c r="N67" s="7">
        <f t="shared" si="31"/>
        <v>0</v>
      </c>
      <c r="O67" s="11"/>
      <c r="P67" s="6">
        <v>284.54000000000002</v>
      </c>
      <c r="Q67" s="2"/>
      <c r="R67" s="7">
        <f t="shared" si="32"/>
        <v>7.5727645626299861E-5</v>
      </c>
      <c r="S67" s="2"/>
      <c r="T67" s="6">
        <v>7000</v>
      </c>
      <c r="U67" s="2"/>
      <c r="V67" s="7">
        <f t="shared" si="33"/>
        <v>1.5334063526834612E-3</v>
      </c>
      <c r="W67" s="2"/>
      <c r="X67" s="6">
        <f t="shared" si="34"/>
        <v>-6715.46</v>
      </c>
      <c r="Y67" s="2"/>
      <c r="Z67" s="7">
        <f t="shared" si="35"/>
        <v>-0.95935142857142852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8"/>
        <v>0</v>
      </c>
      <c r="G68" s="2"/>
      <c r="H68" s="6">
        <v>250</v>
      </c>
      <c r="I68" s="2"/>
      <c r="J68" s="7">
        <f t="shared" si="29"/>
        <v>3.3333333333333335E-3</v>
      </c>
      <c r="K68" s="2"/>
      <c r="L68" s="6">
        <f t="shared" si="30"/>
        <v>-250</v>
      </c>
      <c r="M68" s="2"/>
      <c r="N68" s="7">
        <f t="shared" si="31"/>
        <v>-1</v>
      </c>
      <c r="O68" s="11"/>
      <c r="P68" s="6">
        <v>151.78</v>
      </c>
      <c r="Q68" s="2"/>
      <c r="R68" s="7">
        <f t="shared" si="32"/>
        <v>4.0394819895831139E-5</v>
      </c>
      <c r="S68" s="2"/>
      <c r="T68" s="6">
        <v>3000</v>
      </c>
      <c r="U68" s="2"/>
      <c r="V68" s="7">
        <f t="shared" si="33"/>
        <v>6.5717415115005477E-4</v>
      </c>
      <c r="W68" s="2"/>
      <c r="X68" s="6">
        <f t="shared" si="34"/>
        <v>-2848.22</v>
      </c>
      <c r="Y68" s="2"/>
      <c r="Z68" s="7">
        <f t="shared" si="35"/>
        <v>-0.94940666666666662</v>
      </c>
    </row>
    <row r="69" spans="1:26" s="26" customFormat="1" outlineLevel="1" collapsed="1" x14ac:dyDescent="0.25">
      <c r="A69" s="25"/>
      <c r="B69" s="12" t="str">
        <f>CONCATENATE("     ","Services                                          ")</f>
        <v xml:space="preserve">     Services                                          </v>
      </c>
      <c r="C69" s="12"/>
      <c r="D69" s="1">
        <f>SUM(OSRRefD22_11x_0)</f>
        <v>4936.3</v>
      </c>
      <c r="E69" s="1"/>
      <c r="F69" s="5">
        <f t="shared" ref="F69:F73" si="36">IF(D$12=0,0,D69/D$12)</f>
        <v>-0.14686080310364424</v>
      </c>
      <c r="G69" s="1"/>
      <c r="H69" s="1">
        <f>SUM(OSRRefH22_11x_0)</f>
        <v>6758</v>
      </c>
      <c r="I69" s="1"/>
      <c r="J69" s="5">
        <f t="shared" ref="J69:J73" si="37">IF(H$12=0,0,H69/H$12)</f>
        <v>9.0106666666666668E-2</v>
      </c>
      <c r="K69" s="1"/>
      <c r="L69" s="1">
        <f t="shared" ref="L69:L73" si="38">+D69-H69</f>
        <v>-1821.6999999999998</v>
      </c>
      <c r="M69" s="1"/>
      <c r="N69" s="5">
        <f t="shared" ref="N69:N73" si="39">IF(H69=0,0,L69/H69)</f>
        <v>-0.26956200059189106</v>
      </c>
      <c r="O69" s="12"/>
      <c r="P69" s="1">
        <f>SUM(OSRRefP22_11x_0)</f>
        <v>75782.44</v>
      </c>
      <c r="Q69" s="1"/>
      <c r="R69" s="5">
        <f t="shared" ref="R69:R73" si="40">IF(P$12=0,0,P69/P$12)</f>
        <v>2.016878386524331E-2</v>
      </c>
      <c r="S69" s="1"/>
      <c r="T69" s="1">
        <f>SUM(OSRRefT22_11x_0)</f>
        <v>80000</v>
      </c>
      <c r="U69" s="1"/>
      <c r="V69" s="5">
        <f t="shared" ref="V69:V73" si="41">IF(T$12=0,0,T69/T$12)</f>
        <v>1.7524644030668127E-2</v>
      </c>
      <c r="W69" s="1"/>
      <c r="X69" s="1">
        <f t="shared" ref="X69:X73" si="42">+P69-T69</f>
        <v>-4217.5599999999977</v>
      </c>
      <c r="Y69" s="1"/>
      <c r="Z69" s="5">
        <f t="shared" ref="Z69:Z73" si="43">IF(T69=0,0,X69/T69)</f>
        <v>-5.2719499999999968E-2</v>
      </c>
    </row>
    <row r="70" spans="1:26" s="24" customFormat="1" hidden="1" outlineLevel="2" x14ac:dyDescent="0.25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417.32</v>
      </c>
      <c r="E70" s="2"/>
      <c r="F70" s="7">
        <f t="shared" si="36"/>
        <v>-1.2415766941071816E-2</v>
      </c>
      <c r="G70" s="2"/>
      <c r="H70" s="6">
        <v>450</v>
      </c>
      <c r="I70" s="2"/>
      <c r="J70" s="7">
        <f t="shared" si="37"/>
        <v>6.0000000000000001E-3</v>
      </c>
      <c r="K70" s="2"/>
      <c r="L70" s="6">
        <f t="shared" si="38"/>
        <v>-32.680000000000007</v>
      </c>
      <c r="M70" s="2"/>
      <c r="N70" s="7">
        <f t="shared" si="39"/>
        <v>-7.2622222222222241E-2</v>
      </c>
      <c r="O70" s="11"/>
      <c r="P70" s="6">
        <v>5545.16</v>
      </c>
      <c r="Q70" s="2"/>
      <c r="R70" s="7">
        <f t="shared" si="40"/>
        <v>1.4757921958991104E-3</v>
      </c>
      <c r="S70" s="2"/>
      <c r="T70" s="6">
        <v>5400</v>
      </c>
      <c r="U70" s="2"/>
      <c r="V70" s="7">
        <f t="shared" si="41"/>
        <v>1.1829134720700986E-3</v>
      </c>
      <c r="W70" s="2"/>
      <c r="X70" s="6">
        <f t="shared" si="42"/>
        <v>145.15999999999985</v>
      </c>
      <c r="Y70" s="2"/>
      <c r="Z70" s="7">
        <f t="shared" si="43"/>
        <v>2.6881481481481454E-2</v>
      </c>
    </row>
    <row r="71" spans="1:26" s="24" customFormat="1" hidden="1" outlineLevel="2" x14ac:dyDescent="0.25">
      <c r="A71" s="27"/>
      <c r="B71" s="11" t="str">
        <f>CONCATENATE("          ", "6284", " - ", "TRASH REMOVAL EXPENSE")</f>
        <v xml:space="preserve">          6284 - TRASH REMOVAL EXPENSE</v>
      </c>
      <c r="C71" s="11"/>
      <c r="D71" s="6"/>
      <c r="E71" s="2"/>
      <c r="F71" s="7">
        <f t="shared" si="36"/>
        <v>0</v>
      </c>
      <c r="G71" s="2"/>
      <c r="H71" s="6">
        <v>550</v>
      </c>
      <c r="I71" s="2"/>
      <c r="J71" s="7">
        <f t="shared" si="37"/>
        <v>7.3333333333333332E-3</v>
      </c>
      <c r="K71" s="2"/>
      <c r="L71" s="6">
        <f t="shared" si="38"/>
        <v>-550</v>
      </c>
      <c r="M71" s="2"/>
      <c r="N71" s="7">
        <f t="shared" si="39"/>
        <v>-1</v>
      </c>
      <c r="O71" s="11"/>
      <c r="P71" s="6"/>
      <c r="Q71" s="2"/>
      <c r="R71" s="7">
        <f t="shared" si="40"/>
        <v>0</v>
      </c>
      <c r="S71" s="2"/>
      <c r="T71" s="6">
        <v>6550</v>
      </c>
      <c r="U71" s="2"/>
      <c r="V71" s="7">
        <f t="shared" si="41"/>
        <v>1.434830230010953E-3</v>
      </c>
      <c r="W71" s="2"/>
      <c r="X71" s="6">
        <f t="shared" si="42"/>
        <v>-6550</v>
      </c>
      <c r="Y71" s="2"/>
      <c r="Z71" s="7">
        <f t="shared" si="43"/>
        <v>-1</v>
      </c>
    </row>
    <row r="72" spans="1:26" s="24" customFormat="1" hidden="1" outlineLevel="2" x14ac:dyDescent="0.25">
      <c r="A72" s="27"/>
      <c r="B72" s="11" t="str">
        <f>CONCATENATE("          ", "6285", " - ", "JANITORIAL SERVICES")</f>
        <v xml:space="preserve">          6285 - JANITORIAL SERVICES</v>
      </c>
      <c r="C72" s="11"/>
      <c r="D72" s="6">
        <v>4157.05</v>
      </c>
      <c r="E72" s="2"/>
      <c r="F72" s="7">
        <f t="shared" si="36"/>
        <v>-0.12367718767943688</v>
      </c>
      <c r="G72" s="2"/>
      <c r="H72" s="6">
        <v>4158</v>
      </c>
      <c r="I72" s="2"/>
      <c r="J72" s="7">
        <f t="shared" si="37"/>
        <v>5.5440000000000003E-2</v>
      </c>
      <c r="K72" s="2"/>
      <c r="L72" s="6">
        <f t="shared" si="38"/>
        <v>-0.9499999999998181</v>
      </c>
      <c r="M72" s="2"/>
      <c r="N72" s="7">
        <f t="shared" si="39"/>
        <v>-2.2847522847518472E-4</v>
      </c>
      <c r="O72" s="11"/>
      <c r="P72" s="6">
        <v>52956.08</v>
      </c>
      <c r="Q72" s="2"/>
      <c r="R72" s="7">
        <f t="shared" si="40"/>
        <v>1.409376277499819E-2</v>
      </c>
      <c r="S72" s="2"/>
      <c r="T72" s="6">
        <v>48850</v>
      </c>
      <c r="U72" s="2"/>
      <c r="V72" s="7">
        <f t="shared" si="41"/>
        <v>1.0700985761226725E-2</v>
      </c>
      <c r="W72" s="2"/>
      <c r="X72" s="6">
        <f t="shared" si="42"/>
        <v>4106.0800000000017</v>
      </c>
      <c r="Y72" s="2"/>
      <c r="Z72" s="7">
        <f t="shared" si="43"/>
        <v>8.4054861821903817E-2</v>
      </c>
    </row>
    <row r="73" spans="1:26" s="24" customFormat="1" hidden="1" outlineLevel="2" x14ac:dyDescent="0.25">
      <c r="A73" s="27"/>
      <c r="B73" s="11" t="str">
        <f>CONCATENATE("          ", "6286", " - ", "LAUNDRY EXPENSE")</f>
        <v xml:space="preserve">          6286 - LAUNDRY EXPENSE</v>
      </c>
      <c r="C73" s="11"/>
      <c r="D73" s="6">
        <v>361.93</v>
      </c>
      <c r="E73" s="2"/>
      <c r="F73" s="7">
        <f t="shared" si="36"/>
        <v>-1.0767848483135539E-2</v>
      </c>
      <c r="G73" s="2"/>
      <c r="H73" s="6">
        <v>1600</v>
      </c>
      <c r="I73" s="2"/>
      <c r="J73" s="7">
        <f t="shared" si="37"/>
        <v>2.1333333333333333E-2</v>
      </c>
      <c r="K73" s="2"/>
      <c r="L73" s="6">
        <f t="shared" si="38"/>
        <v>-1238.07</v>
      </c>
      <c r="M73" s="2"/>
      <c r="N73" s="7">
        <f t="shared" si="39"/>
        <v>-0.77379374999999995</v>
      </c>
      <c r="O73" s="11"/>
      <c r="P73" s="6">
        <v>17281.2</v>
      </c>
      <c r="Q73" s="2"/>
      <c r="R73" s="7">
        <f t="shared" si="40"/>
        <v>4.5992288943460073E-3</v>
      </c>
      <c r="S73" s="2"/>
      <c r="T73" s="6">
        <v>19200</v>
      </c>
      <c r="U73" s="2"/>
      <c r="V73" s="7">
        <f t="shared" si="41"/>
        <v>4.2059145673603504E-3</v>
      </c>
      <c r="W73" s="2"/>
      <c r="X73" s="6">
        <f t="shared" si="42"/>
        <v>-1918.7999999999993</v>
      </c>
      <c r="Y73" s="2"/>
      <c r="Z73" s="7">
        <f t="shared" si="43"/>
        <v>-9.9937499999999957E-2</v>
      </c>
    </row>
    <row r="74" spans="1:26" s="26" customFormat="1" outlineLevel="1" collapsed="1" x14ac:dyDescent="0.25">
      <c r="A74" s="25"/>
      <c r="B74" s="12" t="str">
        <f>CONCATENATE("     ","Supplies                                          ")</f>
        <v xml:space="preserve">     Supplies                                          </v>
      </c>
      <c r="C74" s="12"/>
      <c r="D74" s="1">
        <f>SUM(OSRRefD22_12x_0)</f>
        <v>3578.5099999999998</v>
      </c>
      <c r="E74" s="1"/>
      <c r="F74" s="5">
        <f t="shared" ref="F74:F83" si="44">IF(D$12=0,0,D74/D$12)</f>
        <v>-0.1064649337589737</v>
      </c>
      <c r="G74" s="1"/>
      <c r="H74" s="1">
        <f>SUM(OSRRefH22_12x_0)</f>
        <v>7925</v>
      </c>
      <c r="I74" s="1"/>
      <c r="J74" s="5">
        <f t="shared" ref="J74:J83" si="45">IF(H$12=0,0,H74/H$12)</f>
        <v>0.10566666666666667</v>
      </c>
      <c r="K74" s="1"/>
      <c r="L74" s="1">
        <f t="shared" ref="L74:L83" si="46">+D74-H74</f>
        <v>-4346.49</v>
      </c>
      <c r="M74" s="1"/>
      <c r="N74" s="5">
        <f t="shared" ref="N74:N83" si="47">IF(H74=0,0,L74/H74)</f>
        <v>-0.54845299684542581</v>
      </c>
      <c r="O74" s="12"/>
      <c r="P74" s="1">
        <f>SUM(OSRRefP22_12x_0)</f>
        <v>69918.37000000001</v>
      </c>
      <c r="Q74" s="1"/>
      <c r="R74" s="5">
        <f t="shared" ref="R74:R83" si="48">IF(P$12=0,0,P74/P$12)</f>
        <v>1.8608116771380176E-2</v>
      </c>
      <c r="S74" s="1"/>
      <c r="T74" s="1">
        <f>SUM(OSRRefT22_12x_0)</f>
        <v>106500</v>
      </c>
      <c r="U74" s="1"/>
      <c r="V74" s="5">
        <f t="shared" ref="V74:V83" si="49">IF(T$12=0,0,T74/T$12)</f>
        <v>2.3329682365826943E-2</v>
      </c>
      <c r="W74" s="1"/>
      <c r="X74" s="1">
        <f t="shared" ref="X74:X83" si="50">+P74-T74</f>
        <v>-36581.62999999999</v>
      </c>
      <c r="Y74" s="1"/>
      <c r="Z74" s="5">
        <f t="shared" ref="Z74:Z83" si="51">IF(T74=0,0,X74/T74)</f>
        <v>-0.34348948356807502</v>
      </c>
    </row>
    <row r="75" spans="1:26" s="24" customFormat="1" hidden="1" outlineLevel="2" x14ac:dyDescent="0.25">
      <c r="A75" s="27"/>
      <c r="B75" s="11" t="str">
        <f>CONCATENATE("          ", "6235", " - ", "COVID-19 EXPENSES")</f>
        <v xml:space="preserve">          6235 - COVID-19 EXPENSES</v>
      </c>
      <c r="C75" s="11"/>
      <c r="D75" s="6">
        <v>29.77</v>
      </c>
      <c r="E75" s="2"/>
      <c r="F75" s="7">
        <f t="shared" si="44"/>
        <v>-8.8569294986031821E-4</v>
      </c>
      <c r="G75" s="2"/>
      <c r="H75" s="6"/>
      <c r="I75" s="2"/>
      <c r="J75" s="7">
        <f t="shared" si="45"/>
        <v>0</v>
      </c>
      <c r="K75" s="2"/>
      <c r="L75" s="6">
        <f t="shared" si="46"/>
        <v>29.77</v>
      </c>
      <c r="M75" s="2"/>
      <c r="N75" s="7">
        <f t="shared" si="47"/>
        <v>0</v>
      </c>
      <c r="O75" s="11"/>
      <c r="P75" s="6">
        <v>356.6</v>
      </c>
      <c r="Q75" s="2"/>
      <c r="R75" s="7">
        <f t="shared" si="48"/>
        <v>9.4905737085606689E-5</v>
      </c>
      <c r="S75" s="2"/>
      <c r="T75" s="6"/>
      <c r="U75" s="2"/>
      <c r="V75" s="7">
        <f t="shared" si="49"/>
        <v>0</v>
      </c>
      <c r="W75" s="2"/>
      <c r="X75" s="6">
        <f t="shared" si="50"/>
        <v>356.6</v>
      </c>
      <c r="Y75" s="2"/>
      <c r="Z75" s="7">
        <f t="shared" si="51"/>
        <v>0</v>
      </c>
    </row>
    <row r="76" spans="1:26" s="24" customFormat="1" hidden="1" outlineLevel="2" x14ac:dyDescent="0.25">
      <c r="A76" s="27"/>
      <c r="B76" s="11" t="str">
        <f>CONCATENATE("          ", "6237", " - ", "JANITORIAL SUPPLIES")</f>
        <v xml:space="preserve">          6237 - JANITORIAL SUPPLIES</v>
      </c>
      <c r="C76" s="11"/>
      <c r="D76" s="6">
        <v>2339.62</v>
      </c>
      <c r="E76" s="2"/>
      <c r="F76" s="7">
        <f t="shared" si="44"/>
        <v>-6.9606480999402004E-2</v>
      </c>
      <c r="G76" s="2"/>
      <c r="H76" s="6">
        <v>3600</v>
      </c>
      <c r="I76" s="2"/>
      <c r="J76" s="7">
        <f t="shared" si="45"/>
        <v>4.8000000000000001E-2</v>
      </c>
      <c r="K76" s="2"/>
      <c r="L76" s="6">
        <f t="shared" si="46"/>
        <v>-1260.3800000000001</v>
      </c>
      <c r="M76" s="2"/>
      <c r="N76" s="7">
        <f t="shared" si="47"/>
        <v>-0.35010555555555556</v>
      </c>
      <c r="O76" s="11"/>
      <c r="P76" s="6">
        <v>29825.119999999999</v>
      </c>
      <c r="Q76" s="2"/>
      <c r="R76" s="7">
        <f t="shared" si="48"/>
        <v>7.93767525873996E-3</v>
      </c>
      <c r="S76" s="2"/>
      <c r="T76" s="6">
        <v>46800</v>
      </c>
      <c r="U76" s="2"/>
      <c r="V76" s="7">
        <f t="shared" si="49"/>
        <v>1.0251916757940854E-2</v>
      </c>
      <c r="W76" s="2"/>
      <c r="X76" s="6">
        <f t="shared" si="50"/>
        <v>-16974.88</v>
      </c>
      <c r="Y76" s="2"/>
      <c r="Z76" s="7">
        <f t="shared" si="51"/>
        <v>-0.36271111111111115</v>
      </c>
    </row>
    <row r="77" spans="1:26" s="24" customFormat="1" hidden="1" outlineLevel="2" x14ac:dyDescent="0.25">
      <c r="A77" s="27"/>
      <c r="B77" s="11" t="str">
        <f>CONCATENATE("          ", "6239", " - ", "KITCHEN SUPPLIES")</f>
        <v xml:space="preserve">          6239 - KITCHEN SUPPLIES</v>
      </c>
      <c r="C77" s="11"/>
      <c r="D77" s="6">
        <v>349.26</v>
      </c>
      <c r="E77" s="2"/>
      <c r="F77" s="7">
        <f t="shared" si="44"/>
        <v>-1.0390900895808354E-2</v>
      </c>
      <c r="G77" s="2"/>
      <c r="H77" s="6">
        <v>1750</v>
      </c>
      <c r="I77" s="2"/>
      <c r="J77" s="7">
        <f t="shared" si="45"/>
        <v>2.3333333333333334E-2</v>
      </c>
      <c r="K77" s="2"/>
      <c r="L77" s="6">
        <f t="shared" si="46"/>
        <v>-1400.74</v>
      </c>
      <c r="M77" s="2"/>
      <c r="N77" s="7">
        <f t="shared" si="47"/>
        <v>-0.8004228571428571</v>
      </c>
      <c r="O77" s="11"/>
      <c r="P77" s="6">
        <v>6074.3</v>
      </c>
      <c r="Q77" s="2"/>
      <c r="R77" s="7">
        <f t="shared" si="48"/>
        <v>1.6166178316856443E-3</v>
      </c>
      <c r="S77" s="2"/>
      <c r="T77" s="6">
        <v>22000</v>
      </c>
      <c r="U77" s="2"/>
      <c r="V77" s="7">
        <f t="shared" si="49"/>
        <v>4.8192771084337354E-3</v>
      </c>
      <c r="W77" s="2"/>
      <c r="X77" s="6">
        <f t="shared" si="50"/>
        <v>-15925.7</v>
      </c>
      <c r="Y77" s="2"/>
      <c r="Z77" s="7">
        <f t="shared" si="51"/>
        <v>-0.72389545454545456</v>
      </c>
    </row>
    <row r="78" spans="1:26" s="24" customFormat="1" hidden="1" outlineLevel="2" x14ac:dyDescent="0.25">
      <c r="A78" s="27"/>
      <c r="B78" s="11" t="str">
        <f>CONCATENATE("          ", "6241", " - ", "OFFICE EXPENSE")</f>
        <v xml:space="preserve">          6241 - OFFICE EXPENSE</v>
      </c>
      <c r="C78" s="11"/>
      <c r="D78" s="6"/>
      <c r="E78" s="2"/>
      <c r="F78" s="7">
        <f t="shared" si="44"/>
        <v>0</v>
      </c>
      <c r="G78" s="2"/>
      <c r="H78" s="6">
        <v>450</v>
      </c>
      <c r="I78" s="2"/>
      <c r="J78" s="7">
        <f t="shared" si="45"/>
        <v>6.0000000000000001E-3</v>
      </c>
      <c r="K78" s="2"/>
      <c r="L78" s="6">
        <f t="shared" si="46"/>
        <v>-450</v>
      </c>
      <c r="M78" s="2"/>
      <c r="N78" s="7">
        <f t="shared" si="47"/>
        <v>-1</v>
      </c>
      <c r="O78" s="11"/>
      <c r="P78" s="6">
        <v>2608.59</v>
      </c>
      <c r="Q78" s="2"/>
      <c r="R78" s="7">
        <f t="shared" si="48"/>
        <v>6.9425170135766336E-4</v>
      </c>
      <c r="S78" s="2"/>
      <c r="T78" s="6">
        <v>5600</v>
      </c>
      <c r="U78" s="2"/>
      <c r="V78" s="7">
        <f t="shared" si="49"/>
        <v>1.2267250821467689E-3</v>
      </c>
      <c r="W78" s="2"/>
      <c r="X78" s="6">
        <f t="shared" si="50"/>
        <v>-2991.41</v>
      </c>
      <c r="Y78" s="2"/>
      <c r="Z78" s="7">
        <f t="shared" si="51"/>
        <v>-0.53418035714285717</v>
      </c>
    </row>
    <row r="79" spans="1:26" s="24" customFormat="1" hidden="1" outlineLevel="2" x14ac:dyDescent="0.25">
      <c r="A79" s="27"/>
      <c r="B79" s="11" t="str">
        <f>CONCATENATE("          ", "6243", " - ", "PAPER SUPPLIES")</f>
        <v xml:space="preserve">          6243 - PAPER SUPPLIES</v>
      </c>
      <c r="C79" s="11"/>
      <c r="D79" s="6">
        <v>859.86</v>
      </c>
      <c r="E79" s="2"/>
      <c r="F79" s="7">
        <f t="shared" si="44"/>
        <v>-2.5581858913903032E-2</v>
      </c>
      <c r="G79" s="2"/>
      <c r="H79" s="6">
        <v>1850</v>
      </c>
      <c r="I79" s="2"/>
      <c r="J79" s="7">
        <f t="shared" si="45"/>
        <v>2.4666666666666667E-2</v>
      </c>
      <c r="K79" s="2"/>
      <c r="L79" s="6">
        <f t="shared" si="46"/>
        <v>-990.14</v>
      </c>
      <c r="M79" s="2"/>
      <c r="N79" s="7">
        <f t="shared" si="47"/>
        <v>-0.53521081081081079</v>
      </c>
      <c r="O79" s="11"/>
      <c r="P79" s="6">
        <v>27008.63</v>
      </c>
      <c r="Q79" s="2"/>
      <c r="R79" s="7">
        <f t="shared" si="48"/>
        <v>7.188092927152074E-3</v>
      </c>
      <c r="S79" s="2"/>
      <c r="T79" s="6">
        <v>22200</v>
      </c>
      <c r="U79" s="2"/>
      <c r="V79" s="7">
        <f t="shared" si="49"/>
        <v>4.8630887185104055E-3</v>
      </c>
      <c r="W79" s="2"/>
      <c r="X79" s="6">
        <f t="shared" si="50"/>
        <v>4808.630000000001</v>
      </c>
      <c r="Y79" s="2"/>
      <c r="Z79" s="7">
        <f t="shared" si="51"/>
        <v>0.21660495495495499</v>
      </c>
    </row>
    <row r="80" spans="1:26" s="24" customFormat="1" hidden="1" outlineLevel="2" x14ac:dyDescent="0.25">
      <c r="A80" s="27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44"/>
        <v>0</v>
      </c>
      <c r="G80" s="2"/>
      <c r="H80" s="6">
        <v>125</v>
      </c>
      <c r="I80" s="2"/>
      <c r="J80" s="7">
        <f t="shared" si="45"/>
        <v>1.6666666666666668E-3</v>
      </c>
      <c r="K80" s="2"/>
      <c r="L80" s="6">
        <f t="shared" si="46"/>
        <v>-125</v>
      </c>
      <c r="M80" s="2"/>
      <c r="N80" s="7">
        <f t="shared" si="47"/>
        <v>-1</v>
      </c>
      <c r="O80" s="11"/>
      <c r="P80" s="6"/>
      <c r="Q80" s="2"/>
      <c r="R80" s="7">
        <f t="shared" si="48"/>
        <v>0</v>
      </c>
      <c r="S80" s="2"/>
      <c r="T80" s="6">
        <v>1500</v>
      </c>
      <c r="U80" s="2"/>
      <c r="V80" s="7">
        <f t="shared" si="49"/>
        <v>3.2858707557502739E-4</v>
      </c>
      <c r="W80" s="2"/>
      <c r="X80" s="6">
        <f t="shared" si="50"/>
        <v>-1500</v>
      </c>
      <c r="Y80" s="2"/>
      <c r="Z80" s="7">
        <f t="shared" si="51"/>
        <v>-1</v>
      </c>
    </row>
    <row r="81" spans="1:26" s="24" customFormat="1" hidden="1" outlineLevel="2" x14ac:dyDescent="0.25">
      <c r="A81" s="27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4"/>
        <v>0</v>
      </c>
      <c r="G81" s="2"/>
      <c r="H81" s="6">
        <v>150</v>
      </c>
      <c r="I81" s="2"/>
      <c r="J81" s="7">
        <f t="shared" si="45"/>
        <v>2E-3</v>
      </c>
      <c r="K81" s="2"/>
      <c r="L81" s="6">
        <f t="shared" si="46"/>
        <v>-150</v>
      </c>
      <c r="M81" s="2"/>
      <c r="N81" s="7">
        <f t="shared" si="47"/>
        <v>-1</v>
      </c>
      <c r="O81" s="11"/>
      <c r="P81" s="6">
        <v>441</v>
      </c>
      <c r="Q81" s="2"/>
      <c r="R81" s="7">
        <f t="shared" si="48"/>
        <v>1.1736800351865549E-4</v>
      </c>
      <c r="S81" s="2"/>
      <c r="T81" s="6">
        <v>1900</v>
      </c>
      <c r="U81" s="2"/>
      <c r="V81" s="7">
        <f t="shared" si="49"/>
        <v>4.1621029572836804E-4</v>
      </c>
      <c r="W81" s="2"/>
      <c r="X81" s="6">
        <f t="shared" si="50"/>
        <v>-1459</v>
      </c>
      <c r="Y81" s="2"/>
      <c r="Z81" s="7">
        <f t="shared" si="51"/>
        <v>-0.7678947368421053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82.5</v>
      </c>
      <c r="Q82" s="2"/>
      <c r="R82" s="7">
        <f t="shared" si="48"/>
        <v>2.1956599297707659E-5</v>
      </c>
      <c r="S82" s="2"/>
      <c r="T82" s="6"/>
      <c r="U82" s="2"/>
      <c r="V82" s="7">
        <f t="shared" si="49"/>
        <v>0</v>
      </c>
      <c r="W82" s="2"/>
      <c r="X82" s="6">
        <f t="shared" si="50"/>
        <v>82.5</v>
      </c>
      <c r="Y82" s="2"/>
      <c r="Z82" s="7">
        <f t="shared" si="51"/>
        <v>0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4"/>
        <v>0</v>
      </c>
      <c r="G83" s="2"/>
      <c r="H83" s="6"/>
      <c r="I83" s="2"/>
      <c r="J83" s="7">
        <f t="shared" si="45"/>
        <v>0</v>
      </c>
      <c r="K83" s="2"/>
      <c r="L83" s="6">
        <f t="shared" si="46"/>
        <v>0</v>
      </c>
      <c r="M83" s="2"/>
      <c r="N83" s="7">
        <f t="shared" si="47"/>
        <v>0</v>
      </c>
      <c r="O83" s="11"/>
      <c r="P83" s="6">
        <v>3521.63</v>
      </c>
      <c r="Q83" s="2"/>
      <c r="R83" s="7">
        <f t="shared" si="48"/>
        <v>9.3724871254286337E-4</v>
      </c>
      <c r="S83" s="2"/>
      <c r="T83" s="6">
        <v>6500</v>
      </c>
      <c r="U83" s="2"/>
      <c r="V83" s="7">
        <f t="shared" si="49"/>
        <v>1.4238773274917853E-3</v>
      </c>
      <c r="W83" s="2"/>
      <c r="X83" s="6">
        <f t="shared" si="50"/>
        <v>-2978.37</v>
      </c>
      <c r="Y83" s="2"/>
      <c r="Z83" s="7">
        <f t="shared" si="51"/>
        <v>-0.4582107692307692</v>
      </c>
    </row>
    <row r="84" spans="1:26" s="26" customFormat="1" outlineLevel="1" collapsed="1" x14ac:dyDescent="0.25">
      <c r="A84" s="25"/>
      <c r="B84" s="12" t="str">
        <f>CONCATENATE("     ","Telephone/Data Lines                              ")</f>
        <v xml:space="preserve">     Telephone/Data Lines                              </v>
      </c>
      <c r="C84" s="12"/>
      <c r="D84" s="1">
        <f>SUM(OSRRefD22_13x_0)</f>
        <v>43</v>
      </c>
      <c r="E84" s="1"/>
      <c r="F84" s="5">
        <f t="shared" ref="F84:F90" si="52">IF(D$12=0,0,D84/D$12)</f>
        <v>-1.2793012040306915E-3</v>
      </c>
      <c r="G84" s="1"/>
      <c r="H84" s="1">
        <f>SUM(OSRRefH22_13x_0)</f>
        <v>185</v>
      </c>
      <c r="I84" s="1"/>
      <c r="J84" s="5">
        <f t="shared" ref="J84:J90" si="53">IF(H$12=0,0,H84/H$12)</f>
        <v>2.4666666666666665E-3</v>
      </c>
      <c r="K84" s="1"/>
      <c r="L84" s="1">
        <f t="shared" ref="L84:L90" si="54">+D84-H84</f>
        <v>-142</v>
      </c>
      <c r="M84" s="1"/>
      <c r="N84" s="5">
        <f t="shared" ref="N84:N90" si="55">IF(H84=0,0,L84/H84)</f>
        <v>-0.76756756756756761</v>
      </c>
      <c r="O84" s="12"/>
      <c r="P84" s="1">
        <f>SUM(OSRRefP22_13x_0)</f>
        <v>2015.85</v>
      </c>
      <c r="Q84" s="1"/>
      <c r="R84" s="5">
        <f t="shared" ref="R84:R90" si="56">IF(P$12=0,0,P84/P$12)</f>
        <v>5.3649952356707865E-4</v>
      </c>
      <c r="S84" s="1"/>
      <c r="T84" s="1">
        <f>SUM(OSRRefT22_13x_0)</f>
        <v>2225</v>
      </c>
      <c r="U84" s="1"/>
      <c r="V84" s="5">
        <f t="shared" ref="V84:V90" si="57">IF(T$12=0,0,T84/T$12)</f>
        <v>4.8740416210295729E-4</v>
      </c>
      <c r="W84" s="1"/>
      <c r="X84" s="1">
        <f t="shared" ref="X84:X90" si="58">+P84-T84</f>
        <v>-209.15000000000009</v>
      </c>
      <c r="Y84" s="1"/>
      <c r="Z84" s="5">
        <f t="shared" ref="Z84:Z90" si="59">IF(T84=0,0,X84/T84)</f>
        <v>-9.4000000000000042E-2</v>
      </c>
    </row>
    <row r="85" spans="1:26" s="24" customFormat="1" hidden="1" outlineLevel="2" x14ac:dyDescent="0.25">
      <c r="A85" s="27"/>
      <c r="B85" s="11" t="str">
        <f>CONCATENATE("          ", "6309", " - ", "TELEPHONE")</f>
        <v xml:space="preserve">          6309 - TELEPHONE</v>
      </c>
      <c r="C85" s="11"/>
      <c r="D85" s="6">
        <v>43</v>
      </c>
      <c r="E85" s="2"/>
      <c r="F85" s="7">
        <f t="shared" si="52"/>
        <v>-1.2793012040306915E-3</v>
      </c>
      <c r="G85" s="2"/>
      <c r="H85" s="6">
        <v>185</v>
      </c>
      <c r="I85" s="2"/>
      <c r="J85" s="7">
        <f t="shared" si="53"/>
        <v>2.4666666666666665E-3</v>
      </c>
      <c r="K85" s="2"/>
      <c r="L85" s="6">
        <f t="shared" si="54"/>
        <v>-142</v>
      </c>
      <c r="M85" s="2"/>
      <c r="N85" s="7">
        <f t="shared" si="55"/>
        <v>-0.76756756756756761</v>
      </c>
      <c r="O85" s="11"/>
      <c r="P85" s="6">
        <v>2015.85</v>
      </c>
      <c r="Q85" s="2"/>
      <c r="R85" s="7">
        <f t="shared" si="56"/>
        <v>5.3649952356707865E-4</v>
      </c>
      <c r="S85" s="2"/>
      <c r="T85" s="6">
        <v>2225</v>
      </c>
      <c r="U85" s="2"/>
      <c r="V85" s="7">
        <f t="shared" si="57"/>
        <v>4.8740416210295729E-4</v>
      </c>
      <c r="W85" s="2"/>
      <c r="X85" s="6">
        <f t="shared" si="58"/>
        <v>-209.15000000000009</v>
      </c>
      <c r="Y85" s="2"/>
      <c r="Z85" s="7">
        <f t="shared" si="59"/>
        <v>-9.4000000000000042E-2</v>
      </c>
    </row>
    <row r="86" spans="1:26" s="26" customFormat="1" outlineLevel="1" collapsed="1" x14ac:dyDescent="0.25">
      <c r="A86" s="25"/>
      <c r="B86" s="12" t="str">
        <f>CONCATENATE("     ","Training                                          ")</f>
        <v xml:space="preserve">     Training                                          </v>
      </c>
      <c r="C86" s="12"/>
      <c r="D86" s="1">
        <f>SUM(OSRRefD22_14x_0)</f>
        <v>0</v>
      </c>
      <c r="E86" s="1"/>
      <c r="F86" s="5">
        <f t="shared" si="52"/>
        <v>0</v>
      </c>
      <c r="G86" s="1"/>
      <c r="H86" s="1">
        <f>SUM(OSRRefH22_14x_0)</f>
        <v>2000</v>
      </c>
      <c r="I86" s="1"/>
      <c r="J86" s="5">
        <f t="shared" si="53"/>
        <v>2.6666666666666668E-2</v>
      </c>
      <c r="K86" s="1"/>
      <c r="L86" s="1">
        <f t="shared" si="54"/>
        <v>-2000</v>
      </c>
      <c r="M86" s="1"/>
      <c r="N86" s="5">
        <f t="shared" si="55"/>
        <v>-1</v>
      </c>
      <c r="O86" s="12"/>
      <c r="P86" s="1">
        <f>SUM(OSRRefP22_14x_0)</f>
        <v>678.48</v>
      </c>
      <c r="Q86" s="1"/>
      <c r="R86" s="5">
        <f t="shared" si="56"/>
        <v>1.8057107262434781E-4</v>
      </c>
      <c r="S86" s="1"/>
      <c r="T86" s="1">
        <f>SUM(OSRRefT22_14x_0)</f>
        <v>4000</v>
      </c>
      <c r="U86" s="1"/>
      <c r="V86" s="5">
        <f t="shared" si="57"/>
        <v>8.762322015334064E-4</v>
      </c>
      <c r="W86" s="1"/>
      <c r="X86" s="1">
        <f t="shared" si="58"/>
        <v>-3321.52</v>
      </c>
      <c r="Y86" s="1"/>
      <c r="Z86" s="5">
        <f t="shared" si="59"/>
        <v>-0.83038000000000001</v>
      </c>
    </row>
    <row r="87" spans="1:26" s="24" customFormat="1" hidden="1" outlineLevel="2" x14ac:dyDescent="0.25">
      <c r="A87" s="27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52"/>
        <v>0</v>
      </c>
      <c r="G87" s="2"/>
      <c r="H87" s="6">
        <v>2000</v>
      </c>
      <c r="I87" s="2"/>
      <c r="J87" s="7">
        <f t="shared" si="53"/>
        <v>2.6666666666666668E-2</v>
      </c>
      <c r="K87" s="2"/>
      <c r="L87" s="6">
        <f t="shared" si="54"/>
        <v>-2000</v>
      </c>
      <c r="M87" s="2"/>
      <c r="N87" s="7">
        <f t="shared" si="55"/>
        <v>-1</v>
      </c>
      <c r="O87" s="11"/>
      <c r="P87" s="6">
        <v>678.48</v>
      </c>
      <c r="Q87" s="2"/>
      <c r="R87" s="7">
        <f t="shared" si="56"/>
        <v>1.8057107262434781E-4</v>
      </c>
      <c r="S87" s="2"/>
      <c r="T87" s="6">
        <v>4000</v>
      </c>
      <c r="U87" s="2"/>
      <c r="V87" s="7">
        <f t="shared" si="57"/>
        <v>8.762322015334064E-4</v>
      </c>
      <c r="W87" s="2"/>
      <c r="X87" s="6">
        <f t="shared" si="58"/>
        <v>-3321.52</v>
      </c>
      <c r="Y87" s="2"/>
      <c r="Z87" s="7">
        <f t="shared" si="59"/>
        <v>-0.83038000000000001</v>
      </c>
    </row>
    <row r="88" spans="1:26" s="26" customFormat="1" outlineLevel="1" collapsed="1" x14ac:dyDescent="0.25">
      <c r="A88" s="25"/>
      <c r="B88" s="12" t="str">
        <f>CONCATENATE("     ","Travel                                            ")</f>
        <v xml:space="preserve">     Travel                                            </v>
      </c>
      <c r="C88" s="12"/>
      <c r="D88" s="1">
        <f>SUM(OSRRefD22_15x_0)</f>
        <v>0</v>
      </c>
      <c r="E88" s="1"/>
      <c r="F88" s="5">
        <f t="shared" si="52"/>
        <v>0</v>
      </c>
      <c r="G88" s="1"/>
      <c r="H88" s="1">
        <f>SUM(OSRRefH22_15x_0)</f>
        <v>60</v>
      </c>
      <c r="I88" s="1"/>
      <c r="J88" s="5">
        <f t="shared" si="53"/>
        <v>8.0000000000000004E-4</v>
      </c>
      <c r="K88" s="1"/>
      <c r="L88" s="1">
        <f t="shared" si="54"/>
        <v>-60</v>
      </c>
      <c r="M88" s="1"/>
      <c r="N88" s="5">
        <f t="shared" si="55"/>
        <v>-1</v>
      </c>
      <c r="O88" s="12"/>
      <c r="P88" s="1">
        <f>SUM(OSRRefP22_15x_0)</f>
        <v>1429.86</v>
      </c>
      <c r="Q88" s="1"/>
      <c r="R88" s="5">
        <f t="shared" si="56"/>
        <v>3.8054379480994269E-4</v>
      </c>
      <c r="S88" s="1"/>
      <c r="T88" s="1">
        <f>SUM(OSRRefT22_15x_0)</f>
        <v>720</v>
      </c>
      <c r="U88" s="1"/>
      <c r="V88" s="5">
        <f t="shared" si="57"/>
        <v>1.5772179627601313E-4</v>
      </c>
      <c r="W88" s="1"/>
      <c r="X88" s="1">
        <f t="shared" si="58"/>
        <v>709.8599999999999</v>
      </c>
      <c r="Y88" s="1"/>
      <c r="Z88" s="5">
        <f t="shared" si="59"/>
        <v>0.98591666666666655</v>
      </c>
    </row>
    <row r="89" spans="1:26" s="24" customFormat="1" hidden="1" outlineLevel="2" x14ac:dyDescent="0.25">
      <c r="A89" s="27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52"/>
        <v>0</v>
      </c>
      <c r="G89" s="2"/>
      <c r="H89" s="6"/>
      <c r="I89" s="2"/>
      <c r="J89" s="7">
        <f t="shared" si="53"/>
        <v>0</v>
      </c>
      <c r="K89" s="2"/>
      <c r="L89" s="6">
        <f t="shared" si="54"/>
        <v>0</v>
      </c>
      <c r="M89" s="2"/>
      <c r="N89" s="7">
        <f t="shared" si="55"/>
        <v>0</v>
      </c>
      <c r="O89" s="11"/>
      <c r="P89" s="6">
        <v>1429.86</v>
      </c>
      <c r="Q89" s="2"/>
      <c r="R89" s="7">
        <f t="shared" si="56"/>
        <v>3.8054379480994269E-4</v>
      </c>
      <c r="S89" s="2"/>
      <c r="T89" s="6"/>
      <c r="U89" s="2"/>
      <c r="V89" s="7">
        <f t="shared" si="57"/>
        <v>0</v>
      </c>
      <c r="W89" s="2"/>
      <c r="X89" s="6">
        <f t="shared" si="58"/>
        <v>1429.86</v>
      </c>
      <c r="Y89" s="2"/>
      <c r="Z89" s="7">
        <f t="shared" si="59"/>
        <v>0</v>
      </c>
    </row>
    <row r="90" spans="1:26" s="24" customFormat="1" hidden="1" outlineLevel="2" x14ac:dyDescent="0.25">
      <c r="A90" s="27"/>
      <c r="B90" s="11" t="str">
        <f>CONCATENATE("          ", "6298", " - ", "VEHICLE MILEAGE")</f>
        <v xml:space="preserve">          6298 - VEHICLE MILEAGE</v>
      </c>
      <c r="C90" s="11"/>
      <c r="D90" s="6"/>
      <c r="E90" s="2"/>
      <c r="F90" s="7">
        <f t="shared" si="52"/>
        <v>0</v>
      </c>
      <c r="G90" s="2"/>
      <c r="H90" s="6">
        <v>60</v>
      </c>
      <c r="I90" s="2"/>
      <c r="J90" s="7">
        <f t="shared" si="53"/>
        <v>8.0000000000000004E-4</v>
      </c>
      <c r="K90" s="2"/>
      <c r="L90" s="6">
        <f t="shared" si="54"/>
        <v>-60</v>
      </c>
      <c r="M90" s="2"/>
      <c r="N90" s="7">
        <f t="shared" si="55"/>
        <v>-1</v>
      </c>
      <c r="O90" s="11"/>
      <c r="P90" s="6"/>
      <c r="Q90" s="2"/>
      <c r="R90" s="7">
        <f t="shared" si="56"/>
        <v>0</v>
      </c>
      <c r="S90" s="2"/>
      <c r="T90" s="6">
        <v>720</v>
      </c>
      <c r="U90" s="2"/>
      <c r="V90" s="7">
        <f t="shared" si="57"/>
        <v>1.5772179627601313E-4</v>
      </c>
      <c r="W90" s="2"/>
      <c r="X90" s="6">
        <f t="shared" si="58"/>
        <v>-720</v>
      </c>
      <c r="Y90" s="2"/>
      <c r="Z90" s="7">
        <f t="shared" si="59"/>
        <v>-1</v>
      </c>
    </row>
    <row r="91" spans="1:26" s="60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8" t="s">
        <v>0</v>
      </c>
      <c r="C92" s="10"/>
      <c r="D92" s="4">
        <f>SUM(0)</f>
        <v>0</v>
      </c>
      <c r="E92" s="4"/>
      <c r="F92" s="13">
        <f>IF(D$12=0,0,D92/D$12)</f>
        <v>0</v>
      </c>
      <c r="G92" s="4"/>
      <c r="H92" s="4">
        <f>SUM(0)</f>
        <v>0</v>
      </c>
      <c r="I92" s="4"/>
      <c r="J92" s="13">
        <f>IF(H$12=0,0,H92/H$12)</f>
        <v>0</v>
      </c>
      <c r="K92" s="4"/>
      <c r="L92" s="4">
        <f>+D92-H92</f>
        <v>0</v>
      </c>
      <c r="M92" s="4"/>
      <c r="N92" s="13">
        <f>IF(H92=0,0,L92/H92)</f>
        <v>0</v>
      </c>
      <c r="O92" s="10"/>
      <c r="P92" s="4">
        <f>SUM(0)</f>
        <v>0</v>
      </c>
      <c r="Q92" s="4"/>
      <c r="R92" s="13">
        <f>IF(P$12=0,0,P92/P$12)</f>
        <v>0</v>
      </c>
      <c r="S92" s="4"/>
      <c r="T92" s="4">
        <f>SUM(0)</f>
        <v>0</v>
      </c>
      <c r="U92" s="4"/>
      <c r="V92" s="13">
        <f>IF(T$12=0,0,T92/T$12)</f>
        <v>0</v>
      </c>
      <c r="W92" s="4"/>
      <c r="X92" s="4">
        <f>+P92-T92</f>
        <v>0</v>
      </c>
      <c r="Y92" s="4"/>
      <c r="Z92" s="13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9" t="s">
        <v>3</v>
      </c>
      <c r="C94" s="29"/>
      <c r="D94" s="22">
        <f>+D24-D26+D92</f>
        <v>-87598.040000000008</v>
      </c>
      <c r="E94" s="14"/>
      <c r="F94" s="20">
        <f>IF(D$12=0,0,D94/D$12)</f>
        <v>2.6061460009936903</v>
      </c>
      <c r="G94" s="14"/>
      <c r="H94" s="22">
        <f>+H24-H26+H92</f>
        <v>-51825.571365483367</v>
      </c>
      <c r="I94" s="14"/>
      <c r="J94" s="20">
        <f>IF(H$12=0,0,H94/H$12)</f>
        <v>-0.69100761820644485</v>
      </c>
      <c r="K94" s="15"/>
      <c r="L94" s="22">
        <f>+D94-H94</f>
        <v>-35772.468634516641</v>
      </c>
      <c r="M94" s="15"/>
      <c r="N94" s="20">
        <f>IF(H94=0,0,L94/H94)</f>
        <v>0.69024745298498835</v>
      </c>
      <c r="O94" s="28"/>
      <c r="P94" s="22">
        <f>+P24-P26+P92</f>
        <v>1120026.0799999998</v>
      </c>
      <c r="Q94" s="14"/>
      <c r="R94" s="20">
        <f>IF(P$12=0,0,P94/P$12)</f>
        <v>0.29808441020051224</v>
      </c>
      <c r="S94" s="14"/>
      <c r="T94" s="22">
        <f>+T24-T26+T92</f>
        <v>1219000.4390525627</v>
      </c>
      <c r="U94" s="14"/>
      <c r="V94" s="20">
        <f>IF(T$12=0,0,T94/T$12)</f>
        <v>0.26703185959530401</v>
      </c>
      <c r="W94" s="15"/>
      <c r="X94" s="22">
        <f>+P94-T94</f>
        <v>-98974.359052562853</v>
      </c>
      <c r="Y94" s="15"/>
      <c r="Z94" s="20">
        <f>IF(T94=0,0,X94/T94)</f>
        <v>-8.1193046271163097E-2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2"/>
      <c r="B96" s="10" t="s">
        <v>14</v>
      </c>
      <c r="C96" s="10"/>
      <c r="D96" s="4">
        <v>120082.53</v>
      </c>
      <c r="E96" s="4"/>
      <c r="F96" s="13">
        <f>IF(D$12=0,0,D96/D$12)</f>
        <v>-3.5725982607453863</v>
      </c>
      <c r="G96" s="4"/>
      <c r="H96" s="4">
        <v>70521</v>
      </c>
      <c r="I96" s="4"/>
      <c r="J96" s="13">
        <f>IF(H$12=0,0,H96/H$12)</f>
        <v>0.94028</v>
      </c>
      <c r="K96" s="4"/>
      <c r="L96" s="4">
        <f>+D96-H96</f>
        <v>49561.53</v>
      </c>
      <c r="M96" s="4"/>
      <c r="N96" s="13">
        <f>IF(H96=0,0,L96/H96)</f>
        <v>0.70279108350704045</v>
      </c>
      <c r="O96" s="10"/>
      <c r="P96" s="4">
        <v>569017.84</v>
      </c>
      <c r="Q96" s="4"/>
      <c r="R96" s="13">
        <f>IF(P$12=0,0,P96/P$12)</f>
        <v>0.15143874795305612</v>
      </c>
      <c r="S96" s="4"/>
      <c r="T96" s="4">
        <v>590578</v>
      </c>
      <c r="U96" s="4"/>
      <c r="V96" s="13">
        <f>IF(T$12=0,0,T96/T$12)</f>
        <v>0.129370865279299</v>
      </c>
      <c r="W96" s="4"/>
      <c r="X96" s="4">
        <f>+P96-T96</f>
        <v>-21560.160000000033</v>
      </c>
      <c r="Y96" s="4"/>
      <c r="Z96" s="13">
        <f>IF(T96=0,0,X96/T96)</f>
        <v>-3.6506879700903237E-2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4</v>
      </c>
      <c r="C98" s="29"/>
      <c r="D98" s="31">
        <f>+D94-D96</f>
        <v>-207680.57</v>
      </c>
      <c r="E98" s="14"/>
      <c r="F98" s="33">
        <f>IF(D$12=0,0,D98/D$12)</f>
        <v>6.1787442617390766</v>
      </c>
      <c r="G98" s="14"/>
      <c r="H98" s="31">
        <f>+H94-H96</f>
        <v>-122346.57136548337</v>
      </c>
      <c r="I98" s="14"/>
      <c r="J98" s="33">
        <f>IF(H$12=0,0,H98/H$12)</f>
        <v>-1.6312876182064449</v>
      </c>
      <c r="K98" s="15"/>
      <c r="L98" s="31">
        <f>D98-H98</f>
        <v>-85333.99863451664</v>
      </c>
      <c r="M98" s="15"/>
      <c r="N98" s="33">
        <f>IF(H98=0,0,L98/H98)</f>
        <v>0.69747764634613385</v>
      </c>
      <c r="O98" s="28"/>
      <c r="P98" s="31">
        <f>+P94-P96</f>
        <v>551008.23999999987</v>
      </c>
      <c r="Q98" s="14"/>
      <c r="R98" s="33">
        <f>IF(P$12=0,0,P98/P$12)</f>
        <v>0.14664566224745615</v>
      </c>
      <c r="S98" s="14"/>
      <c r="T98" s="31">
        <f>+T94-T96</f>
        <v>628422.43905256269</v>
      </c>
      <c r="U98" s="14"/>
      <c r="V98" s="33">
        <f>IF(T$12=0,0,T98/T$12)</f>
        <v>0.13766099431600498</v>
      </c>
      <c r="W98" s="15"/>
      <c r="X98" s="31">
        <f>P98-T98</f>
        <v>-77414.199052562821</v>
      </c>
      <c r="Y98" s="15"/>
      <c r="Z98" s="33">
        <f>IF(T98=0,0,X98/T98)</f>
        <v>-0.12318815217559047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5</v>
      </c>
      <c r="C101" s="29"/>
      <c r="D101" s="34">
        <f>SUM(D98:D100)</f>
        <v>-207680.57</v>
      </c>
      <c r="E101" s="14"/>
      <c r="F101" s="35">
        <f>IF(D$12=0,0,D101/D$12)</f>
        <v>6.1787442617390766</v>
      </c>
      <c r="G101" s="14"/>
      <c r="H101" s="34">
        <f>SUM(H98:H100)</f>
        <v>-122346.57136548337</v>
      </c>
      <c r="I101" s="14"/>
      <c r="J101" s="35">
        <f>IF(H$12=0,0,H101/H$12)</f>
        <v>-1.6312876182064449</v>
      </c>
      <c r="K101" s="15"/>
      <c r="L101" s="34">
        <f>+D101-H101</f>
        <v>-85333.99863451664</v>
      </c>
      <c r="M101" s="15"/>
      <c r="N101" s="35">
        <f>IF(H101=0,0,L101/H101)</f>
        <v>0.69747764634613385</v>
      </c>
      <c r="O101" s="28"/>
      <c r="P101" s="34">
        <f>SUM(P98:P100)</f>
        <v>551008.23999999987</v>
      </c>
      <c r="Q101" s="14"/>
      <c r="R101" s="35">
        <f>IF(P$12=0,0,P101/P$12)</f>
        <v>0.14664566224745615</v>
      </c>
      <c r="S101" s="14"/>
      <c r="T101" s="34">
        <f>SUM(T98:T100)</f>
        <v>628422.43905256269</v>
      </c>
      <c r="U101" s="14"/>
      <c r="V101" s="35">
        <f>IF(T$12=0,0,T101/T$12)</f>
        <v>0.13766099431600498</v>
      </c>
      <c r="W101" s="15"/>
      <c r="X101" s="34">
        <f>+P101-T101</f>
        <v>-77414.199052562821</v>
      </c>
      <c r="Y101" s="15"/>
      <c r="Z101" s="35">
        <f>IF(T101=0,0,X101/T101)</f>
        <v>-0.12318815217559047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5">
        <v>44043.473923611113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62" t="s">
        <v>314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63"/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","435", " - ", "Ground Floor Coffee House")</f>
        <v>Department 435 - Ground Floor Coffee House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6" si="0">+D12-H12</f>
        <v>0</v>
      </c>
      <c r="M12" s="4"/>
      <c r="N12" s="13">
        <f t="shared" ref="N12:N16" si="1">IF(H12=0,0,L12/H12)</f>
        <v>0</v>
      </c>
      <c r="O12" s="10"/>
      <c r="P12" s="4">
        <f>SUM(OSRRefP13x_0)</f>
        <v>5179.0200000000004</v>
      </c>
      <c r="Q12" s="4"/>
      <c r="R12" s="13"/>
      <c r="S12" s="4"/>
      <c r="T12" s="4">
        <f>SUM(OSRRefT13x_0)</f>
        <v>11257</v>
      </c>
      <c r="U12" s="4"/>
      <c r="V12" s="13"/>
      <c r="W12" s="4"/>
      <c r="X12" s="4">
        <f t="shared" ref="X12:X16" si="2">+P12-T12</f>
        <v>-6077.98</v>
      </c>
      <c r="Y12" s="4"/>
      <c r="Z12" s="13">
        <f t="shared" ref="Z12:Z16" si="3">IF(T12=0,0,X12/T12)</f>
        <v>-0.53992893310828816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--973.49</f>
        <v>973.49</v>
      </c>
      <c r="Q13" s="2"/>
      <c r="R13" s="19"/>
      <c r="S13" s="2"/>
      <c r="T13" s="2"/>
      <c r="U13" s="2"/>
      <c r="V13" s="19"/>
      <c r="W13" s="2"/>
      <c r="X13" s="2">
        <f t="shared" si="2"/>
        <v>973.49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v>11257</v>
      </c>
      <c r="U14" s="2"/>
      <c r="V14" s="19"/>
      <c r="W14" s="2"/>
      <c r="X14" s="2">
        <f t="shared" si="2"/>
        <v>-11257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--471.63</f>
        <v>471.63</v>
      </c>
      <c r="Q15" s="2"/>
      <c r="R15" s="19"/>
      <c r="S15" s="2"/>
      <c r="T15" s="2"/>
      <c r="U15" s="2"/>
      <c r="V15" s="19"/>
      <c r="W15" s="2"/>
      <c r="X15" s="2">
        <f t="shared" si="2"/>
        <v>471.63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--3733.9</f>
        <v>3733.9</v>
      </c>
      <c r="Q16" s="2"/>
      <c r="R16" s="19"/>
      <c r="S16" s="2"/>
      <c r="T16" s="2"/>
      <c r="U16" s="2"/>
      <c r="V16" s="19"/>
      <c r="W16" s="2"/>
      <c r="X16" s="2">
        <f t="shared" si="2"/>
        <v>3733.9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3">
        <f t="shared" ref="F18:F21" si="5">IF(D$12=0,0,D18/D$12)</f>
        <v>0</v>
      </c>
      <c r="G18" s="4"/>
      <c r="H18" s="4">
        <f>SUM(OSRRefH16x_0)</f>
        <v>0</v>
      </c>
      <c r="I18" s="4"/>
      <c r="J18" s="13">
        <f t="shared" ref="J18:J21" si="6">IF(H$12=0,0,H18/H$12)</f>
        <v>0</v>
      </c>
      <c r="K18" s="4"/>
      <c r="L18" s="4">
        <f t="shared" ref="L18:L21" si="7">+D18-H18</f>
        <v>0</v>
      </c>
      <c r="M18" s="4"/>
      <c r="N18" s="13">
        <f t="shared" ref="N18:N21" si="8">IF(H18=0,0,L18/H18)</f>
        <v>0</v>
      </c>
      <c r="O18" s="10"/>
      <c r="P18" s="4">
        <f>SUM(OSRRefP16x_0)</f>
        <v>6466.4699999999993</v>
      </c>
      <c r="Q18" s="4"/>
      <c r="R18" s="13">
        <f t="shared" ref="R18:R21" si="9">IF(P$12=0,0,P18/P$12)</f>
        <v>1.2485895014886983</v>
      </c>
      <c r="S18" s="4"/>
      <c r="T18" s="4">
        <f>SUM(OSRRefT16x_0)</f>
        <v>6000.64</v>
      </c>
      <c r="U18" s="4"/>
      <c r="V18" s="13">
        <f t="shared" ref="V18:V21" si="10">IF(T$12=0,0,T18/T$12)</f>
        <v>0.53305854135204767</v>
      </c>
      <c r="W18" s="4"/>
      <c r="X18" s="4">
        <f t="shared" ref="X18:X21" si="11">+P18-T18</f>
        <v>465.82999999999902</v>
      </c>
      <c r="Y18" s="4"/>
      <c r="Z18" s="13">
        <f t="shared" ref="Z18:Z21" si="12">IF(T18=0,0,X18/T18)</f>
        <v>7.7630052794368437E-2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0</v>
      </c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/>
      <c r="Q19" s="2"/>
      <c r="R19" s="19">
        <f t="shared" si="9"/>
        <v>0</v>
      </c>
      <c r="S19" s="2"/>
      <c r="T19" s="2">
        <v>6000.64</v>
      </c>
      <c r="U19" s="2"/>
      <c r="V19" s="19">
        <f t="shared" si="10"/>
        <v>0.53305854135204767</v>
      </c>
      <c r="W19" s="2"/>
      <c r="X19" s="2">
        <f t="shared" si="11"/>
        <v>-6000.64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3948.48</v>
      </c>
      <c r="Q20" s="2"/>
      <c r="R20" s="19">
        <f t="shared" si="9"/>
        <v>0.762399063915567</v>
      </c>
      <c r="S20" s="2"/>
      <c r="T20" s="2"/>
      <c r="U20" s="2"/>
      <c r="V20" s="19">
        <f t="shared" si="10"/>
        <v>0</v>
      </c>
      <c r="W20" s="2"/>
      <c r="X20" s="2">
        <f t="shared" si="11"/>
        <v>3948.48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2517.9899999999998</v>
      </c>
      <c r="Q21" s="2"/>
      <c r="R21" s="19">
        <f t="shared" si="9"/>
        <v>0.48619043757313152</v>
      </c>
      <c r="S21" s="2"/>
      <c r="T21" s="2"/>
      <c r="U21" s="2"/>
      <c r="V21" s="19">
        <f t="shared" si="10"/>
        <v>0</v>
      </c>
      <c r="W21" s="2"/>
      <c r="X21" s="2">
        <f t="shared" si="11"/>
        <v>2517.9899999999998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0</v>
      </c>
      <c r="E23" s="14"/>
      <c r="F23" s="20">
        <f>IF(D$12=0,0,D23/D$12)</f>
        <v>0</v>
      </c>
      <c r="G23" s="14"/>
      <c r="H23" s="22">
        <f>H12-H18</f>
        <v>0</v>
      </c>
      <c r="I23" s="14"/>
      <c r="J23" s="20">
        <f>IF(H$12=0,0,H23/H$12)</f>
        <v>0</v>
      </c>
      <c r="K23" s="15"/>
      <c r="L23" s="22">
        <f>+D23-H23</f>
        <v>0</v>
      </c>
      <c r="M23" s="15"/>
      <c r="N23" s="20">
        <f>IF(H23=0,0,L23/H23)</f>
        <v>0</v>
      </c>
      <c r="O23" s="28"/>
      <c r="P23" s="22">
        <f>P12-P18</f>
        <v>-1287.4499999999989</v>
      </c>
      <c r="Q23" s="14"/>
      <c r="R23" s="20">
        <f>IF(P$12=0,0,P23/P$12)</f>
        <v>-0.24858950148869841</v>
      </c>
      <c r="S23" s="14"/>
      <c r="T23" s="22">
        <f>T12-T18</f>
        <v>5256.36</v>
      </c>
      <c r="U23" s="14"/>
      <c r="V23" s="20">
        <f>IF(T$12=0,0,T23/T$12)</f>
        <v>0.46694145864795233</v>
      </c>
      <c r="W23" s="15"/>
      <c r="X23" s="22">
        <f>+P23-T23</f>
        <v>-6543.8099999999986</v>
      </c>
      <c r="Y23" s="15"/>
      <c r="Z23" s="20">
        <f>IF(T23=0,0,X23/T23)</f>
        <v>-1.2449318539826038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116.1</v>
      </c>
      <c r="E25" s="21"/>
      <c r="F25" s="32">
        <f t="shared" ref="F25:F34" si="13">IF(D$12=0,0,D25/D$12)</f>
        <v>0</v>
      </c>
      <c r="G25" s="21"/>
      <c r="H25" s="21">
        <f>SUM(OSRRefH22x_0)</f>
        <v>25</v>
      </c>
      <c r="I25" s="21"/>
      <c r="J25" s="32">
        <f t="shared" ref="J25:J34" si="14">IF(H$12=0,0,H25/H$12)</f>
        <v>0</v>
      </c>
      <c r="K25" s="4"/>
      <c r="L25" s="21">
        <f t="shared" ref="L25:L34" si="15">+D25-H25</f>
        <v>91.1</v>
      </c>
      <c r="M25" s="4"/>
      <c r="N25" s="32">
        <f t="shared" ref="N25:N34" si="16">IF(H25=0,0,L25/H25)</f>
        <v>3.6439999999999997</v>
      </c>
      <c r="O25" s="10"/>
      <c r="P25" s="21">
        <f>SUM(OSRRefP22x_0)</f>
        <v>16005.319999999998</v>
      </c>
      <c r="Q25" s="21"/>
      <c r="R25" s="32">
        <f t="shared" ref="R25:R34" si="17">IF(P$12=0,0,P25/P$12)</f>
        <v>3.0904147888982849</v>
      </c>
      <c r="S25" s="21"/>
      <c r="T25" s="21">
        <f>SUM(OSRRefT22x_0)</f>
        <v>23404.047055999999</v>
      </c>
      <c r="U25" s="21"/>
      <c r="V25" s="32">
        <f t="shared" ref="V25:V34" si="18">IF(T$12=0,0,T25/T$12)</f>
        <v>2.0790660971839743</v>
      </c>
      <c r="W25" s="4"/>
      <c r="X25" s="21">
        <f t="shared" ref="X25:X34" si="19">+P25-T25</f>
        <v>-7398.7270560000015</v>
      </c>
      <c r="Y25" s="4"/>
      <c r="Z25" s="32">
        <f t="shared" ref="Z25:Z34" si="20">IF(T25=0,0,X25/T25)</f>
        <v>-0.3161302418464938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-34.9</v>
      </c>
      <c r="E26" s="1"/>
      <c r="F26" s="5">
        <f t="shared" si="13"/>
        <v>0</v>
      </c>
      <c r="G26" s="1"/>
      <c r="H26" s="1">
        <f>SUM(OSRRefH22_0x_0)</f>
        <v>0</v>
      </c>
      <c r="I26" s="1"/>
      <c r="J26" s="5">
        <f t="shared" si="14"/>
        <v>0</v>
      </c>
      <c r="K26" s="1"/>
      <c r="L26" s="1">
        <f t="shared" si="15"/>
        <v>-34.9</v>
      </c>
      <c r="M26" s="1"/>
      <c r="N26" s="5">
        <f t="shared" si="16"/>
        <v>0</v>
      </c>
      <c r="O26" s="12"/>
      <c r="P26" s="1">
        <f>SUM(OSRRefP22_0x_0)</f>
        <v>823.68000000000006</v>
      </c>
      <c r="Q26" s="1"/>
      <c r="R26" s="5">
        <f t="shared" si="17"/>
        <v>0.15904167197655156</v>
      </c>
      <c r="S26" s="1"/>
      <c r="T26" s="1">
        <f>SUM(OSRRefT22_0x_0)</f>
        <v>974.88705600000003</v>
      </c>
      <c r="U26" s="1"/>
      <c r="V26" s="5">
        <f t="shared" si="18"/>
        <v>8.6602741050013324E-2</v>
      </c>
      <c r="W26" s="1"/>
      <c r="X26" s="1">
        <f t="shared" si="19"/>
        <v>-151.20705599999997</v>
      </c>
      <c r="Y26" s="1"/>
      <c r="Z26" s="5">
        <f t="shared" si="20"/>
        <v>-0.15510212703039516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602.38</v>
      </c>
      <c r="Q27" s="2"/>
      <c r="R27" s="7">
        <f t="shared" si="17"/>
        <v>0.11631158018312343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602.38</v>
      </c>
      <c r="Y27" s="2"/>
      <c r="Z27" s="7">
        <f t="shared" si="20"/>
        <v>0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221.3</v>
      </c>
      <c r="Q28" s="2"/>
      <c r="R28" s="7">
        <f t="shared" si="17"/>
        <v>4.2730091793428099E-2</v>
      </c>
      <c r="S28" s="2"/>
      <c r="T28" s="6">
        <v>358.97003999999998</v>
      </c>
      <c r="U28" s="2"/>
      <c r="V28" s="7">
        <f t="shared" si="18"/>
        <v>3.1888606200586297E-2</v>
      </c>
      <c r="W28" s="2"/>
      <c r="X28" s="6">
        <f t="shared" si="19"/>
        <v>-137.67003999999997</v>
      </c>
      <c r="Y28" s="2"/>
      <c r="Z28" s="7">
        <f t="shared" si="20"/>
        <v>-0.38351401136429097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-34.9</v>
      </c>
      <c r="E30" s="2"/>
      <c r="F30" s="7">
        <f t="shared" si="13"/>
        <v>0</v>
      </c>
      <c r="G30" s="2"/>
      <c r="H30" s="6">
        <v>0</v>
      </c>
      <c r="I30" s="2"/>
      <c r="J30" s="7">
        <f t="shared" si="14"/>
        <v>0</v>
      </c>
      <c r="K30" s="2"/>
      <c r="L30" s="6">
        <f t="shared" si="15"/>
        <v>-34.9</v>
      </c>
      <c r="M30" s="2"/>
      <c r="N30" s="7">
        <f t="shared" si="16"/>
        <v>0</v>
      </c>
      <c r="O30" s="11"/>
      <c r="P30" s="6">
        <v>0</v>
      </c>
      <c r="Q30" s="2"/>
      <c r="R30" s="7">
        <f t="shared" si="17"/>
        <v>0</v>
      </c>
      <c r="S30" s="2"/>
      <c r="T30" s="6">
        <v>49.122216000000002</v>
      </c>
      <c r="U30" s="2"/>
      <c r="V30" s="7">
        <f t="shared" si="18"/>
        <v>4.3637040063960204E-3</v>
      </c>
      <c r="W30" s="2"/>
      <c r="X30" s="6">
        <f t="shared" si="19"/>
        <v>-49.122216000000002</v>
      </c>
      <c r="Y30" s="2"/>
      <c r="Z30" s="7">
        <f t="shared" si="20"/>
        <v>-1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0</v>
      </c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/>
      <c r="Q34" s="2"/>
      <c r="R34" s="7">
        <f t="shared" si="17"/>
        <v>0</v>
      </c>
      <c r="S34" s="2"/>
      <c r="T34" s="6">
        <v>566.79480000000001</v>
      </c>
      <c r="U34" s="2"/>
      <c r="V34" s="7">
        <f t="shared" si="18"/>
        <v>5.0350430843031001E-2</v>
      </c>
      <c r="W34" s="2"/>
      <c r="X34" s="6">
        <f t="shared" si="19"/>
        <v>-566.79480000000001</v>
      </c>
      <c r="Y34" s="2"/>
      <c r="Z34" s="7">
        <f t="shared" si="20"/>
        <v>-1</v>
      </c>
    </row>
    <row r="35" spans="1:26" s="26" customFormat="1" outlineLevel="1" collapsed="1" x14ac:dyDescent="0.25">
      <c r="A35" s="25"/>
      <c r="B35" s="12" t="str">
        <f>CONCATENATE("     ","*Payroll                                          ")</f>
        <v xml:space="preserve">     *Payroll                                          </v>
      </c>
      <c r="C35" s="12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0</v>
      </c>
      <c r="I35" s="1"/>
      <c r="J35" s="5">
        <f t="shared" ref="J35:J45" si="22">IF(H$12=0,0,H35/H$12)</f>
        <v>0</v>
      </c>
      <c r="K35" s="1"/>
      <c r="L35" s="1">
        <f t="shared" ref="L35:L45" si="23">+D35-H35</f>
        <v>0</v>
      </c>
      <c r="M35" s="1"/>
      <c r="N35" s="5">
        <f t="shared" ref="N35:N45" si="24">IF(H35=0,0,L35/H35)</f>
        <v>0</v>
      </c>
      <c r="O35" s="12"/>
      <c r="P35" s="1">
        <f>SUM(OSRRefP22_1x_0)</f>
        <v>10914.98</v>
      </c>
      <c r="Q35" s="1"/>
      <c r="R35" s="5">
        <f t="shared" ref="R35:R45" si="25">IF(P$12=0,0,P35/P$12)</f>
        <v>2.1075377194913321</v>
      </c>
      <c r="S35" s="1"/>
      <c r="T35" s="1">
        <f>SUM(OSRRefT22_1x_0)</f>
        <v>18893.16</v>
      </c>
      <c r="U35" s="1"/>
      <c r="V35" s="5">
        <f t="shared" ref="V35:V45" si="26">IF(T$12=0,0,T35/T$12)</f>
        <v>1.6783476947677001</v>
      </c>
      <c r="W35" s="1"/>
      <c r="X35" s="1">
        <f t="shared" ref="X35:X45" si="27">+P35-T35</f>
        <v>-7978.18</v>
      </c>
      <c r="Y35" s="1"/>
      <c r="Z35" s="5">
        <f t="shared" ref="Z35:Z45" si="28">IF(T35=0,0,X35/T35)</f>
        <v>-0.42227875061662529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7765.17</v>
      </c>
      <c r="Q40" s="2"/>
      <c r="R40" s="7">
        <f t="shared" si="25"/>
        <v>1.4993512286108182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7765.17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73.31</v>
      </c>
      <c r="Q41" s="2"/>
      <c r="R41" s="7">
        <f t="shared" si="25"/>
        <v>1.4155187660986054E-2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73.31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3076.5</v>
      </c>
      <c r="Q42" s="2"/>
      <c r="R42" s="7">
        <f t="shared" si="25"/>
        <v>0.59403130321952802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3076.5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18893.16</v>
      </c>
      <c r="U43" s="2"/>
      <c r="V43" s="7">
        <f t="shared" si="26"/>
        <v>1.6783476947677001</v>
      </c>
      <c r="W43" s="2"/>
      <c r="X43" s="6">
        <f t="shared" si="27"/>
        <v>-18893.16</v>
      </c>
      <c r="Y43" s="2"/>
      <c r="Z43" s="7">
        <f t="shared" si="28"/>
        <v>-1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6" customFormat="1" outlineLevel="1" collapsed="1" x14ac:dyDescent="0.25">
      <c r="A46" s="25"/>
      <c r="B46" s="12" t="str">
        <f>CONCATENATE("     ","Bad Debts/Over/Short                              ")</f>
        <v xml:space="preserve">     Bad Debts/Over/Short                              </v>
      </c>
      <c r="C46" s="12"/>
      <c r="D46" s="1">
        <f>SUM(OSRRefD22_2x_0)</f>
        <v>0</v>
      </c>
      <c r="E46" s="1"/>
      <c r="F46" s="5">
        <f t="shared" ref="F46:F59" si="29">IF(D$12=0,0,D46/D$12)</f>
        <v>0</v>
      </c>
      <c r="G46" s="1"/>
      <c r="H46" s="1">
        <f>SUM(OSRRefH22_2x_0)</f>
        <v>25</v>
      </c>
      <c r="I46" s="1"/>
      <c r="J46" s="5">
        <f t="shared" ref="J46:J59" si="30">IF(H$12=0,0,H46/H$12)</f>
        <v>0</v>
      </c>
      <c r="K46" s="1"/>
      <c r="L46" s="1">
        <f t="shared" ref="L46:L59" si="31">+D46-H46</f>
        <v>-25</v>
      </c>
      <c r="M46" s="1"/>
      <c r="N46" s="5">
        <f t="shared" ref="N46:N59" si="32">IF(H46=0,0,L46/H46)</f>
        <v>-1</v>
      </c>
      <c r="O46" s="12"/>
      <c r="P46" s="1">
        <f>SUM(OSRRefP22_2x_0)</f>
        <v>-1.41</v>
      </c>
      <c r="Q46" s="1"/>
      <c r="R46" s="5">
        <f t="shared" ref="R46:R59" si="33">IF(P$12=0,0,P46/P$12)</f>
        <v>-2.7225227938876463E-4</v>
      </c>
      <c r="S46" s="1"/>
      <c r="T46" s="1">
        <f>SUM(OSRRefT22_2x_0)</f>
        <v>300</v>
      </c>
      <c r="U46" s="1"/>
      <c r="V46" s="5">
        <f t="shared" ref="V46:V59" si="34">IF(T$12=0,0,T46/T$12)</f>
        <v>2.6650084391933906E-2</v>
      </c>
      <c r="W46" s="1"/>
      <c r="X46" s="1">
        <f t="shared" ref="X46:X59" si="35">+P46-T46</f>
        <v>-301.41000000000003</v>
      </c>
      <c r="Y46" s="1"/>
      <c r="Z46" s="5">
        <f t="shared" ref="Z46:Z59" si="36">IF(T46=0,0,X46/T46)</f>
        <v>-1.0047000000000001</v>
      </c>
    </row>
    <row r="47" spans="1:26" s="24" customFormat="1" hidden="1" outlineLevel="2" x14ac:dyDescent="0.25">
      <c r="A47" s="27"/>
      <c r="B47" s="11" t="str">
        <f>CONCATENATE("          ", "6272", " - ", "CASH (OVER/SHORT)")</f>
        <v xml:space="preserve">          6272 - CASH (OVER/SHORT)</v>
      </c>
      <c r="C47" s="11"/>
      <c r="D47" s="6"/>
      <c r="E47" s="2"/>
      <c r="F47" s="7">
        <f t="shared" si="29"/>
        <v>0</v>
      </c>
      <c r="G47" s="2"/>
      <c r="H47" s="6">
        <v>25</v>
      </c>
      <c r="I47" s="2"/>
      <c r="J47" s="7">
        <f t="shared" si="30"/>
        <v>0</v>
      </c>
      <c r="K47" s="2"/>
      <c r="L47" s="6">
        <f t="shared" si="31"/>
        <v>-25</v>
      </c>
      <c r="M47" s="2"/>
      <c r="N47" s="7">
        <f t="shared" si="32"/>
        <v>-1</v>
      </c>
      <c r="O47" s="11"/>
      <c r="P47" s="6">
        <v>-1.41</v>
      </c>
      <c r="Q47" s="2"/>
      <c r="R47" s="7">
        <f t="shared" si="33"/>
        <v>-2.7225227938876463E-4</v>
      </c>
      <c r="S47" s="2"/>
      <c r="T47" s="6">
        <v>300</v>
      </c>
      <c r="U47" s="2"/>
      <c r="V47" s="7">
        <f t="shared" si="34"/>
        <v>2.6650084391933906E-2</v>
      </c>
      <c r="W47" s="2"/>
      <c r="X47" s="6">
        <f t="shared" si="35"/>
        <v>-301.41000000000003</v>
      </c>
      <c r="Y47" s="2"/>
      <c r="Z47" s="7">
        <f t="shared" si="36"/>
        <v>-1.0047000000000001</v>
      </c>
    </row>
    <row r="48" spans="1:26" s="26" customFormat="1" outlineLevel="1" collapsed="1" x14ac:dyDescent="0.25">
      <c r="A48" s="25"/>
      <c r="B48" s="12" t="str">
        <f>CONCATENATE("     ","Bank/card Fees                                    ")</f>
        <v xml:space="preserve">     Bank/card Fees                                    </v>
      </c>
      <c r="C48" s="12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2"/>
      <c r="P48" s="1">
        <f>SUM(OSRRefP22_3x_0)</f>
        <v>125.26</v>
      </c>
      <c r="Q48" s="1"/>
      <c r="R48" s="5">
        <f t="shared" si="33"/>
        <v>2.418604291931678E-2</v>
      </c>
      <c r="S48" s="1"/>
      <c r="T48" s="1">
        <f>SUM(OSRRefT22_3x_0)</f>
        <v>239</v>
      </c>
      <c r="U48" s="1"/>
      <c r="V48" s="5">
        <f t="shared" si="34"/>
        <v>2.1231233898907347E-2</v>
      </c>
      <c r="W48" s="1"/>
      <c r="X48" s="1">
        <f t="shared" si="35"/>
        <v>-113.74</v>
      </c>
      <c r="Y48" s="1"/>
      <c r="Z48" s="5">
        <f t="shared" si="36"/>
        <v>-0.47589958158995815</v>
      </c>
    </row>
    <row r="49" spans="1:26" s="24" customFormat="1" hidden="1" outlineLevel="2" x14ac:dyDescent="0.25">
      <c r="A49" s="27"/>
      <c r="B49" s="11" t="str">
        <f>CONCATENATE("          ", "6381", " - ", "BANK/CREDIT CARD FEES")</f>
        <v xml:space="preserve">          6381 - BANK/CREDIT CARD FEES</v>
      </c>
      <c r="C49" s="11"/>
      <c r="D49" s="6"/>
      <c r="E49" s="2"/>
      <c r="F49" s="7">
        <f t="shared" si="29"/>
        <v>0</v>
      </c>
      <c r="G49" s="2"/>
      <c r="H49" s="6">
        <v>0</v>
      </c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125.26</v>
      </c>
      <c r="Q49" s="2"/>
      <c r="R49" s="7">
        <f t="shared" si="33"/>
        <v>2.418604291931678E-2</v>
      </c>
      <c r="S49" s="2"/>
      <c r="T49" s="6">
        <v>239</v>
      </c>
      <c r="U49" s="2"/>
      <c r="V49" s="7">
        <f t="shared" si="34"/>
        <v>2.1231233898907347E-2</v>
      </c>
      <c r="W49" s="2"/>
      <c r="X49" s="6">
        <f t="shared" si="35"/>
        <v>-113.74</v>
      </c>
      <c r="Y49" s="2"/>
      <c r="Z49" s="7">
        <f t="shared" si="36"/>
        <v>-0.47589958158995815</v>
      </c>
    </row>
    <row r="50" spans="1:26" s="26" customFormat="1" outlineLevel="1" collapsed="1" x14ac:dyDescent="0.25">
      <c r="A50" s="25"/>
      <c r="B50" s="12" t="str">
        <f>CONCATENATE("     ","Employees' Appreciation                           ")</f>
        <v xml:space="preserve">     Employees' Appreciation                           </v>
      </c>
      <c r="C50" s="12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2"/>
      <c r="P50" s="1">
        <f>SUM(OSRRefP22_4x_0)</f>
        <v>40.799999999999997</v>
      </c>
      <c r="Q50" s="1"/>
      <c r="R50" s="5">
        <f t="shared" si="33"/>
        <v>7.877938297206807E-3</v>
      </c>
      <c r="S50" s="1"/>
      <c r="T50" s="1">
        <f>SUM(OSRRefT22_4x_0)</f>
        <v>0</v>
      </c>
      <c r="U50" s="1"/>
      <c r="V50" s="5">
        <f t="shared" si="34"/>
        <v>0</v>
      </c>
      <c r="W50" s="1"/>
      <c r="X50" s="1">
        <f t="shared" si="35"/>
        <v>40.799999999999997</v>
      </c>
      <c r="Y50" s="1"/>
      <c r="Z50" s="5">
        <f t="shared" si="36"/>
        <v>0</v>
      </c>
    </row>
    <row r="51" spans="1:26" s="24" customFormat="1" hidden="1" outlineLevel="2" x14ac:dyDescent="0.25">
      <c r="A51" s="27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40.799999999999997</v>
      </c>
      <c r="Q51" s="2"/>
      <c r="R51" s="7">
        <f t="shared" si="33"/>
        <v>7.877938297206807E-3</v>
      </c>
      <c r="S51" s="2"/>
      <c r="T51" s="6"/>
      <c r="U51" s="2"/>
      <c r="V51" s="7">
        <f t="shared" si="34"/>
        <v>0</v>
      </c>
      <c r="W51" s="2"/>
      <c r="X51" s="6">
        <f t="shared" si="35"/>
        <v>40.799999999999997</v>
      </c>
      <c r="Y51" s="2"/>
      <c r="Z51" s="7">
        <f t="shared" si="36"/>
        <v>0</v>
      </c>
    </row>
    <row r="52" spans="1:26" s="26" customFormat="1" outlineLevel="1" collapsed="1" x14ac:dyDescent="0.25">
      <c r="A52" s="25"/>
      <c r="B52" s="12" t="str">
        <f>CONCATENATE("     ","General                                           ")</f>
        <v xml:space="preserve">     General                                           </v>
      </c>
      <c r="C52" s="12"/>
      <c r="D52" s="1">
        <f>SUM(OSRRefD22_5x_0)</f>
        <v>0</v>
      </c>
      <c r="E52" s="1"/>
      <c r="F52" s="5">
        <f t="shared" si="29"/>
        <v>0</v>
      </c>
      <c r="G52" s="1"/>
      <c r="H52" s="1">
        <f>SUM(OSRRefH22_5x_0)</f>
        <v>0</v>
      </c>
      <c r="I52" s="1"/>
      <c r="J52" s="5">
        <f t="shared" si="30"/>
        <v>0</v>
      </c>
      <c r="K52" s="1"/>
      <c r="L52" s="1">
        <f t="shared" si="31"/>
        <v>0</v>
      </c>
      <c r="M52" s="1"/>
      <c r="N52" s="5">
        <f t="shared" si="32"/>
        <v>0</v>
      </c>
      <c r="O52" s="12"/>
      <c r="P52" s="1">
        <f>SUM(OSRRefP22_5x_0)</f>
        <v>1154.05</v>
      </c>
      <c r="Q52" s="1"/>
      <c r="R52" s="5">
        <f t="shared" si="33"/>
        <v>0.22283173264439987</v>
      </c>
      <c r="S52" s="1"/>
      <c r="T52" s="1">
        <f>SUM(OSRRefT22_5x_0)</f>
        <v>2061</v>
      </c>
      <c r="U52" s="1"/>
      <c r="V52" s="5">
        <f t="shared" si="34"/>
        <v>0.18308607977258595</v>
      </c>
      <c r="W52" s="1"/>
      <c r="X52" s="1">
        <f t="shared" si="35"/>
        <v>-906.95</v>
      </c>
      <c r="Y52" s="1"/>
      <c r="Z52" s="5">
        <f t="shared" si="36"/>
        <v>-0.44005337214944207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9"/>
        <v>0</v>
      </c>
      <c r="G53" s="2"/>
      <c r="H53" s="6">
        <v>0</v>
      </c>
      <c r="I53" s="2"/>
      <c r="J53" s="7">
        <f t="shared" si="30"/>
        <v>0</v>
      </c>
      <c r="K53" s="2"/>
      <c r="L53" s="6">
        <f t="shared" si="31"/>
        <v>0</v>
      </c>
      <c r="M53" s="2"/>
      <c r="N53" s="7">
        <f t="shared" si="32"/>
        <v>0</v>
      </c>
      <c r="O53" s="11"/>
      <c r="P53" s="6">
        <v>1154.05</v>
      </c>
      <c r="Q53" s="2"/>
      <c r="R53" s="7">
        <f t="shared" si="33"/>
        <v>0.22283173264439987</v>
      </c>
      <c r="S53" s="2"/>
      <c r="T53" s="6">
        <v>2061</v>
      </c>
      <c r="U53" s="2"/>
      <c r="V53" s="7">
        <f t="shared" si="34"/>
        <v>0.18308607977258595</v>
      </c>
      <c r="W53" s="2"/>
      <c r="X53" s="6">
        <f t="shared" si="35"/>
        <v>-906.95</v>
      </c>
      <c r="Y53" s="2"/>
      <c r="Z53" s="7">
        <f t="shared" si="36"/>
        <v>-0.44005337214944207</v>
      </c>
    </row>
    <row r="54" spans="1:26" s="26" customFormat="1" outlineLevel="1" collapsed="1" x14ac:dyDescent="0.25">
      <c r="A54" s="25"/>
      <c r="B54" s="12" t="str">
        <f>CONCATENATE("     ","R/H Commissions                                   ")</f>
        <v xml:space="preserve">     R/H Commissions                                   </v>
      </c>
      <c r="C54" s="12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2"/>
      <c r="P54" s="1">
        <f>SUM(OSRRefP22_6x_0)</f>
        <v>414.32</v>
      </c>
      <c r="Q54" s="1"/>
      <c r="R54" s="5">
        <f t="shared" si="33"/>
        <v>7.9999691061243244E-2</v>
      </c>
      <c r="S54" s="1"/>
      <c r="T54" s="1">
        <f>SUM(OSRRefT22_6x_0)</f>
        <v>710</v>
      </c>
      <c r="U54" s="1"/>
      <c r="V54" s="5">
        <f t="shared" si="34"/>
        <v>6.3071866394243586E-2</v>
      </c>
      <c r="W54" s="1"/>
      <c r="X54" s="1">
        <f t="shared" si="35"/>
        <v>-295.68</v>
      </c>
      <c r="Y54" s="1"/>
      <c r="Z54" s="5">
        <f t="shared" si="36"/>
        <v>-0.41645070422535213</v>
      </c>
    </row>
    <row r="55" spans="1:26" s="24" customFormat="1" hidden="1" outlineLevel="2" x14ac:dyDescent="0.25">
      <c r="A55" s="27"/>
      <c r="B55" s="11" t="str">
        <f>CONCATENATE("          ", "6387", " - ", "COMMISSION DUE HOUSING")</f>
        <v xml:space="preserve">          6387 - COMMISSION DUE HOUSING</v>
      </c>
      <c r="C55" s="11"/>
      <c r="D55" s="6"/>
      <c r="E55" s="2"/>
      <c r="F55" s="7">
        <f t="shared" si="29"/>
        <v>0</v>
      </c>
      <c r="G55" s="2"/>
      <c r="H55" s="6">
        <v>0</v>
      </c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414.32</v>
      </c>
      <c r="Q55" s="2"/>
      <c r="R55" s="7">
        <f t="shared" si="33"/>
        <v>7.9999691061243244E-2</v>
      </c>
      <c r="S55" s="2"/>
      <c r="T55" s="6">
        <v>710</v>
      </c>
      <c r="U55" s="2"/>
      <c r="V55" s="7">
        <f t="shared" si="34"/>
        <v>6.3071866394243586E-2</v>
      </c>
      <c r="W55" s="2"/>
      <c r="X55" s="6">
        <f t="shared" si="35"/>
        <v>-295.68</v>
      </c>
      <c r="Y55" s="2"/>
      <c r="Z55" s="7">
        <f t="shared" si="36"/>
        <v>-0.41645070422535213</v>
      </c>
    </row>
    <row r="56" spans="1:26" s="26" customFormat="1" outlineLevel="1" collapsed="1" x14ac:dyDescent="0.25">
      <c r="A56" s="25"/>
      <c r="B56" s="12" t="str">
        <f>CONCATENATE("     ","Supplies                                          ")</f>
        <v xml:space="preserve">     Supplies                                          </v>
      </c>
      <c r="C56" s="12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2"/>
      <c r="P56" s="1">
        <f>SUM(OSRRefP22_7x_0)</f>
        <v>1592.1399999999999</v>
      </c>
      <c r="Q56" s="1"/>
      <c r="R56" s="5">
        <f t="shared" si="33"/>
        <v>0.30742109511065796</v>
      </c>
      <c r="S56" s="1"/>
      <c r="T56" s="1">
        <f>SUM(OSRRefT22_7x_0)</f>
        <v>226</v>
      </c>
      <c r="U56" s="1"/>
      <c r="V56" s="5">
        <f t="shared" si="34"/>
        <v>2.007639690859021E-2</v>
      </c>
      <c r="W56" s="1"/>
      <c r="X56" s="1">
        <f t="shared" si="35"/>
        <v>1366.1399999999999</v>
      </c>
      <c r="Y56" s="1"/>
      <c r="Z56" s="5">
        <f t="shared" si="36"/>
        <v>6.0448672566371675</v>
      </c>
    </row>
    <row r="57" spans="1:26" s="24" customFormat="1" hidden="1" outlineLevel="2" x14ac:dyDescent="0.25">
      <c r="A57" s="27"/>
      <c r="B57" s="11" t="str">
        <f>CONCATENATE("          ", "6237", " - ", "JANITORIAL SUPPLIES")</f>
        <v xml:space="preserve">          6237 - JANITORIAL SUPPLIES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47.13</v>
      </c>
      <c r="Q57" s="2"/>
      <c r="R57" s="7">
        <f t="shared" si="33"/>
        <v>9.1001772536116864E-3</v>
      </c>
      <c r="S57" s="2"/>
      <c r="T57" s="6"/>
      <c r="U57" s="2"/>
      <c r="V57" s="7">
        <f t="shared" si="34"/>
        <v>0</v>
      </c>
      <c r="W57" s="2"/>
      <c r="X57" s="6">
        <f t="shared" si="35"/>
        <v>47.13</v>
      </c>
      <c r="Y57" s="2"/>
      <c r="Z57" s="7">
        <f t="shared" si="36"/>
        <v>0</v>
      </c>
    </row>
    <row r="58" spans="1:26" s="24" customFormat="1" hidden="1" outlineLevel="2" x14ac:dyDescent="0.25">
      <c r="A58" s="27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29"/>
        <v>0</v>
      </c>
      <c r="G58" s="2"/>
      <c r="H58" s="6">
        <v>0</v>
      </c>
      <c r="I58" s="2"/>
      <c r="J58" s="7">
        <f t="shared" si="30"/>
        <v>0</v>
      </c>
      <c r="K58" s="2"/>
      <c r="L58" s="6">
        <f t="shared" si="31"/>
        <v>0</v>
      </c>
      <c r="M58" s="2"/>
      <c r="N58" s="7">
        <f t="shared" si="32"/>
        <v>0</v>
      </c>
      <c r="O58" s="11"/>
      <c r="P58" s="6">
        <v>431.41</v>
      </c>
      <c r="Q58" s="2"/>
      <c r="R58" s="7">
        <f t="shared" si="33"/>
        <v>8.3299543156813455E-2</v>
      </c>
      <c r="S58" s="2"/>
      <c r="T58" s="6">
        <v>226</v>
      </c>
      <c r="U58" s="2"/>
      <c r="V58" s="7">
        <f t="shared" si="34"/>
        <v>2.007639690859021E-2</v>
      </c>
      <c r="W58" s="2"/>
      <c r="X58" s="6">
        <f t="shared" si="35"/>
        <v>205.41000000000003</v>
      </c>
      <c r="Y58" s="2"/>
      <c r="Z58" s="7">
        <f t="shared" si="36"/>
        <v>0.90889380530973463</v>
      </c>
    </row>
    <row r="59" spans="1:26" s="24" customFormat="1" hidden="1" outlineLevel="2" x14ac:dyDescent="0.25">
      <c r="A59" s="27"/>
      <c r="B59" s="11" t="str">
        <f>CONCATENATE("          ", "6248", " - ", "UNIFORMS")</f>
        <v xml:space="preserve">          6248 - UNIFORMS</v>
      </c>
      <c r="C59" s="11"/>
      <c r="D59" s="6"/>
      <c r="E59" s="2"/>
      <c r="F59" s="7">
        <f t="shared" si="29"/>
        <v>0</v>
      </c>
      <c r="G59" s="2"/>
      <c r="H59" s="6"/>
      <c r="I59" s="2"/>
      <c r="J59" s="7">
        <f t="shared" si="30"/>
        <v>0</v>
      </c>
      <c r="K59" s="2"/>
      <c r="L59" s="6">
        <f t="shared" si="31"/>
        <v>0</v>
      </c>
      <c r="M59" s="2"/>
      <c r="N59" s="7">
        <f t="shared" si="32"/>
        <v>0</v>
      </c>
      <c r="O59" s="11"/>
      <c r="P59" s="6">
        <v>1113.5999999999999</v>
      </c>
      <c r="Q59" s="2"/>
      <c r="R59" s="7">
        <f t="shared" si="33"/>
        <v>0.21502137470023283</v>
      </c>
      <c r="S59" s="2"/>
      <c r="T59" s="6"/>
      <c r="U59" s="2"/>
      <c r="V59" s="7">
        <f t="shared" si="34"/>
        <v>0</v>
      </c>
      <c r="W59" s="2"/>
      <c r="X59" s="6">
        <f t="shared" si="35"/>
        <v>1113.5999999999999</v>
      </c>
      <c r="Y59" s="2"/>
      <c r="Z59" s="7">
        <f t="shared" si="36"/>
        <v>0</v>
      </c>
    </row>
    <row r="60" spans="1:26" s="26" customFormat="1" outlineLevel="1" collapsed="1" x14ac:dyDescent="0.25">
      <c r="A60" s="25"/>
      <c r="B60" s="12" t="str">
        <f>CONCATENATE("     ","Telephone/Data Lines                              ")</f>
        <v xml:space="preserve">     Telephone/Data Lines                              </v>
      </c>
      <c r="C60" s="12"/>
      <c r="D60" s="1">
        <f>SUM(OSRRefD22_8x_0)</f>
        <v>151</v>
      </c>
      <c r="E60" s="1"/>
      <c r="F60" s="5">
        <f t="shared" ref="F60:F61" si="37">IF(D$12=0,0,D60/D$12)</f>
        <v>0</v>
      </c>
      <c r="G60" s="1"/>
      <c r="H60" s="1">
        <f>SUM(OSRRefH22_8x_0)</f>
        <v>0</v>
      </c>
      <c r="I60" s="1"/>
      <c r="J60" s="5">
        <f t="shared" ref="J60:J61" si="38">IF(H$12=0,0,H60/H$12)</f>
        <v>0</v>
      </c>
      <c r="K60" s="1"/>
      <c r="L60" s="1">
        <f t="shared" ref="L60:L61" si="39">+D60-H60</f>
        <v>151</v>
      </c>
      <c r="M60" s="1"/>
      <c r="N60" s="5">
        <f t="shared" ref="N60:N61" si="40">IF(H60=0,0,L60/H60)</f>
        <v>0</v>
      </c>
      <c r="O60" s="12"/>
      <c r="P60" s="1">
        <f>SUM(OSRRefP22_8x_0)</f>
        <v>941.5</v>
      </c>
      <c r="Q60" s="1"/>
      <c r="R60" s="5">
        <f t="shared" ref="R60:R61" si="41">IF(P$12=0,0,P60/P$12)</f>
        <v>0.18179114967696589</v>
      </c>
      <c r="S60" s="1"/>
      <c r="T60" s="1">
        <f>SUM(OSRRefT22_8x_0)</f>
        <v>0</v>
      </c>
      <c r="U60" s="1"/>
      <c r="V60" s="5">
        <f t="shared" ref="V60:V61" si="42">IF(T$12=0,0,T60/T$12)</f>
        <v>0</v>
      </c>
      <c r="W60" s="1"/>
      <c r="X60" s="1">
        <f t="shared" ref="X60:X61" si="43">+P60-T60</f>
        <v>941.5</v>
      </c>
      <c r="Y60" s="1"/>
      <c r="Z60" s="5">
        <f t="shared" ref="Z60:Z61" si="44">IF(T60=0,0,X60/T60)</f>
        <v>0</v>
      </c>
    </row>
    <row r="61" spans="1:26" s="24" customFormat="1" hidden="1" outlineLevel="2" x14ac:dyDescent="0.25">
      <c r="A61" s="27"/>
      <c r="B61" s="11" t="str">
        <f>CONCATENATE("          ", "6309", " - ", "TELEPHONE")</f>
        <v xml:space="preserve">          6309 - TELEPHONE</v>
      </c>
      <c r="C61" s="11"/>
      <c r="D61" s="6">
        <v>151</v>
      </c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151</v>
      </c>
      <c r="M61" s="2"/>
      <c r="N61" s="7">
        <f t="shared" si="40"/>
        <v>0</v>
      </c>
      <c r="O61" s="11"/>
      <c r="P61" s="6">
        <v>941.5</v>
      </c>
      <c r="Q61" s="2"/>
      <c r="R61" s="7">
        <f t="shared" si="41"/>
        <v>0.18179114967696589</v>
      </c>
      <c r="S61" s="2"/>
      <c r="T61" s="6"/>
      <c r="U61" s="2"/>
      <c r="V61" s="7">
        <f t="shared" si="42"/>
        <v>0</v>
      </c>
      <c r="W61" s="2"/>
      <c r="X61" s="6">
        <f t="shared" si="43"/>
        <v>941.5</v>
      </c>
      <c r="Y61" s="2"/>
      <c r="Z61" s="7">
        <f t="shared" si="44"/>
        <v>0</v>
      </c>
    </row>
    <row r="62" spans="1:26" s="60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3">
        <f>IF(D$12=0,0,D63/D$12)</f>
        <v>0</v>
      </c>
      <c r="G63" s="4"/>
      <c r="H63" s="4">
        <f>SUM(0)</f>
        <v>0</v>
      </c>
      <c r="I63" s="4"/>
      <c r="J63" s="13">
        <f>IF(H$12=0,0,H63/H$12)</f>
        <v>0</v>
      </c>
      <c r="K63" s="4"/>
      <c r="L63" s="4">
        <f>+D63-H63</f>
        <v>0</v>
      </c>
      <c r="M63" s="4"/>
      <c r="N63" s="13">
        <f>IF(H63=0,0,L63/H63)</f>
        <v>0</v>
      </c>
      <c r="O63" s="10"/>
      <c r="P63" s="4">
        <f>SUM(0)</f>
        <v>0</v>
      </c>
      <c r="Q63" s="4"/>
      <c r="R63" s="13">
        <f>IF(P$12=0,0,P63/P$12)</f>
        <v>0</v>
      </c>
      <c r="S63" s="4"/>
      <c r="T63" s="4">
        <f>SUM(0)</f>
        <v>0</v>
      </c>
      <c r="U63" s="4"/>
      <c r="V63" s="13">
        <f>IF(T$12=0,0,T63/T$12)</f>
        <v>0</v>
      </c>
      <c r="W63" s="4"/>
      <c r="X63" s="4">
        <f>+P63-T63</f>
        <v>0</v>
      </c>
      <c r="Y63" s="4"/>
      <c r="Z63" s="13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2">
        <f>+D23-D25+D63</f>
        <v>-116.1</v>
      </c>
      <c r="E65" s="14"/>
      <c r="F65" s="20">
        <f>IF(D$12=0,0,D65/D$12)</f>
        <v>0</v>
      </c>
      <c r="G65" s="14"/>
      <c r="H65" s="22">
        <f>+H23-H25+H63</f>
        <v>-25</v>
      </c>
      <c r="I65" s="14"/>
      <c r="J65" s="20">
        <f>IF(H$12=0,0,H65/H$12)</f>
        <v>0</v>
      </c>
      <c r="K65" s="15"/>
      <c r="L65" s="22">
        <f>+D65-H65</f>
        <v>-91.1</v>
      </c>
      <c r="M65" s="15"/>
      <c r="N65" s="20">
        <f>IF(H65=0,0,L65/H65)</f>
        <v>3.6439999999999997</v>
      </c>
      <c r="O65" s="28"/>
      <c r="P65" s="22">
        <f>+P23-P25+P63</f>
        <v>-17292.769999999997</v>
      </c>
      <c r="Q65" s="14"/>
      <c r="R65" s="20">
        <f>IF(P$12=0,0,P65/P$12)</f>
        <v>-3.3390042903869834</v>
      </c>
      <c r="S65" s="14"/>
      <c r="T65" s="22">
        <f>+T23-T25+T63</f>
        <v>-18147.687055999999</v>
      </c>
      <c r="U65" s="14"/>
      <c r="V65" s="20">
        <f>IF(T$12=0,0,T65/T$12)</f>
        <v>-1.6121246385360219</v>
      </c>
      <c r="W65" s="15"/>
      <c r="X65" s="22">
        <f>+P65-T65</f>
        <v>854.91705600000205</v>
      </c>
      <c r="Y65" s="15"/>
      <c r="Z65" s="20">
        <f>IF(T65=0,0,X65/T65)</f>
        <v>-4.7108871414958023E-2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>
        <v>171</v>
      </c>
      <c r="E67" s="4"/>
      <c r="F67" s="13">
        <f>IF(D$12=0,0,D67/D$12)</f>
        <v>0</v>
      </c>
      <c r="G67" s="4"/>
      <c r="H67" s="4">
        <v>153</v>
      </c>
      <c r="I67" s="4"/>
      <c r="J67" s="13">
        <f>IF(H$12=0,0,H67/H$12)</f>
        <v>0</v>
      </c>
      <c r="K67" s="4"/>
      <c r="L67" s="4">
        <f>+D67-H67</f>
        <v>18</v>
      </c>
      <c r="M67" s="4"/>
      <c r="N67" s="13">
        <f>IF(H67=0,0,L67/H67)</f>
        <v>0.11764705882352941</v>
      </c>
      <c r="O67" s="10"/>
      <c r="P67" s="4">
        <v>784.3</v>
      </c>
      <c r="Q67" s="4"/>
      <c r="R67" s="13">
        <f>IF(P$12=0,0,P67/P$12)</f>
        <v>0.15143791682596319</v>
      </c>
      <c r="S67" s="4"/>
      <c r="T67" s="4">
        <v>1456</v>
      </c>
      <c r="U67" s="4"/>
      <c r="V67" s="13">
        <f>IF(T$12=0,0,T67/T$12)</f>
        <v>0.12934174291551923</v>
      </c>
      <c r="W67" s="4"/>
      <c r="X67" s="4">
        <f>+P67-T67</f>
        <v>-671.7</v>
      </c>
      <c r="Y67" s="4"/>
      <c r="Z67" s="13">
        <f>IF(T67=0,0,X67/T67)</f>
        <v>-0.46133241758241761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1">
        <f>+D65-D67</f>
        <v>-287.10000000000002</v>
      </c>
      <c r="E69" s="14"/>
      <c r="F69" s="33">
        <f>IF(D$12=0,0,D69/D$12)</f>
        <v>0</v>
      </c>
      <c r="G69" s="14"/>
      <c r="H69" s="31">
        <f>+H65-H67</f>
        <v>-178</v>
      </c>
      <c r="I69" s="14"/>
      <c r="J69" s="33">
        <f>IF(H$12=0,0,H69/H$12)</f>
        <v>0</v>
      </c>
      <c r="K69" s="15"/>
      <c r="L69" s="31">
        <f>D69-H69</f>
        <v>-109.10000000000002</v>
      </c>
      <c r="M69" s="15"/>
      <c r="N69" s="33">
        <f>IF(H69=0,0,L69/H69)</f>
        <v>0.61292134831460687</v>
      </c>
      <c r="O69" s="28"/>
      <c r="P69" s="31">
        <f>+P65-P67</f>
        <v>-18077.069999999996</v>
      </c>
      <c r="Q69" s="14"/>
      <c r="R69" s="33">
        <f>IF(P$12=0,0,P69/P$12)</f>
        <v>-3.4904422072129466</v>
      </c>
      <c r="S69" s="14"/>
      <c r="T69" s="31">
        <f>+T65-T67</f>
        <v>-19603.687055999999</v>
      </c>
      <c r="U69" s="14"/>
      <c r="V69" s="33">
        <f>IF(T$12=0,0,T69/T$12)</f>
        <v>-1.7414663814515412</v>
      </c>
      <c r="W69" s="15"/>
      <c r="X69" s="31">
        <f>P69-T69</f>
        <v>1526.6170560000028</v>
      </c>
      <c r="Y69" s="15"/>
      <c r="Z69" s="33">
        <f>IF(T69=0,0,X69/T69)</f>
        <v>-7.7873976035174416E-2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4">
        <f>SUM(D69:D71)</f>
        <v>-287.10000000000002</v>
      </c>
      <c r="E72" s="14"/>
      <c r="F72" s="35">
        <f>IF(D$12=0,0,D72/D$12)</f>
        <v>0</v>
      </c>
      <c r="G72" s="14"/>
      <c r="H72" s="34">
        <f>SUM(H69:H71)</f>
        <v>-178</v>
      </c>
      <c r="I72" s="14"/>
      <c r="J72" s="35">
        <f>IF(H$12=0,0,H72/H$12)</f>
        <v>0</v>
      </c>
      <c r="K72" s="15"/>
      <c r="L72" s="34">
        <f>+D72-H72</f>
        <v>-109.10000000000002</v>
      </c>
      <c r="M72" s="15"/>
      <c r="N72" s="35">
        <f>IF(H72=0,0,L72/H72)</f>
        <v>0.61292134831460687</v>
      </c>
      <c r="O72" s="28"/>
      <c r="P72" s="34">
        <f>SUM(P69:P71)</f>
        <v>-18077.069999999996</v>
      </c>
      <c r="Q72" s="14"/>
      <c r="R72" s="35">
        <f>IF(P$12=0,0,P72/P$12)</f>
        <v>-3.4904422072129466</v>
      </c>
      <c r="S72" s="14"/>
      <c r="T72" s="34">
        <f>SUM(T69:T71)</f>
        <v>-19603.687055999999</v>
      </c>
      <c r="U72" s="14"/>
      <c r="V72" s="35">
        <f>IF(T$12=0,0,T72/T$12)</f>
        <v>-1.7414663814515412</v>
      </c>
      <c r="W72" s="15"/>
      <c r="X72" s="34">
        <f>+P72-T72</f>
        <v>1526.6170560000028</v>
      </c>
      <c r="Y72" s="15"/>
      <c r="Z72" s="35">
        <f>IF(T72=0,0,X72/T72)</f>
        <v>-7.7873976035174416E-2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5">
        <v>44043.473939814816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2" t="s">
        <v>314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63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","444", " - ", "Parkside Dining Hall")</f>
        <v>Department 444 - Parkside Dining Hall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-66685</v>
      </c>
      <c r="E12" s="4"/>
      <c r="F12" s="13"/>
      <c r="G12" s="4"/>
      <c r="H12" s="4">
        <f>SUM(OSRRefH13x_0)</f>
        <v>43670</v>
      </c>
      <c r="I12" s="4"/>
      <c r="J12" s="13"/>
      <c r="K12" s="4"/>
      <c r="L12" s="4">
        <f t="shared" ref="L12:L16" si="0">+D12-H12</f>
        <v>-110355</v>
      </c>
      <c r="M12" s="4"/>
      <c r="N12" s="13">
        <f t="shared" ref="N12:N16" si="1">IF(H12=0,0,L12/H12)</f>
        <v>-2.5270208381039616</v>
      </c>
      <c r="O12" s="10"/>
      <c r="P12" s="4">
        <f>SUM(OSRRefP13x_0)</f>
        <v>3313755.62</v>
      </c>
      <c r="Q12" s="4"/>
      <c r="R12" s="13"/>
      <c r="S12" s="4"/>
      <c r="T12" s="4">
        <f>SUM(OSRRefT13x_0)</f>
        <v>4189067.0000000005</v>
      </c>
      <c r="U12" s="4"/>
      <c r="V12" s="13"/>
      <c r="W12" s="4"/>
      <c r="X12" s="4">
        <f t="shared" ref="X12:X16" si="2">+P12-T12</f>
        <v>-875311.38000000035</v>
      </c>
      <c r="Y12" s="4"/>
      <c r="Z12" s="13">
        <f t="shared" ref="Z12:Z16" si="3">IF(T12=0,0,X12/T12)</f>
        <v>-0.20895139180156352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--4314.79</f>
        <v>4314.79</v>
      </c>
      <c r="Q13" s="2"/>
      <c r="R13" s="19"/>
      <c r="S13" s="2"/>
      <c r="T13" s="2"/>
      <c r="U13" s="2"/>
      <c r="V13" s="19"/>
      <c r="W13" s="2"/>
      <c r="X13" s="2">
        <f t="shared" si="2"/>
        <v>4314.79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43670</v>
      </c>
      <c r="I14" s="2"/>
      <c r="J14" s="19"/>
      <c r="K14" s="2"/>
      <c r="L14" s="2">
        <f t="shared" si="0"/>
        <v>-43670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4189067.0000000005</v>
      </c>
      <c r="U14" s="2"/>
      <c r="V14" s="19"/>
      <c r="W14" s="2"/>
      <c r="X14" s="2">
        <f t="shared" si="2"/>
        <v>-4189067.0000000005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-66685</f>
        <v>-66685</v>
      </c>
      <c r="E15" s="2"/>
      <c r="F15" s="19"/>
      <c r="G15" s="2"/>
      <c r="H15" s="2"/>
      <c r="I15" s="2"/>
      <c r="J15" s="19"/>
      <c r="K15" s="2"/>
      <c r="L15" s="2">
        <f t="shared" si="0"/>
        <v>-66685</v>
      </c>
      <c r="M15" s="2"/>
      <c r="N15" s="19">
        <f t="shared" si="1"/>
        <v>0</v>
      </c>
      <c r="O15" s="11"/>
      <c r="P15" s="2">
        <f>--3263328.39</f>
        <v>3263328.39</v>
      </c>
      <c r="Q15" s="2"/>
      <c r="R15" s="19"/>
      <c r="S15" s="2"/>
      <c r="T15" s="2"/>
      <c r="U15" s="2"/>
      <c r="V15" s="19"/>
      <c r="W15" s="2"/>
      <c r="X15" s="2">
        <f t="shared" si="2"/>
        <v>3263328.39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--46112.44</f>
        <v>46112.44</v>
      </c>
      <c r="Q16" s="2"/>
      <c r="R16" s="19"/>
      <c r="S16" s="2"/>
      <c r="T16" s="2"/>
      <c r="U16" s="2"/>
      <c r="V16" s="19"/>
      <c r="W16" s="2"/>
      <c r="X16" s="2">
        <f t="shared" si="2"/>
        <v>46112.44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3546</v>
      </c>
      <c r="E18" s="4"/>
      <c r="F18" s="13">
        <f t="shared" ref="F18:F21" si="5">IF(D$12=0,0,D18/D$12)</f>
        <v>-5.3175376771387867E-2</v>
      </c>
      <c r="G18" s="4"/>
      <c r="H18" s="4">
        <f>SUM(OSRRefH16x_0)</f>
        <v>15284</v>
      </c>
      <c r="I18" s="4"/>
      <c r="J18" s="13">
        <f t="shared" ref="J18:J21" si="6">IF(H$12=0,0,H18/H$12)</f>
        <v>0.34998855049232885</v>
      </c>
      <c r="K18" s="4"/>
      <c r="L18" s="4">
        <f t="shared" ref="L18:L21" si="7">+D18-H18</f>
        <v>-11738</v>
      </c>
      <c r="M18" s="4"/>
      <c r="N18" s="13">
        <f t="shared" ref="N18:N21" si="8">IF(H18=0,0,L18/H18)</f>
        <v>-0.76799267207537292</v>
      </c>
      <c r="O18" s="10"/>
      <c r="P18" s="4">
        <f>SUM(OSRRefP16x_0)</f>
        <v>849805.54999999993</v>
      </c>
      <c r="Q18" s="4"/>
      <c r="R18" s="13">
        <f t="shared" ref="R18:R21" si="9">IF(P$12=0,0,P18/P$12)</f>
        <v>0.25644786382889634</v>
      </c>
      <c r="S18" s="4"/>
      <c r="T18" s="4">
        <f>SUM(OSRRefT16x_0)</f>
        <v>1149738</v>
      </c>
      <c r="U18" s="4"/>
      <c r="V18" s="13">
        <f t="shared" ref="V18:V21" si="10">IF(T$12=0,0,T18/T$12)</f>
        <v>0.27446159252167601</v>
      </c>
      <c r="W18" s="4"/>
      <c r="X18" s="4">
        <f t="shared" ref="X18:X21" si="11">+P18-T18</f>
        <v>-299932.45000000007</v>
      </c>
      <c r="Y18" s="4"/>
      <c r="Z18" s="13">
        <f t="shared" ref="Z18:Z21" si="12">IF(T18=0,0,X18/T18)</f>
        <v>-0.26087025913729917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15284</v>
      </c>
      <c r="I19" s="2"/>
      <c r="J19" s="19">
        <f t="shared" si="6"/>
        <v>0.34998855049232885</v>
      </c>
      <c r="K19" s="2"/>
      <c r="L19" s="2">
        <f t="shared" si="7"/>
        <v>-15284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1149738</v>
      </c>
      <c r="U19" s="2"/>
      <c r="V19" s="19">
        <f t="shared" si="10"/>
        <v>0.27446159252167601</v>
      </c>
      <c r="W19" s="2"/>
      <c r="X19" s="2">
        <f t="shared" si="11"/>
        <v>-1149738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830847.79999999993</v>
      </c>
      <c r="Q20" s="2"/>
      <c r="R20" s="19">
        <f t="shared" si="9"/>
        <v>0.25072693803534007</v>
      </c>
      <c r="S20" s="2"/>
      <c r="T20" s="2"/>
      <c r="U20" s="2"/>
      <c r="V20" s="19">
        <f t="shared" si="10"/>
        <v>0</v>
      </c>
      <c r="W20" s="2"/>
      <c r="X20" s="2">
        <f t="shared" si="11"/>
        <v>830847.79999999993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3546</v>
      </c>
      <c r="E21" s="2"/>
      <c r="F21" s="19">
        <f t="shared" si="5"/>
        <v>-5.3175376771387867E-2</v>
      </c>
      <c r="G21" s="2"/>
      <c r="H21" s="2"/>
      <c r="I21" s="2"/>
      <c r="J21" s="19">
        <f t="shared" si="6"/>
        <v>0</v>
      </c>
      <c r="K21" s="2"/>
      <c r="L21" s="2">
        <f t="shared" si="7"/>
        <v>3546</v>
      </c>
      <c r="M21" s="2"/>
      <c r="N21" s="19">
        <f t="shared" si="8"/>
        <v>0</v>
      </c>
      <c r="O21" s="11"/>
      <c r="P21" s="2">
        <v>18957.75</v>
      </c>
      <c r="Q21" s="2"/>
      <c r="R21" s="19">
        <f t="shared" si="9"/>
        <v>5.7209257935562545E-3</v>
      </c>
      <c r="S21" s="2"/>
      <c r="T21" s="2"/>
      <c r="U21" s="2"/>
      <c r="V21" s="19">
        <f t="shared" si="10"/>
        <v>0</v>
      </c>
      <c r="W21" s="2"/>
      <c r="X21" s="2">
        <f t="shared" si="11"/>
        <v>18957.75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-70231</v>
      </c>
      <c r="E23" s="14"/>
      <c r="F23" s="20">
        <f>IF(D$12=0,0,D23/D$12)</f>
        <v>1.0531753767713878</v>
      </c>
      <c r="G23" s="14"/>
      <c r="H23" s="22">
        <f>H12-H18</f>
        <v>28386</v>
      </c>
      <c r="I23" s="14"/>
      <c r="J23" s="20">
        <f>IF(H$12=0,0,H23/H$12)</f>
        <v>0.6500114495076712</v>
      </c>
      <c r="K23" s="15"/>
      <c r="L23" s="22">
        <f>+D23-H23</f>
        <v>-98617</v>
      </c>
      <c r="M23" s="15"/>
      <c r="N23" s="20">
        <f>IF(H23=0,0,L23/H23)</f>
        <v>-3.4741421827661525</v>
      </c>
      <c r="O23" s="28"/>
      <c r="P23" s="22">
        <f>P12-P18</f>
        <v>2463950.0700000003</v>
      </c>
      <c r="Q23" s="14"/>
      <c r="R23" s="20">
        <f>IF(P$12=0,0,P23/P$12)</f>
        <v>0.74355213617110372</v>
      </c>
      <c r="S23" s="14"/>
      <c r="T23" s="22">
        <f>T12-T18</f>
        <v>3039329.0000000005</v>
      </c>
      <c r="U23" s="14"/>
      <c r="V23" s="20">
        <f>IF(T$12=0,0,T23/T$12)</f>
        <v>0.72553840747832399</v>
      </c>
      <c r="W23" s="15"/>
      <c r="X23" s="22">
        <f>+P23-T23</f>
        <v>-575378.93000000017</v>
      </c>
      <c r="Y23" s="15"/>
      <c r="Z23" s="20">
        <f>IF(T23=0,0,X23/T23)</f>
        <v>-0.18931117032739794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42456.049999999996</v>
      </c>
      <c r="E25" s="21"/>
      <c r="F25" s="32">
        <f t="shared" ref="F25:F36" si="13">IF(D$12=0,0,D25/D$12)</f>
        <v>-0.63666566694159099</v>
      </c>
      <c r="G25" s="21"/>
      <c r="H25" s="21">
        <f>SUM(OSRRefH22x_0)</f>
        <v>120960.54024070463</v>
      </c>
      <c r="I25" s="21"/>
      <c r="J25" s="32">
        <f t="shared" ref="J25:J36" si="14">IF(H$12=0,0,H25/H$12)</f>
        <v>2.7698772667896643</v>
      </c>
      <c r="K25" s="4"/>
      <c r="L25" s="21">
        <f t="shared" ref="L25:L36" si="15">+D25-H25</f>
        <v>-78504.490240704647</v>
      </c>
      <c r="M25" s="4"/>
      <c r="N25" s="32">
        <f t="shared" ref="N25:N36" si="16">IF(H25=0,0,L25/H25)</f>
        <v>-0.64900909077030533</v>
      </c>
      <c r="O25" s="10"/>
      <c r="P25" s="21">
        <f>SUM(OSRRefP22x_0)</f>
        <v>1753369</v>
      </c>
      <c r="Q25" s="21"/>
      <c r="R25" s="32">
        <f t="shared" ref="R25:R36" si="17">IF(P$12=0,0,P25/P$12)</f>
        <v>0.52911837837939302</v>
      </c>
      <c r="S25" s="21"/>
      <c r="T25" s="21">
        <f>SUM(OSRRefT22x_0)</f>
        <v>2139209.78872984</v>
      </c>
      <c r="U25" s="21"/>
      <c r="V25" s="32">
        <f t="shared" ref="V25:V36" si="18">IF(T$12=0,0,T25/T$12)</f>
        <v>0.51066497354419005</v>
      </c>
      <c r="W25" s="4"/>
      <c r="X25" s="21">
        <f t="shared" ref="X25:X36" si="19">+P25-T25</f>
        <v>-385840.78872983996</v>
      </c>
      <c r="Y25" s="4"/>
      <c r="Z25" s="32">
        <f t="shared" ref="Z25:Z36" si="20">IF(T25=0,0,X25/T25)</f>
        <v>-0.18036603551582181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24331.479999999996</v>
      </c>
      <c r="E26" s="1"/>
      <c r="F26" s="5">
        <f t="shared" si="13"/>
        <v>-0.36487186023843438</v>
      </c>
      <c r="G26" s="1"/>
      <c r="H26" s="1">
        <f>SUM(OSRRefH22_0x_0)</f>
        <v>29878.256159781526</v>
      </c>
      <c r="I26" s="1"/>
      <c r="J26" s="5">
        <f t="shared" si="14"/>
        <v>0.68418264620521008</v>
      </c>
      <c r="K26" s="1"/>
      <c r="L26" s="1">
        <f t="shared" si="15"/>
        <v>-5546.7761597815297</v>
      </c>
      <c r="M26" s="1"/>
      <c r="N26" s="5">
        <f t="shared" si="16"/>
        <v>-0.18564591354056081</v>
      </c>
      <c r="O26" s="12"/>
      <c r="P26" s="1">
        <f>SUM(OSRRefP22_0x_0)</f>
        <v>372049.08</v>
      </c>
      <c r="Q26" s="1"/>
      <c r="R26" s="5">
        <f t="shared" si="17"/>
        <v>0.11227414530948424</v>
      </c>
      <c r="S26" s="1"/>
      <c r="T26" s="1">
        <f>SUM(OSRRefT22_0x_0)</f>
        <v>388065.99006384006</v>
      </c>
      <c r="U26" s="1"/>
      <c r="V26" s="5">
        <f t="shared" si="18"/>
        <v>9.2637809341278146E-2</v>
      </c>
      <c r="W26" s="1"/>
      <c r="X26" s="1">
        <f t="shared" si="19"/>
        <v>-16016.910063840041</v>
      </c>
      <c r="Y26" s="1"/>
      <c r="Z26" s="5">
        <f t="shared" si="20"/>
        <v>-4.1273676317796174E-2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2489.33</v>
      </c>
      <c r="E27" s="2"/>
      <c r="F27" s="7">
        <f t="shared" si="13"/>
        <v>-3.7329684336807376E-2</v>
      </c>
      <c r="G27" s="2"/>
      <c r="H27" s="6">
        <v>4310.8174205630803</v>
      </c>
      <c r="I27" s="2"/>
      <c r="J27" s="7">
        <f t="shared" si="14"/>
        <v>9.8713474251501718E-2</v>
      </c>
      <c r="K27" s="2"/>
      <c r="L27" s="6">
        <f t="shared" si="15"/>
        <v>-1821.4874205630804</v>
      </c>
      <c r="M27" s="2"/>
      <c r="N27" s="7">
        <f t="shared" si="16"/>
        <v>-0.42253875375801864</v>
      </c>
      <c r="O27" s="11"/>
      <c r="P27" s="6">
        <v>51185.29</v>
      </c>
      <c r="Q27" s="2"/>
      <c r="R27" s="7">
        <f t="shared" si="17"/>
        <v>1.5446308017125293E-2</v>
      </c>
      <c r="S27" s="2"/>
      <c r="T27" s="6">
        <v>43970.804659320042</v>
      </c>
      <c r="U27" s="2"/>
      <c r="V27" s="7">
        <f t="shared" si="18"/>
        <v>1.0496562757129461E-2</v>
      </c>
      <c r="W27" s="2"/>
      <c r="X27" s="6">
        <f t="shared" si="19"/>
        <v>7214.4853406799593</v>
      </c>
      <c r="Y27" s="2"/>
      <c r="Z27" s="7">
        <f t="shared" si="20"/>
        <v>0.16407444431769749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1262.07</v>
      </c>
      <c r="E28" s="2"/>
      <c r="F28" s="7">
        <f t="shared" si="13"/>
        <v>-1.8925845392517057E-2</v>
      </c>
      <c r="G28" s="2"/>
      <c r="H28" s="6">
        <v>2766.95829517538</v>
      </c>
      <c r="I28" s="2"/>
      <c r="J28" s="7">
        <f t="shared" si="14"/>
        <v>6.3360620452836733E-2</v>
      </c>
      <c r="K28" s="2"/>
      <c r="L28" s="6">
        <f t="shared" si="15"/>
        <v>-1504.8882951753801</v>
      </c>
      <c r="M28" s="2"/>
      <c r="N28" s="7">
        <f t="shared" si="16"/>
        <v>-0.54387819932067127</v>
      </c>
      <c r="O28" s="11"/>
      <c r="P28" s="6">
        <v>33455.5</v>
      </c>
      <c r="Q28" s="2"/>
      <c r="R28" s="7">
        <f t="shared" si="17"/>
        <v>1.0095946664890153E-2</v>
      </c>
      <c r="S28" s="2"/>
      <c r="T28" s="6">
        <v>46052.742061839977</v>
      </c>
      <c r="U28" s="2"/>
      <c r="V28" s="7">
        <f t="shared" si="18"/>
        <v>1.0993555859058824E-2</v>
      </c>
      <c r="W28" s="2"/>
      <c r="X28" s="6">
        <f t="shared" si="19"/>
        <v>-12597.242061839977</v>
      </c>
      <c r="Y28" s="2"/>
      <c r="Z28" s="7">
        <f t="shared" si="20"/>
        <v>-0.27353945710603517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16509.649999999998</v>
      </c>
      <c r="E29" s="2"/>
      <c r="F29" s="7">
        <f t="shared" si="13"/>
        <v>-0.24757666641673537</v>
      </c>
      <c r="G29" s="2"/>
      <c r="H29" s="6">
        <v>16958.384615384599</v>
      </c>
      <c r="I29" s="2"/>
      <c r="J29" s="7">
        <f t="shared" si="14"/>
        <v>0.38833030948899927</v>
      </c>
      <c r="K29" s="2"/>
      <c r="L29" s="6">
        <f t="shared" si="15"/>
        <v>-448.73461538460106</v>
      </c>
      <c r="M29" s="2"/>
      <c r="N29" s="7">
        <f t="shared" si="16"/>
        <v>-2.6460929243078392E-2</v>
      </c>
      <c r="O29" s="11"/>
      <c r="P29" s="6">
        <v>210134.7</v>
      </c>
      <c r="Q29" s="2"/>
      <c r="R29" s="7">
        <f t="shared" si="17"/>
        <v>6.3412853600833735E-2</v>
      </c>
      <c r="S29" s="2"/>
      <c r="T29" s="6">
        <v>215124</v>
      </c>
      <c r="U29" s="2"/>
      <c r="V29" s="7">
        <f t="shared" si="18"/>
        <v>5.1353678516003677E-2</v>
      </c>
      <c r="W29" s="2"/>
      <c r="X29" s="6">
        <f t="shared" si="19"/>
        <v>-4989.2999999999884</v>
      </c>
      <c r="Y29" s="2"/>
      <c r="Z29" s="7">
        <f t="shared" si="20"/>
        <v>-2.3192670273888494E-2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-2535.62</v>
      </c>
      <c r="E30" s="2"/>
      <c r="F30" s="7">
        <f t="shared" si="13"/>
        <v>3.8023843443053158E-2</v>
      </c>
      <c r="G30" s="2"/>
      <c r="H30" s="6">
        <v>185.41473112</v>
      </c>
      <c r="I30" s="2"/>
      <c r="J30" s="7">
        <f t="shared" si="14"/>
        <v>4.2458147726127772E-3</v>
      </c>
      <c r="K30" s="2"/>
      <c r="L30" s="6">
        <f t="shared" si="15"/>
        <v>-2721.0347311199998</v>
      </c>
      <c r="M30" s="2"/>
      <c r="N30" s="7">
        <f t="shared" si="16"/>
        <v>-14.67539668872886</v>
      </c>
      <c r="O30" s="11"/>
      <c r="P30" s="6">
        <v>0</v>
      </c>
      <c r="Q30" s="2"/>
      <c r="R30" s="7">
        <f t="shared" si="17"/>
        <v>0</v>
      </c>
      <c r="S30" s="2"/>
      <c r="T30" s="6">
        <v>3086.00848868</v>
      </c>
      <c r="U30" s="2"/>
      <c r="V30" s="7">
        <f t="shared" si="18"/>
        <v>7.3668157818435455E-4</v>
      </c>
      <c r="W30" s="2"/>
      <c r="X30" s="6">
        <f t="shared" si="19"/>
        <v>-3086.00848868</v>
      </c>
      <c r="Y30" s="2"/>
      <c r="Z30" s="7">
        <f t="shared" si="20"/>
        <v>-1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1334.66</v>
      </c>
      <c r="E31" s="2"/>
      <c r="F31" s="7">
        <f t="shared" si="13"/>
        <v>-2.0014396041088702E-2</v>
      </c>
      <c r="G31" s="2"/>
      <c r="H31" s="6">
        <v>1267.60705538462</v>
      </c>
      <c r="I31" s="2"/>
      <c r="J31" s="7">
        <f t="shared" si="14"/>
        <v>2.9026953409311197E-2</v>
      </c>
      <c r="K31" s="2"/>
      <c r="L31" s="6">
        <f t="shared" si="15"/>
        <v>67.052944615380056</v>
      </c>
      <c r="M31" s="2"/>
      <c r="N31" s="7">
        <f t="shared" si="16"/>
        <v>5.2897263651656395E-2</v>
      </c>
      <c r="O31" s="11"/>
      <c r="P31" s="6">
        <v>16454.14</v>
      </c>
      <c r="Q31" s="2"/>
      <c r="R31" s="7">
        <f t="shared" si="17"/>
        <v>4.9654053849631794E-3</v>
      </c>
      <c r="S31" s="2"/>
      <c r="T31" s="6">
        <v>16478.89172000004</v>
      </c>
      <c r="U31" s="2"/>
      <c r="V31" s="7">
        <f t="shared" si="18"/>
        <v>3.933785666354832E-3</v>
      </c>
      <c r="W31" s="2"/>
      <c r="X31" s="6">
        <f t="shared" si="19"/>
        <v>-24.751720000040223</v>
      </c>
      <c r="Y31" s="2"/>
      <c r="Z31" s="7">
        <f t="shared" si="20"/>
        <v>-1.5020257685169232E-3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548.91</v>
      </c>
      <c r="E33" s="2"/>
      <c r="F33" s="7">
        <f t="shared" si="13"/>
        <v>-8.2313863687485944E-3</v>
      </c>
      <c r="G33" s="2"/>
      <c r="H33" s="6"/>
      <c r="I33" s="2"/>
      <c r="J33" s="7">
        <f t="shared" si="14"/>
        <v>0</v>
      </c>
      <c r="K33" s="2"/>
      <c r="L33" s="6">
        <f t="shared" si="15"/>
        <v>548.91</v>
      </c>
      <c r="M33" s="2"/>
      <c r="N33" s="7">
        <f t="shared" si="16"/>
        <v>0</v>
      </c>
      <c r="O33" s="11"/>
      <c r="P33" s="6">
        <v>8419.14</v>
      </c>
      <c r="Q33" s="2"/>
      <c r="R33" s="7">
        <f t="shared" si="17"/>
        <v>2.5406641181343359E-3</v>
      </c>
      <c r="S33" s="2"/>
      <c r="T33" s="6"/>
      <c r="U33" s="2"/>
      <c r="V33" s="7">
        <f t="shared" si="18"/>
        <v>0</v>
      </c>
      <c r="W33" s="2"/>
      <c r="X33" s="6">
        <f t="shared" si="19"/>
        <v>8419.14</v>
      </c>
      <c r="Y33" s="2"/>
      <c r="Z33" s="7">
        <f t="shared" si="20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2366.1799999999998</v>
      </c>
      <c r="E34" s="2"/>
      <c r="F34" s="7">
        <f t="shared" si="13"/>
        <v>-3.5482942190897503E-2</v>
      </c>
      <c r="G34" s="2"/>
      <c r="H34" s="6">
        <v>1124.5099476923101</v>
      </c>
      <c r="I34" s="2"/>
      <c r="J34" s="7">
        <f t="shared" si="14"/>
        <v>2.5750170544820473E-2</v>
      </c>
      <c r="K34" s="2"/>
      <c r="L34" s="6">
        <f t="shared" si="15"/>
        <v>1241.6700523076897</v>
      </c>
      <c r="M34" s="2"/>
      <c r="N34" s="7">
        <f t="shared" si="16"/>
        <v>1.1041876995893301</v>
      </c>
      <c r="O34" s="11"/>
      <c r="P34" s="6">
        <v>34542.700000000004</v>
      </c>
      <c r="Q34" s="2"/>
      <c r="R34" s="7">
        <f t="shared" si="17"/>
        <v>1.0424033622612159E-2</v>
      </c>
      <c r="S34" s="2"/>
      <c r="T34" s="6">
        <v>14618.62932</v>
      </c>
      <c r="U34" s="2"/>
      <c r="V34" s="7">
        <f t="shared" si="18"/>
        <v>3.4897100762532559E-3</v>
      </c>
      <c r="W34" s="2"/>
      <c r="X34" s="6">
        <f t="shared" si="19"/>
        <v>19924.070680000004</v>
      </c>
      <c r="Y34" s="2"/>
      <c r="Z34" s="7">
        <f t="shared" si="20"/>
        <v>1.3629233113354573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1504</v>
      </c>
      <c r="E35" s="2"/>
      <c r="F35" s="7">
        <f t="shared" si="13"/>
        <v>-2.255379770563095E-2</v>
      </c>
      <c r="G35" s="2"/>
      <c r="H35" s="6">
        <v>1764.56409446154</v>
      </c>
      <c r="I35" s="2"/>
      <c r="J35" s="7">
        <f t="shared" si="14"/>
        <v>4.0406780271617586E-2</v>
      </c>
      <c r="K35" s="2"/>
      <c r="L35" s="6">
        <f t="shared" si="15"/>
        <v>-260.56409446153998</v>
      </c>
      <c r="M35" s="2"/>
      <c r="N35" s="7">
        <f t="shared" si="16"/>
        <v>-0.14766485121134215</v>
      </c>
      <c r="O35" s="11"/>
      <c r="P35" s="6">
        <v>3302.8</v>
      </c>
      <c r="Q35" s="2"/>
      <c r="R35" s="7">
        <f t="shared" si="17"/>
        <v>9.9669389621435023E-4</v>
      </c>
      <c r="S35" s="2"/>
      <c r="T35" s="6">
        <v>30734.913814000003</v>
      </c>
      <c r="U35" s="2"/>
      <c r="V35" s="7">
        <f t="shared" si="18"/>
        <v>7.3369353638889044E-3</v>
      </c>
      <c r="W35" s="2"/>
      <c r="X35" s="6">
        <f t="shared" si="19"/>
        <v>-27432.113814000004</v>
      </c>
      <c r="Y35" s="2"/>
      <c r="Z35" s="7">
        <f t="shared" si="20"/>
        <v>-0.89253914880036045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852.3</v>
      </c>
      <c r="E36" s="2"/>
      <c r="F36" s="7">
        <f t="shared" si="13"/>
        <v>-1.2780985229062007E-2</v>
      </c>
      <c r="G36" s="2"/>
      <c r="H36" s="6">
        <v>1500</v>
      </c>
      <c r="I36" s="2"/>
      <c r="J36" s="7">
        <f t="shared" si="14"/>
        <v>3.4348523013510421E-2</v>
      </c>
      <c r="K36" s="2"/>
      <c r="L36" s="6">
        <f t="shared" si="15"/>
        <v>-647.70000000000005</v>
      </c>
      <c r="M36" s="2"/>
      <c r="N36" s="7">
        <f t="shared" si="16"/>
        <v>-0.43180000000000002</v>
      </c>
      <c r="O36" s="11"/>
      <c r="P36" s="6">
        <v>14554.81</v>
      </c>
      <c r="Q36" s="2"/>
      <c r="R36" s="7">
        <f t="shared" si="17"/>
        <v>4.3922400047110288E-3</v>
      </c>
      <c r="S36" s="2"/>
      <c r="T36" s="6">
        <v>18000</v>
      </c>
      <c r="U36" s="2"/>
      <c r="V36" s="7">
        <f t="shared" si="18"/>
        <v>4.2968995244048371E-3</v>
      </c>
      <c r="W36" s="2"/>
      <c r="X36" s="6">
        <f t="shared" si="19"/>
        <v>-3445.1900000000005</v>
      </c>
      <c r="Y36" s="2"/>
      <c r="Z36" s="7">
        <f t="shared" si="20"/>
        <v>-0.19139944444444448</v>
      </c>
    </row>
    <row r="37" spans="1:26" s="26" customFormat="1" outlineLevel="1" collapsed="1" x14ac:dyDescent="0.25">
      <c r="A37" s="25"/>
      <c r="B37" s="12" t="str">
        <f>CONCATENATE("     ","*Payroll                                          ")</f>
        <v xml:space="preserve">     *Payroll                                          </v>
      </c>
      <c r="C37" s="12"/>
      <c r="D37" s="1">
        <f>SUM(OSRRefD22_1x_0)</f>
        <v>21975.620000000003</v>
      </c>
      <c r="E37" s="1"/>
      <c r="F37" s="5">
        <f t="shared" ref="F37:F47" si="21">IF(D$12=0,0,D37/D$12)</f>
        <v>-0.32954367548924052</v>
      </c>
      <c r="G37" s="1"/>
      <c r="H37" s="1">
        <f>SUM(OSRRefH22_1x_0)</f>
        <v>68424.284080923098</v>
      </c>
      <c r="I37" s="1"/>
      <c r="J37" s="5">
        <f t="shared" ref="J37:J47" si="22">IF(H$12=0,0,H37/H$12)</f>
        <v>1.5668487309577077</v>
      </c>
      <c r="K37" s="1"/>
      <c r="L37" s="1">
        <f t="shared" ref="L37:L47" si="23">+D37-H37</f>
        <v>-46448.664080923096</v>
      </c>
      <c r="M37" s="1"/>
      <c r="N37" s="5">
        <f t="shared" ref="N37:N47" si="24">IF(H37=0,0,L37/H37)</f>
        <v>-0.67883302989315641</v>
      </c>
      <c r="O37" s="12"/>
      <c r="P37" s="1">
        <f>SUM(OSRRefP22_1x_0)</f>
        <v>935181.37</v>
      </c>
      <c r="Q37" s="1"/>
      <c r="R37" s="5">
        <f t="shared" ref="R37:R47" si="25">IF(P$12=0,0,P37/P$12)</f>
        <v>0.28221193028108693</v>
      </c>
      <c r="S37" s="1"/>
      <c r="T37" s="1">
        <f>SUM(OSRRefT22_1x_0)</f>
        <v>1141572.7986660001</v>
      </c>
      <c r="U37" s="1"/>
      <c r="V37" s="5">
        <f t="shared" ref="V37:V47" si="26">IF(T$12=0,0,T37/T$12)</f>
        <v>0.27251242309230195</v>
      </c>
      <c r="W37" s="1"/>
      <c r="X37" s="1">
        <f t="shared" ref="X37:X47" si="27">+P37-T37</f>
        <v>-206391.42866600014</v>
      </c>
      <c r="Y37" s="1"/>
      <c r="Z37" s="5">
        <f t="shared" ref="Z37:Z47" si="28">IF(T37=0,0,X37/T37)</f>
        <v>-0.18079567847725658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12601.86</v>
      </c>
      <c r="E39" s="2"/>
      <c r="F39" s="7">
        <f t="shared" si="21"/>
        <v>-0.18897593161880483</v>
      </c>
      <c r="G39" s="2"/>
      <c r="H39" s="6">
        <v>14002.6360769231</v>
      </c>
      <c r="I39" s="2"/>
      <c r="J39" s="7">
        <f t="shared" si="22"/>
        <v>0.32064657835866955</v>
      </c>
      <c r="K39" s="2"/>
      <c r="L39" s="6">
        <f t="shared" si="23"/>
        <v>-1400.776076923099</v>
      </c>
      <c r="M39" s="2"/>
      <c r="N39" s="7">
        <f t="shared" si="24"/>
        <v>-0.10003659805396455</v>
      </c>
      <c r="O39" s="11"/>
      <c r="P39" s="6">
        <v>172840.85</v>
      </c>
      <c r="Q39" s="2"/>
      <c r="R39" s="7">
        <f t="shared" si="25"/>
        <v>5.2158598828721113E-2</v>
      </c>
      <c r="S39" s="2"/>
      <c r="T39" s="6">
        <v>182034.269</v>
      </c>
      <c r="U39" s="2"/>
      <c r="V39" s="7">
        <f t="shared" si="26"/>
        <v>4.3454609105082344E-2</v>
      </c>
      <c r="W39" s="2"/>
      <c r="X39" s="6">
        <f t="shared" si="27"/>
        <v>-9193.4189999999944</v>
      </c>
      <c r="Y39" s="2"/>
      <c r="Z39" s="7">
        <f t="shared" si="28"/>
        <v>-5.0503781790669285E-2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9373.76</v>
      </c>
      <c r="E41" s="2"/>
      <c r="F41" s="7">
        <f t="shared" si="21"/>
        <v>-0.14056774387043564</v>
      </c>
      <c r="G41" s="2"/>
      <c r="H41" s="6">
        <v>21606.845600000001</v>
      </c>
      <c r="I41" s="2"/>
      <c r="J41" s="7">
        <f t="shared" si="22"/>
        <v>0.49477548889397754</v>
      </c>
      <c r="K41" s="2"/>
      <c r="L41" s="6">
        <f t="shared" si="23"/>
        <v>-12233.0856</v>
      </c>
      <c r="M41" s="2"/>
      <c r="N41" s="7">
        <f t="shared" si="24"/>
        <v>-0.5661671225160233</v>
      </c>
      <c r="O41" s="11"/>
      <c r="P41" s="6">
        <v>230880.56000000003</v>
      </c>
      <c r="Q41" s="2"/>
      <c r="R41" s="7">
        <f t="shared" si="25"/>
        <v>6.9673381647859717E-2</v>
      </c>
      <c r="S41" s="2"/>
      <c r="T41" s="6">
        <v>280888.99280000001</v>
      </c>
      <c r="U41" s="2"/>
      <c r="V41" s="7">
        <f t="shared" si="26"/>
        <v>6.7052876642937437E-2</v>
      </c>
      <c r="W41" s="2"/>
      <c r="X41" s="6">
        <f t="shared" si="27"/>
        <v>-50008.43279999998</v>
      </c>
      <c r="Y41" s="2"/>
      <c r="Z41" s="7">
        <f t="shared" si="28"/>
        <v>-0.17803628508720964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1"/>
        <v>0</v>
      </c>
      <c r="G42" s="2"/>
      <c r="H42" s="6">
        <v>14535.346404</v>
      </c>
      <c r="I42" s="2"/>
      <c r="J42" s="7">
        <f t="shared" si="22"/>
        <v>0.3328451203114266</v>
      </c>
      <c r="K42" s="2"/>
      <c r="L42" s="6">
        <f t="shared" si="23"/>
        <v>-14535.346404</v>
      </c>
      <c r="M42" s="2"/>
      <c r="N42" s="7">
        <f t="shared" si="24"/>
        <v>-1</v>
      </c>
      <c r="O42" s="11"/>
      <c r="P42" s="6">
        <v>146126.22999999998</v>
      </c>
      <c r="Q42" s="2"/>
      <c r="R42" s="7">
        <f t="shared" si="25"/>
        <v>4.4096863727084372E-2</v>
      </c>
      <c r="S42" s="2"/>
      <c r="T42" s="6">
        <v>226329.38006600001</v>
      </c>
      <c r="U42" s="2"/>
      <c r="V42" s="7">
        <f t="shared" si="26"/>
        <v>5.4028589198024279E-2</v>
      </c>
      <c r="W42" s="2"/>
      <c r="X42" s="6">
        <f t="shared" si="27"/>
        <v>-80203.150066000031</v>
      </c>
      <c r="Y42" s="2"/>
      <c r="Z42" s="7">
        <f t="shared" si="28"/>
        <v>-0.35436473180199562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13546.1</v>
      </c>
      <c r="Q43" s="2"/>
      <c r="R43" s="7">
        <f t="shared" si="25"/>
        <v>4.087839162985712E-3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13546.1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/>
      <c r="E44" s="2"/>
      <c r="F44" s="7">
        <f t="shared" si="21"/>
        <v>0</v>
      </c>
      <c r="G44" s="2"/>
      <c r="H44" s="6">
        <v>18279.455999999998</v>
      </c>
      <c r="I44" s="2"/>
      <c r="J44" s="7">
        <f t="shared" si="22"/>
        <v>0.41858154339363401</v>
      </c>
      <c r="K44" s="2"/>
      <c r="L44" s="6">
        <f t="shared" si="23"/>
        <v>-18279.455999999998</v>
      </c>
      <c r="M44" s="2"/>
      <c r="N44" s="7">
        <f t="shared" si="24"/>
        <v>-1</v>
      </c>
      <c r="O44" s="11"/>
      <c r="P44" s="6">
        <v>291246.51</v>
      </c>
      <c r="Q44" s="2"/>
      <c r="R44" s="7">
        <f t="shared" si="25"/>
        <v>8.7890159504278711E-2</v>
      </c>
      <c r="S44" s="2"/>
      <c r="T44" s="6">
        <v>84650.736000000004</v>
      </c>
      <c r="U44" s="2"/>
      <c r="V44" s="7">
        <f t="shared" si="26"/>
        <v>2.020753929216219E-2</v>
      </c>
      <c r="W44" s="2"/>
      <c r="X44" s="6">
        <f t="shared" si="27"/>
        <v>206595.774</v>
      </c>
      <c r="Y44" s="2"/>
      <c r="Z44" s="7">
        <f t="shared" si="28"/>
        <v>2.4405667778245896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80541.119999999995</v>
      </c>
      <c r="Q45" s="2"/>
      <c r="R45" s="7">
        <f t="shared" si="25"/>
        <v>2.43050874101573E-2</v>
      </c>
      <c r="S45" s="2"/>
      <c r="T45" s="6">
        <v>367669.42080000002</v>
      </c>
      <c r="U45" s="2"/>
      <c r="V45" s="7">
        <f t="shared" si="26"/>
        <v>8.7768808854095673E-2</v>
      </c>
      <c r="W45" s="2"/>
      <c r="X45" s="6">
        <f t="shared" si="27"/>
        <v>-287128.30080000003</v>
      </c>
      <c r="Y45" s="2"/>
      <c r="Z45" s="7">
        <f t="shared" si="28"/>
        <v>-0.78094147774173561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6" customFormat="1" outlineLevel="1" collapsed="1" x14ac:dyDescent="0.25">
      <c r="A48" s="25"/>
      <c r="B48" s="12" t="str">
        <f>CONCATENATE("     ","Advertising/Promo                                 ")</f>
        <v xml:space="preserve">     Advertising/Promo                                 </v>
      </c>
      <c r="C48" s="12"/>
      <c r="D48" s="1">
        <f>SUM(OSRRefD22_2x_0)</f>
        <v>0</v>
      </c>
      <c r="E48" s="1"/>
      <c r="F48" s="5">
        <f t="shared" ref="F48:F69" si="29">IF(D$12=0,0,D48/D$12)</f>
        <v>0</v>
      </c>
      <c r="G48" s="1"/>
      <c r="H48" s="1">
        <f>SUM(OSRRefH22_2x_0)</f>
        <v>100</v>
      </c>
      <c r="I48" s="1"/>
      <c r="J48" s="5">
        <f t="shared" ref="J48:J69" si="30">IF(H$12=0,0,H48/H$12)</f>
        <v>2.2899015342340281E-3</v>
      </c>
      <c r="K48" s="1"/>
      <c r="L48" s="1">
        <f t="shared" ref="L48:L69" si="31">+D48-H48</f>
        <v>-100</v>
      </c>
      <c r="M48" s="1"/>
      <c r="N48" s="5">
        <f t="shared" ref="N48:N69" si="32">IF(H48=0,0,L48/H48)</f>
        <v>-1</v>
      </c>
      <c r="O48" s="12"/>
      <c r="P48" s="1">
        <f>SUM(OSRRefP22_2x_0)</f>
        <v>2628.74</v>
      </c>
      <c r="Q48" s="1"/>
      <c r="R48" s="5">
        <f t="shared" ref="R48:R69" si="33">IF(P$12=0,0,P48/P$12)</f>
        <v>7.9328118951632273E-4</v>
      </c>
      <c r="S48" s="1"/>
      <c r="T48" s="1">
        <f>SUM(OSRRefT22_2x_0)</f>
        <v>3900</v>
      </c>
      <c r="U48" s="1"/>
      <c r="V48" s="5">
        <f t="shared" ref="V48:V69" si="34">IF(T$12=0,0,T48/T$12)</f>
        <v>9.3099489695438141E-4</v>
      </c>
      <c r="W48" s="1"/>
      <c r="X48" s="1">
        <f t="shared" ref="X48:X69" si="35">+P48-T48</f>
        <v>-1271.2600000000002</v>
      </c>
      <c r="Y48" s="1"/>
      <c r="Z48" s="5">
        <f t="shared" ref="Z48:Z69" si="36">IF(T48=0,0,X48/T48)</f>
        <v>-0.32596410256410263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9"/>
        <v>0</v>
      </c>
      <c r="G49" s="2"/>
      <c r="H49" s="6">
        <v>100</v>
      </c>
      <c r="I49" s="2"/>
      <c r="J49" s="7">
        <f t="shared" si="30"/>
        <v>2.2899015342340281E-3</v>
      </c>
      <c r="K49" s="2"/>
      <c r="L49" s="6">
        <f t="shared" si="31"/>
        <v>-100</v>
      </c>
      <c r="M49" s="2"/>
      <c r="N49" s="7">
        <f t="shared" si="32"/>
        <v>-1</v>
      </c>
      <c r="O49" s="11"/>
      <c r="P49" s="6">
        <v>2628.74</v>
      </c>
      <c r="Q49" s="2"/>
      <c r="R49" s="7">
        <f t="shared" si="33"/>
        <v>7.9328118951632273E-4</v>
      </c>
      <c r="S49" s="2"/>
      <c r="T49" s="6">
        <v>3900</v>
      </c>
      <c r="U49" s="2"/>
      <c r="V49" s="7">
        <f t="shared" si="34"/>
        <v>9.3099489695438141E-4</v>
      </c>
      <c r="W49" s="2"/>
      <c r="X49" s="6">
        <f t="shared" si="35"/>
        <v>-1271.2600000000002</v>
      </c>
      <c r="Y49" s="2"/>
      <c r="Z49" s="7">
        <f t="shared" si="36"/>
        <v>-0.32596410256410263</v>
      </c>
    </row>
    <row r="50" spans="1:26" s="26" customFormat="1" outlineLevel="1" collapsed="1" x14ac:dyDescent="0.25">
      <c r="A50" s="25"/>
      <c r="B50" s="12" t="str">
        <f>CONCATENATE("     ","Bad Debts/Over/Short                              ")</f>
        <v xml:space="preserve">     Bad Debts/Over/Short                              </v>
      </c>
      <c r="C50" s="12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8</v>
      </c>
      <c r="I50" s="1"/>
      <c r="J50" s="5">
        <f t="shared" si="30"/>
        <v>1.8319212273872223E-4</v>
      </c>
      <c r="K50" s="1"/>
      <c r="L50" s="1">
        <f t="shared" si="31"/>
        <v>-8</v>
      </c>
      <c r="M50" s="1"/>
      <c r="N50" s="5">
        <f t="shared" si="32"/>
        <v>-1</v>
      </c>
      <c r="O50" s="12"/>
      <c r="P50" s="1">
        <f>SUM(OSRRefP22_3x_0)</f>
        <v>16.690000000000001</v>
      </c>
      <c r="Q50" s="1"/>
      <c r="R50" s="5">
        <f t="shared" si="33"/>
        <v>5.0365814241908405E-6</v>
      </c>
      <c r="S50" s="1"/>
      <c r="T50" s="1">
        <f>SUM(OSRRefT22_3x_0)</f>
        <v>96</v>
      </c>
      <c r="U50" s="1"/>
      <c r="V50" s="5">
        <f t="shared" si="34"/>
        <v>2.2916797463492464E-5</v>
      </c>
      <c r="W50" s="1"/>
      <c r="X50" s="1">
        <f t="shared" si="35"/>
        <v>-79.31</v>
      </c>
      <c r="Y50" s="1"/>
      <c r="Z50" s="5">
        <f t="shared" si="36"/>
        <v>-0.82614583333333336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9"/>
        <v>0</v>
      </c>
      <c r="G51" s="2"/>
      <c r="H51" s="6">
        <v>8</v>
      </c>
      <c r="I51" s="2"/>
      <c r="J51" s="7">
        <f t="shared" si="30"/>
        <v>1.8319212273872223E-4</v>
      </c>
      <c r="K51" s="2"/>
      <c r="L51" s="6">
        <f t="shared" si="31"/>
        <v>-8</v>
      </c>
      <c r="M51" s="2"/>
      <c r="N51" s="7">
        <f t="shared" si="32"/>
        <v>-1</v>
      </c>
      <c r="O51" s="11"/>
      <c r="P51" s="6">
        <v>16.690000000000001</v>
      </c>
      <c r="Q51" s="2"/>
      <c r="R51" s="7">
        <f t="shared" si="33"/>
        <v>5.0365814241908405E-6</v>
      </c>
      <c r="S51" s="2"/>
      <c r="T51" s="6">
        <v>96</v>
      </c>
      <c r="U51" s="2"/>
      <c r="V51" s="7">
        <f t="shared" si="34"/>
        <v>2.2916797463492464E-5</v>
      </c>
      <c r="W51" s="2"/>
      <c r="X51" s="6">
        <f t="shared" si="35"/>
        <v>-79.31</v>
      </c>
      <c r="Y51" s="2"/>
      <c r="Z51" s="7">
        <f t="shared" si="36"/>
        <v>-0.82614583333333336</v>
      </c>
    </row>
    <row r="52" spans="1:26" s="26" customFormat="1" outlineLevel="1" collapsed="1" x14ac:dyDescent="0.25">
      <c r="A52" s="25"/>
      <c r="B52" s="12" t="str">
        <f>CONCATENATE("     ","Bank/card Fees                                    ")</f>
        <v xml:space="preserve">     Bank/card Fees                                    </v>
      </c>
      <c r="C52" s="12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170</v>
      </c>
      <c r="I52" s="1"/>
      <c r="J52" s="5">
        <f t="shared" si="30"/>
        <v>3.8928326081978477E-3</v>
      </c>
      <c r="K52" s="1"/>
      <c r="L52" s="1">
        <f t="shared" si="31"/>
        <v>-170</v>
      </c>
      <c r="M52" s="1"/>
      <c r="N52" s="5">
        <f t="shared" si="32"/>
        <v>-1</v>
      </c>
      <c r="O52" s="12"/>
      <c r="P52" s="1">
        <f>SUM(OSRRefP22_4x_0)</f>
        <v>1125.75</v>
      </c>
      <c r="Q52" s="1"/>
      <c r="R52" s="5">
        <f t="shared" si="33"/>
        <v>3.3972028389951095E-4</v>
      </c>
      <c r="S52" s="1"/>
      <c r="T52" s="1">
        <f>SUM(OSRRefT22_4x_0)</f>
        <v>2040</v>
      </c>
      <c r="U52" s="1"/>
      <c r="V52" s="5">
        <f t="shared" si="34"/>
        <v>4.8698194609921486E-4</v>
      </c>
      <c r="W52" s="1"/>
      <c r="X52" s="1">
        <f t="shared" si="35"/>
        <v>-914.25</v>
      </c>
      <c r="Y52" s="1"/>
      <c r="Z52" s="5">
        <f t="shared" si="36"/>
        <v>-0.44816176470588237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9"/>
        <v>0</v>
      </c>
      <c r="G53" s="2"/>
      <c r="H53" s="6">
        <v>170</v>
      </c>
      <c r="I53" s="2"/>
      <c r="J53" s="7">
        <f t="shared" si="30"/>
        <v>3.8928326081978477E-3</v>
      </c>
      <c r="K53" s="2"/>
      <c r="L53" s="6">
        <f t="shared" si="31"/>
        <v>-170</v>
      </c>
      <c r="M53" s="2"/>
      <c r="N53" s="7">
        <f t="shared" si="32"/>
        <v>-1</v>
      </c>
      <c r="O53" s="11"/>
      <c r="P53" s="6">
        <v>1125.75</v>
      </c>
      <c r="Q53" s="2"/>
      <c r="R53" s="7">
        <f t="shared" si="33"/>
        <v>3.3972028389951095E-4</v>
      </c>
      <c r="S53" s="2"/>
      <c r="T53" s="6">
        <v>2040</v>
      </c>
      <c r="U53" s="2"/>
      <c r="V53" s="7">
        <f t="shared" si="34"/>
        <v>4.8698194609921486E-4</v>
      </c>
      <c r="W53" s="2"/>
      <c r="X53" s="6">
        <f t="shared" si="35"/>
        <v>-914.25</v>
      </c>
      <c r="Y53" s="2"/>
      <c r="Z53" s="7">
        <f t="shared" si="36"/>
        <v>-0.44816176470588237</v>
      </c>
    </row>
    <row r="54" spans="1:26" s="26" customFormat="1" outlineLevel="1" collapsed="1" x14ac:dyDescent="0.25">
      <c r="A54" s="25"/>
      <c r="B54" s="12" t="str">
        <f>CONCATENATE("     ","Donations                                         ")</f>
        <v xml:space="preserve">     Donations                                         </v>
      </c>
      <c r="C54" s="12"/>
      <c r="D54" s="1">
        <f>SUM(OSRRefD22_5x_0)</f>
        <v>0</v>
      </c>
      <c r="E54" s="1"/>
      <c r="F54" s="5">
        <f t="shared" si="29"/>
        <v>0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2"/>
      <c r="P54" s="1">
        <f>SUM(OSRRefP22_5x_0)</f>
        <v>27751.46</v>
      </c>
      <c r="Q54" s="1"/>
      <c r="R54" s="5">
        <f t="shared" si="33"/>
        <v>8.3746248010889823E-3</v>
      </c>
      <c r="S54" s="1"/>
      <c r="T54" s="1">
        <f>SUM(OSRRefT22_5x_0)</f>
        <v>33000</v>
      </c>
      <c r="U54" s="1"/>
      <c r="V54" s="5">
        <f t="shared" si="34"/>
        <v>7.877649128075535E-3</v>
      </c>
      <c r="W54" s="1"/>
      <c r="X54" s="1">
        <f t="shared" si="35"/>
        <v>-5248.5400000000009</v>
      </c>
      <c r="Y54" s="1"/>
      <c r="Z54" s="5">
        <f t="shared" si="36"/>
        <v>-0.1590466666666667</v>
      </c>
    </row>
    <row r="55" spans="1:26" s="24" customFormat="1" hidden="1" outlineLevel="2" x14ac:dyDescent="0.25">
      <c r="A55" s="27"/>
      <c r="B55" s="11" t="str">
        <f>CONCATENATE("          ", "6399", " - ", "DONATION-ON CAMPUS")</f>
        <v xml:space="preserve">          6399 - DONATION-ON CAMPUS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27751.46</v>
      </c>
      <c r="Q55" s="2"/>
      <c r="R55" s="7">
        <f t="shared" si="33"/>
        <v>8.3746248010889823E-3</v>
      </c>
      <c r="S55" s="2"/>
      <c r="T55" s="6">
        <v>33000</v>
      </c>
      <c r="U55" s="2"/>
      <c r="V55" s="7">
        <f t="shared" si="34"/>
        <v>7.877649128075535E-3</v>
      </c>
      <c r="W55" s="2"/>
      <c r="X55" s="6">
        <f t="shared" si="35"/>
        <v>-5248.5400000000009</v>
      </c>
      <c r="Y55" s="2"/>
      <c r="Z55" s="7">
        <f t="shared" si="36"/>
        <v>-0.1590466666666667</v>
      </c>
    </row>
    <row r="56" spans="1:26" s="26" customFormat="1" outlineLevel="1" collapsed="1" x14ac:dyDescent="0.25">
      <c r="A56" s="25"/>
      <c r="B56" s="12" t="str">
        <f>CONCATENATE("     ","Employees' Appreciation                           ")</f>
        <v xml:space="preserve">     Employees' Appreciation                           </v>
      </c>
      <c r="C56" s="12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145</v>
      </c>
      <c r="I56" s="1"/>
      <c r="J56" s="5">
        <f t="shared" si="30"/>
        <v>3.3203572246393405E-3</v>
      </c>
      <c r="K56" s="1"/>
      <c r="L56" s="1">
        <f t="shared" si="31"/>
        <v>-145</v>
      </c>
      <c r="M56" s="1"/>
      <c r="N56" s="5">
        <f t="shared" si="32"/>
        <v>-1</v>
      </c>
      <c r="O56" s="12"/>
      <c r="P56" s="1">
        <f>SUM(OSRRefP22_6x_0)</f>
        <v>1564</v>
      </c>
      <c r="Q56" s="1"/>
      <c r="R56" s="5">
        <f t="shared" si="33"/>
        <v>4.7197203999008229E-4</v>
      </c>
      <c r="S56" s="1"/>
      <c r="T56" s="1">
        <f>SUM(OSRRefT22_6x_0)</f>
        <v>1740</v>
      </c>
      <c r="U56" s="1"/>
      <c r="V56" s="5">
        <f t="shared" si="34"/>
        <v>4.1536695402580093E-4</v>
      </c>
      <c r="W56" s="1"/>
      <c r="X56" s="1">
        <f t="shared" si="35"/>
        <v>-176</v>
      </c>
      <c r="Y56" s="1"/>
      <c r="Z56" s="5">
        <f t="shared" si="36"/>
        <v>-0.10114942528735632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29"/>
        <v>0</v>
      </c>
      <c r="G57" s="2"/>
      <c r="H57" s="6">
        <v>145</v>
      </c>
      <c r="I57" s="2"/>
      <c r="J57" s="7">
        <f t="shared" si="30"/>
        <v>3.3203572246393405E-3</v>
      </c>
      <c r="K57" s="2"/>
      <c r="L57" s="6">
        <f t="shared" si="31"/>
        <v>-145</v>
      </c>
      <c r="M57" s="2"/>
      <c r="N57" s="7">
        <f t="shared" si="32"/>
        <v>-1</v>
      </c>
      <c r="O57" s="11"/>
      <c r="P57" s="6">
        <v>1564</v>
      </c>
      <c r="Q57" s="2"/>
      <c r="R57" s="7">
        <f t="shared" si="33"/>
        <v>4.7197203999008229E-4</v>
      </c>
      <c r="S57" s="2"/>
      <c r="T57" s="6">
        <v>1740</v>
      </c>
      <c r="U57" s="2"/>
      <c r="V57" s="7">
        <f t="shared" si="34"/>
        <v>4.1536695402580093E-4</v>
      </c>
      <c r="W57" s="2"/>
      <c r="X57" s="6">
        <f t="shared" si="35"/>
        <v>-176</v>
      </c>
      <c r="Y57" s="2"/>
      <c r="Z57" s="7">
        <f t="shared" si="36"/>
        <v>-0.10114942528735632</v>
      </c>
    </row>
    <row r="58" spans="1:26" s="26" customFormat="1" outlineLevel="1" collapsed="1" x14ac:dyDescent="0.25">
      <c r="A58" s="25"/>
      <c r="B58" s="12" t="str">
        <f>CONCATENATE("     ","Equipment Rental                                  ")</f>
        <v xml:space="preserve">     Equipment Rental                                  </v>
      </c>
      <c r="C58" s="12"/>
      <c r="D58" s="1">
        <f>SUM(OSRRefD22_7x_0)</f>
        <v>323.94</v>
      </c>
      <c r="E58" s="1"/>
      <c r="F58" s="5">
        <f t="shared" si="29"/>
        <v>-4.8577641148684113E-3</v>
      </c>
      <c r="G58" s="1"/>
      <c r="H58" s="1">
        <f>SUM(OSRRefH22_7x_0)</f>
        <v>270</v>
      </c>
      <c r="I58" s="1"/>
      <c r="J58" s="5">
        <f t="shared" si="30"/>
        <v>6.1827341424318758E-3</v>
      </c>
      <c r="K58" s="1"/>
      <c r="L58" s="1">
        <f t="shared" si="31"/>
        <v>53.94</v>
      </c>
      <c r="M58" s="1"/>
      <c r="N58" s="5">
        <f t="shared" si="32"/>
        <v>0.19977777777777778</v>
      </c>
      <c r="O58" s="12"/>
      <c r="P58" s="1">
        <f>SUM(OSRRefP22_7x_0)</f>
        <v>3081.17</v>
      </c>
      <c r="Q58" s="1"/>
      <c r="R58" s="5">
        <f t="shared" si="33"/>
        <v>9.2981207829682987E-4</v>
      </c>
      <c r="S58" s="1"/>
      <c r="T58" s="1">
        <f>SUM(OSRRefT22_7x_0)</f>
        <v>3240</v>
      </c>
      <c r="U58" s="1"/>
      <c r="V58" s="5">
        <f t="shared" si="34"/>
        <v>7.734419143928707E-4</v>
      </c>
      <c r="W58" s="1"/>
      <c r="X58" s="1">
        <f t="shared" si="35"/>
        <v>-158.82999999999993</v>
      </c>
      <c r="Y58" s="1"/>
      <c r="Z58" s="5">
        <f t="shared" si="36"/>
        <v>-4.9021604938271582E-2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323.94</v>
      </c>
      <c r="E59" s="2"/>
      <c r="F59" s="7">
        <f t="shared" si="29"/>
        <v>-4.8577641148684113E-3</v>
      </c>
      <c r="G59" s="2"/>
      <c r="H59" s="6">
        <v>270</v>
      </c>
      <c r="I59" s="2"/>
      <c r="J59" s="7">
        <f t="shared" si="30"/>
        <v>6.1827341424318758E-3</v>
      </c>
      <c r="K59" s="2"/>
      <c r="L59" s="6">
        <f t="shared" si="31"/>
        <v>53.94</v>
      </c>
      <c r="M59" s="2"/>
      <c r="N59" s="7">
        <f t="shared" si="32"/>
        <v>0.19977777777777778</v>
      </c>
      <c r="O59" s="11"/>
      <c r="P59" s="6">
        <v>3081.17</v>
      </c>
      <c r="Q59" s="2"/>
      <c r="R59" s="7">
        <f t="shared" si="33"/>
        <v>9.2981207829682987E-4</v>
      </c>
      <c r="S59" s="2"/>
      <c r="T59" s="6">
        <v>3240</v>
      </c>
      <c r="U59" s="2"/>
      <c r="V59" s="7">
        <f t="shared" si="34"/>
        <v>7.734419143928707E-4</v>
      </c>
      <c r="W59" s="2"/>
      <c r="X59" s="6">
        <f t="shared" si="35"/>
        <v>-158.82999999999993</v>
      </c>
      <c r="Y59" s="2"/>
      <c r="Z59" s="7">
        <f t="shared" si="36"/>
        <v>-4.9021604938271582E-2</v>
      </c>
    </row>
    <row r="60" spans="1:26" s="26" customFormat="1" outlineLevel="1" collapsed="1" x14ac:dyDescent="0.25">
      <c r="A60" s="25"/>
      <c r="B60" s="12" t="str">
        <f>CONCATENATE("     ","Freight out/Postage                               ")</f>
        <v xml:space="preserve">     Freight out/Postage                               </v>
      </c>
      <c r="C60" s="12"/>
      <c r="D60" s="1">
        <f>SUM(OSRRefD22_8x_0)</f>
        <v>0</v>
      </c>
      <c r="E60" s="1"/>
      <c r="F60" s="5">
        <f t="shared" si="29"/>
        <v>0</v>
      </c>
      <c r="G60" s="1"/>
      <c r="H60" s="1">
        <f>SUM(OSRRefH22_8x_0)</f>
        <v>1</v>
      </c>
      <c r="I60" s="1"/>
      <c r="J60" s="5">
        <f t="shared" si="30"/>
        <v>2.2899015342340278E-5</v>
      </c>
      <c r="K60" s="1"/>
      <c r="L60" s="1">
        <f t="shared" si="31"/>
        <v>-1</v>
      </c>
      <c r="M60" s="1"/>
      <c r="N60" s="5">
        <f t="shared" si="32"/>
        <v>-1</v>
      </c>
      <c r="O60" s="12"/>
      <c r="P60" s="1">
        <f>SUM(OSRRefP22_8x_0)</f>
        <v>0</v>
      </c>
      <c r="Q60" s="1"/>
      <c r="R60" s="5">
        <f t="shared" si="33"/>
        <v>0</v>
      </c>
      <c r="S60" s="1"/>
      <c r="T60" s="1">
        <f>SUM(OSRRefT22_8x_0)</f>
        <v>12</v>
      </c>
      <c r="U60" s="1"/>
      <c r="V60" s="5">
        <f t="shared" si="34"/>
        <v>2.864599682936558E-6</v>
      </c>
      <c r="W60" s="1"/>
      <c r="X60" s="1">
        <f t="shared" si="35"/>
        <v>-12</v>
      </c>
      <c r="Y60" s="1"/>
      <c r="Z60" s="5">
        <f t="shared" si="36"/>
        <v>-1</v>
      </c>
    </row>
    <row r="61" spans="1:26" s="24" customFormat="1" hidden="1" outlineLevel="2" x14ac:dyDescent="0.25">
      <c r="A61" s="27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29"/>
        <v>0</v>
      </c>
      <c r="G61" s="2"/>
      <c r="H61" s="6">
        <v>1</v>
      </c>
      <c r="I61" s="2"/>
      <c r="J61" s="7">
        <f t="shared" si="30"/>
        <v>2.2899015342340278E-5</v>
      </c>
      <c r="K61" s="2"/>
      <c r="L61" s="6">
        <f t="shared" si="31"/>
        <v>-1</v>
      </c>
      <c r="M61" s="2"/>
      <c r="N61" s="7">
        <f t="shared" si="32"/>
        <v>-1</v>
      </c>
      <c r="O61" s="11"/>
      <c r="P61" s="6"/>
      <c r="Q61" s="2"/>
      <c r="R61" s="7">
        <f t="shared" si="33"/>
        <v>0</v>
      </c>
      <c r="S61" s="2"/>
      <c r="T61" s="6">
        <v>12</v>
      </c>
      <c r="U61" s="2"/>
      <c r="V61" s="7">
        <f t="shared" si="34"/>
        <v>2.864599682936558E-6</v>
      </c>
      <c r="W61" s="2"/>
      <c r="X61" s="6">
        <f t="shared" si="35"/>
        <v>-12</v>
      </c>
      <c r="Y61" s="2"/>
      <c r="Z61" s="7">
        <f t="shared" si="36"/>
        <v>-1</v>
      </c>
    </row>
    <row r="62" spans="1:26" s="26" customFormat="1" outlineLevel="1" collapsed="1" x14ac:dyDescent="0.25">
      <c r="A62" s="25"/>
      <c r="B62" s="12" t="str">
        <f>CONCATENATE("     ","General                                           ")</f>
        <v xml:space="preserve">     General                                           </v>
      </c>
      <c r="C62" s="12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100</v>
      </c>
      <c r="I62" s="1"/>
      <c r="J62" s="5">
        <f t="shared" si="30"/>
        <v>2.2899015342340281E-3</v>
      </c>
      <c r="K62" s="1"/>
      <c r="L62" s="1">
        <f t="shared" si="31"/>
        <v>-100</v>
      </c>
      <c r="M62" s="1"/>
      <c r="N62" s="5">
        <f t="shared" si="32"/>
        <v>-1</v>
      </c>
      <c r="O62" s="12"/>
      <c r="P62" s="1">
        <f>SUM(OSRRefP22_9x_0)</f>
        <v>3224.62</v>
      </c>
      <c r="Q62" s="1"/>
      <c r="R62" s="5">
        <f t="shared" si="33"/>
        <v>9.7310132966292779E-4</v>
      </c>
      <c r="S62" s="1"/>
      <c r="T62" s="1">
        <f>SUM(OSRRefT22_9x_0)</f>
        <v>3850</v>
      </c>
      <c r="U62" s="1"/>
      <c r="V62" s="5">
        <f t="shared" si="34"/>
        <v>9.1905906494214569E-4</v>
      </c>
      <c r="W62" s="1"/>
      <c r="X62" s="1">
        <f t="shared" si="35"/>
        <v>-625.38000000000011</v>
      </c>
      <c r="Y62" s="1"/>
      <c r="Z62" s="5">
        <f t="shared" si="36"/>
        <v>-0.16243636363636366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9"/>
        <v>0</v>
      </c>
      <c r="G63" s="2"/>
      <c r="H63" s="6">
        <v>100</v>
      </c>
      <c r="I63" s="2"/>
      <c r="J63" s="7">
        <f t="shared" si="30"/>
        <v>2.2899015342340281E-3</v>
      </c>
      <c r="K63" s="2"/>
      <c r="L63" s="6">
        <f t="shared" si="31"/>
        <v>-100</v>
      </c>
      <c r="M63" s="2"/>
      <c r="N63" s="7">
        <f t="shared" si="32"/>
        <v>-1</v>
      </c>
      <c r="O63" s="11"/>
      <c r="P63" s="6">
        <v>3224.62</v>
      </c>
      <c r="Q63" s="2"/>
      <c r="R63" s="7">
        <f t="shared" si="33"/>
        <v>9.7310132966292779E-4</v>
      </c>
      <c r="S63" s="2"/>
      <c r="T63" s="6">
        <v>3850</v>
      </c>
      <c r="U63" s="2"/>
      <c r="V63" s="7">
        <f t="shared" si="34"/>
        <v>9.1905906494214569E-4</v>
      </c>
      <c r="W63" s="2"/>
      <c r="X63" s="6">
        <f t="shared" si="35"/>
        <v>-625.38000000000011</v>
      </c>
      <c r="Y63" s="2"/>
      <c r="Z63" s="7">
        <f t="shared" si="36"/>
        <v>-0.16243636363636366</v>
      </c>
    </row>
    <row r="64" spans="1:26" s="26" customFormat="1" outlineLevel="1" collapsed="1" x14ac:dyDescent="0.25">
      <c r="A64" s="25"/>
      <c r="B64" s="12" t="str">
        <f>CONCATENATE("     ","R/H Commissions                                   ")</f>
        <v xml:space="preserve">     R/H Commissions                                   </v>
      </c>
      <c r="C64" s="12"/>
      <c r="D64" s="1">
        <f>SUM(OSRRefD22_10x_0)</f>
        <v>-5335</v>
      </c>
      <c r="E64" s="1"/>
      <c r="F64" s="5">
        <f t="shared" si="29"/>
        <v>8.000299917522681E-2</v>
      </c>
      <c r="G64" s="1"/>
      <c r="H64" s="1">
        <f>SUM(OSRRefH22_10x_0)</f>
        <v>3494</v>
      </c>
      <c r="I64" s="1"/>
      <c r="J64" s="5">
        <f t="shared" si="30"/>
        <v>8.0009159606136943E-2</v>
      </c>
      <c r="K64" s="1"/>
      <c r="L64" s="1">
        <f t="shared" si="31"/>
        <v>-8829</v>
      </c>
      <c r="M64" s="1"/>
      <c r="N64" s="5">
        <f t="shared" si="32"/>
        <v>-2.526903262736119</v>
      </c>
      <c r="O64" s="12"/>
      <c r="P64" s="1">
        <f>SUM(OSRRefP22_10x_0)</f>
        <v>259594.55000000002</v>
      </c>
      <c r="Q64" s="1"/>
      <c r="R64" s="5">
        <f t="shared" si="33"/>
        <v>7.8338471441053339E-2</v>
      </c>
      <c r="S64" s="1"/>
      <c r="T64" s="1">
        <f>SUM(OSRRefT22_10x_0)</f>
        <v>335121</v>
      </c>
      <c r="U64" s="1"/>
      <c r="V64" s="5">
        <f t="shared" si="34"/>
        <v>7.9998959195448527E-2</v>
      </c>
      <c r="W64" s="1"/>
      <c r="X64" s="1">
        <f t="shared" si="35"/>
        <v>-75526.449999999983</v>
      </c>
      <c r="Y64" s="1"/>
      <c r="Z64" s="5">
        <f t="shared" si="36"/>
        <v>-0.22537068700558899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-5335</v>
      </c>
      <c r="E65" s="2"/>
      <c r="F65" s="7">
        <f t="shared" si="29"/>
        <v>8.000299917522681E-2</v>
      </c>
      <c r="G65" s="2"/>
      <c r="H65" s="6">
        <v>3494</v>
      </c>
      <c r="I65" s="2"/>
      <c r="J65" s="7">
        <f t="shared" si="30"/>
        <v>8.0009159606136943E-2</v>
      </c>
      <c r="K65" s="2"/>
      <c r="L65" s="6">
        <f t="shared" si="31"/>
        <v>-8829</v>
      </c>
      <c r="M65" s="2"/>
      <c r="N65" s="7">
        <f t="shared" si="32"/>
        <v>-2.526903262736119</v>
      </c>
      <c r="O65" s="11"/>
      <c r="P65" s="6">
        <v>259594.55000000002</v>
      </c>
      <c r="Q65" s="2"/>
      <c r="R65" s="7">
        <f t="shared" si="33"/>
        <v>7.8338471441053339E-2</v>
      </c>
      <c r="S65" s="2"/>
      <c r="T65" s="6">
        <v>335121</v>
      </c>
      <c r="U65" s="2"/>
      <c r="V65" s="7">
        <f t="shared" si="34"/>
        <v>7.9998959195448527E-2</v>
      </c>
      <c r="W65" s="2"/>
      <c r="X65" s="6">
        <f t="shared" si="35"/>
        <v>-75526.449999999983</v>
      </c>
      <c r="Y65" s="2"/>
      <c r="Z65" s="7">
        <f t="shared" si="36"/>
        <v>-0.22537068700558899</v>
      </c>
    </row>
    <row r="66" spans="1:26" s="26" customFormat="1" outlineLevel="1" collapsed="1" x14ac:dyDescent="0.25">
      <c r="A66" s="25"/>
      <c r="B66" s="12" t="str">
        <f>CONCATENATE("     ","Repair and Maintenance                            ")</f>
        <v xml:space="preserve">     Repair and Maintenance                            </v>
      </c>
      <c r="C66" s="12"/>
      <c r="D66" s="1">
        <f>SUM(OSRRefD22_11x_0)</f>
        <v>73.81</v>
      </c>
      <c r="E66" s="1"/>
      <c r="F66" s="5">
        <f t="shared" si="29"/>
        <v>-1.1068456174551998E-3</v>
      </c>
      <c r="G66" s="1"/>
      <c r="H66" s="1">
        <f>SUM(OSRRefH22_11x_0)</f>
        <v>1290</v>
      </c>
      <c r="I66" s="1"/>
      <c r="J66" s="5">
        <f t="shared" si="30"/>
        <v>2.9539729791618962E-2</v>
      </c>
      <c r="K66" s="1"/>
      <c r="L66" s="1">
        <f t="shared" si="31"/>
        <v>-1216.19</v>
      </c>
      <c r="M66" s="1"/>
      <c r="N66" s="5">
        <f t="shared" si="32"/>
        <v>-0.94278294573643417</v>
      </c>
      <c r="O66" s="12"/>
      <c r="P66" s="1">
        <f>SUM(OSRRefP22_11x_0)</f>
        <v>9519.0399999999991</v>
      </c>
      <c r="Q66" s="1"/>
      <c r="R66" s="5">
        <f t="shared" si="33"/>
        <v>2.8725835853882307E-3</v>
      </c>
      <c r="S66" s="1"/>
      <c r="T66" s="1">
        <f>SUM(OSRRefT22_11x_0)</f>
        <v>15480</v>
      </c>
      <c r="U66" s="1"/>
      <c r="V66" s="5">
        <f t="shared" si="34"/>
        <v>3.6953335909881597E-3</v>
      </c>
      <c r="W66" s="1"/>
      <c r="X66" s="1">
        <f t="shared" si="35"/>
        <v>-5960.9600000000009</v>
      </c>
      <c r="Y66" s="1"/>
      <c r="Z66" s="5">
        <f t="shared" si="36"/>
        <v>-0.38507493540051685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9"/>
        <v>0</v>
      </c>
      <c r="G67" s="2"/>
      <c r="H67" s="6">
        <v>1000</v>
      </c>
      <c r="I67" s="2"/>
      <c r="J67" s="7">
        <f t="shared" si="30"/>
        <v>2.2899015342340279E-2</v>
      </c>
      <c r="K67" s="2"/>
      <c r="L67" s="6">
        <f t="shared" si="31"/>
        <v>-1000</v>
      </c>
      <c r="M67" s="2"/>
      <c r="N67" s="7">
        <f t="shared" si="32"/>
        <v>-1</v>
      </c>
      <c r="O67" s="11"/>
      <c r="P67" s="6">
        <v>8238.75</v>
      </c>
      <c r="Q67" s="2"/>
      <c r="R67" s="7">
        <f t="shared" si="33"/>
        <v>2.4862273941613109E-3</v>
      </c>
      <c r="S67" s="2"/>
      <c r="T67" s="6">
        <v>12000</v>
      </c>
      <c r="U67" s="2"/>
      <c r="V67" s="7">
        <f t="shared" si="34"/>
        <v>2.8645996829365582E-3</v>
      </c>
      <c r="W67" s="2"/>
      <c r="X67" s="6">
        <f t="shared" si="35"/>
        <v>-3761.25</v>
      </c>
      <c r="Y67" s="2"/>
      <c r="Z67" s="7">
        <f t="shared" si="36"/>
        <v>-0.31343749999999998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73.81</v>
      </c>
      <c r="E68" s="2"/>
      <c r="F68" s="7">
        <f t="shared" si="29"/>
        <v>-1.1068456174551998E-3</v>
      </c>
      <c r="G68" s="2"/>
      <c r="H68" s="6">
        <v>30</v>
      </c>
      <c r="I68" s="2"/>
      <c r="J68" s="7">
        <f t="shared" si="30"/>
        <v>6.8697046027020841E-4</v>
      </c>
      <c r="K68" s="2"/>
      <c r="L68" s="6">
        <f t="shared" si="31"/>
        <v>43.81</v>
      </c>
      <c r="M68" s="2"/>
      <c r="N68" s="7">
        <f t="shared" si="32"/>
        <v>1.4603333333333335</v>
      </c>
      <c r="O68" s="11"/>
      <c r="P68" s="6">
        <v>372.88</v>
      </c>
      <c r="Q68" s="2"/>
      <c r="R68" s="7">
        <f t="shared" si="33"/>
        <v>1.1252489403548714E-4</v>
      </c>
      <c r="S68" s="2"/>
      <c r="T68" s="6">
        <v>360</v>
      </c>
      <c r="U68" s="2"/>
      <c r="V68" s="7">
        <f t="shared" si="34"/>
        <v>8.5937990488096748E-5</v>
      </c>
      <c r="W68" s="2"/>
      <c r="X68" s="6">
        <f t="shared" si="35"/>
        <v>12.879999999999995</v>
      </c>
      <c r="Y68" s="2"/>
      <c r="Z68" s="7">
        <f t="shared" si="36"/>
        <v>3.5777777777777763E-2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9"/>
        <v>0</v>
      </c>
      <c r="G69" s="2"/>
      <c r="H69" s="6">
        <v>260</v>
      </c>
      <c r="I69" s="2"/>
      <c r="J69" s="7">
        <f t="shared" si="30"/>
        <v>5.9537439890084724E-3</v>
      </c>
      <c r="K69" s="2"/>
      <c r="L69" s="6">
        <f t="shared" si="31"/>
        <v>-260</v>
      </c>
      <c r="M69" s="2"/>
      <c r="N69" s="7">
        <f t="shared" si="32"/>
        <v>-1</v>
      </c>
      <c r="O69" s="11"/>
      <c r="P69" s="6">
        <v>907.41</v>
      </c>
      <c r="Q69" s="2"/>
      <c r="R69" s="7">
        <f t="shared" si="33"/>
        <v>2.7383129719143258E-4</v>
      </c>
      <c r="S69" s="2"/>
      <c r="T69" s="6">
        <v>3120</v>
      </c>
      <c r="U69" s="2"/>
      <c r="V69" s="7">
        <f t="shared" si="34"/>
        <v>7.4479591756350513E-4</v>
      </c>
      <c r="W69" s="2"/>
      <c r="X69" s="6">
        <f t="shared" si="35"/>
        <v>-2212.59</v>
      </c>
      <c r="Y69" s="2"/>
      <c r="Z69" s="7">
        <f t="shared" si="36"/>
        <v>-0.70916346153846155</v>
      </c>
    </row>
    <row r="70" spans="1:26" s="26" customFormat="1" outlineLevel="1" collapsed="1" x14ac:dyDescent="0.25">
      <c r="A70" s="25"/>
      <c r="B70" s="12" t="str">
        <f>CONCATENATE("     ","Services                                          ")</f>
        <v xml:space="preserve">     Services                                          </v>
      </c>
      <c r="C70" s="12"/>
      <c r="D70" s="1">
        <f>SUM(OSRRefD22_12x_0)</f>
        <v>421.34</v>
      </c>
      <c r="E70" s="1"/>
      <c r="F70" s="5">
        <f t="shared" ref="F70:F74" si="37">IF(D$12=0,0,D70/D$12)</f>
        <v>-6.3183624503261602E-3</v>
      </c>
      <c r="G70" s="1"/>
      <c r="H70" s="1">
        <f>SUM(OSRRefH22_12x_0)</f>
        <v>6225</v>
      </c>
      <c r="I70" s="1"/>
      <c r="J70" s="5">
        <f t="shared" ref="J70:J74" si="38">IF(H$12=0,0,H70/H$12)</f>
        <v>0.14254637050606825</v>
      </c>
      <c r="K70" s="1"/>
      <c r="L70" s="1">
        <f t="shared" ref="L70:L74" si="39">+D70-H70</f>
        <v>-5803.66</v>
      </c>
      <c r="M70" s="1"/>
      <c r="N70" s="5">
        <f t="shared" ref="N70:N74" si="40">IF(H70=0,0,L70/H70)</f>
        <v>-0.93231485943775094</v>
      </c>
      <c r="O70" s="12"/>
      <c r="P70" s="1">
        <f>SUM(OSRRefP22_12x_0)</f>
        <v>55562.11</v>
      </c>
      <c r="Q70" s="1"/>
      <c r="R70" s="5">
        <f t="shared" ref="R70:R74" si="41">IF(P$12=0,0,P70/P$12)</f>
        <v>1.6767111510775801E-2</v>
      </c>
      <c r="S70" s="1"/>
      <c r="T70" s="1">
        <f>SUM(OSRRefT22_12x_0)</f>
        <v>83832</v>
      </c>
      <c r="U70" s="1"/>
      <c r="V70" s="5">
        <f t="shared" ref="V70:V74" si="42">IF(T$12=0,0,T70/T$12)</f>
        <v>2.0012093384994795E-2</v>
      </c>
      <c r="W70" s="1"/>
      <c r="X70" s="1">
        <f t="shared" ref="X70:X74" si="43">+P70-T70</f>
        <v>-28269.89</v>
      </c>
      <c r="Y70" s="1"/>
      <c r="Z70" s="5">
        <f t="shared" ref="Z70:Z74" si="44">IF(T70=0,0,X70/T70)</f>
        <v>-0.33722075102586124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421.34</v>
      </c>
      <c r="E71" s="2"/>
      <c r="F71" s="7">
        <f t="shared" si="37"/>
        <v>-6.3183624503261602E-3</v>
      </c>
      <c r="G71" s="2"/>
      <c r="H71" s="6">
        <v>430</v>
      </c>
      <c r="I71" s="2"/>
      <c r="J71" s="7">
        <f t="shared" si="38"/>
        <v>9.8465765972063201E-3</v>
      </c>
      <c r="K71" s="2"/>
      <c r="L71" s="6">
        <f t="shared" si="39"/>
        <v>-8.660000000000025</v>
      </c>
      <c r="M71" s="2"/>
      <c r="N71" s="7">
        <f t="shared" si="40"/>
        <v>-2.0139534883720989E-2</v>
      </c>
      <c r="O71" s="11"/>
      <c r="P71" s="6">
        <v>5477.42</v>
      </c>
      <c r="Q71" s="2"/>
      <c r="R71" s="7">
        <f t="shared" si="41"/>
        <v>1.6529342015872612E-3</v>
      </c>
      <c r="S71" s="2"/>
      <c r="T71" s="6">
        <v>5160</v>
      </c>
      <c r="U71" s="2"/>
      <c r="V71" s="7">
        <f t="shared" si="42"/>
        <v>1.23177786366272E-3</v>
      </c>
      <c r="W71" s="2"/>
      <c r="X71" s="6">
        <f t="shared" si="43"/>
        <v>317.42000000000007</v>
      </c>
      <c r="Y71" s="2"/>
      <c r="Z71" s="7">
        <f t="shared" si="44"/>
        <v>6.1515503875969005E-2</v>
      </c>
    </row>
    <row r="72" spans="1:26" s="24" customFormat="1" hidden="1" outlineLevel="2" x14ac:dyDescent="0.25">
      <c r="A72" s="27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7"/>
        <v>0</v>
      </c>
      <c r="G72" s="2"/>
      <c r="H72" s="6"/>
      <c r="I72" s="2"/>
      <c r="J72" s="7">
        <f t="shared" si="38"/>
        <v>0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/>
      <c r="Q72" s="2"/>
      <c r="R72" s="7">
        <f t="shared" si="41"/>
        <v>0</v>
      </c>
      <c r="S72" s="2"/>
      <c r="T72" s="6">
        <v>0</v>
      </c>
      <c r="U72" s="2"/>
      <c r="V72" s="7">
        <f t="shared" si="42"/>
        <v>0</v>
      </c>
      <c r="W72" s="2"/>
      <c r="X72" s="6">
        <f t="shared" si="43"/>
        <v>0</v>
      </c>
      <c r="Y72" s="2"/>
      <c r="Z72" s="7">
        <f t="shared" si="44"/>
        <v>0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6"/>
      <c r="E73" s="2"/>
      <c r="F73" s="7">
        <f t="shared" si="37"/>
        <v>0</v>
      </c>
      <c r="G73" s="2"/>
      <c r="H73" s="6">
        <v>4195</v>
      </c>
      <c r="I73" s="2"/>
      <c r="J73" s="7">
        <f t="shared" si="38"/>
        <v>9.6061369361117477E-2</v>
      </c>
      <c r="K73" s="2"/>
      <c r="L73" s="6">
        <f t="shared" si="39"/>
        <v>-4195</v>
      </c>
      <c r="M73" s="2"/>
      <c r="N73" s="7">
        <f t="shared" si="40"/>
        <v>-1</v>
      </c>
      <c r="O73" s="11"/>
      <c r="P73" s="6">
        <v>38570.82</v>
      </c>
      <c r="Q73" s="2"/>
      <c r="R73" s="7">
        <f t="shared" si="41"/>
        <v>1.1639609078957971E-2</v>
      </c>
      <c r="S73" s="2"/>
      <c r="T73" s="6">
        <v>59472</v>
      </c>
      <c r="U73" s="2"/>
      <c r="V73" s="7">
        <f t="shared" si="42"/>
        <v>1.4196956028633582E-2</v>
      </c>
      <c r="W73" s="2"/>
      <c r="X73" s="6">
        <f t="shared" si="43"/>
        <v>-20901.18</v>
      </c>
      <c r="Y73" s="2"/>
      <c r="Z73" s="7">
        <f t="shared" si="44"/>
        <v>-0.35144572235673932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6"/>
      <c r="E74" s="2"/>
      <c r="F74" s="7">
        <f t="shared" si="37"/>
        <v>0</v>
      </c>
      <c r="G74" s="2"/>
      <c r="H74" s="6">
        <v>1600</v>
      </c>
      <c r="I74" s="2"/>
      <c r="J74" s="7">
        <f t="shared" si="38"/>
        <v>3.663842454774445E-2</v>
      </c>
      <c r="K74" s="2"/>
      <c r="L74" s="6">
        <f t="shared" si="39"/>
        <v>-1600</v>
      </c>
      <c r="M74" s="2"/>
      <c r="N74" s="7">
        <f t="shared" si="40"/>
        <v>-1</v>
      </c>
      <c r="O74" s="11"/>
      <c r="P74" s="6">
        <v>11513.87</v>
      </c>
      <c r="Q74" s="2"/>
      <c r="R74" s="7">
        <f t="shared" si="41"/>
        <v>3.4745682302305685E-3</v>
      </c>
      <c r="S74" s="2"/>
      <c r="T74" s="6">
        <v>19200</v>
      </c>
      <c r="U74" s="2"/>
      <c r="V74" s="7">
        <f t="shared" si="42"/>
        <v>4.5833594926984926E-3</v>
      </c>
      <c r="W74" s="2"/>
      <c r="X74" s="6">
        <f t="shared" si="43"/>
        <v>-7686.1299999999992</v>
      </c>
      <c r="Y74" s="2"/>
      <c r="Z74" s="7">
        <f t="shared" si="44"/>
        <v>-0.4003192708333333</v>
      </c>
    </row>
    <row r="75" spans="1:26" s="26" customFormat="1" outlineLevel="1" collapsed="1" x14ac:dyDescent="0.25">
      <c r="A75" s="25"/>
      <c r="B75" s="12" t="str">
        <f>CONCATENATE("     ","Supplies                                          ")</f>
        <v xml:space="preserve">     Supplies                                          </v>
      </c>
      <c r="C75" s="12"/>
      <c r="D75" s="1">
        <f>SUM(OSRRefD22_13x_0)</f>
        <v>18.16</v>
      </c>
      <c r="E75" s="1"/>
      <c r="F75" s="5">
        <f t="shared" ref="F75:F83" si="45">IF(D$12=0,0,D75/D$12)</f>
        <v>-2.7232511059458651E-4</v>
      </c>
      <c r="G75" s="1"/>
      <c r="H75" s="1">
        <f>SUM(OSRRefH22_13x_0)</f>
        <v>9880</v>
      </c>
      <c r="I75" s="1"/>
      <c r="J75" s="5">
        <f t="shared" ref="J75:J83" si="46">IF(H$12=0,0,H75/H$12)</f>
        <v>0.22624227158232196</v>
      </c>
      <c r="K75" s="1"/>
      <c r="L75" s="1">
        <f t="shared" ref="L75:L83" si="47">+D75-H75</f>
        <v>-9861.84</v>
      </c>
      <c r="M75" s="1"/>
      <c r="N75" s="5">
        <f t="shared" ref="N75:N83" si="48">IF(H75=0,0,L75/H75)</f>
        <v>-0.9981619433198381</v>
      </c>
      <c r="O75" s="12"/>
      <c r="P75" s="1">
        <f>SUM(OSRRefP22_13x_0)</f>
        <v>76960</v>
      </c>
      <c r="Q75" s="1"/>
      <c r="R75" s="5">
        <f t="shared" ref="R75:R83" si="49">IF(P$12=0,0,P75/P$12)</f>
        <v>2.322440421843781E-2</v>
      </c>
      <c r="S75" s="1"/>
      <c r="T75" s="1">
        <f>SUM(OSRRefT22_13x_0)</f>
        <v>115560</v>
      </c>
      <c r="U75" s="1"/>
      <c r="V75" s="5">
        <f t="shared" ref="V75:V83" si="50">IF(T$12=0,0,T75/T$12)</f>
        <v>2.7586094946679053E-2</v>
      </c>
      <c r="W75" s="1"/>
      <c r="X75" s="1">
        <f t="shared" ref="X75:X83" si="51">+P75-T75</f>
        <v>-38600</v>
      </c>
      <c r="Y75" s="1"/>
      <c r="Z75" s="5">
        <f t="shared" ref="Z75:Z83" si="52">IF(T75=0,0,X75/T75)</f>
        <v>-0.33402561439944617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1"/>
      <c r="P76" s="6">
        <v>118.34</v>
      </c>
      <c r="Q76" s="2"/>
      <c r="R76" s="7">
        <f t="shared" si="49"/>
        <v>3.5711746299505332E-5</v>
      </c>
      <c r="S76" s="2"/>
      <c r="T76" s="6"/>
      <c r="U76" s="2"/>
      <c r="V76" s="7">
        <f t="shared" si="50"/>
        <v>0</v>
      </c>
      <c r="W76" s="2"/>
      <c r="X76" s="6">
        <f t="shared" si="51"/>
        <v>118.34</v>
      </c>
      <c r="Y76" s="2"/>
      <c r="Z76" s="7">
        <f t="shared" si="52"/>
        <v>0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6"/>
      <c r="E77" s="2"/>
      <c r="F77" s="7">
        <f t="shared" si="45"/>
        <v>0</v>
      </c>
      <c r="G77" s="2"/>
      <c r="H77" s="6">
        <v>4000</v>
      </c>
      <c r="I77" s="2"/>
      <c r="J77" s="7">
        <f t="shared" si="46"/>
        <v>9.1596061369361118E-2</v>
      </c>
      <c r="K77" s="2"/>
      <c r="L77" s="6">
        <f t="shared" si="47"/>
        <v>-4000</v>
      </c>
      <c r="M77" s="2"/>
      <c r="N77" s="7">
        <f t="shared" si="48"/>
        <v>-1</v>
      </c>
      <c r="O77" s="11"/>
      <c r="P77" s="6">
        <v>34387.160000000003</v>
      </c>
      <c r="Q77" s="2"/>
      <c r="R77" s="7">
        <f t="shared" si="49"/>
        <v>1.0377095942880665E-2</v>
      </c>
      <c r="S77" s="2"/>
      <c r="T77" s="6">
        <v>48000</v>
      </c>
      <c r="U77" s="2"/>
      <c r="V77" s="7">
        <f t="shared" si="50"/>
        <v>1.1458398731746233E-2</v>
      </c>
      <c r="W77" s="2"/>
      <c r="X77" s="6">
        <f t="shared" si="51"/>
        <v>-13612.839999999997</v>
      </c>
      <c r="Y77" s="2"/>
      <c r="Z77" s="7">
        <f t="shared" si="52"/>
        <v>-0.28360083333333325</v>
      </c>
    </row>
    <row r="78" spans="1:26" s="24" customFormat="1" hidden="1" outlineLevel="2" x14ac:dyDescent="0.25">
      <c r="A78" s="27"/>
      <c r="B78" s="11" t="str">
        <f>CONCATENATE("          ", "6239", " - ", "KITCHEN SUPPLIES")</f>
        <v xml:space="preserve">          6239 - KITCHEN SUPPLIES</v>
      </c>
      <c r="C78" s="11"/>
      <c r="D78" s="6"/>
      <c r="E78" s="2"/>
      <c r="F78" s="7">
        <f t="shared" si="45"/>
        <v>0</v>
      </c>
      <c r="G78" s="2"/>
      <c r="H78" s="6">
        <v>2000</v>
      </c>
      <c r="I78" s="2"/>
      <c r="J78" s="7">
        <f t="shared" si="46"/>
        <v>4.5798030684680559E-2</v>
      </c>
      <c r="K78" s="2"/>
      <c r="L78" s="6">
        <f t="shared" si="47"/>
        <v>-2000</v>
      </c>
      <c r="M78" s="2"/>
      <c r="N78" s="7">
        <f t="shared" si="48"/>
        <v>-1</v>
      </c>
      <c r="O78" s="11"/>
      <c r="P78" s="6">
        <v>16573.400000000001</v>
      </c>
      <c r="Q78" s="2"/>
      <c r="R78" s="7">
        <f t="shared" si="49"/>
        <v>5.0013947618744439E-3</v>
      </c>
      <c r="S78" s="2"/>
      <c r="T78" s="6">
        <v>21000</v>
      </c>
      <c r="U78" s="2"/>
      <c r="V78" s="7">
        <f t="shared" si="50"/>
        <v>5.0130494451389764E-3</v>
      </c>
      <c r="W78" s="2"/>
      <c r="X78" s="6">
        <f t="shared" si="51"/>
        <v>-4426.5999999999985</v>
      </c>
      <c r="Y78" s="2"/>
      <c r="Z78" s="7">
        <f t="shared" si="52"/>
        <v>-0.21079047619047611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6">
        <v>18.16</v>
      </c>
      <c r="E79" s="2"/>
      <c r="F79" s="7">
        <f t="shared" si="45"/>
        <v>-2.7232511059458651E-4</v>
      </c>
      <c r="G79" s="2"/>
      <c r="H79" s="6">
        <v>305</v>
      </c>
      <c r="I79" s="2"/>
      <c r="J79" s="7">
        <f t="shared" si="46"/>
        <v>6.9841996794137856E-3</v>
      </c>
      <c r="K79" s="2"/>
      <c r="L79" s="6">
        <f t="shared" si="47"/>
        <v>-286.83999999999997</v>
      </c>
      <c r="M79" s="2"/>
      <c r="N79" s="7">
        <f t="shared" si="48"/>
        <v>-0.94045901639344254</v>
      </c>
      <c r="O79" s="11"/>
      <c r="P79" s="6">
        <v>3297.69</v>
      </c>
      <c r="Q79" s="2"/>
      <c r="R79" s="7">
        <f t="shared" si="49"/>
        <v>9.9515183922947227E-4</v>
      </c>
      <c r="S79" s="2"/>
      <c r="T79" s="6">
        <v>3660</v>
      </c>
      <c r="U79" s="2"/>
      <c r="V79" s="7">
        <f t="shared" si="50"/>
        <v>8.7370290329565027E-4</v>
      </c>
      <c r="W79" s="2"/>
      <c r="X79" s="6">
        <f t="shared" si="51"/>
        <v>-362.30999999999995</v>
      </c>
      <c r="Y79" s="2"/>
      <c r="Z79" s="7">
        <f t="shared" si="52"/>
        <v>-9.8991803278688506E-2</v>
      </c>
    </row>
    <row r="80" spans="1:26" s="24" customFormat="1" hidden="1" outlineLevel="2" x14ac:dyDescent="0.25">
      <c r="A80" s="27"/>
      <c r="B80" s="11" t="str">
        <f>CONCATENATE("          ", "6243", " - ", "PAPER SUPPLIES")</f>
        <v xml:space="preserve">          6243 - PAPER SUPPLIES</v>
      </c>
      <c r="C80" s="11"/>
      <c r="D80" s="6"/>
      <c r="E80" s="2"/>
      <c r="F80" s="7">
        <f t="shared" si="45"/>
        <v>0</v>
      </c>
      <c r="G80" s="2"/>
      <c r="H80" s="6">
        <v>3200</v>
      </c>
      <c r="I80" s="2"/>
      <c r="J80" s="7">
        <f t="shared" si="46"/>
        <v>7.32768490954889E-2</v>
      </c>
      <c r="K80" s="2"/>
      <c r="L80" s="6">
        <f t="shared" si="47"/>
        <v>-3200</v>
      </c>
      <c r="M80" s="2"/>
      <c r="N80" s="7">
        <f t="shared" si="48"/>
        <v>-1</v>
      </c>
      <c r="O80" s="11"/>
      <c r="P80" s="6">
        <v>19420.62</v>
      </c>
      <c r="Q80" s="2"/>
      <c r="R80" s="7">
        <f t="shared" si="49"/>
        <v>5.8606071862354163E-3</v>
      </c>
      <c r="S80" s="2"/>
      <c r="T80" s="6">
        <v>38400</v>
      </c>
      <c r="U80" s="2"/>
      <c r="V80" s="7">
        <f t="shared" si="50"/>
        <v>9.1667189853969853E-3</v>
      </c>
      <c r="W80" s="2"/>
      <c r="X80" s="6">
        <f t="shared" si="51"/>
        <v>-18979.38</v>
      </c>
      <c r="Y80" s="2"/>
      <c r="Z80" s="7">
        <f t="shared" si="52"/>
        <v>-0.49425468750000001</v>
      </c>
    </row>
    <row r="81" spans="1:26" s="24" customFormat="1" hidden="1" outlineLevel="2" x14ac:dyDescent="0.25">
      <c r="A81" s="27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5"/>
        <v>0</v>
      </c>
      <c r="G81" s="2"/>
      <c r="H81" s="6"/>
      <c r="I81" s="2"/>
      <c r="J81" s="7">
        <f t="shared" si="46"/>
        <v>0</v>
      </c>
      <c r="K81" s="2"/>
      <c r="L81" s="6">
        <f t="shared" si="47"/>
        <v>0</v>
      </c>
      <c r="M81" s="2"/>
      <c r="N81" s="7">
        <f t="shared" si="48"/>
        <v>0</v>
      </c>
      <c r="O81" s="11"/>
      <c r="P81" s="6">
        <v>441</v>
      </c>
      <c r="Q81" s="2"/>
      <c r="R81" s="7">
        <f t="shared" si="49"/>
        <v>1.3308163020180709E-4</v>
      </c>
      <c r="S81" s="2"/>
      <c r="T81" s="6"/>
      <c r="U81" s="2"/>
      <c r="V81" s="7">
        <f t="shared" si="50"/>
        <v>0</v>
      </c>
      <c r="W81" s="2"/>
      <c r="X81" s="6">
        <f t="shared" si="51"/>
        <v>441</v>
      </c>
      <c r="Y81" s="2"/>
      <c r="Z81" s="7">
        <f t="shared" si="52"/>
        <v>0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5"/>
        <v>0</v>
      </c>
      <c r="G82" s="2"/>
      <c r="H82" s="6"/>
      <c r="I82" s="2"/>
      <c r="J82" s="7">
        <f t="shared" si="46"/>
        <v>0</v>
      </c>
      <c r="K82" s="2"/>
      <c r="L82" s="6">
        <f t="shared" si="47"/>
        <v>0</v>
      </c>
      <c r="M82" s="2"/>
      <c r="N82" s="7">
        <f t="shared" si="48"/>
        <v>0</v>
      </c>
      <c r="O82" s="11"/>
      <c r="P82" s="6">
        <v>153.87</v>
      </c>
      <c r="Q82" s="2"/>
      <c r="R82" s="7">
        <f t="shared" si="49"/>
        <v>4.643371981667133E-5</v>
      </c>
      <c r="S82" s="2"/>
      <c r="T82" s="6"/>
      <c r="U82" s="2"/>
      <c r="V82" s="7">
        <f t="shared" si="50"/>
        <v>0</v>
      </c>
      <c r="W82" s="2"/>
      <c r="X82" s="6">
        <f t="shared" si="51"/>
        <v>153.87</v>
      </c>
      <c r="Y82" s="2"/>
      <c r="Z82" s="7">
        <f t="shared" si="52"/>
        <v>0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5"/>
        <v>0</v>
      </c>
      <c r="G83" s="2"/>
      <c r="H83" s="6">
        <v>375</v>
      </c>
      <c r="I83" s="2"/>
      <c r="J83" s="7">
        <f t="shared" si="46"/>
        <v>8.5871307533776052E-3</v>
      </c>
      <c r="K83" s="2"/>
      <c r="L83" s="6">
        <f t="shared" si="47"/>
        <v>-375</v>
      </c>
      <c r="M83" s="2"/>
      <c r="N83" s="7">
        <f t="shared" si="48"/>
        <v>-1</v>
      </c>
      <c r="O83" s="11"/>
      <c r="P83" s="6">
        <v>2567.92</v>
      </c>
      <c r="Q83" s="2"/>
      <c r="R83" s="7">
        <f t="shared" si="49"/>
        <v>7.7492739189982879E-4</v>
      </c>
      <c r="S83" s="2"/>
      <c r="T83" s="6">
        <v>4500</v>
      </c>
      <c r="U83" s="2"/>
      <c r="V83" s="7">
        <f t="shared" si="50"/>
        <v>1.0742248811012093E-3</v>
      </c>
      <c r="W83" s="2"/>
      <c r="X83" s="6">
        <f t="shared" si="51"/>
        <v>-1932.08</v>
      </c>
      <c r="Y83" s="2"/>
      <c r="Z83" s="7">
        <f t="shared" si="52"/>
        <v>-0.42935111111111107</v>
      </c>
    </row>
    <row r="84" spans="1:26" s="26" customFormat="1" outlineLevel="1" collapsed="1" x14ac:dyDescent="0.25">
      <c r="A84" s="25"/>
      <c r="B84" s="12" t="str">
        <f>CONCATENATE("     ","Telephone/Data Lines                              ")</f>
        <v xml:space="preserve">     Telephone/Data Lines                              </v>
      </c>
      <c r="C84" s="12"/>
      <c r="D84" s="1">
        <f>SUM(OSRRefD22_14x_0)</f>
        <v>152.69999999999999</v>
      </c>
      <c r="E84" s="1"/>
      <c r="F84" s="5">
        <f t="shared" ref="F84:F89" si="53">IF(D$12=0,0,D84/D$12)</f>
        <v>-2.2898702856714403E-3</v>
      </c>
      <c r="G84" s="1"/>
      <c r="H84" s="1">
        <f>SUM(OSRRefH22_14x_0)</f>
        <v>275</v>
      </c>
      <c r="I84" s="1"/>
      <c r="J84" s="5">
        <f t="shared" ref="J84:J89" si="54">IF(H$12=0,0,H84/H$12)</f>
        <v>6.2972292191435771E-3</v>
      </c>
      <c r="K84" s="1"/>
      <c r="L84" s="1">
        <f t="shared" ref="L84:L89" si="55">+D84-H84</f>
        <v>-122.30000000000001</v>
      </c>
      <c r="M84" s="1"/>
      <c r="N84" s="5">
        <f t="shared" ref="N84:N89" si="56">IF(H84=0,0,L84/H84)</f>
        <v>-0.44472727272727275</v>
      </c>
      <c r="O84" s="12"/>
      <c r="P84" s="1">
        <f>SUM(OSRRefP22_14x_0)</f>
        <v>3444.85</v>
      </c>
      <c r="Q84" s="1"/>
      <c r="R84" s="5">
        <f t="shared" ref="R84:R89" si="57">IF(P$12=0,0,P84/P$12)</f>
        <v>1.0395606662147283E-3</v>
      </c>
      <c r="S84" s="1"/>
      <c r="T84" s="1">
        <f>SUM(OSRRefT22_14x_0)</f>
        <v>3300</v>
      </c>
      <c r="U84" s="1"/>
      <c r="V84" s="5">
        <f t="shared" ref="V84:V89" si="58">IF(T$12=0,0,T84/T$12)</f>
        <v>7.8776491280755344E-4</v>
      </c>
      <c r="W84" s="1"/>
      <c r="X84" s="1">
        <f t="shared" ref="X84:X89" si="59">+P84-T84</f>
        <v>144.84999999999991</v>
      </c>
      <c r="Y84" s="1"/>
      <c r="Z84" s="5">
        <f t="shared" ref="Z84:Z89" si="60">IF(T84=0,0,X84/T84)</f>
        <v>4.3893939393939367E-2</v>
      </c>
    </row>
    <row r="85" spans="1:26" s="24" customFormat="1" hidden="1" outlineLevel="2" x14ac:dyDescent="0.25">
      <c r="A85" s="27"/>
      <c r="B85" s="11" t="str">
        <f>CONCATENATE("          ", "6309", " - ", "TELEPHONE")</f>
        <v xml:space="preserve">          6309 - TELEPHONE</v>
      </c>
      <c r="C85" s="11"/>
      <c r="D85" s="6">
        <v>152.69999999999999</v>
      </c>
      <c r="E85" s="2"/>
      <c r="F85" s="7">
        <f t="shared" si="53"/>
        <v>-2.2898702856714403E-3</v>
      </c>
      <c r="G85" s="2"/>
      <c r="H85" s="6">
        <v>275</v>
      </c>
      <c r="I85" s="2"/>
      <c r="J85" s="7">
        <f t="shared" si="54"/>
        <v>6.2972292191435771E-3</v>
      </c>
      <c r="K85" s="2"/>
      <c r="L85" s="6">
        <f t="shared" si="55"/>
        <v>-122.30000000000001</v>
      </c>
      <c r="M85" s="2"/>
      <c r="N85" s="7">
        <f t="shared" si="56"/>
        <v>-0.44472727272727275</v>
      </c>
      <c r="O85" s="11"/>
      <c r="P85" s="6">
        <v>3444.85</v>
      </c>
      <c r="Q85" s="2"/>
      <c r="R85" s="7">
        <f t="shared" si="57"/>
        <v>1.0395606662147283E-3</v>
      </c>
      <c r="S85" s="2"/>
      <c r="T85" s="6">
        <v>3300</v>
      </c>
      <c r="U85" s="2"/>
      <c r="V85" s="7">
        <f t="shared" si="58"/>
        <v>7.8776491280755344E-4</v>
      </c>
      <c r="W85" s="2"/>
      <c r="X85" s="6">
        <f t="shared" si="59"/>
        <v>144.84999999999991</v>
      </c>
      <c r="Y85" s="2"/>
      <c r="Z85" s="7">
        <f t="shared" si="60"/>
        <v>4.3893939393939367E-2</v>
      </c>
    </row>
    <row r="86" spans="1:26" s="26" customFormat="1" outlineLevel="1" collapsed="1" x14ac:dyDescent="0.25">
      <c r="A86" s="25"/>
      <c r="B86" s="12" t="str">
        <f>CONCATENATE("     ","Training                                          ")</f>
        <v xml:space="preserve">     Training                                          </v>
      </c>
      <c r="C86" s="12"/>
      <c r="D86" s="1">
        <f>SUM(OSRRefD22_15x_0)</f>
        <v>494</v>
      </c>
      <c r="E86" s="1"/>
      <c r="F86" s="5">
        <f t="shared" si="53"/>
        <v>-7.4079628102271871E-3</v>
      </c>
      <c r="G86" s="1"/>
      <c r="H86" s="1">
        <f>SUM(OSRRefH22_15x_0)</f>
        <v>700</v>
      </c>
      <c r="I86" s="1"/>
      <c r="J86" s="5">
        <f t="shared" si="54"/>
        <v>1.6029310739638196E-2</v>
      </c>
      <c r="K86" s="1"/>
      <c r="L86" s="1">
        <f t="shared" si="55"/>
        <v>-206</v>
      </c>
      <c r="M86" s="1"/>
      <c r="N86" s="5">
        <f t="shared" si="56"/>
        <v>-0.29428571428571426</v>
      </c>
      <c r="O86" s="12"/>
      <c r="P86" s="1">
        <f>SUM(OSRRefP22_15x_0)</f>
        <v>1606.43</v>
      </c>
      <c r="Q86" s="1"/>
      <c r="R86" s="5">
        <f t="shared" si="57"/>
        <v>4.8477624309543985E-4</v>
      </c>
      <c r="S86" s="1"/>
      <c r="T86" s="1">
        <f>SUM(OSRRefT22_15x_0)</f>
        <v>8400</v>
      </c>
      <c r="U86" s="1"/>
      <c r="V86" s="5">
        <f t="shared" si="58"/>
        <v>2.0052197780555908E-3</v>
      </c>
      <c r="W86" s="1"/>
      <c r="X86" s="1">
        <f t="shared" si="59"/>
        <v>-6793.57</v>
      </c>
      <c r="Y86" s="1"/>
      <c r="Z86" s="5">
        <f t="shared" si="60"/>
        <v>-0.80875833333333325</v>
      </c>
    </row>
    <row r="87" spans="1:26" s="24" customFormat="1" hidden="1" outlineLevel="2" x14ac:dyDescent="0.25">
      <c r="A87" s="27"/>
      <c r="B87" s="11" t="str">
        <f>CONCATENATE("          ", "6376", " - ", "TRAINING")</f>
        <v xml:space="preserve">          6376 - TRAINING</v>
      </c>
      <c r="C87" s="11"/>
      <c r="D87" s="6">
        <v>494</v>
      </c>
      <c r="E87" s="2"/>
      <c r="F87" s="7">
        <f t="shared" si="53"/>
        <v>-7.4079628102271871E-3</v>
      </c>
      <c r="G87" s="2"/>
      <c r="H87" s="6">
        <v>700</v>
      </c>
      <c r="I87" s="2"/>
      <c r="J87" s="7">
        <f t="shared" si="54"/>
        <v>1.6029310739638196E-2</v>
      </c>
      <c r="K87" s="2"/>
      <c r="L87" s="6">
        <f t="shared" si="55"/>
        <v>-206</v>
      </c>
      <c r="M87" s="2"/>
      <c r="N87" s="7">
        <f t="shared" si="56"/>
        <v>-0.29428571428571426</v>
      </c>
      <c r="O87" s="11"/>
      <c r="P87" s="6">
        <v>1606.43</v>
      </c>
      <c r="Q87" s="2"/>
      <c r="R87" s="7">
        <f t="shared" si="57"/>
        <v>4.8477624309543985E-4</v>
      </c>
      <c r="S87" s="2"/>
      <c r="T87" s="6">
        <v>8400</v>
      </c>
      <c r="U87" s="2"/>
      <c r="V87" s="7">
        <f t="shared" si="58"/>
        <v>2.0052197780555908E-3</v>
      </c>
      <c r="W87" s="2"/>
      <c r="X87" s="6">
        <f t="shared" si="59"/>
        <v>-6793.57</v>
      </c>
      <c r="Y87" s="2"/>
      <c r="Z87" s="7">
        <f t="shared" si="60"/>
        <v>-0.80875833333333325</v>
      </c>
    </row>
    <row r="88" spans="1:26" s="26" customFormat="1" outlineLevel="1" collapsed="1" x14ac:dyDescent="0.25">
      <c r="A88" s="25"/>
      <c r="B88" s="12" t="str">
        <f>CONCATENATE("     ","Travel                                            ")</f>
        <v xml:space="preserve">     Travel                                            </v>
      </c>
      <c r="C88" s="12"/>
      <c r="D88" s="1">
        <f>SUM(OSRRefD22_16x_0)</f>
        <v>0</v>
      </c>
      <c r="E88" s="1"/>
      <c r="F88" s="5">
        <f t="shared" si="53"/>
        <v>0</v>
      </c>
      <c r="G88" s="1"/>
      <c r="H88" s="1">
        <f>SUM(OSRRefH22_16x_0)</f>
        <v>0</v>
      </c>
      <c r="I88" s="1"/>
      <c r="J88" s="5">
        <f t="shared" si="54"/>
        <v>0</v>
      </c>
      <c r="K88" s="1"/>
      <c r="L88" s="1">
        <f t="shared" si="55"/>
        <v>0</v>
      </c>
      <c r="M88" s="1"/>
      <c r="N88" s="5">
        <f t="shared" si="56"/>
        <v>0</v>
      </c>
      <c r="O88" s="12"/>
      <c r="P88" s="1">
        <f>SUM(OSRRefP22_16x_0)</f>
        <v>59.14</v>
      </c>
      <c r="Q88" s="1"/>
      <c r="R88" s="5">
        <f t="shared" si="57"/>
        <v>1.7846819977630095E-5</v>
      </c>
      <c r="S88" s="1"/>
      <c r="T88" s="1">
        <f>SUM(OSRRefT22_16x_0)</f>
        <v>0</v>
      </c>
      <c r="U88" s="1"/>
      <c r="V88" s="5">
        <f t="shared" si="58"/>
        <v>0</v>
      </c>
      <c r="W88" s="1"/>
      <c r="X88" s="1">
        <f t="shared" si="59"/>
        <v>59.14</v>
      </c>
      <c r="Y88" s="1"/>
      <c r="Z88" s="5">
        <f t="shared" si="60"/>
        <v>0</v>
      </c>
    </row>
    <row r="89" spans="1:26" s="24" customFormat="1" hidden="1" outlineLevel="2" x14ac:dyDescent="0.25">
      <c r="A89" s="27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53"/>
        <v>0</v>
      </c>
      <c r="G89" s="2"/>
      <c r="H89" s="6"/>
      <c r="I89" s="2"/>
      <c r="J89" s="7">
        <f t="shared" si="54"/>
        <v>0</v>
      </c>
      <c r="K89" s="2"/>
      <c r="L89" s="6">
        <f t="shared" si="55"/>
        <v>0</v>
      </c>
      <c r="M89" s="2"/>
      <c r="N89" s="7">
        <f t="shared" si="56"/>
        <v>0</v>
      </c>
      <c r="O89" s="11"/>
      <c r="P89" s="6">
        <v>59.14</v>
      </c>
      <c r="Q89" s="2"/>
      <c r="R89" s="7">
        <f t="shared" si="57"/>
        <v>1.7846819977630095E-5</v>
      </c>
      <c r="S89" s="2"/>
      <c r="T89" s="6"/>
      <c r="U89" s="2"/>
      <c r="V89" s="7">
        <f t="shared" si="58"/>
        <v>0</v>
      </c>
      <c r="W89" s="2"/>
      <c r="X89" s="6">
        <f t="shared" si="59"/>
        <v>59.14</v>
      </c>
      <c r="Y89" s="2"/>
      <c r="Z89" s="7">
        <f t="shared" si="60"/>
        <v>0</v>
      </c>
    </row>
    <row r="90" spans="1:26" s="60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8" t="s">
        <v>0</v>
      </c>
      <c r="C91" s="10"/>
      <c r="D91" s="4">
        <f>SUM(0)</f>
        <v>0</v>
      </c>
      <c r="E91" s="4"/>
      <c r="F91" s="13">
        <f>IF(D$12=0,0,D91/D$12)</f>
        <v>0</v>
      </c>
      <c r="G91" s="4"/>
      <c r="H91" s="4">
        <f>SUM(0)</f>
        <v>0</v>
      </c>
      <c r="I91" s="4"/>
      <c r="J91" s="13">
        <f>IF(H$12=0,0,H91/H$12)</f>
        <v>0</v>
      </c>
      <c r="K91" s="4"/>
      <c r="L91" s="4">
        <f>+D91-H91</f>
        <v>0</v>
      </c>
      <c r="M91" s="4"/>
      <c r="N91" s="13">
        <f>IF(H91=0,0,L91/H91)</f>
        <v>0</v>
      </c>
      <c r="O91" s="10"/>
      <c r="P91" s="4">
        <f>SUM(0)</f>
        <v>0</v>
      </c>
      <c r="Q91" s="4"/>
      <c r="R91" s="13">
        <f>IF(P$12=0,0,P91/P$12)</f>
        <v>0</v>
      </c>
      <c r="S91" s="4"/>
      <c r="T91" s="4">
        <f>SUM(0)</f>
        <v>0</v>
      </c>
      <c r="U91" s="4"/>
      <c r="V91" s="13">
        <f>IF(T$12=0,0,T91/T$12)</f>
        <v>0</v>
      </c>
      <c r="W91" s="4"/>
      <c r="X91" s="4">
        <f>+P91-T91</f>
        <v>0</v>
      </c>
      <c r="Y91" s="4"/>
      <c r="Z91" s="13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2">
        <f>+D23-D25+D91</f>
        <v>-112687.04999999999</v>
      </c>
      <c r="E93" s="14"/>
      <c r="F93" s="20">
        <f>IF(D$12=0,0,D93/D$12)</f>
        <v>1.6898410437129787</v>
      </c>
      <c r="G93" s="14"/>
      <c r="H93" s="22">
        <f>+H23-H25+H91</f>
        <v>-92574.540240704635</v>
      </c>
      <c r="I93" s="14"/>
      <c r="J93" s="20">
        <f>IF(H$12=0,0,H93/H$12)</f>
        <v>-2.1198658172819931</v>
      </c>
      <c r="K93" s="15"/>
      <c r="L93" s="22">
        <f>+D93-H93</f>
        <v>-20112.509759295353</v>
      </c>
      <c r="M93" s="15"/>
      <c r="N93" s="20">
        <f>IF(H93=0,0,L93/H93)</f>
        <v>0.21725746308866861</v>
      </c>
      <c r="O93" s="28"/>
      <c r="P93" s="22">
        <f>+P23-P25+P91</f>
        <v>710581.0700000003</v>
      </c>
      <c r="Q93" s="14"/>
      <c r="R93" s="20">
        <f>IF(P$12=0,0,P93/P$12)</f>
        <v>0.21443375779171076</v>
      </c>
      <c r="S93" s="14"/>
      <c r="T93" s="22">
        <f>+T23-T25+T91</f>
        <v>900119.21127016051</v>
      </c>
      <c r="U93" s="14"/>
      <c r="V93" s="20">
        <f>IF(T$12=0,0,T93/T$12)</f>
        <v>0.21487343393413388</v>
      </c>
      <c r="W93" s="15"/>
      <c r="X93" s="22">
        <f>+P93-T93</f>
        <v>-189538.14127016021</v>
      </c>
      <c r="Y93" s="15"/>
      <c r="Z93" s="20">
        <f>IF(T93=0,0,X93/T93)</f>
        <v>-0.21057004327538179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101517.29</v>
      </c>
      <c r="E95" s="4"/>
      <c r="F95" s="13">
        <f>IF(D$12=0,0,D95/D$12)</f>
        <v>-1.5223407063057659</v>
      </c>
      <c r="G95" s="4"/>
      <c r="H95" s="4">
        <v>61799.000000000007</v>
      </c>
      <c r="I95" s="4"/>
      <c r="J95" s="13">
        <f>IF(H$12=0,0,H95/H$12)</f>
        <v>1.4151362491412871</v>
      </c>
      <c r="K95" s="4"/>
      <c r="L95" s="4">
        <f>+D95-H95</f>
        <v>39718.289999999986</v>
      </c>
      <c r="M95" s="4"/>
      <c r="N95" s="13">
        <f>IF(H95=0,0,L95/H95)</f>
        <v>0.64270117639443969</v>
      </c>
      <c r="O95" s="10"/>
      <c r="P95" s="4">
        <v>501831.01</v>
      </c>
      <c r="Q95" s="4"/>
      <c r="R95" s="13">
        <f>IF(P$12=0,0,P95/P$12)</f>
        <v>0.1514387503324702</v>
      </c>
      <c r="S95" s="4"/>
      <c r="T95" s="4">
        <v>541943</v>
      </c>
      <c r="U95" s="4"/>
      <c r="V95" s="13">
        <f>IF(T$12=0,0,T95/T$12)</f>
        <v>0.12937081216414059</v>
      </c>
      <c r="W95" s="4"/>
      <c r="X95" s="4">
        <f>+P95-T95</f>
        <v>-40111.989999999991</v>
      </c>
      <c r="Y95" s="4"/>
      <c r="Z95" s="13">
        <f>IF(T95=0,0,X95/T95)</f>
        <v>-7.401514550423198E-2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1">
        <f>+D93-D95</f>
        <v>-214204.33999999997</v>
      </c>
      <c r="E97" s="14"/>
      <c r="F97" s="33">
        <f>IF(D$12=0,0,D97/D$12)</f>
        <v>3.2121817500187442</v>
      </c>
      <c r="G97" s="14"/>
      <c r="H97" s="31">
        <f>+H93-H95</f>
        <v>-154373.54024070463</v>
      </c>
      <c r="I97" s="14"/>
      <c r="J97" s="33">
        <f>IF(H$12=0,0,H97/H$12)</f>
        <v>-3.5350020664232797</v>
      </c>
      <c r="K97" s="15"/>
      <c r="L97" s="31">
        <f>D97-H97</f>
        <v>-59830.799759295332</v>
      </c>
      <c r="M97" s="15"/>
      <c r="N97" s="33">
        <f>IF(H97=0,0,L97/H97)</f>
        <v>0.38757159851361217</v>
      </c>
      <c r="O97" s="28"/>
      <c r="P97" s="31">
        <f>+P93-P95</f>
        <v>208750.06000000029</v>
      </c>
      <c r="Q97" s="14"/>
      <c r="R97" s="33">
        <f>IF(P$12=0,0,P97/P$12)</f>
        <v>6.299500745924054E-2</v>
      </c>
      <c r="S97" s="14"/>
      <c r="T97" s="31">
        <f>+T93-T95</f>
        <v>358176.21127016051</v>
      </c>
      <c r="U97" s="14"/>
      <c r="V97" s="33">
        <f>IF(T$12=0,0,T97/T$12)</f>
        <v>8.5502621769993292E-2</v>
      </c>
      <c r="W97" s="15"/>
      <c r="X97" s="31">
        <f>P97-T97</f>
        <v>-149426.15127016022</v>
      </c>
      <c r="Y97" s="15"/>
      <c r="Z97" s="33">
        <f>IF(T97=0,0,X97/T97)</f>
        <v>-0.41718614069948101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4">
        <f>SUM(D97:D99)</f>
        <v>-214204.33999999997</v>
      </c>
      <c r="E100" s="14"/>
      <c r="F100" s="35">
        <f>IF(D$12=0,0,D100/D$12)</f>
        <v>3.2121817500187442</v>
      </c>
      <c r="G100" s="14"/>
      <c r="H100" s="34">
        <f>SUM(H97:H99)</f>
        <v>-154373.54024070463</v>
      </c>
      <c r="I100" s="14"/>
      <c r="J100" s="35">
        <f>IF(H$12=0,0,H100/H$12)</f>
        <v>-3.5350020664232797</v>
      </c>
      <c r="K100" s="15"/>
      <c r="L100" s="34">
        <f>+D100-H100</f>
        <v>-59830.799759295332</v>
      </c>
      <c r="M100" s="15"/>
      <c r="N100" s="35">
        <f>IF(H100=0,0,L100/H100)</f>
        <v>0.38757159851361217</v>
      </c>
      <c r="O100" s="28"/>
      <c r="P100" s="34">
        <f>SUM(P97:P99)</f>
        <v>208750.06000000029</v>
      </c>
      <c r="Q100" s="14"/>
      <c r="R100" s="35">
        <f>IF(P$12=0,0,P100/P$12)</f>
        <v>6.299500745924054E-2</v>
      </c>
      <c r="S100" s="14"/>
      <c r="T100" s="34">
        <f>SUM(T97:T99)</f>
        <v>358176.21127016051</v>
      </c>
      <c r="U100" s="14"/>
      <c r="V100" s="35">
        <f>IF(T$12=0,0,T100/T$12)</f>
        <v>8.5502621769993292E-2</v>
      </c>
      <c r="W100" s="15"/>
      <c r="X100" s="34">
        <f>+P100-T100</f>
        <v>-149426.15127016022</v>
      </c>
      <c r="Y100" s="15"/>
      <c r="Z100" s="35">
        <f>IF(T100=0,0,X100/T100)</f>
        <v>-0.41718614069948101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5">
        <v>44043.473956678237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62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63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tabSelected="1" zoomScale="80" workbookViewId="0">
      <pane xSplit="3" ySplit="10" topLeftCell="D85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","450", " - ", "Beachside Dining Hall")</f>
        <v>Department 450 - Beachside Dining Hall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-33341.82</v>
      </c>
      <c r="E12" s="4"/>
      <c r="F12" s="13"/>
      <c r="G12" s="4"/>
      <c r="H12" s="4">
        <f>SUM(OSRRefH13x_0)</f>
        <v>0</v>
      </c>
      <c r="I12" s="4"/>
      <c r="J12" s="13"/>
      <c r="K12" s="4"/>
      <c r="L12" s="4">
        <f t="shared" ref="L12:L16" si="0">+D12-H12</f>
        <v>-33341.82</v>
      </c>
      <c r="M12" s="4"/>
      <c r="N12" s="13">
        <f t="shared" ref="N12:N16" si="1">IF(H12=0,0,L12/H12)</f>
        <v>0</v>
      </c>
      <c r="O12" s="10"/>
      <c r="P12" s="4">
        <f>SUM(OSRRefP13x_0)</f>
        <v>1960998.74</v>
      </c>
      <c r="Q12" s="4"/>
      <c r="R12" s="13"/>
      <c r="S12" s="4"/>
      <c r="T12" s="4">
        <f>SUM(OSRRefT13x_0)</f>
        <v>2481051</v>
      </c>
      <c r="U12" s="4"/>
      <c r="V12" s="13"/>
      <c r="W12" s="4"/>
      <c r="X12" s="4">
        <f t="shared" ref="X12:X16" si="2">+P12-T12</f>
        <v>-520052.26</v>
      </c>
      <c r="Y12" s="4"/>
      <c r="Z12" s="13">
        <f t="shared" ref="Z12:Z16" si="3">IF(T12=0,0,X12/T12)</f>
        <v>-0.2096096613894676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--959.82</f>
        <v>959.82</v>
      </c>
      <c r="Q13" s="2"/>
      <c r="R13" s="19"/>
      <c r="S13" s="2"/>
      <c r="T13" s="2"/>
      <c r="U13" s="2"/>
      <c r="V13" s="19"/>
      <c r="W13" s="2"/>
      <c r="X13" s="2">
        <f t="shared" si="2"/>
        <v>959.82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v>2481051</v>
      </c>
      <c r="U14" s="2"/>
      <c r="V14" s="19"/>
      <c r="W14" s="2"/>
      <c r="X14" s="2">
        <f t="shared" si="2"/>
        <v>-2481051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-33341.82</f>
        <v>-33341.82</v>
      </c>
      <c r="E15" s="2"/>
      <c r="F15" s="19"/>
      <c r="G15" s="2"/>
      <c r="H15" s="2"/>
      <c r="I15" s="2"/>
      <c r="J15" s="19"/>
      <c r="K15" s="2"/>
      <c r="L15" s="2">
        <f t="shared" si="0"/>
        <v>-33341.82</v>
      </c>
      <c r="M15" s="2"/>
      <c r="N15" s="19">
        <f t="shared" si="1"/>
        <v>0</v>
      </c>
      <c r="O15" s="11"/>
      <c r="P15" s="2">
        <f>--1950872.52</f>
        <v>1950872.52</v>
      </c>
      <c r="Q15" s="2"/>
      <c r="R15" s="19"/>
      <c r="S15" s="2"/>
      <c r="T15" s="2"/>
      <c r="U15" s="2"/>
      <c r="V15" s="19"/>
      <c r="W15" s="2"/>
      <c r="X15" s="2">
        <f t="shared" si="2"/>
        <v>1950872.52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--9166.4</f>
        <v>9166.4</v>
      </c>
      <c r="Q16" s="2"/>
      <c r="R16" s="19"/>
      <c r="S16" s="2"/>
      <c r="T16" s="2"/>
      <c r="U16" s="2"/>
      <c r="V16" s="19"/>
      <c r="W16" s="2"/>
      <c r="X16" s="2">
        <f t="shared" si="2"/>
        <v>9166.4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969</v>
      </c>
      <c r="E18" s="4"/>
      <c r="F18" s="13">
        <f t="shared" ref="F18:F21" si="5">IF(D$12=0,0,D18/D$12)</f>
        <v>-2.9062600661871489E-2</v>
      </c>
      <c r="G18" s="4"/>
      <c r="H18" s="4">
        <f>SUM(OSRRefH16x_0)</f>
        <v>0</v>
      </c>
      <c r="I18" s="4"/>
      <c r="J18" s="13">
        <f t="shared" ref="J18:J21" si="6">IF(H$12=0,0,H18/H$12)</f>
        <v>0</v>
      </c>
      <c r="K18" s="4"/>
      <c r="L18" s="4">
        <f t="shared" ref="L18:L21" si="7">+D18-H18</f>
        <v>969</v>
      </c>
      <c r="M18" s="4"/>
      <c r="N18" s="13">
        <f t="shared" ref="N18:N21" si="8">IF(H18=0,0,L18/H18)</f>
        <v>0</v>
      </c>
      <c r="O18" s="10"/>
      <c r="P18" s="4">
        <f>SUM(OSRRefP16x_0)</f>
        <v>448851.54000000004</v>
      </c>
      <c r="Q18" s="4"/>
      <c r="R18" s="13">
        <f t="shared" ref="R18:R21" si="9">IF(P$12=0,0,P18/P$12)</f>
        <v>0.22888925466622179</v>
      </c>
      <c r="S18" s="4"/>
      <c r="T18" s="4">
        <f>SUM(OSRRefT16x_0)</f>
        <v>595452</v>
      </c>
      <c r="U18" s="4"/>
      <c r="V18" s="13">
        <f t="shared" ref="V18:V21" si="10">IF(T$12=0,0,T18/T$12)</f>
        <v>0.23999990326680104</v>
      </c>
      <c r="W18" s="4"/>
      <c r="X18" s="4">
        <f t="shared" ref="X18:X21" si="11">+P18-T18</f>
        <v>-146600.45999999996</v>
      </c>
      <c r="Y18" s="4"/>
      <c r="Z18" s="13">
        <f t="shared" ref="Z18:Z21" si="12">IF(T18=0,0,X18/T18)</f>
        <v>-0.24620029826081694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/>
      <c r="Q19" s="2"/>
      <c r="R19" s="19">
        <f t="shared" si="9"/>
        <v>0</v>
      </c>
      <c r="S19" s="2"/>
      <c r="T19" s="2">
        <v>595452</v>
      </c>
      <c r="U19" s="2"/>
      <c r="V19" s="19">
        <f t="shared" si="10"/>
        <v>0.23999990326680104</v>
      </c>
      <c r="W19" s="2"/>
      <c r="X19" s="2">
        <f t="shared" si="11"/>
        <v>-595452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-450</v>
      </c>
      <c r="E20" s="2"/>
      <c r="F20" s="19">
        <f t="shared" si="5"/>
        <v>1.349656377486292E-2</v>
      </c>
      <c r="G20" s="2"/>
      <c r="H20" s="2"/>
      <c r="I20" s="2"/>
      <c r="J20" s="19">
        <f t="shared" si="6"/>
        <v>0</v>
      </c>
      <c r="K20" s="2"/>
      <c r="L20" s="2">
        <f t="shared" si="7"/>
        <v>-450</v>
      </c>
      <c r="M20" s="2"/>
      <c r="N20" s="19">
        <f t="shared" si="8"/>
        <v>0</v>
      </c>
      <c r="O20" s="11"/>
      <c r="P20" s="2">
        <v>436724.54000000004</v>
      </c>
      <c r="Q20" s="2"/>
      <c r="R20" s="19">
        <f t="shared" si="9"/>
        <v>0.22270516094263276</v>
      </c>
      <c r="S20" s="2"/>
      <c r="T20" s="2"/>
      <c r="U20" s="2"/>
      <c r="V20" s="19">
        <f t="shared" si="10"/>
        <v>0</v>
      </c>
      <c r="W20" s="2"/>
      <c r="X20" s="2">
        <f t="shared" si="11"/>
        <v>436724.54000000004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1419</v>
      </c>
      <c r="E21" s="2"/>
      <c r="F21" s="19">
        <f t="shared" si="5"/>
        <v>-4.2559164436734409E-2</v>
      </c>
      <c r="G21" s="2"/>
      <c r="H21" s="2"/>
      <c r="I21" s="2"/>
      <c r="J21" s="19">
        <f t="shared" si="6"/>
        <v>0</v>
      </c>
      <c r="K21" s="2"/>
      <c r="L21" s="2">
        <f t="shared" si="7"/>
        <v>1419</v>
      </c>
      <c r="M21" s="2"/>
      <c r="N21" s="19">
        <f t="shared" si="8"/>
        <v>0</v>
      </c>
      <c r="O21" s="11"/>
      <c r="P21" s="2">
        <v>12127</v>
      </c>
      <c r="Q21" s="2"/>
      <c r="R21" s="19">
        <f t="shared" si="9"/>
        <v>6.1840937235890323E-3</v>
      </c>
      <c r="S21" s="2"/>
      <c r="T21" s="2"/>
      <c r="U21" s="2"/>
      <c r="V21" s="19">
        <f t="shared" si="10"/>
        <v>0</v>
      </c>
      <c r="W21" s="2"/>
      <c r="X21" s="2">
        <f t="shared" si="11"/>
        <v>12127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-34310.82</v>
      </c>
      <c r="E23" s="14"/>
      <c r="F23" s="20">
        <f>IF(D$12=0,0,D23/D$12)</f>
        <v>1.0290626006618715</v>
      </c>
      <c r="G23" s="14"/>
      <c r="H23" s="22">
        <f>H12-H18</f>
        <v>0</v>
      </c>
      <c r="I23" s="14"/>
      <c r="J23" s="20">
        <f>IF(H$12=0,0,H23/H$12)</f>
        <v>0</v>
      </c>
      <c r="K23" s="15"/>
      <c r="L23" s="22">
        <f>+D23-H23</f>
        <v>-34310.82</v>
      </c>
      <c r="M23" s="15"/>
      <c r="N23" s="20">
        <f>IF(H23=0,0,L23/H23)</f>
        <v>0</v>
      </c>
      <c r="O23" s="28"/>
      <c r="P23" s="22">
        <f>P12-P18</f>
        <v>1512147.2</v>
      </c>
      <c r="Q23" s="14"/>
      <c r="R23" s="20">
        <f>IF(P$12=0,0,P23/P$12)</f>
        <v>0.77111074533377821</v>
      </c>
      <c r="S23" s="14"/>
      <c r="T23" s="22">
        <f>T12-T18</f>
        <v>1885599</v>
      </c>
      <c r="U23" s="14"/>
      <c r="V23" s="20">
        <f>IF(T$12=0,0,T23/T$12)</f>
        <v>0.7600000967331989</v>
      </c>
      <c r="W23" s="15"/>
      <c r="X23" s="22">
        <f>+P23-T23</f>
        <v>-373451.80000000005</v>
      </c>
      <c r="Y23" s="15"/>
      <c r="Z23" s="20">
        <f>IF(T23=0,0,X23/T23)</f>
        <v>-0.19805472955808739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28158.18</v>
      </c>
      <c r="E25" s="21"/>
      <c r="F25" s="32">
        <f t="shared" ref="F25:F36" si="13">IF(D$12=0,0,D25/D$12)</f>
        <v>-0.84453038256459911</v>
      </c>
      <c r="G25" s="21"/>
      <c r="H25" s="21">
        <f>SUM(OSRRefH22x_0)</f>
        <v>48476.456506372291</v>
      </c>
      <c r="I25" s="21"/>
      <c r="J25" s="32">
        <f t="shared" ref="J25:J36" si="14">IF(H$12=0,0,H25/H$12)</f>
        <v>0</v>
      </c>
      <c r="K25" s="4"/>
      <c r="L25" s="21">
        <f t="shared" ref="L25:L36" si="15">+D25-H25</f>
        <v>-20318.276506372291</v>
      </c>
      <c r="M25" s="4"/>
      <c r="N25" s="32">
        <f t="shared" ref="N25:N36" si="16">IF(H25=0,0,L25/H25)</f>
        <v>-0.41913699908534835</v>
      </c>
      <c r="O25" s="10"/>
      <c r="P25" s="21">
        <f>SUM(OSRRefP22x_0)</f>
        <v>1216927.9700000002</v>
      </c>
      <c r="Q25" s="21"/>
      <c r="R25" s="32">
        <f t="shared" ref="R25:R36" si="17">IF(P$12=0,0,P25/P$12)</f>
        <v>0.62056540128118609</v>
      </c>
      <c r="S25" s="21"/>
      <c r="T25" s="21">
        <f>SUM(OSRRefT22x_0)</f>
        <v>1179486.3875231275</v>
      </c>
      <c r="U25" s="21"/>
      <c r="V25" s="32">
        <f t="shared" ref="V25:V36" si="18">IF(T$12=0,0,T25/T$12)</f>
        <v>0.47539788078646006</v>
      </c>
      <c r="W25" s="4"/>
      <c r="X25" s="21">
        <f t="shared" ref="X25:X36" si="19">+P25-T25</f>
        <v>37441.582476872718</v>
      </c>
      <c r="Y25" s="4"/>
      <c r="Z25" s="32">
        <f t="shared" ref="Z25:Z36" si="20">IF(T25=0,0,X25/T25)</f>
        <v>3.1743971675246278E-2</v>
      </c>
    </row>
    <row r="26" spans="1:26" s="26" customFormat="1" outlineLevel="1" collapsed="1" x14ac:dyDescent="0.25">
      <c r="A26" s="25"/>
      <c r="B26" s="12" t="str">
        <f>CONCATENATE("     ","*Benefits                                         ")</f>
        <v xml:space="preserve">     *Benefits                                         </v>
      </c>
      <c r="C26" s="12"/>
      <c r="D26" s="1">
        <f>SUM(OSRRefD22_0x_0)</f>
        <v>16788.280000000002</v>
      </c>
      <c r="E26" s="1"/>
      <c r="F26" s="5">
        <f t="shared" si="13"/>
        <v>-0.50352020375612372</v>
      </c>
      <c r="G26" s="1"/>
      <c r="H26" s="1">
        <f>SUM(OSRRefH22_0x_0)</f>
        <v>14555.245143295371</v>
      </c>
      <c r="I26" s="1"/>
      <c r="J26" s="5">
        <f t="shared" si="14"/>
        <v>0</v>
      </c>
      <c r="K26" s="1"/>
      <c r="L26" s="1">
        <f t="shared" si="15"/>
        <v>2233.0348567046312</v>
      </c>
      <c r="M26" s="1"/>
      <c r="N26" s="5">
        <f t="shared" si="16"/>
        <v>0.15341788027068998</v>
      </c>
      <c r="O26" s="12"/>
      <c r="P26" s="1">
        <f>SUM(OSRRefP22_0x_0)</f>
        <v>258813.22000000003</v>
      </c>
      <c r="Q26" s="1"/>
      <c r="R26" s="5">
        <f t="shared" si="17"/>
        <v>0.13198030917653727</v>
      </c>
      <c r="S26" s="1"/>
      <c r="T26" s="1">
        <f>SUM(OSRRefT22_0x_0)</f>
        <v>223449.1028751276</v>
      </c>
      <c r="U26" s="1"/>
      <c r="V26" s="5">
        <f t="shared" si="18"/>
        <v>9.0062277186211653E-2</v>
      </c>
      <c r="W26" s="1"/>
      <c r="X26" s="1">
        <f t="shared" si="19"/>
        <v>35364.117124872428</v>
      </c>
      <c r="Y26" s="1"/>
      <c r="Z26" s="5">
        <f t="shared" si="20"/>
        <v>0.15826475322496741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1568.77</v>
      </c>
      <c r="E27" s="2"/>
      <c r="F27" s="7">
        <f t="shared" si="13"/>
        <v>-4.705112078464823E-2</v>
      </c>
      <c r="G27" s="2"/>
      <c r="H27" s="6">
        <v>1590.46169535692</v>
      </c>
      <c r="I27" s="2"/>
      <c r="J27" s="7">
        <f t="shared" si="14"/>
        <v>0</v>
      </c>
      <c r="K27" s="2"/>
      <c r="L27" s="6">
        <f t="shared" si="15"/>
        <v>-21.691695356920036</v>
      </c>
      <c r="M27" s="2"/>
      <c r="N27" s="7">
        <f t="shared" si="16"/>
        <v>-1.3638615390892606E-2</v>
      </c>
      <c r="O27" s="11"/>
      <c r="P27" s="6">
        <v>41716.54</v>
      </c>
      <c r="Q27" s="2"/>
      <c r="R27" s="7">
        <f t="shared" si="17"/>
        <v>2.1273109028106769E-2</v>
      </c>
      <c r="S27" s="2"/>
      <c r="T27" s="6">
        <v>42087.25732985996</v>
      </c>
      <c r="U27" s="2"/>
      <c r="V27" s="7">
        <f t="shared" si="18"/>
        <v>1.6963479319796311E-2</v>
      </c>
      <c r="W27" s="2"/>
      <c r="X27" s="6">
        <f t="shared" si="19"/>
        <v>-370.71732985995914</v>
      </c>
      <c r="Y27" s="2"/>
      <c r="Z27" s="7">
        <f t="shared" si="20"/>
        <v>-8.8083033530660486E-3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740.18</v>
      </c>
      <c r="E28" s="2"/>
      <c r="F28" s="7">
        <f t="shared" si="13"/>
        <v>-2.2199747944173412E-2</v>
      </c>
      <c r="G28" s="2"/>
      <c r="H28" s="6">
        <v>806.34932418461506</v>
      </c>
      <c r="I28" s="2"/>
      <c r="J28" s="7">
        <f t="shared" si="14"/>
        <v>0</v>
      </c>
      <c r="K28" s="2"/>
      <c r="L28" s="6">
        <f t="shared" si="15"/>
        <v>-66.169324184615107</v>
      </c>
      <c r="M28" s="2"/>
      <c r="N28" s="7">
        <f t="shared" si="16"/>
        <v>-8.2060370363087859E-2</v>
      </c>
      <c r="O28" s="11"/>
      <c r="P28" s="6">
        <v>25014.48</v>
      </c>
      <c r="Q28" s="2"/>
      <c r="R28" s="7">
        <f t="shared" si="17"/>
        <v>1.2755989838116877E-2</v>
      </c>
      <c r="S28" s="2"/>
      <c r="T28" s="6">
        <v>23417.497360320034</v>
      </c>
      <c r="U28" s="2"/>
      <c r="V28" s="7">
        <f t="shared" si="18"/>
        <v>9.4385392965803741E-3</v>
      </c>
      <c r="W28" s="2"/>
      <c r="X28" s="6">
        <f t="shared" si="19"/>
        <v>1596.9826396799654</v>
      </c>
      <c r="Y28" s="2"/>
      <c r="Z28" s="7">
        <f t="shared" si="20"/>
        <v>6.8196127669303608E-2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12616.96</v>
      </c>
      <c r="E29" s="2"/>
      <c r="F29" s="7">
        <f t="shared" si="13"/>
        <v>-0.37841245618865432</v>
      </c>
      <c r="G29" s="2"/>
      <c r="H29" s="6">
        <v>10500.692307692299</v>
      </c>
      <c r="I29" s="2"/>
      <c r="J29" s="7">
        <f t="shared" si="14"/>
        <v>0</v>
      </c>
      <c r="K29" s="2"/>
      <c r="L29" s="6">
        <f t="shared" si="15"/>
        <v>2116.2676923076997</v>
      </c>
      <c r="M29" s="2"/>
      <c r="N29" s="7">
        <f t="shared" si="16"/>
        <v>0.20153601594034179</v>
      </c>
      <c r="O29" s="11"/>
      <c r="P29" s="6">
        <v>167665.99</v>
      </c>
      <c r="Q29" s="2"/>
      <c r="R29" s="7">
        <f t="shared" si="17"/>
        <v>8.5500304808966879E-2</v>
      </c>
      <c r="S29" s="2"/>
      <c r="T29" s="6">
        <v>126008.30769230762</v>
      </c>
      <c r="U29" s="2"/>
      <c r="V29" s="7">
        <f t="shared" si="18"/>
        <v>5.0788277908155703E-2</v>
      </c>
      <c r="W29" s="2"/>
      <c r="X29" s="6">
        <f t="shared" si="19"/>
        <v>41657.682307692376</v>
      </c>
      <c r="Y29" s="2"/>
      <c r="Z29" s="7">
        <f t="shared" si="20"/>
        <v>0.33059472879688107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-1896.74</v>
      </c>
      <c r="E30" s="2"/>
      <c r="F30" s="7">
        <f t="shared" si="13"/>
        <v>5.6887716387407763E-2</v>
      </c>
      <c r="G30" s="2"/>
      <c r="H30" s="6">
        <v>54.033717600000003</v>
      </c>
      <c r="I30" s="2"/>
      <c r="J30" s="7">
        <f t="shared" si="14"/>
        <v>0</v>
      </c>
      <c r="K30" s="2"/>
      <c r="L30" s="6">
        <f t="shared" si="15"/>
        <v>-1950.7737176000001</v>
      </c>
      <c r="M30" s="2"/>
      <c r="N30" s="7">
        <f t="shared" si="16"/>
        <v>-36.102896566198879</v>
      </c>
      <c r="O30" s="11"/>
      <c r="P30" s="6">
        <v>0</v>
      </c>
      <c r="Q30" s="2"/>
      <c r="R30" s="7">
        <f t="shared" si="17"/>
        <v>0</v>
      </c>
      <c r="S30" s="2"/>
      <c r="T30" s="6">
        <v>1569.21374064</v>
      </c>
      <c r="U30" s="2"/>
      <c r="V30" s="7">
        <f t="shared" si="18"/>
        <v>6.3247943739971489E-4</v>
      </c>
      <c r="W30" s="2"/>
      <c r="X30" s="6">
        <f t="shared" si="19"/>
        <v>-1569.21374064</v>
      </c>
      <c r="Y30" s="2"/>
      <c r="Z30" s="7">
        <f t="shared" si="20"/>
        <v>-1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449.45</v>
      </c>
      <c r="E31" s="2"/>
      <c r="F31" s="7">
        <f t="shared" si="13"/>
        <v>-1.3480067974693644E-2</v>
      </c>
      <c r="G31" s="2"/>
      <c r="H31" s="6">
        <v>403.720384615385</v>
      </c>
      <c r="I31" s="2"/>
      <c r="J31" s="7">
        <f t="shared" si="14"/>
        <v>0</v>
      </c>
      <c r="K31" s="2"/>
      <c r="L31" s="6">
        <f t="shared" si="15"/>
        <v>45.729615384614988</v>
      </c>
      <c r="M31" s="2"/>
      <c r="N31" s="7">
        <f t="shared" si="16"/>
        <v>0.11327051376952522</v>
      </c>
      <c r="O31" s="11"/>
      <c r="P31" s="6">
        <v>13163.64</v>
      </c>
      <c r="Q31" s="2"/>
      <c r="R31" s="7">
        <f t="shared" si="17"/>
        <v>6.7127223141408036E-3</v>
      </c>
      <c r="S31" s="2"/>
      <c r="T31" s="6">
        <v>5248.3650000000043</v>
      </c>
      <c r="U31" s="2"/>
      <c r="V31" s="7">
        <f t="shared" si="18"/>
        <v>2.1153797322183239E-3</v>
      </c>
      <c r="W31" s="2"/>
      <c r="X31" s="6">
        <f t="shared" si="19"/>
        <v>7915.2749999999951</v>
      </c>
      <c r="Y31" s="2"/>
      <c r="Z31" s="7">
        <f t="shared" si="20"/>
        <v>1.5081411068018304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530.52</v>
      </c>
      <c r="E33" s="2"/>
      <c r="F33" s="7">
        <f t="shared" si="13"/>
        <v>-1.5911548919645059E-2</v>
      </c>
      <c r="G33" s="2"/>
      <c r="H33" s="6"/>
      <c r="I33" s="2"/>
      <c r="J33" s="7">
        <f t="shared" si="14"/>
        <v>0</v>
      </c>
      <c r="K33" s="2"/>
      <c r="L33" s="6">
        <f t="shared" si="15"/>
        <v>530.52</v>
      </c>
      <c r="M33" s="2"/>
      <c r="N33" s="7">
        <f t="shared" si="16"/>
        <v>0</v>
      </c>
      <c r="O33" s="11"/>
      <c r="P33" s="6">
        <v>6431.65</v>
      </c>
      <c r="Q33" s="2"/>
      <c r="R33" s="7">
        <f t="shared" si="17"/>
        <v>3.2797828314769847E-3</v>
      </c>
      <c r="S33" s="2"/>
      <c r="T33" s="6"/>
      <c r="U33" s="2"/>
      <c r="V33" s="7">
        <f t="shared" si="18"/>
        <v>0</v>
      </c>
      <c r="W33" s="2"/>
      <c r="X33" s="6">
        <f t="shared" si="19"/>
        <v>6431.65</v>
      </c>
      <c r="Y33" s="2"/>
      <c r="Z33" s="7">
        <f t="shared" si="20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1199.6199999999999</v>
      </c>
      <c r="E34" s="2"/>
      <c r="F34" s="7">
        <f t="shared" si="13"/>
        <v>-3.5979439634669014E-2</v>
      </c>
      <c r="G34" s="2"/>
      <c r="H34" s="6">
        <v>623.46597230769203</v>
      </c>
      <c r="I34" s="2"/>
      <c r="J34" s="7">
        <f t="shared" si="14"/>
        <v>0</v>
      </c>
      <c r="K34" s="2"/>
      <c r="L34" s="6">
        <f t="shared" si="15"/>
        <v>576.15402769230786</v>
      </c>
      <c r="M34" s="2"/>
      <c r="N34" s="7">
        <f t="shared" si="16"/>
        <v>0.92411463220636714</v>
      </c>
      <c r="O34" s="11"/>
      <c r="P34" s="6">
        <v>24555.34</v>
      </c>
      <c r="Q34" s="2"/>
      <c r="R34" s="7">
        <f t="shared" si="17"/>
        <v>1.2521854042598722E-2</v>
      </c>
      <c r="S34" s="2"/>
      <c r="T34" s="6">
        <v>7622.4243599999963</v>
      </c>
      <c r="U34" s="2"/>
      <c r="V34" s="7">
        <f t="shared" si="18"/>
        <v>3.0722562172240701E-3</v>
      </c>
      <c r="W34" s="2"/>
      <c r="X34" s="6">
        <f t="shared" si="19"/>
        <v>16932.915640000003</v>
      </c>
      <c r="Y34" s="2"/>
      <c r="Z34" s="7">
        <f t="shared" si="20"/>
        <v>2.221460632506691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946.52</v>
      </c>
      <c r="E35" s="2"/>
      <c r="F35" s="7">
        <f t="shared" si="13"/>
        <v>-2.8388372320407224E-2</v>
      </c>
      <c r="G35" s="2"/>
      <c r="H35" s="6">
        <v>576.52174153846204</v>
      </c>
      <c r="I35" s="2"/>
      <c r="J35" s="7">
        <f t="shared" si="14"/>
        <v>0</v>
      </c>
      <c r="K35" s="2"/>
      <c r="L35" s="6">
        <f t="shared" si="15"/>
        <v>369.99825846153794</v>
      </c>
      <c r="M35" s="2"/>
      <c r="N35" s="7">
        <f t="shared" si="16"/>
        <v>0.64177676538995521</v>
      </c>
      <c r="O35" s="11"/>
      <c r="P35" s="6">
        <v>-32536.11</v>
      </c>
      <c r="Q35" s="2"/>
      <c r="R35" s="7">
        <f t="shared" si="17"/>
        <v>-1.6591601685577832E-2</v>
      </c>
      <c r="S35" s="2"/>
      <c r="T35" s="6">
        <v>17496.037392000002</v>
      </c>
      <c r="U35" s="2"/>
      <c r="V35" s="7">
        <f t="shared" si="18"/>
        <v>7.0518652748371565E-3</v>
      </c>
      <c r="W35" s="2"/>
      <c r="X35" s="6">
        <f t="shared" si="19"/>
        <v>-50032.147391999999</v>
      </c>
      <c r="Y35" s="2"/>
      <c r="Z35" s="7">
        <f t="shared" si="20"/>
        <v>-2.8596273699596124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633</v>
      </c>
      <c r="E36" s="2"/>
      <c r="F36" s="7">
        <f t="shared" si="13"/>
        <v>-1.8985166376640508E-2</v>
      </c>
      <c r="G36" s="2"/>
      <c r="H36" s="6"/>
      <c r="I36" s="2"/>
      <c r="J36" s="7">
        <f t="shared" si="14"/>
        <v>0</v>
      </c>
      <c r="K36" s="2"/>
      <c r="L36" s="6">
        <f t="shared" si="15"/>
        <v>633</v>
      </c>
      <c r="M36" s="2"/>
      <c r="N36" s="7">
        <f t="shared" si="16"/>
        <v>0</v>
      </c>
      <c r="O36" s="11"/>
      <c r="P36" s="6">
        <v>12801.69</v>
      </c>
      <c r="Q36" s="2"/>
      <c r="R36" s="7">
        <f t="shared" si="17"/>
        <v>6.5281479987080466E-3</v>
      </c>
      <c r="S36" s="2"/>
      <c r="T36" s="6"/>
      <c r="U36" s="2"/>
      <c r="V36" s="7">
        <f t="shared" si="18"/>
        <v>0</v>
      </c>
      <c r="W36" s="2"/>
      <c r="X36" s="6">
        <f t="shared" si="19"/>
        <v>12801.69</v>
      </c>
      <c r="Y36" s="2"/>
      <c r="Z36" s="7">
        <f t="shared" si="20"/>
        <v>0</v>
      </c>
    </row>
    <row r="37" spans="1:26" s="26" customFormat="1" outlineLevel="1" collapsed="1" x14ac:dyDescent="0.25">
      <c r="A37" s="25"/>
      <c r="B37" s="12" t="str">
        <f>CONCATENATE("     ","*Payroll                                          ")</f>
        <v xml:space="preserve">     *Payroll                                          </v>
      </c>
      <c r="C37" s="12"/>
      <c r="D37" s="1">
        <f>SUM(OSRRefD22_1x_0)</f>
        <v>12759.61</v>
      </c>
      <c r="E37" s="1"/>
      <c r="F37" s="5">
        <f t="shared" ref="F37:F47" si="21">IF(D$12=0,0,D37/D$12)</f>
        <v>-0.38269086690528592</v>
      </c>
      <c r="G37" s="1"/>
      <c r="H37" s="1">
        <f>SUM(OSRRefH22_1x_0)</f>
        <v>19582.21136307692</v>
      </c>
      <c r="I37" s="1"/>
      <c r="J37" s="5">
        <f t="shared" ref="J37:J47" si="22">IF(H$12=0,0,H37/H$12)</f>
        <v>0</v>
      </c>
      <c r="K37" s="1"/>
      <c r="L37" s="1">
        <f t="shared" ref="L37:L47" si="23">+D37-H37</f>
        <v>-6822.6013630769194</v>
      </c>
      <c r="M37" s="1"/>
      <c r="N37" s="5">
        <f t="shared" ref="N37:N47" si="24">IF(H37=0,0,L37/H37)</f>
        <v>-0.34840811574229152</v>
      </c>
      <c r="O37" s="12"/>
      <c r="P37" s="1">
        <f>SUM(OSRRefP22_1x_0)</f>
        <v>672066.21999999986</v>
      </c>
      <c r="Q37" s="1"/>
      <c r="R37" s="5">
        <f t="shared" ref="R37:R47" si="25">IF(P$12=0,0,P37/P$12)</f>
        <v>0.34271629363719014</v>
      </c>
      <c r="S37" s="1"/>
      <c r="T37" s="1">
        <f>SUM(OSRRefT22_1x_0)</f>
        <v>578425.28464799991</v>
      </c>
      <c r="U37" s="1"/>
      <c r="V37" s="5">
        <f t="shared" ref="V37:V47" si="26">IF(T$12=0,0,T37/T$12)</f>
        <v>0.23313720058475215</v>
      </c>
      <c r="W37" s="1"/>
      <c r="X37" s="1">
        <f t="shared" ref="X37:X47" si="27">+P37-T37</f>
        <v>93640.935351999942</v>
      </c>
      <c r="Y37" s="1"/>
      <c r="Z37" s="5">
        <f t="shared" ref="Z37:Z47" si="28">IF(T37=0,0,X37/T37)</f>
        <v>0.16188942260535003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2858.26</v>
      </c>
      <c r="E39" s="2"/>
      <c r="F39" s="7">
        <f t="shared" si="21"/>
        <v>-8.5725974166977095E-2</v>
      </c>
      <c r="G39" s="2"/>
      <c r="H39" s="6">
        <v>4459.7019230769201</v>
      </c>
      <c r="I39" s="2"/>
      <c r="J39" s="7">
        <f t="shared" si="22"/>
        <v>0</v>
      </c>
      <c r="K39" s="2"/>
      <c r="L39" s="6">
        <f t="shared" si="23"/>
        <v>-1601.4419230769199</v>
      </c>
      <c r="M39" s="2"/>
      <c r="N39" s="7">
        <f t="shared" si="24"/>
        <v>-0.35909169507275579</v>
      </c>
      <c r="O39" s="11"/>
      <c r="P39" s="6">
        <v>102393.01000000001</v>
      </c>
      <c r="Q39" s="2"/>
      <c r="R39" s="7">
        <f t="shared" si="25"/>
        <v>5.2214725033428631E-2</v>
      </c>
      <c r="S39" s="2"/>
      <c r="T39" s="6">
        <v>57976.124999999956</v>
      </c>
      <c r="U39" s="2"/>
      <c r="V39" s="7">
        <f t="shared" si="26"/>
        <v>2.3367566809388424E-2</v>
      </c>
      <c r="W39" s="2"/>
      <c r="X39" s="6">
        <f t="shared" si="27"/>
        <v>44416.885000000053</v>
      </c>
      <c r="Y39" s="2"/>
      <c r="Z39" s="7">
        <f t="shared" si="28"/>
        <v>0.76612372765513537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9901.35</v>
      </c>
      <c r="E41" s="2"/>
      <c r="F41" s="7">
        <f t="shared" si="21"/>
        <v>-0.29696489273830884</v>
      </c>
      <c r="G41" s="2"/>
      <c r="H41" s="6">
        <v>15122.50944</v>
      </c>
      <c r="I41" s="2"/>
      <c r="J41" s="7">
        <f t="shared" si="22"/>
        <v>0</v>
      </c>
      <c r="K41" s="2"/>
      <c r="L41" s="6">
        <f t="shared" si="23"/>
        <v>-5221.1594399999994</v>
      </c>
      <c r="M41" s="2"/>
      <c r="N41" s="7">
        <f t="shared" si="24"/>
        <v>-0.34525747599731699</v>
      </c>
      <c r="O41" s="11"/>
      <c r="P41" s="6">
        <v>242990.05999999997</v>
      </c>
      <c r="Q41" s="2"/>
      <c r="R41" s="7">
        <f t="shared" si="25"/>
        <v>0.12391137997365566</v>
      </c>
      <c r="S41" s="2"/>
      <c r="T41" s="6">
        <v>181470.11327999999</v>
      </c>
      <c r="U41" s="2"/>
      <c r="V41" s="7">
        <f t="shared" si="26"/>
        <v>7.314243571776638E-2</v>
      </c>
      <c r="W41" s="2"/>
      <c r="X41" s="6">
        <f t="shared" si="27"/>
        <v>61519.946719999978</v>
      </c>
      <c r="Y41" s="2"/>
      <c r="Z41" s="7">
        <f t="shared" si="28"/>
        <v>0.3390086973995412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107403.49</v>
      </c>
      <c r="Q42" s="2"/>
      <c r="R42" s="7">
        <f t="shared" si="25"/>
        <v>5.4769790418121335E-2</v>
      </c>
      <c r="S42" s="2"/>
      <c r="T42" s="6">
        <v>47106.046367999996</v>
      </c>
      <c r="U42" s="2"/>
      <c r="V42" s="7">
        <f t="shared" si="26"/>
        <v>1.8986327313706971E-2</v>
      </c>
      <c r="W42" s="2"/>
      <c r="X42" s="6">
        <f t="shared" si="27"/>
        <v>60297.44363200001</v>
      </c>
      <c r="Y42" s="2"/>
      <c r="Z42" s="7">
        <f t="shared" si="28"/>
        <v>1.280036179664638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10378.219999999999</v>
      </c>
      <c r="Q43" s="2"/>
      <c r="R43" s="7">
        <f t="shared" si="25"/>
        <v>5.2923134463615205E-3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10378.219999999999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146844.08000000002</v>
      </c>
      <c r="Q44" s="2"/>
      <c r="R44" s="7">
        <f t="shared" si="25"/>
        <v>7.4882291867255368E-2</v>
      </c>
      <c r="S44" s="2"/>
      <c r="T44" s="6">
        <v>286987.83749999997</v>
      </c>
      <c r="U44" s="2"/>
      <c r="V44" s="7">
        <f t="shared" si="26"/>
        <v>0.11567188159372781</v>
      </c>
      <c r="W44" s="2"/>
      <c r="X44" s="6">
        <f t="shared" si="27"/>
        <v>-140143.75749999995</v>
      </c>
      <c r="Y44" s="2"/>
      <c r="Z44" s="7">
        <f t="shared" si="28"/>
        <v>-0.48832646958427278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62057.36</v>
      </c>
      <c r="Q45" s="2"/>
      <c r="R45" s="7">
        <f t="shared" si="25"/>
        <v>3.1645792898367699E-2</v>
      </c>
      <c r="S45" s="2"/>
      <c r="T45" s="6">
        <v>4885.1624999999995</v>
      </c>
      <c r="U45" s="2"/>
      <c r="V45" s="7">
        <f t="shared" si="26"/>
        <v>1.968989150162572E-3</v>
      </c>
      <c r="W45" s="2"/>
      <c r="X45" s="6">
        <f t="shared" si="27"/>
        <v>57172.197500000002</v>
      </c>
      <c r="Y45" s="2"/>
      <c r="Z45" s="7">
        <f t="shared" si="28"/>
        <v>11.70323351577353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6" customFormat="1" outlineLevel="1" collapsed="1" x14ac:dyDescent="0.25">
      <c r="A48" s="25"/>
      <c r="B48" s="12" t="str">
        <f>CONCATENATE("     ","Advertising/Promo                                 ")</f>
        <v xml:space="preserve">     Advertising/Promo                                 </v>
      </c>
      <c r="C48" s="12"/>
      <c r="D48" s="1">
        <f>SUM(OSRRefD22_2x_0)</f>
        <v>0</v>
      </c>
      <c r="E48" s="1"/>
      <c r="F48" s="5">
        <f t="shared" ref="F48:F52" si="29">IF(D$12=0,0,D48/D$12)</f>
        <v>0</v>
      </c>
      <c r="G48" s="1"/>
      <c r="H48" s="1">
        <f>SUM(OSRRefH22_2x_0)</f>
        <v>450</v>
      </c>
      <c r="I48" s="1"/>
      <c r="J48" s="5">
        <f t="shared" ref="J48:J52" si="30">IF(H$12=0,0,H48/H$12)</f>
        <v>0</v>
      </c>
      <c r="K48" s="1"/>
      <c r="L48" s="1">
        <f t="shared" ref="L48:L52" si="31">+D48-H48</f>
        <v>-450</v>
      </c>
      <c r="M48" s="1"/>
      <c r="N48" s="5">
        <f t="shared" ref="N48:N52" si="32">IF(H48=0,0,L48/H48)</f>
        <v>-1</v>
      </c>
      <c r="O48" s="12"/>
      <c r="P48" s="1">
        <f>SUM(OSRRefP22_2x_0)</f>
        <v>3020.03</v>
      </c>
      <c r="Q48" s="1"/>
      <c r="R48" s="5">
        <f t="shared" ref="R48:R52" si="33">IF(P$12=0,0,P48/P$12)</f>
        <v>1.5400468844768355E-3</v>
      </c>
      <c r="S48" s="1"/>
      <c r="T48" s="1">
        <f>SUM(OSRRefT22_2x_0)</f>
        <v>5800</v>
      </c>
      <c r="U48" s="1"/>
      <c r="V48" s="5">
        <f t="shared" ref="V48:V52" si="34">IF(T$12=0,0,T48/T$12)</f>
        <v>2.3377189747409463E-3</v>
      </c>
      <c r="W48" s="1"/>
      <c r="X48" s="1">
        <f t="shared" ref="X48:X52" si="35">+P48-T48</f>
        <v>-2779.97</v>
      </c>
      <c r="Y48" s="1"/>
      <c r="Z48" s="5">
        <f t="shared" ref="Z48:Z52" si="36">IF(T48=0,0,X48/T48)</f>
        <v>-0.47930517241379306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9"/>
        <v>0</v>
      </c>
      <c r="G49" s="2"/>
      <c r="H49" s="6">
        <v>450</v>
      </c>
      <c r="I49" s="2"/>
      <c r="J49" s="7">
        <f t="shared" si="30"/>
        <v>0</v>
      </c>
      <c r="K49" s="2"/>
      <c r="L49" s="6">
        <f t="shared" si="31"/>
        <v>-450</v>
      </c>
      <c r="M49" s="2"/>
      <c r="N49" s="7">
        <f t="shared" si="32"/>
        <v>-1</v>
      </c>
      <c r="O49" s="11"/>
      <c r="P49" s="6">
        <v>3020.03</v>
      </c>
      <c r="Q49" s="2"/>
      <c r="R49" s="7">
        <f t="shared" si="33"/>
        <v>1.5400468844768355E-3</v>
      </c>
      <c r="S49" s="2"/>
      <c r="T49" s="6">
        <v>5800</v>
      </c>
      <c r="U49" s="2"/>
      <c r="V49" s="7">
        <f t="shared" si="34"/>
        <v>2.3377189747409463E-3</v>
      </c>
      <c r="W49" s="2"/>
      <c r="X49" s="6">
        <f t="shared" si="35"/>
        <v>-2779.97</v>
      </c>
      <c r="Y49" s="2"/>
      <c r="Z49" s="7">
        <f t="shared" si="36"/>
        <v>-0.47930517241379306</v>
      </c>
    </row>
    <row r="50" spans="1:26" s="26" customFormat="1" outlineLevel="1" collapsed="1" x14ac:dyDescent="0.25">
      <c r="A50" s="25"/>
      <c r="B50" s="12" t="str">
        <f>CONCATENATE("     ","Bad Debts/Over/Short                              ")</f>
        <v xml:space="preserve">     Bad Debts/Over/Short                              </v>
      </c>
      <c r="C50" s="12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70</v>
      </c>
      <c r="I50" s="1"/>
      <c r="J50" s="5">
        <f t="shared" si="30"/>
        <v>0</v>
      </c>
      <c r="K50" s="1"/>
      <c r="L50" s="1">
        <f t="shared" si="31"/>
        <v>-70</v>
      </c>
      <c r="M50" s="1"/>
      <c r="N50" s="5">
        <f t="shared" si="32"/>
        <v>-1</v>
      </c>
      <c r="O50" s="12"/>
      <c r="P50" s="1">
        <f>SUM(OSRRefP22_3x_0)</f>
        <v>46.62</v>
      </c>
      <c r="Q50" s="1"/>
      <c r="R50" s="5">
        <f t="shared" si="33"/>
        <v>2.3773600180895577E-5</v>
      </c>
      <c r="S50" s="1"/>
      <c r="T50" s="1">
        <f>SUM(OSRRefT22_3x_0)</f>
        <v>770</v>
      </c>
      <c r="U50" s="1"/>
      <c r="V50" s="5">
        <f t="shared" si="34"/>
        <v>3.1035234664664288E-4</v>
      </c>
      <c r="W50" s="1"/>
      <c r="X50" s="1">
        <f t="shared" si="35"/>
        <v>-723.38</v>
      </c>
      <c r="Y50" s="1"/>
      <c r="Z50" s="5">
        <f t="shared" si="36"/>
        <v>-0.93945454545454543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9"/>
        <v>0</v>
      </c>
      <c r="G51" s="2"/>
      <c r="H51" s="6">
        <v>20</v>
      </c>
      <c r="I51" s="2"/>
      <c r="J51" s="7">
        <f t="shared" si="30"/>
        <v>0</v>
      </c>
      <c r="K51" s="2"/>
      <c r="L51" s="6">
        <f t="shared" si="31"/>
        <v>-20</v>
      </c>
      <c r="M51" s="2"/>
      <c r="N51" s="7">
        <f t="shared" si="32"/>
        <v>-1</v>
      </c>
      <c r="O51" s="11"/>
      <c r="P51" s="6">
        <v>46.62</v>
      </c>
      <c r="Q51" s="2"/>
      <c r="R51" s="7">
        <f t="shared" si="33"/>
        <v>2.3773600180895577E-5</v>
      </c>
      <c r="S51" s="2"/>
      <c r="T51" s="6">
        <v>220</v>
      </c>
      <c r="U51" s="2"/>
      <c r="V51" s="7">
        <f t="shared" si="34"/>
        <v>8.8672099041897968E-5</v>
      </c>
      <c r="W51" s="2"/>
      <c r="X51" s="6">
        <f t="shared" si="35"/>
        <v>-173.38</v>
      </c>
      <c r="Y51" s="2"/>
      <c r="Z51" s="7">
        <f t="shared" si="36"/>
        <v>-0.78809090909090906</v>
      </c>
    </row>
    <row r="52" spans="1:26" s="24" customFormat="1" hidden="1" outlineLevel="2" x14ac:dyDescent="0.25">
      <c r="A52" s="27"/>
      <c r="B52" s="11" t="str">
        <f>CONCATENATE("          ", "6342", " - ", "BAD DEBT")</f>
        <v xml:space="preserve">          6342 - BAD DEBT</v>
      </c>
      <c r="C52" s="11"/>
      <c r="D52" s="6"/>
      <c r="E52" s="2"/>
      <c r="F52" s="7">
        <f t="shared" si="29"/>
        <v>0</v>
      </c>
      <c r="G52" s="2"/>
      <c r="H52" s="6">
        <v>50</v>
      </c>
      <c r="I52" s="2"/>
      <c r="J52" s="7">
        <f t="shared" si="30"/>
        <v>0</v>
      </c>
      <c r="K52" s="2"/>
      <c r="L52" s="6">
        <f t="shared" si="31"/>
        <v>-50</v>
      </c>
      <c r="M52" s="2"/>
      <c r="N52" s="7">
        <f t="shared" si="32"/>
        <v>-1</v>
      </c>
      <c r="O52" s="11"/>
      <c r="P52" s="6"/>
      <c r="Q52" s="2"/>
      <c r="R52" s="7">
        <f t="shared" si="33"/>
        <v>0</v>
      </c>
      <c r="S52" s="2"/>
      <c r="T52" s="6">
        <v>550</v>
      </c>
      <c r="U52" s="2"/>
      <c r="V52" s="7">
        <f t="shared" si="34"/>
        <v>2.2168024760474493E-4</v>
      </c>
      <c r="W52" s="2"/>
      <c r="X52" s="6">
        <f t="shared" si="35"/>
        <v>-550</v>
      </c>
      <c r="Y52" s="2"/>
      <c r="Z52" s="7">
        <f t="shared" si="36"/>
        <v>-1</v>
      </c>
    </row>
    <row r="53" spans="1:26" s="26" customFormat="1" outlineLevel="1" collapsed="1" x14ac:dyDescent="0.25">
      <c r="A53" s="25"/>
      <c r="B53" s="12" t="str">
        <f>CONCATENATE("     ","Bank/card Fees                                    ")</f>
        <v xml:space="preserve">     Bank/card Fees                                    </v>
      </c>
      <c r="C53" s="12"/>
      <c r="D53" s="1">
        <f>SUM(OSRRefD22_4x_0)</f>
        <v>0</v>
      </c>
      <c r="E53" s="1"/>
      <c r="F53" s="5">
        <f t="shared" ref="F53:F73" si="37">IF(D$12=0,0,D53/D$12)</f>
        <v>0</v>
      </c>
      <c r="G53" s="1"/>
      <c r="H53" s="1">
        <f>SUM(OSRRefH22_4x_0)</f>
        <v>20</v>
      </c>
      <c r="I53" s="1"/>
      <c r="J53" s="5">
        <f t="shared" ref="J53:J73" si="38">IF(H$12=0,0,H53/H$12)</f>
        <v>0</v>
      </c>
      <c r="K53" s="1"/>
      <c r="L53" s="1">
        <f t="shared" ref="L53:L73" si="39">+D53-H53</f>
        <v>-20</v>
      </c>
      <c r="M53" s="1"/>
      <c r="N53" s="5">
        <f t="shared" ref="N53:N73" si="40">IF(H53=0,0,L53/H53)</f>
        <v>-1</v>
      </c>
      <c r="O53" s="12"/>
      <c r="P53" s="1">
        <f>SUM(OSRRefP22_4x_0)</f>
        <v>70.89</v>
      </c>
      <c r="Q53" s="1"/>
      <c r="R53" s="5">
        <f t="shared" ref="R53:R73" si="41">IF(P$12=0,0,P53/P$12)</f>
        <v>3.6149946735814835E-5</v>
      </c>
      <c r="S53" s="1"/>
      <c r="T53" s="1">
        <f>SUM(OSRRefT22_4x_0)</f>
        <v>240</v>
      </c>
      <c r="U53" s="1"/>
      <c r="V53" s="5">
        <f t="shared" ref="V53:V73" si="42">IF(T$12=0,0,T53/T$12)</f>
        <v>9.6733198954797783E-5</v>
      </c>
      <c r="W53" s="1"/>
      <c r="X53" s="1">
        <f t="shared" ref="X53:X73" si="43">+P53-T53</f>
        <v>-169.11</v>
      </c>
      <c r="Y53" s="1"/>
      <c r="Z53" s="5">
        <f t="shared" ref="Z53:Z73" si="44">IF(T53=0,0,X53/T53)</f>
        <v>-0.70462500000000006</v>
      </c>
    </row>
    <row r="54" spans="1:26" s="24" customFormat="1" hidden="1" outlineLevel="2" x14ac:dyDescent="0.25">
      <c r="A54" s="27"/>
      <c r="B54" s="11" t="str">
        <f>CONCATENATE("          ", "6381", " - ", "BANK/CREDIT CARD FEES")</f>
        <v xml:space="preserve">          6381 - BANK/CREDIT CARD FEES</v>
      </c>
      <c r="C54" s="11"/>
      <c r="D54" s="6"/>
      <c r="E54" s="2"/>
      <c r="F54" s="7">
        <f t="shared" si="37"/>
        <v>0</v>
      </c>
      <c r="G54" s="2"/>
      <c r="H54" s="6">
        <v>20</v>
      </c>
      <c r="I54" s="2"/>
      <c r="J54" s="7">
        <f t="shared" si="38"/>
        <v>0</v>
      </c>
      <c r="K54" s="2"/>
      <c r="L54" s="6">
        <f t="shared" si="39"/>
        <v>-20</v>
      </c>
      <c r="M54" s="2"/>
      <c r="N54" s="7">
        <f t="shared" si="40"/>
        <v>-1</v>
      </c>
      <c r="O54" s="11"/>
      <c r="P54" s="6">
        <v>70.89</v>
      </c>
      <c r="Q54" s="2"/>
      <c r="R54" s="7">
        <f t="shared" si="41"/>
        <v>3.6149946735814835E-5</v>
      </c>
      <c r="S54" s="2"/>
      <c r="T54" s="6">
        <v>240</v>
      </c>
      <c r="U54" s="2"/>
      <c r="V54" s="7">
        <f t="shared" si="42"/>
        <v>9.6733198954797783E-5</v>
      </c>
      <c r="W54" s="2"/>
      <c r="X54" s="6">
        <f t="shared" si="43"/>
        <v>-169.11</v>
      </c>
      <c r="Y54" s="2"/>
      <c r="Z54" s="7">
        <f t="shared" si="44"/>
        <v>-0.70462500000000006</v>
      </c>
    </row>
    <row r="55" spans="1:26" s="26" customFormat="1" outlineLevel="1" collapsed="1" x14ac:dyDescent="0.25">
      <c r="A55" s="25"/>
      <c r="B55" s="12" t="str">
        <f>CONCATENATE("     ","Depreciation                                      ")</f>
        <v xml:space="preserve">     Depreciation                                      </v>
      </c>
      <c r="C55" s="12"/>
      <c r="D55" s="1">
        <f>SUM(OSRRefD22_5x_0)</f>
        <v>213.01</v>
      </c>
      <c r="E55" s="1"/>
      <c r="F55" s="5">
        <f t="shared" si="37"/>
        <v>-6.3886734437412235E-3</v>
      </c>
      <c r="G55" s="1"/>
      <c r="H55" s="1">
        <f>SUM(OSRRefH22_5x_0)</f>
        <v>0</v>
      </c>
      <c r="I55" s="1"/>
      <c r="J55" s="5">
        <f t="shared" si="38"/>
        <v>0</v>
      </c>
      <c r="K55" s="1"/>
      <c r="L55" s="1">
        <f t="shared" si="39"/>
        <v>213.01</v>
      </c>
      <c r="M55" s="1"/>
      <c r="N55" s="5">
        <f t="shared" si="40"/>
        <v>0</v>
      </c>
      <c r="O55" s="12"/>
      <c r="P55" s="1">
        <f>SUM(OSRRefP22_5x_0)</f>
        <v>852.07</v>
      </c>
      <c r="Q55" s="1"/>
      <c r="R55" s="5">
        <f t="shared" si="41"/>
        <v>4.3450818331479402E-4</v>
      </c>
      <c r="S55" s="1"/>
      <c r="T55" s="1">
        <f>SUM(OSRRefT22_5x_0)</f>
        <v>0</v>
      </c>
      <c r="U55" s="1"/>
      <c r="V55" s="5">
        <f t="shared" si="42"/>
        <v>0</v>
      </c>
      <c r="W55" s="1"/>
      <c r="X55" s="1">
        <f t="shared" si="43"/>
        <v>852.07</v>
      </c>
      <c r="Y55" s="1"/>
      <c r="Z55" s="5">
        <f t="shared" si="44"/>
        <v>0</v>
      </c>
    </row>
    <row r="56" spans="1:26" s="24" customFormat="1" hidden="1" outlineLevel="2" x14ac:dyDescent="0.25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213.01</v>
      </c>
      <c r="E56" s="2"/>
      <c r="F56" s="7">
        <f t="shared" si="37"/>
        <v>-6.3886734437412235E-3</v>
      </c>
      <c r="G56" s="2"/>
      <c r="H56" s="6"/>
      <c r="I56" s="2"/>
      <c r="J56" s="7">
        <f t="shared" si="38"/>
        <v>0</v>
      </c>
      <c r="K56" s="2"/>
      <c r="L56" s="6">
        <f t="shared" si="39"/>
        <v>213.01</v>
      </c>
      <c r="M56" s="2"/>
      <c r="N56" s="7">
        <f t="shared" si="40"/>
        <v>0</v>
      </c>
      <c r="O56" s="11"/>
      <c r="P56" s="6">
        <v>852.07</v>
      </c>
      <c r="Q56" s="2"/>
      <c r="R56" s="7">
        <f t="shared" si="41"/>
        <v>4.3450818331479402E-4</v>
      </c>
      <c r="S56" s="2"/>
      <c r="T56" s="6"/>
      <c r="U56" s="2"/>
      <c r="V56" s="7">
        <f t="shared" si="42"/>
        <v>0</v>
      </c>
      <c r="W56" s="2"/>
      <c r="X56" s="6">
        <f t="shared" si="43"/>
        <v>852.07</v>
      </c>
      <c r="Y56" s="2"/>
      <c r="Z56" s="7">
        <f t="shared" si="44"/>
        <v>0</v>
      </c>
    </row>
    <row r="57" spans="1:26" s="26" customFormat="1" outlineLevel="1" collapsed="1" x14ac:dyDescent="0.25">
      <c r="A57" s="25"/>
      <c r="B57" s="12" t="str">
        <f>CONCATENATE("     ","Donations                                         ")</f>
        <v xml:space="preserve">     Donations                                         </v>
      </c>
      <c r="C57" s="12"/>
      <c r="D57" s="1">
        <f>SUM(OSRRefD22_6x_0)</f>
        <v>0</v>
      </c>
      <c r="E57" s="1"/>
      <c r="F57" s="5">
        <f t="shared" si="37"/>
        <v>0</v>
      </c>
      <c r="G57" s="1"/>
      <c r="H57" s="1">
        <f>SUM(OSRRefH22_6x_0)</f>
        <v>0</v>
      </c>
      <c r="I57" s="1"/>
      <c r="J57" s="5">
        <f t="shared" si="38"/>
        <v>0</v>
      </c>
      <c r="K57" s="1"/>
      <c r="L57" s="1">
        <f t="shared" si="39"/>
        <v>0</v>
      </c>
      <c r="M57" s="1"/>
      <c r="N57" s="5">
        <f t="shared" si="40"/>
        <v>0</v>
      </c>
      <c r="O57" s="12"/>
      <c r="P57" s="1">
        <f>SUM(OSRRefP22_6x_0)</f>
        <v>21833.94</v>
      </c>
      <c r="Q57" s="1"/>
      <c r="R57" s="5">
        <f t="shared" si="41"/>
        <v>1.1134091804668879E-2</v>
      </c>
      <c r="S57" s="1"/>
      <c r="T57" s="1">
        <f>SUM(OSRRefT22_6x_0)</f>
        <v>20608</v>
      </c>
      <c r="U57" s="1"/>
      <c r="V57" s="5">
        <f t="shared" si="42"/>
        <v>8.3061573502519696E-3</v>
      </c>
      <c r="W57" s="1"/>
      <c r="X57" s="1">
        <f t="shared" si="43"/>
        <v>1225.9399999999987</v>
      </c>
      <c r="Y57" s="1"/>
      <c r="Z57" s="5">
        <f t="shared" si="44"/>
        <v>5.9488548136645898E-2</v>
      </c>
    </row>
    <row r="58" spans="1:26" s="24" customFormat="1" hidden="1" outlineLevel="2" x14ac:dyDescent="0.25">
      <c r="A58" s="27"/>
      <c r="B58" s="11" t="str">
        <f>CONCATENATE("          ", "6399", " - ", "DONATION-ON CAMPUS")</f>
        <v xml:space="preserve">          6399 - DONATION-ON CAMPUS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21833.94</v>
      </c>
      <c r="Q58" s="2"/>
      <c r="R58" s="7">
        <f t="shared" si="41"/>
        <v>1.1134091804668879E-2</v>
      </c>
      <c r="S58" s="2"/>
      <c r="T58" s="6">
        <v>20608</v>
      </c>
      <c r="U58" s="2"/>
      <c r="V58" s="7">
        <f t="shared" si="42"/>
        <v>8.3061573502519696E-3</v>
      </c>
      <c r="W58" s="2"/>
      <c r="X58" s="6">
        <f t="shared" si="43"/>
        <v>1225.9399999999987</v>
      </c>
      <c r="Y58" s="2"/>
      <c r="Z58" s="7">
        <f t="shared" si="44"/>
        <v>5.9488548136645898E-2</v>
      </c>
    </row>
    <row r="59" spans="1:26" s="26" customFormat="1" outlineLevel="1" collapsed="1" x14ac:dyDescent="0.25">
      <c r="A59" s="25"/>
      <c r="B59" s="12" t="str">
        <f>CONCATENATE("     ","Employees' Appreciation                           ")</f>
        <v xml:space="preserve">     Employees' Appreciation                           </v>
      </c>
      <c r="C59" s="12"/>
      <c r="D59" s="1">
        <f>SUM(OSRRefD22_7x_0)</f>
        <v>0</v>
      </c>
      <c r="E59" s="1"/>
      <c r="F59" s="5">
        <f t="shared" si="37"/>
        <v>0</v>
      </c>
      <c r="G59" s="1"/>
      <c r="H59" s="1">
        <f>SUM(OSRRefH22_7x_0)</f>
        <v>0</v>
      </c>
      <c r="I59" s="1"/>
      <c r="J59" s="5">
        <f t="shared" si="38"/>
        <v>0</v>
      </c>
      <c r="K59" s="1"/>
      <c r="L59" s="1">
        <f t="shared" si="39"/>
        <v>0</v>
      </c>
      <c r="M59" s="1"/>
      <c r="N59" s="5">
        <f t="shared" si="40"/>
        <v>0</v>
      </c>
      <c r="O59" s="12"/>
      <c r="P59" s="1">
        <f>SUM(OSRRefP22_7x_0)</f>
        <v>21.34</v>
      </c>
      <c r="Q59" s="1"/>
      <c r="R59" s="5">
        <f t="shared" si="41"/>
        <v>1.0882209949813635E-5</v>
      </c>
      <c r="S59" s="1"/>
      <c r="T59" s="1">
        <f>SUM(OSRRefT22_7x_0)</f>
        <v>800</v>
      </c>
      <c r="U59" s="1"/>
      <c r="V59" s="5">
        <f t="shared" si="42"/>
        <v>3.2244399651599261E-4</v>
      </c>
      <c r="W59" s="1"/>
      <c r="X59" s="1">
        <f t="shared" si="43"/>
        <v>-778.66</v>
      </c>
      <c r="Y59" s="1"/>
      <c r="Z59" s="5">
        <f t="shared" si="44"/>
        <v>-0.973325</v>
      </c>
    </row>
    <row r="60" spans="1:26" s="24" customFormat="1" hidden="1" outlineLevel="2" x14ac:dyDescent="0.25">
      <c r="A60" s="27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37"/>
        <v>0</v>
      </c>
      <c r="G60" s="2"/>
      <c r="H60" s="6">
        <v>0</v>
      </c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21.34</v>
      </c>
      <c r="Q60" s="2"/>
      <c r="R60" s="7">
        <f t="shared" si="41"/>
        <v>1.0882209949813635E-5</v>
      </c>
      <c r="S60" s="2"/>
      <c r="T60" s="6">
        <v>800</v>
      </c>
      <c r="U60" s="2"/>
      <c r="V60" s="7">
        <f t="shared" si="42"/>
        <v>3.2244399651599261E-4</v>
      </c>
      <c r="W60" s="2"/>
      <c r="X60" s="6">
        <f t="shared" si="43"/>
        <v>-778.66</v>
      </c>
      <c r="Y60" s="2"/>
      <c r="Z60" s="7">
        <f t="shared" si="44"/>
        <v>-0.973325</v>
      </c>
    </row>
    <row r="61" spans="1:26" s="26" customFormat="1" outlineLevel="1" collapsed="1" x14ac:dyDescent="0.25">
      <c r="A61" s="25"/>
      <c r="B61" s="12" t="str">
        <f>CONCATENATE("     ","Equipment Rental                                  ")</f>
        <v xml:space="preserve">     Equipment Rental                                  </v>
      </c>
      <c r="C61" s="12"/>
      <c r="D61" s="1">
        <f>SUM(OSRRefD22_8x_0)</f>
        <v>0</v>
      </c>
      <c r="E61" s="1"/>
      <c r="F61" s="5">
        <f t="shared" si="37"/>
        <v>0</v>
      </c>
      <c r="G61" s="1"/>
      <c r="H61" s="1">
        <f>SUM(OSRRefH22_8x_0)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2"/>
      <c r="P61" s="1">
        <f>SUM(OSRRefP22_8x_0)</f>
        <v>0.01</v>
      </c>
      <c r="Q61" s="1"/>
      <c r="R61" s="5">
        <f t="shared" si="41"/>
        <v>5.0994423382444394E-9</v>
      </c>
      <c r="S61" s="1"/>
      <c r="T61" s="1">
        <f>SUM(OSRRefT22_8x_0)</f>
        <v>0</v>
      </c>
      <c r="U61" s="1"/>
      <c r="V61" s="5">
        <f t="shared" si="42"/>
        <v>0</v>
      </c>
      <c r="W61" s="1"/>
      <c r="X61" s="1">
        <f t="shared" si="43"/>
        <v>0.01</v>
      </c>
      <c r="Y61" s="1"/>
      <c r="Z61" s="5">
        <f t="shared" si="44"/>
        <v>0</v>
      </c>
    </row>
    <row r="62" spans="1:26" s="24" customFormat="1" hidden="1" outlineLevel="2" x14ac:dyDescent="0.25">
      <c r="A62" s="27"/>
      <c r="B62" s="11" t="str">
        <f>CONCATENATE("          ", "6351", " - ", "EQUIPMENT RENTAL")</f>
        <v xml:space="preserve">          6351 - EQUIPMENT RENTAL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0.01</v>
      </c>
      <c r="Q62" s="2"/>
      <c r="R62" s="7">
        <f t="shared" si="41"/>
        <v>5.0994423382444394E-9</v>
      </c>
      <c r="S62" s="2"/>
      <c r="T62" s="6"/>
      <c r="U62" s="2"/>
      <c r="V62" s="7">
        <f t="shared" si="42"/>
        <v>0</v>
      </c>
      <c r="W62" s="2"/>
      <c r="X62" s="6">
        <f t="shared" si="43"/>
        <v>0.01</v>
      </c>
      <c r="Y62" s="2"/>
      <c r="Z62" s="7">
        <f t="shared" si="44"/>
        <v>0</v>
      </c>
    </row>
    <row r="63" spans="1:26" s="26" customFormat="1" outlineLevel="1" collapsed="1" x14ac:dyDescent="0.25">
      <c r="A63" s="25"/>
      <c r="B63" s="12" t="str">
        <f>CONCATENATE("     ","General                                           ")</f>
        <v xml:space="preserve">     General                                           </v>
      </c>
      <c r="C63" s="12"/>
      <c r="D63" s="1">
        <f>SUM(OSRRefD22_9x_0)</f>
        <v>0</v>
      </c>
      <c r="E63" s="1"/>
      <c r="F63" s="5">
        <f t="shared" si="37"/>
        <v>0</v>
      </c>
      <c r="G63" s="1"/>
      <c r="H63" s="1">
        <f>SUM(OSRRefH22_9x_0)</f>
        <v>275</v>
      </c>
      <c r="I63" s="1"/>
      <c r="J63" s="5">
        <f t="shared" si="38"/>
        <v>0</v>
      </c>
      <c r="K63" s="1"/>
      <c r="L63" s="1">
        <f t="shared" si="39"/>
        <v>-275</v>
      </c>
      <c r="M63" s="1"/>
      <c r="N63" s="5">
        <f t="shared" si="40"/>
        <v>-1</v>
      </c>
      <c r="O63" s="12"/>
      <c r="P63" s="1">
        <f>SUM(OSRRefP22_9x_0)</f>
        <v>1950.43</v>
      </c>
      <c r="Q63" s="1"/>
      <c r="R63" s="5">
        <f t="shared" si="41"/>
        <v>9.9461053197821034E-4</v>
      </c>
      <c r="S63" s="1"/>
      <c r="T63" s="1">
        <f>SUM(OSRRefT22_9x_0)</f>
        <v>3300</v>
      </c>
      <c r="U63" s="1"/>
      <c r="V63" s="5">
        <f t="shared" si="42"/>
        <v>1.3300814856284696E-3</v>
      </c>
      <c r="W63" s="1"/>
      <c r="X63" s="1">
        <f t="shared" si="43"/>
        <v>-1349.57</v>
      </c>
      <c r="Y63" s="1"/>
      <c r="Z63" s="5">
        <f t="shared" si="44"/>
        <v>-0.40896060606060602</v>
      </c>
    </row>
    <row r="64" spans="1:26" s="24" customFormat="1" hidden="1" outlineLevel="2" x14ac:dyDescent="0.25">
      <c r="A64" s="27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37"/>
        <v>0</v>
      </c>
      <c r="G64" s="2"/>
      <c r="H64" s="6">
        <v>275</v>
      </c>
      <c r="I64" s="2"/>
      <c r="J64" s="7">
        <f t="shared" si="38"/>
        <v>0</v>
      </c>
      <c r="K64" s="2"/>
      <c r="L64" s="6">
        <f t="shared" si="39"/>
        <v>-275</v>
      </c>
      <c r="M64" s="2"/>
      <c r="N64" s="7">
        <f t="shared" si="40"/>
        <v>-1</v>
      </c>
      <c r="O64" s="11"/>
      <c r="P64" s="6">
        <v>1950.43</v>
      </c>
      <c r="Q64" s="2"/>
      <c r="R64" s="7">
        <f t="shared" si="41"/>
        <v>9.9461053197821034E-4</v>
      </c>
      <c r="S64" s="2"/>
      <c r="T64" s="6">
        <v>3300</v>
      </c>
      <c r="U64" s="2"/>
      <c r="V64" s="7">
        <f t="shared" si="42"/>
        <v>1.3300814856284696E-3</v>
      </c>
      <c r="W64" s="2"/>
      <c r="X64" s="6">
        <f t="shared" si="43"/>
        <v>-1349.57</v>
      </c>
      <c r="Y64" s="2"/>
      <c r="Z64" s="7">
        <f t="shared" si="44"/>
        <v>-0.40896060606060602</v>
      </c>
    </row>
    <row r="65" spans="1:26" s="26" customFormat="1" outlineLevel="1" collapsed="1" x14ac:dyDescent="0.25">
      <c r="A65" s="25"/>
      <c r="B65" s="12" t="str">
        <f>CONCATENATE("     ","Insurance                                         ")</f>
        <v xml:space="preserve">     Insurance                                         </v>
      </c>
      <c r="C65" s="12"/>
      <c r="D65" s="1">
        <f>SUM(OSRRefD22_10x_0)</f>
        <v>5.9</v>
      </c>
      <c r="E65" s="1"/>
      <c r="F65" s="5">
        <f t="shared" si="37"/>
        <v>-1.7695494727042497E-4</v>
      </c>
      <c r="G65" s="1"/>
      <c r="H65" s="1">
        <f>SUM(OSRRefH22_10x_0)</f>
        <v>5</v>
      </c>
      <c r="I65" s="1"/>
      <c r="J65" s="5">
        <f t="shared" si="38"/>
        <v>0</v>
      </c>
      <c r="K65" s="1"/>
      <c r="L65" s="1">
        <f t="shared" si="39"/>
        <v>0.90000000000000036</v>
      </c>
      <c r="M65" s="1"/>
      <c r="N65" s="5">
        <f t="shared" si="40"/>
        <v>0.18000000000000008</v>
      </c>
      <c r="O65" s="12"/>
      <c r="P65" s="1">
        <f>SUM(OSRRefP22_10x_0)</f>
        <v>70.8</v>
      </c>
      <c r="Q65" s="1"/>
      <c r="R65" s="5">
        <f t="shared" si="41"/>
        <v>3.6104051754770634E-5</v>
      </c>
      <c r="S65" s="1"/>
      <c r="T65" s="1">
        <f>SUM(OSRRefT22_10x_0)</f>
        <v>60</v>
      </c>
      <c r="U65" s="1"/>
      <c r="V65" s="5">
        <f t="shared" si="42"/>
        <v>2.4183299738699446E-5</v>
      </c>
      <c r="W65" s="1"/>
      <c r="X65" s="1">
        <f t="shared" si="43"/>
        <v>10.799999999999997</v>
      </c>
      <c r="Y65" s="1"/>
      <c r="Z65" s="5">
        <f t="shared" si="44"/>
        <v>0.17999999999999997</v>
      </c>
    </row>
    <row r="66" spans="1:26" s="24" customFormat="1" hidden="1" outlineLevel="2" x14ac:dyDescent="0.25">
      <c r="A66" s="27"/>
      <c r="B66" s="11" t="str">
        <f>CONCATENATE("          ", "6314", " - ", "LIABILITY INSURANCE")</f>
        <v xml:space="preserve">          6314 - LIABILITY INSURANCE</v>
      </c>
      <c r="C66" s="11"/>
      <c r="D66" s="6">
        <v>5.9</v>
      </c>
      <c r="E66" s="2"/>
      <c r="F66" s="7">
        <f t="shared" si="37"/>
        <v>-1.7695494727042497E-4</v>
      </c>
      <c r="G66" s="2"/>
      <c r="H66" s="6">
        <v>5</v>
      </c>
      <c r="I66" s="2"/>
      <c r="J66" s="7">
        <f t="shared" si="38"/>
        <v>0</v>
      </c>
      <c r="K66" s="2"/>
      <c r="L66" s="6">
        <f t="shared" si="39"/>
        <v>0.90000000000000036</v>
      </c>
      <c r="M66" s="2"/>
      <c r="N66" s="7">
        <f t="shared" si="40"/>
        <v>0.18000000000000008</v>
      </c>
      <c r="O66" s="11"/>
      <c r="P66" s="6">
        <v>70.8</v>
      </c>
      <c r="Q66" s="2"/>
      <c r="R66" s="7">
        <f t="shared" si="41"/>
        <v>3.6104051754770634E-5</v>
      </c>
      <c r="S66" s="2"/>
      <c r="T66" s="6">
        <v>60</v>
      </c>
      <c r="U66" s="2"/>
      <c r="V66" s="7">
        <f t="shared" si="42"/>
        <v>2.4183299738699446E-5</v>
      </c>
      <c r="W66" s="2"/>
      <c r="X66" s="6">
        <f t="shared" si="43"/>
        <v>10.799999999999997</v>
      </c>
      <c r="Y66" s="2"/>
      <c r="Z66" s="7">
        <f t="shared" si="44"/>
        <v>0.17999999999999997</v>
      </c>
    </row>
    <row r="67" spans="1:26" s="26" customFormat="1" outlineLevel="1" collapsed="1" x14ac:dyDescent="0.25">
      <c r="A67" s="25"/>
      <c r="B67" s="12" t="str">
        <f>CONCATENATE("     ","R/H Commissions                                   ")</f>
        <v xml:space="preserve">     R/H Commissions                                   </v>
      </c>
      <c r="C67" s="12"/>
      <c r="D67" s="1">
        <f>SUM(OSRRefD22_11x_0)</f>
        <v>-2667</v>
      </c>
      <c r="E67" s="1"/>
      <c r="F67" s="5">
        <f t="shared" si="37"/>
        <v>7.998963463902091E-2</v>
      </c>
      <c r="G67" s="1"/>
      <c r="H67" s="1">
        <f>SUM(OSRRefH22_11x_0)</f>
        <v>0</v>
      </c>
      <c r="I67" s="1"/>
      <c r="J67" s="5">
        <f t="shared" si="38"/>
        <v>0</v>
      </c>
      <c r="K67" s="1"/>
      <c r="L67" s="1">
        <f t="shared" si="39"/>
        <v>-2667</v>
      </c>
      <c r="M67" s="1"/>
      <c r="N67" s="5">
        <f t="shared" si="40"/>
        <v>0</v>
      </c>
      <c r="O67" s="12"/>
      <c r="P67" s="1">
        <f>SUM(OSRRefP22_11x_0)</f>
        <v>153541.5</v>
      </c>
      <c r="Q67" s="1"/>
      <c r="R67" s="5">
        <f t="shared" si="41"/>
        <v>7.8297602577755865E-2</v>
      </c>
      <c r="S67" s="1"/>
      <c r="T67" s="1">
        <f>SUM(OSRRefT22_11x_0)</f>
        <v>198559</v>
      </c>
      <c r="U67" s="1"/>
      <c r="V67" s="5">
        <f t="shared" si="42"/>
        <v>8.0030196880273727E-2</v>
      </c>
      <c r="W67" s="1"/>
      <c r="X67" s="1">
        <f t="shared" si="43"/>
        <v>-45017.5</v>
      </c>
      <c r="Y67" s="1"/>
      <c r="Z67" s="5">
        <f t="shared" si="44"/>
        <v>-0.22672102498501706</v>
      </c>
    </row>
    <row r="68" spans="1:26" s="24" customFormat="1" hidden="1" outlineLevel="2" x14ac:dyDescent="0.25">
      <c r="A68" s="27"/>
      <c r="B68" s="11" t="str">
        <f>CONCATENATE("          ", "6387", " - ", "COMMISSION DUE HOUSING")</f>
        <v xml:space="preserve">          6387 - COMMISSION DUE HOUSING</v>
      </c>
      <c r="C68" s="11"/>
      <c r="D68" s="6">
        <v>-2667</v>
      </c>
      <c r="E68" s="2"/>
      <c r="F68" s="7">
        <f t="shared" si="37"/>
        <v>7.998963463902091E-2</v>
      </c>
      <c r="G68" s="2"/>
      <c r="H68" s="6"/>
      <c r="I68" s="2"/>
      <c r="J68" s="7">
        <f t="shared" si="38"/>
        <v>0</v>
      </c>
      <c r="K68" s="2"/>
      <c r="L68" s="6">
        <f t="shared" si="39"/>
        <v>-2667</v>
      </c>
      <c r="M68" s="2"/>
      <c r="N68" s="7">
        <f t="shared" si="40"/>
        <v>0</v>
      </c>
      <c r="O68" s="11"/>
      <c r="P68" s="6">
        <v>153541.5</v>
      </c>
      <c r="Q68" s="2"/>
      <c r="R68" s="7">
        <f t="shared" si="41"/>
        <v>7.8297602577755865E-2</v>
      </c>
      <c r="S68" s="2"/>
      <c r="T68" s="6">
        <v>198559</v>
      </c>
      <c r="U68" s="2"/>
      <c r="V68" s="7">
        <f t="shared" si="42"/>
        <v>8.0030196880273727E-2</v>
      </c>
      <c r="W68" s="2"/>
      <c r="X68" s="6">
        <f t="shared" si="43"/>
        <v>-45017.5</v>
      </c>
      <c r="Y68" s="2"/>
      <c r="Z68" s="7">
        <f t="shared" si="44"/>
        <v>-0.22672102498501706</v>
      </c>
    </row>
    <row r="69" spans="1:26" s="26" customFormat="1" outlineLevel="1" collapsed="1" x14ac:dyDescent="0.25">
      <c r="A69" s="25"/>
      <c r="B69" s="12" t="str">
        <f>CONCATENATE("     ","Repair and Maintenance                            ")</f>
        <v xml:space="preserve">     Repair and Maintenance                            </v>
      </c>
      <c r="C69" s="12"/>
      <c r="D69" s="1">
        <f>SUM(OSRRefD22_12x_0)</f>
        <v>72.33</v>
      </c>
      <c r="E69" s="1"/>
      <c r="F69" s="5">
        <f t="shared" si="37"/>
        <v>-2.1693476840796335E-3</v>
      </c>
      <c r="G69" s="1"/>
      <c r="H69" s="1">
        <f>SUM(OSRRefH22_12x_0)</f>
        <v>567</v>
      </c>
      <c r="I69" s="1"/>
      <c r="J69" s="5">
        <f t="shared" si="38"/>
        <v>0</v>
      </c>
      <c r="K69" s="1"/>
      <c r="L69" s="1">
        <f t="shared" si="39"/>
        <v>-494.67</v>
      </c>
      <c r="M69" s="1"/>
      <c r="N69" s="5">
        <f t="shared" si="40"/>
        <v>-0.87243386243386245</v>
      </c>
      <c r="O69" s="12"/>
      <c r="P69" s="1">
        <f>SUM(OSRRefP22_12x_0)</f>
        <v>284.49</v>
      </c>
      <c r="Q69" s="1"/>
      <c r="R69" s="5">
        <f t="shared" si="41"/>
        <v>1.4507403508071606E-4</v>
      </c>
      <c r="S69" s="1"/>
      <c r="T69" s="1">
        <f>SUM(OSRRefT22_12x_0)</f>
        <v>6244</v>
      </c>
      <c r="U69" s="1"/>
      <c r="V69" s="5">
        <f t="shared" si="42"/>
        <v>2.5166753928073226E-3</v>
      </c>
      <c r="W69" s="1"/>
      <c r="X69" s="1">
        <f t="shared" si="43"/>
        <v>-5959.51</v>
      </c>
      <c r="Y69" s="1"/>
      <c r="Z69" s="5">
        <f t="shared" si="44"/>
        <v>-0.95443786034593214</v>
      </c>
    </row>
    <row r="70" spans="1:26" s="24" customFormat="1" hidden="1" outlineLevel="2" x14ac:dyDescent="0.25">
      <c r="A70" s="27"/>
      <c r="B70" s="11" t="str">
        <f>CONCATENATE("          ", "6371", " - ", "COMPUTER SOFTWARE MAINTENANCE")</f>
        <v xml:space="preserve">          6371 - COMPUTER SOFTWARE MAINTENANCE</v>
      </c>
      <c r="C70" s="11"/>
      <c r="D70" s="6"/>
      <c r="E70" s="2"/>
      <c r="F70" s="7">
        <f t="shared" si="37"/>
        <v>0</v>
      </c>
      <c r="G70" s="2"/>
      <c r="H70" s="6">
        <v>497</v>
      </c>
      <c r="I70" s="2"/>
      <c r="J70" s="7">
        <f t="shared" si="38"/>
        <v>0</v>
      </c>
      <c r="K70" s="2"/>
      <c r="L70" s="6">
        <f t="shared" si="39"/>
        <v>-497</v>
      </c>
      <c r="M70" s="2"/>
      <c r="N70" s="7">
        <f t="shared" si="40"/>
        <v>-1</v>
      </c>
      <c r="O70" s="11"/>
      <c r="P70" s="6"/>
      <c r="Q70" s="2"/>
      <c r="R70" s="7">
        <f t="shared" si="41"/>
        <v>0</v>
      </c>
      <c r="S70" s="2"/>
      <c r="T70" s="6">
        <v>5964</v>
      </c>
      <c r="U70" s="2"/>
      <c r="V70" s="7">
        <f t="shared" si="42"/>
        <v>2.4038199940267248E-3</v>
      </c>
      <c r="W70" s="2"/>
      <c r="X70" s="6">
        <f t="shared" si="43"/>
        <v>-5964</v>
      </c>
      <c r="Y70" s="2"/>
      <c r="Z70" s="7">
        <f t="shared" si="44"/>
        <v>-1</v>
      </c>
    </row>
    <row r="71" spans="1:26" s="24" customFormat="1" hidden="1" outlineLevel="2" x14ac:dyDescent="0.25">
      <c r="A71" s="27"/>
      <c r="B71" s="11" t="str">
        <f>CONCATENATE("          ", "6372", " - ", "COMPUTER HARDWARE MAINTENANCE")</f>
        <v xml:space="preserve">          6372 - COMPUTER HARDWARE MAINTENANCE</v>
      </c>
      <c r="C71" s="11"/>
      <c r="D71" s="6"/>
      <c r="E71" s="2"/>
      <c r="F71" s="7">
        <f t="shared" si="37"/>
        <v>0</v>
      </c>
      <c r="G71" s="2"/>
      <c r="H71" s="6">
        <v>70</v>
      </c>
      <c r="I71" s="2"/>
      <c r="J71" s="7">
        <f t="shared" si="38"/>
        <v>0</v>
      </c>
      <c r="K71" s="2"/>
      <c r="L71" s="6">
        <f t="shared" si="39"/>
        <v>-70</v>
      </c>
      <c r="M71" s="2"/>
      <c r="N71" s="7">
        <f t="shared" si="40"/>
        <v>-1</v>
      </c>
      <c r="O71" s="11"/>
      <c r="P71" s="6"/>
      <c r="Q71" s="2"/>
      <c r="R71" s="7">
        <f t="shared" si="41"/>
        <v>0</v>
      </c>
      <c r="S71" s="2"/>
      <c r="T71" s="6">
        <v>280</v>
      </c>
      <c r="U71" s="2"/>
      <c r="V71" s="7">
        <f t="shared" si="42"/>
        <v>1.1285539878059741E-4</v>
      </c>
      <c r="W71" s="2"/>
      <c r="X71" s="6">
        <f t="shared" si="43"/>
        <v>-280</v>
      </c>
      <c r="Y71" s="2"/>
      <c r="Z71" s="7">
        <f t="shared" si="44"/>
        <v>-1</v>
      </c>
    </row>
    <row r="72" spans="1:26" s="24" customFormat="1" hidden="1" outlineLevel="2" x14ac:dyDescent="0.25">
      <c r="A72" s="27"/>
      <c r="B72" s="11" t="str">
        <f>CONCATENATE("          ", "6373", " - ", "MAINTENANCE CONTRACTS")</f>
        <v xml:space="preserve">          6373 - MAINTENANCE CONTRACTS</v>
      </c>
      <c r="C72" s="11"/>
      <c r="D72" s="6">
        <v>72.33</v>
      </c>
      <c r="E72" s="2"/>
      <c r="F72" s="7">
        <f t="shared" si="37"/>
        <v>-2.1693476840796335E-3</v>
      </c>
      <c r="G72" s="2"/>
      <c r="H72" s="6"/>
      <c r="I72" s="2"/>
      <c r="J72" s="7">
        <f t="shared" si="38"/>
        <v>0</v>
      </c>
      <c r="K72" s="2"/>
      <c r="L72" s="6">
        <f t="shared" si="39"/>
        <v>72.33</v>
      </c>
      <c r="M72" s="2"/>
      <c r="N72" s="7">
        <f t="shared" si="40"/>
        <v>0</v>
      </c>
      <c r="O72" s="11"/>
      <c r="P72" s="6">
        <v>284.49</v>
      </c>
      <c r="Q72" s="2"/>
      <c r="R72" s="7">
        <f t="shared" si="41"/>
        <v>1.4507403508071606E-4</v>
      </c>
      <c r="S72" s="2"/>
      <c r="T72" s="6"/>
      <c r="U72" s="2"/>
      <c r="V72" s="7">
        <f t="shared" si="42"/>
        <v>0</v>
      </c>
      <c r="W72" s="2"/>
      <c r="X72" s="6">
        <f t="shared" si="43"/>
        <v>284.49</v>
      </c>
      <c r="Y72" s="2"/>
      <c r="Z72" s="7">
        <f t="shared" si="44"/>
        <v>0</v>
      </c>
    </row>
    <row r="73" spans="1:26" s="24" customFormat="1" hidden="1" outlineLevel="2" x14ac:dyDescent="0.25">
      <c r="A73" s="27"/>
      <c r="B73" s="11" t="str">
        <f>CONCATENATE("          ", "6375", " - ", "OUTSIDE REPAIRS &amp; MAINTENANCE")</f>
        <v xml:space="preserve">          6375 - OUTSIDE REPAIRS &amp; MAINTENANCE</v>
      </c>
      <c r="C73" s="11"/>
      <c r="D73" s="6"/>
      <c r="E73" s="2"/>
      <c r="F73" s="7">
        <f t="shared" si="37"/>
        <v>0</v>
      </c>
      <c r="G73" s="2"/>
      <c r="H73" s="6"/>
      <c r="I73" s="2"/>
      <c r="J73" s="7">
        <f t="shared" si="38"/>
        <v>0</v>
      </c>
      <c r="K73" s="2"/>
      <c r="L73" s="6">
        <f t="shared" si="39"/>
        <v>0</v>
      </c>
      <c r="M73" s="2"/>
      <c r="N73" s="7">
        <f t="shared" si="40"/>
        <v>0</v>
      </c>
      <c r="O73" s="11"/>
      <c r="P73" s="6">
        <v>0</v>
      </c>
      <c r="Q73" s="2"/>
      <c r="R73" s="7">
        <f t="shared" si="41"/>
        <v>0</v>
      </c>
      <c r="S73" s="2"/>
      <c r="T73" s="6"/>
      <c r="U73" s="2"/>
      <c r="V73" s="7">
        <f t="shared" si="42"/>
        <v>0</v>
      </c>
      <c r="W73" s="2"/>
      <c r="X73" s="6">
        <f t="shared" si="43"/>
        <v>0</v>
      </c>
      <c r="Y73" s="2"/>
      <c r="Z73" s="7">
        <f t="shared" si="44"/>
        <v>0</v>
      </c>
    </row>
    <row r="74" spans="1:26" s="26" customFormat="1" outlineLevel="1" collapsed="1" x14ac:dyDescent="0.25">
      <c r="A74" s="25"/>
      <c r="B74" s="12" t="str">
        <f>CONCATENATE("     ","Services                                          ")</f>
        <v xml:space="preserve">     Services                                          </v>
      </c>
      <c r="C74" s="12"/>
      <c r="D74" s="1">
        <f>SUM(OSRRefD22_13x_0)</f>
        <v>1051.05</v>
      </c>
      <c r="E74" s="1"/>
      <c r="F74" s="5">
        <f t="shared" ref="F74:F77" si="45">IF(D$12=0,0,D74/D$12)</f>
        <v>-3.152347412348816E-2</v>
      </c>
      <c r="G74" s="1"/>
      <c r="H74" s="1">
        <f>SUM(OSRRefH22_13x_0)</f>
        <v>6202</v>
      </c>
      <c r="I74" s="1"/>
      <c r="J74" s="5">
        <f t="shared" ref="J74:J77" si="46">IF(H$12=0,0,H74/H$12)</f>
        <v>0</v>
      </c>
      <c r="K74" s="1"/>
      <c r="L74" s="1">
        <f t="shared" ref="L74:L77" si="47">+D74-H74</f>
        <v>-5150.95</v>
      </c>
      <c r="M74" s="1"/>
      <c r="N74" s="5">
        <f t="shared" ref="N74:N77" si="48">IF(H74=0,0,L74/H74)</f>
        <v>-0.83053047404063207</v>
      </c>
      <c r="O74" s="12"/>
      <c r="P74" s="1">
        <f>SUM(OSRRefP22_13x_0)</f>
        <v>58096.53</v>
      </c>
      <c r="Q74" s="1"/>
      <c r="R74" s="5">
        <f t="shared" ref="R74:R77" si="49">IF(P$12=0,0,P74/P$12)</f>
        <v>2.9625990478708824E-2</v>
      </c>
      <c r="S74" s="1"/>
      <c r="T74" s="1">
        <f>SUM(OSRRefT22_13x_0)</f>
        <v>68972</v>
      </c>
      <c r="U74" s="1"/>
      <c r="V74" s="5">
        <f t="shared" ref="V74:V77" si="50">IF(T$12=0,0,T74/T$12)</f>
        <v>2.7799509159626305E-2</v>
      </c>
      <c r="W74" s="1"/>
      <c r="X74" s="1">
        <f t="shared" ref="X74:X77" si="51">+P74-T74</f>
        <v>-10875.470000000001</v>
      </c>
      <c r="Y74" s="1"/>
      <c r="Z74" s="5">
        <f t="shared" ref="Z74:Z77" si="52">IF(T74=0,0,X74/T74)</f>
        <v>-0.15767949312764601</v>
      </c>
    </row>
    <row r="75" spans="1:26" s="24" customFormat="1" hidden="1" outlineLevel="2" x14ac:dyDescent="0.25">
      <c r="A75" s="27"/>
      <c r="B75" s="11" t="str">
        <f>CONCATENATE("          ", "6282", " - ", "JANITORIAL/EXTERMINATOR EXPENS")</f>
        <v xml:space="preserve">          6282 - JANITORIAL/EXTERMINATOR EXPENS</v>
      </c>
      <c r="C75" s="11"/>
      <c r="D75" s="6">
        <v>741.41</v>
      </c>
      <c r="E75" s="2"/>
      <c r="F75" s="7">
        <f t="shared" si="45"/>
        <v>-2.2236638551824704E-2</v>
      </c>
      <c r="G75" s="2"/>
      <c r="H75" s="6">
        <v>750</v>
      </c>
      <c r="I75" s="2"/>
      <c r="J75" s="7">
        <f t="shared" si="46"/>
        <v>0</v>
      </c>
      <c r="K75" s="2"/>
      <c r="L75" s="6">
        <f t="shared" si="47"/>
        <v>-8.5900000000000318</v>
      </c>
      <c r="M75" s="2"/>
      <c r="N75" s="7">
        <f t="shared" si="48"/>
        <v>-1.1453333333333376E-2</v>
      </c>
      <c r="O75" s="11"/>
      <c r="P75" s="6">
        <v>8855.32</v>
      </c>
      <c r="Q75" s="2"/>
      <c r="R75" s="7">
        <f t="shared" si="49"/>
        <v>4.5157193726702754E-3</v>
      </c>
      <c r="S75" s="2"/>
      <c r="T75" s="6">
        <v>9000</v>
      </c>
      <c r="U75" s="2"/>
      <c r="V75" s="7">
        <f t="shared" si="50"/>
        <v>3.6274949608049167E-3</v>
      </c>
      <c r="W75" s="2"/>
      <c r="X75" s="6">
        <f t="shared" si="51"/>
        <v>-144.68000000000029</v>
      </c>
      <c r="Y75" s="2"/>
      <c r="Z75" s="7">
        <f t="shared" si="52"/>
        <v>-1.6075555555555589E-2</v>
      </c>
    </row>
    <row r="76" spans="1:26" s="24" customFormat="1" hidden="1" outlineLevel="2" x14ac:dyDescent="0.25">
      <c r="A76" s="27"/>
      <c r="B76" s="11" t="str">
        <f>CONCATENATE("          ", "6285", " - ", "JANITORIAL SERVICES")</f>
        <v xml:space="preserve">          6285 - JANITORIAL SERVICES</v>
      </c>
      <c r="C76" s="11"/>
      <c r="D76" s="6"/>
      <c r="E76" s="2"/>
      <c r="F76" s="7">
        <f t="shared" si="45"/>
        <v>0</v>
      </c>
      <c r="G76" s="2"/>
      <c r="H76" s="6">
        <v>3852</v>
      </c>
      <c r="I76" s="2"/>
      <c r="J76" s="7">
        <f t="shared" si="46"/>
        <v>0</v>
      </c>
      <c r="K76" s="2"/>
      <c r="L76" s="6">
        <f t="shared" si="47"/>
        <v>-3852</v>
      </c>
      <c r="M76" s="2"/>
      <c r="N76" s="7">
        <f t="shared" si="48"/>
        <v>-1</v>
      </c>
      <c r="O76" s="11"/>
      <c r="P76" s="6">
        <v>35826.720000000001</v>
      </c>
      <c r="Q76" s="2"/>
      <c r="R76" s="7">
        <f t="shared" si="49"/>
        <v>1.8269629280842883E-2</v>
      </c>
      <c r="S76" s="2"/>
      <c r="T76" s="6">
        <v>42372</v>
      </c>
      <c r="U76" s="2"/>
      <c r="V76" s="7">
        <f t="shared" si="50"/>
        <v>1.7078246275469548E-2</v>
      </c>
      <c r="W76" s="2"/>
      <c r="X76" s="6">
        <f t="shared" si="51"/>
        <v>-6545.2799999999988</v>
      </c>
      <c r="Y76" s="2"/>
      <c r="Z76" s="7">
        <f t="shared" si="52"/>
        <v>-0.15447182101387705</v>
      </c>
    </row>
    <row r="77" spans="1:26" s="24" customFormat="1" hidden="1" outlineLevel="2" x14ac:dyDescent="0.25">
      <c r="A77" s="27"/>
      <c r="B77" s="11" t="str">
        <f>CONCATENATE("          ", "6286", " - ", "LAUNDRY EXPENSE")</f>
        <v xml:space="preserve">          6286 - LAUNDRY EXPENSE</v>
      </c>
      <c r="C77" s="11"/>
      <c r="D77" s="6">
        <v>309.64</v>
      </c>
      <c r="E77" s="2"/>
      <c r="F77" s="7">
        <f t="shared" si="45"/>
        <v>-9.2868355716634546E-3</v>
      </c>
      <c r="G77" s="2"/>
      <c r="H77" s="6">
        <v>1600</v>
      </c>
      <c r="I77" s="2"/>
      <c r="J77" s="7">
        <f t="shared" si="46"/>
        <v>0</v>
      </c>
      <c r="K77" s="2"/>
      <c r="L77" s="6">
        <f t="shared" si="47"/>
        <v>-1290.3600000000001</v>
      </c>
      <c r="M77" s="2"/>
      <c r="N77" s="7">
        <f t="shared" si="48"/>
        <v>-0.80647500000000005</v>
      </c>
      <c r="O77" s="11"/>
      <c r="P77" s="6">
        <v>13414.49</v>
      </c>
      <c r="Q77" s="2"/>
      <c r="R77" s="7">
        <f t="shared" si="49"/>
        <v>6.840641825195665E-3</v>
      </c>
      <c r="S77" s="2"/>
      <c r="T77" s="6">
        <v>17600</v>
      </c>
      <c r="U77" s="2"/>
      <c r="V77" s="7">
        <f t="shared" si="50"/>
        <v>7.0937679233518377E-3</v>
      </c>
      <c r="W77" s="2"/>
      <c r="X77" s="6">
        <f t="shared" si="51"/>
        <v>-4185.51</v>
      </c>
      <c r="Y77" s="2"/>
      <c r="Z77" s="7">
        <f t="shared" si="52"/>
        <v>-0.23781306818181819</v>
      </c>
    </row>
    <row r="78" spans="1:26" s="26" customFormat="1" outlineLevel="1" collapsed="1" x14ac:dyDescent="0.25">
      <c r="A78" s="25"/>
      <c r="B78" s="12" t="str">
        <f>CONCATENATE("     ","Supplies                                          ")</f>
        <v xml:space="preserve">     Supplies                                          </v>
      </c>
      <c r="C78" s="12"/>
      <c r="D78" s="1">
        <f>SUM(OSRRefD22_14x_0)</f>
        <v>0</v>
      </c>
      <c r="E78" s="1"/>
      <c r="F78" s="5">
        <f t="shared" ref="F78:F84" si="53">IF(D$12=0,0,D78/D$12)</f>
        <v>0</v>
      </c>
      <c r="G78" s="1"/>
      <c r="H78" s="1">
        <f>SUM(OSRRefH22_14x_0)</f>
        <v>5088</v>
      </c>
      <c r="I78" s="1"/>
      <c r="J78" s="5">
        <f t="shared" ref="J78:J84" si="54">IF(H$12=0,0,H78/H$12)</f>
        <v>0</v>
      </c>
      <c r="K78" s="1"/>
      <c r="L78" s="1">
        <f t="shared" ref="L78:L84" si="55">+D78-H78</f>
        <v>-5088</v>
      </c>
      <c r="M78" s="1"/>
      <c r="N78" s="5">
        <f t="shared" ref="N78:N84" si="56">IF(H78=0,0,L78/H78)</f>
        <v>-1</v>
      </c>
      <c r="O78" s="12"/>
      <c r="P78" s="1">
        <f>SUM(OSRRefP22_14x_0)</f>
        <v>43096.97</v>
      </c>
      <c r="Q78" s="1"/>
      <c r="R78" s="5">
        <f t="shared" ref="R78:R84" si="57">IF(P$12=0,0,P78/P$12)</f>
        <v>2.1977051346805047E-2</v>
      </c>
      <c r="S78" s="1"/>
      <c r="T78" s="1">
        <f>SUM(OSRRefT22_14x_0)</f>
        <v>61968</v>
      </c>
      <c r="U78" s="1"/>
      <c r="V78" s="5">
        <f t="shared" ref="V78:V84" si="58">IF(T$12=0,0,T78/T$12)</f>
        <v>2.497651197012879E-2</v>
      </c>
      <c r="W78" s="1"/>
      <c r="X78" s="1">
        <f t="shared" ref="X78:X84" si="59">+P78-T78</f>
        <v>-18871.03</v>
      </c>
      <c r="Y78" s="1"/>
      <c r="Z78" s="5">
        <f t="shared" ref="Z78:Z84" si="60">IF(T78=0,0,X78/T78)</f>
        <v>-0.30452862767880196</v>
      </c>
    </row>
    <row r="79" spans="1:26" s="24" customFormat="1" hidden="1" outlineLevel="2" x14ac:dyDescent="0.25">
      <c r="A79" s="27"/>
      <c r="B79" s="11" t="str">
        <f>CONCATENATE("          ", "6237", " - ", "JANITORIAL SUPPLIES")</f>
        <v xml:space="preserve">          6237 - JANITORIAL SUPPLIES</v>
      </c>
      <c r="C79" s="11"/>
      <c r="D79" s="6"/>
      <c r="E79" s="2"/>
      <c r="F79" s="7">
        <f t="shared" si="53"/>
        <v>0</v>
      </c>
      <c r="G79" s="2"/>
      <c r="H79" s="6">
        <v>2005</v>
      </c>
      <c r="I79" s="2"/>
      <c r="J79" s="7">
        <f t="shared" si="54"/>
        <v>0</v>
      </c>
      <c r="K79" s="2"/>
      <c r="L79" s="6">
        <f t="shared" si="55"/>
        <v>-2005</v>
      </c>
      <c r="M79" s="2"/>
      <c r="N79" s="7">
        <f t="shared" si="56"/>
        <v>-1</v>
      </c>
      <c r="O79" s="11"/>
      <c r="P79" s="6">
        <v>12287.44</v>
      </c>
      <c r="Q79" s="2"/>
      <c r="R79" s="7">
        <f t="shared" si="57"/>
        <v>6.2659091764638263E-3</v>
      </c>
      <c r="S79" s="2"/>
      <c r="T79" s="6">
        <v>22055</v>
      </c>
      <c r="U79" s="2"/>
      <c r="V79" s="7">
        <f t="shared" si="58"/>
        <v>8.8893779289502713E-3</v>
      </c>
      <c r="W79" s="2"/>
      <c r="X79" s="6">
        <f t="shared" si="59"/>
        <v>-9767.56</v>
      </c>
      <c r="Y79" s="2"/>
      <c r="Z79" s="7">
        <f t="shared" si="60"/>
        <v>-0.44287281795511219</v>
      </c>
    </row>
    <row r="80" spans="1:26" s="24" customFormat="1" hidden="1" outlineLevel="2" x14ac:dyDescent="0.25">
      <c r="A80" s="27"/>
      <c r="B80" s="11" t="str">
        <f>CONCATENATE("          ", "6239", " - ", "KITCHEN SUPPLIES")</f>
        <v xml:space="preserve">          6239 - KITCHEN SUPPLIES</v>
      </c>
      <c r="C80" s="11"/>
      <c r="D80" s="6"/>
      <c r="E80" s="2"/>
      <c r="F80" s="7">
        <f t="shared" si="53"/>
        <v>0</v>
      </c>
      <c r="G80" s="2"/>
      <c r="H80" s="6">
        <v>750</v>
      </c>
      <c r="I80" s="2"/>
      <c r="J80" s="7">
        <f t="shared" si="54"/>
        <v>0</v>
      </c>
      <c r="K80" s="2"/>
      <c r="L80" s="6">
        <f t="shared" si="55"/>
        <v>-750</v>
      </c>
      <c r="M80" s="2"/>
      <c r="N80" s="7">
        <f t="shared" si="56"/>
        <v>-1</v>
      </c>
      <c r="O80" s="11"/>
      <c r="P80" s="6">
        <v>4550.0600000000004</v>
      </c>
      <c r="Q80" s="2"/>
      <c r="R80" s="7">
        <f t="shared" si="57"/>
        <v>2.3202768605552499E-3</v>
      </c>
      <c r="S80" s="2"/>
      <c r="T80" s="6">
        <v>8250</v>
      </c>
      <c r="U80" s="2"/>
      <c r="V80" s="7">
        <f t="shared" si="58"/>
        <v>3.3252037140711738E-3</v>
      </c>
      <c r="W80" s="2"/>
      <c r="X80" s="6">
        <f t="shared" si="59"/>
        <v>-3699.9399999999996</v>
      </c>
      <c r="Y80" s="2"/>
      <c r="Z80" s="7">
        <f t="shared" si="60"/>
        <v>-0.44847757575757569</v>
      </c>
    </row>
    <row r="81" spans="1:26" s="24" customFormat="1" hidden="1" outlineLevel="2" x14ac:dyDescent="0.25">
      <c r="A81" s="27"/>
      <c r="B81" s="11" t="str">
        <f>CONCATENATE("          ", "6241", " - ", "OFFICE EXPENSE")</f>
        <v xml:space="preserve">          6241 - OFFICE EXPENSE</v>
      </c>
      <c r="C81" s="11"/>
      <c r="D81" s="6"/>
      <c r="E81" s="2"/>
      <c r="F81" s="7">
        <f t="shared" si="53"/>
        <v>0</v>
      </c>
      <c r="G81" s="2"/>
      <c r="H81" s="6">
        <v>524</v>
      </c>
      <c r="I81" s="2"/>
      <c r="J81" s="7">
        <f t="shared" si="54"/>
        <v>0</v>
      </c>
      <c r="K81" s="2"/>
      <c r="L81" s="6">
        <f t="shared" si="55"/>
        <v>-524</v>
      </c>
      <c r="M81" s="2"/>
      <c r="N81" s="7">
        <f t="shared" si="56"/>
        <v>-1</v>
      </c>
      <c r="O81" s="11"/>
      <c r="P81" s="6">
        <v>18733.82</v>
      </c>
      <c r="Q81" s="2"/>
      <c r="R81" s="7">
        <f t="shared" si="57"/>
        <v>9.5532034865050443E-3</v>
      </c>
      <c r="S81" s="2"/>
      <c r="T81" s="6">
        <v>5764</v>
      </c>
      <c r="U81" s="2"/>
      <c r="V81" s="7">
        <f t="shared" si="58"/>
        <v>2.3232089948977269E-3</v>
      </c>
      <c r="W81" s="2"/>
      <c r="X81" s="6">
        <f t="shared" si="59"/>
        <v>12969.82</v>
      </c>
      <c r="Y81" s="2"/>
      <c r="Z81" s="7">
        <f t="shared" si="60"/>
        <v>2.2501422623178349</v>
      </c>
    </row>
    <row r="82" spans="1:26" s="24" customFormat="1" hidden="1" outlineLevel="2" x14ac:dyDescent="0.25">
      <c r="A82" s="27"/>
      <c r="B82" s="11" t="str">
        <f>CONCATENATE("          ", "6243", " - ", "PAPER SUPPLIES")</f>
        <v xml:space="preserve">          6243 - PAPER SUPPLIES</v>
      </c>
      <c r="C82" s="11"/>
      <c r="D82" s="6"/>
      <c r="E82" s="2"/>
      <c r="F82" s="7">
        <f t="shared" si="53"/>
        <v>0</v>
      </c>
      <c r="G82" s="2"/>
      <c r="H82" s="6">
        <v>1809</v>
      </c>
      <c r="I82" s="2"/>
      <c r="J82" s="7">
        <f t="shared" si="54"/>
        <v>0</v>
      </c>
      <c r="K82" s="2"/>
      <c r="L82" s="6">
        <f t="shared" si="55"/>
        <v>-1809</v>
      </c>
      <c r="M82" s="2"/>
      <c r="N82" s="7">
        <f t="shared" si="56"/>
        <v>-1</v>
      </c>
      <c r="O82" s="11"/>
      <c r="P82" s="6">
        <v>14386.16</v>
      </c>
      <c r="Q82" s="2"/>
      <c r="R82" s="7">
        <f t="shared" si="57"/>
        <v>7.3361393388758625E-3</v>
      </c>
      <c r="S82" s="2"/>
      <c r="T82" s="6">
        <v>19899</v>
      </c>
      <c r="U82" s="2"/>
      <c r="V82" s="7">
        <f t="shared" si="58"/>
        <v>8.0203913583396721E-3</v>
      </c>
      <c r="W82" s="2"/>
      <c r="X82" s="6">
        <f t="shared" si="59"/>
        <v>-5512.84</v>
      </c>
      <c r="Y82" s="2"/>
      <c r="Z82" s="7">
        <f t="shared" si="60"/>
        <v>-0.2770410573395648</v>
      </c>
    </row>
    <row r="83" spans="1:26" s="24" customFormat="1" hidden="1" outlineLevel="2" x14ac:dyDescent="0.25">
      <c r="A83" s="27"/>
      <c r="B83" s="11" t="str">
        <f>CONCATENATE("          ", "6245", " - ", "PRINTING")</f>
        <v xml:space="preserve">          6245 - PRINTING</v>
      </c>
      <c r="C83" s="11"/>
      <c r="D83" s="6"/>
      <c r="E83" s="2"/>
      <c r="F83" s="7">
        <f t="shared" si="53"/>
        <v>0</v>
      </c>
      <c r="G83" s="2"/>
      <c r="H83" s="6"/>
      <c r="I83" s="2"/>
      <c r="J83" s="7">
        <f t="shared" si="54"/>
        <v>0</v>
      </c>
      <c r="K83" s="2"/>
      <c r="L83" s="6">
        <f t="shared" si="55"/>
        <v>0</v>
      </c>
      <c r="M83" s="2"/>
      <c r="N83" s="7">
        <f t="shared" si="56"/>
        <v>0</v>
      </c>
      <c r="O83" s="11"/>
      <c r="P83" s="6">
        <v>469.44</v>
      </c>
      <c r="Q83" s="2"/>
      <c r="R83" s="7">
        <f t="shared" si="57"/>
        <v>2.3938822112654697E-4</v>
      </c>
      <c r="S83" s="2"/>
      <c r="T83" s="6"/>
      <c r="U83" s="2"/>
      <c r="V83" s="7">
        <f t="shared" si="58"/>
        <v>0</v>
      </c>
      <c r="W83" s="2"/>
      <c r="X83" s="6">
        <f t="shared" si="59"/>
        <v>469.44</v>
      </c>
      <c r="Y83" s="2"/>
      <c r="Z83" s="7">
        <f t="shared" si="60"/>
        <v>0</v>
      </c>
    </row>
    <row r="84" spans="1:26" s="24" customFormat="1" hidden="1" outlineLevel="2" x14ac:dyDescent="0.25">
      <c r="A84" s="27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53"/>
        <v>0</v>
      </c>
      <c r="G84" s="2"/>
      <c r="H84" s="6"/>
      <c r="I84" s="2"/>
      <c r="J84" s="7">
        <f t="shared" si="54"/>
        <v>0</v>
      </c>
      <c r="K84" s="2"/>
      <c r="L84" s="6">
        <f t="shared" si="55"/>
        <v>0</v>
      </c>
      <c r="M84" s="2"/>
      <c r="N84" s="7">
        <f t="shared" si="56"/>
        <v>0</v>
      </c>
      <c r="O84" s="11"/>
      <c r="P84" s="6">
        <v>-7329.95</v>
      </c>
      <c r="Q84" s="2"/>
      <c r="R84" s="7">
        <f t="shared" si="57"/>
        <v>-3.7378657367214828E-3</v>
      </c>
      <c r="S84" s="2"/>
      <c r="T84" s="6">
        <v>6000</v>
      </c>
      <c r="U84" s="2"/>
      <c r="V84" s="7">
        <f t="shared" si="58"/>
        <v>2.4183299738699446E-3</v>
      </c>
      <c r="W84" s="2"/>
      <c r="X84" s="6">
        <f t="shared" si="59"/>
        <v>-13329.95</v>
      </c>
      <c r="Y84" s="2"/>
      <c r="Z84" s="7">
        <f t="shared" si="60"/>
        <v>-2.2216583333333335</v>
      </c>
    </row>
    <row r="85" spans="1:26" s="26" customFormat="1" outlineLevel="1" collapsed="1" x14ac:dyDescent="0.25">
      <c r="A85" s="25"/>
      <c r="B85" s="12" t="str">
        <f>CONCATENATE("     ","Telephone/Data Lines                              ")</f>
        <v xml:space="preserve">     Telephone/Data Lines                              </v>
      </c>
      <c r="C85" s="12"/>
      <c r="D85" s="1">
        <f>SUM(OSRRefD22_15x_0)</f>
        <v>-65</v>
      </c>
      <c r="E85" s="1"/>
      <c r="F85" s="5">
        <f t="shared" ref="F85:F91" si="61">IF(D$12=0,0,D85/D$12)</f>
        <v>1.9495036563690884E-3</v>
      </c>
      <c r="G85" s="1"/>
      <c r="H85" s="1">
        <f>SUM(OSRRefH22_15x_0)</f>
        <v>233</v>
      </c>
      <c r="I85" s="1"/>
      <c r="J85" s="5">
        <f t="shared" ref="J85:J91" si="62">IF(H$12=0,0,H85/H$12)</f>
        <v>0</v>
      </c>
      <c r="K85" s="1"/>
      <c r="L85" s="1">
        <f t="shared" ref="L85:L91" si="63">+D85-H85</f>
        <v>-298</v>
      </c>
      <c r="M85" s="1"/>
      <c r="N85" s="5">
        <f t="shared" ref="N85:N91" si="64">IF(H85=0,0,L85/H85)</f>
        <v>-1.2789699570815452</v>
      </c>
      <c r="O85" s="12"/>
      <c r="P85" s="1">
        <f>SUM(OSRRefP22_15x_0)</f>
        <v>1426.3</v>
      </c>
      <c r="Q85" s="1"/>
      <c r="R85" s="5">
        <f t="shared" ref="R85:R91" si="65">IF(P$12=0,0,P85/P$12)</f>
        <v>7.2733346070380446E-4</v>
      </c>
      <c r="S85" s="1"/>
      <c r="T85" s="1">
        <f>SUM(OSRRefT22_15x_0)</f>
        <v>2796</v>
      </c>
      <c r="U85" s="1"/>
      <c r="V85" s="5">
        <f t="shared" ref="V85:V91" si="66">IF(T$12=0,0,T85/T$12)</f>
        <v>1.1269417678233943E-3</v>
      </c>
      <c r="W85" s="1"/>
      <c r="X85" s="1">
        <f t="shared" ref="X85:X91" si="67">+P85-T85</f>
        <v>-1369.7</v>
      </c>
      <c r="Y85" s="1"/>
      <c r="Z85" s="5">
        <f t="shared" ref="Z85:Z91" si="68">IF(T85=0,0,X85/T85)</f>
        <v>-0.48987839771101577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6">
        <v>-65</v>
      </c>
      <c r="E86" s="2"/>
      <c r="F86" s="7">
        <f t="shared" si="61"/>
        <v>1.9495036563690884E-3</v>
      </c>
      <c r="G86" s="2"/>
      <c r="H86" s="6">
        <v>233</v>
      </c>
      <c r="I86" s="2"/>
      <c r="J86" s="7">
        <f t="shared" si="62"/>
        <v>0</v>
      </c>
      <c r="K86" s="2"/>
      <c r="L86" s="6">
        <f t="shared" si="63"/>
        <v>-298</v>
      </c>
      <c r="M86" s="2"/>
      <c r="N86" s="7">
        <f t="shared" si="64"/>
        <v>-1.2789699570815452</v>
      </c>
      <c r="O86" s="11"/>
      <c r="P86" s="6">
        <v>1426.3</v>
      </c>
      <c r="Q86" s="2"/>
      <c r="R86" s="7">
        <f t="shared" si="65"/>
        <v>7.2733346070380446E-4</v>
      </c>
      <c r="S86" s="2"/>
      <c r="T86" s="6">
        <v>2796</v>
      </c>
      <c r="U86" s="2"/>
      <c r="V86" s="7">
        <f t="shared" si="66"/>
        <v>1.1269417678233943E-3</v>
      </c>
      <c r="W86" s="2"/>
      <c r="X86" s="6">
        <f t="shared" si="67"/>
        <v>-1369.7</v>
      </c>
      <c r="Y86" s="2"/>
      <c r="Z86" s="7">
        <f t="shared" si="68"/>
        <v>-0.48987839771101577</v>
      </c>
    </row>
    <row r="87" spans="1:26" s="26" customFormat="1" outlineLevel="1" collapsed="1" x14ac:dyDescent="0.25">
      <c r="A87" s="25"/>
      <c r="B87" s="12" t="str">
        <f>CONCATENATE("     ","Training                                          ")</f>
        <v xml:space="preserve">     Training                                          </v>
      </c>
      <c r="C87" s="12"/>
      <c r="D87" s="1">
        <f>SUM(OSRRefD22_16x_0)</f>
        <v>0</v>
      </c>
      <c r="E87" s="1"/>
      <c r="F87" s="5">
        <f t="shared" si="61"/>
        <v>0</v>
      </c>
      <c r="G87" s="1"/>
      <c r="H87" s="1">
        <f>SUM(OSRRefH22_16x_0)</f>
        <v>1379</v>
      </c>
      <c r="I87" s="1"/>
      <c r="J87" s="5">
        <f t="shared" si="62"/>
        <v>0</v>
      </c>
      <c r="K87" s="1"/>
      <c r="L87" s="1">
        <f t="shared" si="63"/>
        <v>-1379</v>
      </c>
      <c r="M87" s="1"/>
      <c r="N87" s="5">
        <f t="shared" si="64"/>
        <v>-1</v>
      </c>
      <c r="O87" s="12"/>
      <c r="P87" s="1">
        <f>SUM(OSRRefP22_16x_0)</f>
        <v>1657.1</v>
      </c>
      <c r="Q87" s="1"/>
      <c r="R87" s="5">
        <f t="shared" si="65"/>
        <v>8.4502858987048606E-4</v>
      </c>
      <c r="S87" s="1"/>
      <c r="T87" s="1">
        <f>SUM(OSRRefT22_16x_0)</f>
        <v>6895</v>
      </c>
      <c r="U87" s="1"/>
      <c r="V87" s="5">
        <f t="shared" si="66"/>
        <v>2.7790641949722115E-3</v>
      </c>
      <c r="W87" s="1"/>
      <c r="X87" s="1">
        <f t="shared" si="67"/>
        <v>-5237.8999999999996</v>
      </c>
      <c r="Y87" s="1"/>
      <c r="Z87" s="5">
        <f t="shared" si="68"/>
        <v>-0.75966642494561276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1"/>
        <v>0</v>
      </c>
      <c r="G88" s="2"/>
      <c r="H88" s="6">
        <v>1379</v>
      </c>
      <c r="I88" s="2"/>
      <c r="J88" s="7">
        <f t="shared" si="62"/>
        <v>0</v>
      </c>
      <c r="K88" s="2"/>
      <c r="L88" s="6">
        <f t="shared" si="63"/>
        <v>-1379</v>
      </c>
      <c r="M88" s="2"/>
      <c r="N88" s="7">
        <f t="shared" si="64"/>
        <v>-1</v>
      </c>
      <c r="O88" s="11"/>
      <c r="P88" s="6">
        <v>1657.1</v>
      </c>
      <c r="Q88" s="2"/>
      <c r="R88" s="7">
        <f t="shared" si="65"/>
        <v>8.4502858987048606E-4</v>
      </c>
      <c r="S88" s="2"/>
      <c r="T88" s="6">
        <v>6895</v>
      </c>
      <c r="U88" s="2"/>
      <c r="V88" s="7">
        <f t="shared" si="66"/>
        <v>2.7790641949722115E-3</v>
      </c>
      <c r="W88" s="2"/>
      <c r="X88" s="6">
        <f t="shared" si="67"/>
        <v>-5237.8999999999996</v>
      </c>
      <c r="Y88" s="2"/>
      <c r="Z88" s="7">
        <f t="shared" si="68"/>
        <v>-0.75966642494561276</v>
      </c>
    </row>
    <row r="89" spans="1:26" s="26" customFormat="1" outlineLevel="1" collapsed="1" x14ac:dyDescent="0.25">
      <c r="A89" s="25"/>
      <c r="B89" s="12" t="str">
        <f>CONCATENATE("     ","Travel                                            ")</f>
        <v xml:space="preserve">     Travel                                            </v>
      </c>
      <c r="C89" s="12"/>
      <c r="D89" s="1">
        <f>SUM(OSRRefD22_17x_0)</f>
        <v>0</v>
      </c>
      <c r="E89" s="1"/>
      <c r="F89" s="5">
        <f t="shared" si="61"/>
        <v>0</v>
      </c>
      <c r="G89" s="1"/>
      <c r="H89" s="1">
        <f>SUM(OSRRefH22_17x_0)</f>
        <v>50</v>
      </c>
      <c r="I89" s="1"/>
      <c r="J89" s="5">
        <f t="shared" si="62"/>
        <v>0</v>
      </c>
      <c r="K89" s="1"/>
      <c r="L89" s="1">
        <f t="shared" si="63"/>
        <v>-50</v>
      </c>
      <c r="M89" s="1"/>
      <c r="N89" s="5">
        <f t="shared" si="64"/>
        <v>-1</v>
      </c>
      <c r="O89" s="12"/>
      <c r="P89" s="1">
        <f>SUM(OSRRefP22_17x_0)</f>
        <v>79.510000000000005</v>
      </c>
      <c r="Q89" s="1"/>
      <c r="R89" s="5">
        <f t="shared" si="65"/>
        <v>4.0545666031381541E-5</v>
      </c>
      <c r="S89" s="1"/>
      <c r="T89" s="1">
        <f>SUM(OSRRefT22_17x_0)</f>
        <v>600</v>
      </c>
      <c r="U89" s="1"/>
      <c r="V89" s="5">
        <f t="shared" si="66"/>
        <v>2.4183299738699446E-4</v>
      </c>
      <c r="W89" s="1"/>
      <c r="X89" s="1">
        <f t="shared" si="67"/>
        <v>-520.49</v>
      </c>
      <c r="Y89" s="1"/>
      <c r="Z89" s="5">
        <f t="shared" si="68"/>
        <v>-0.86748333333333338</v>
      </c>
    </row>
    <row r="90" spans="1:26" s="24" customFormat="1" hidden="1" outlineLevel="2" x14ac:dyDescent="0.25">
      <c r="A90" s="27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1"/>
        <v>0</v>
      </c>
      <c r="G90" s="2"/>
      <c r="H90" s="6"/>
      <c r="I90" s="2"/>
      <c r="J90" s="7">
        <f t="shared" si="62"/>
        <v>0</v>
      </c>
      <c r="K90" s="2"/>
      <c r="L90" s="6">
        <f t="shared" si="63"/>
        <v>0</v>
      </c>
      <c r="M90" s="2"/>
      <c r="N90" s="7">
        <f t="shared" si="64"/>
        <v>0</v>
      </c>
      <c r="O90" s="11"/>
      <c r="P90" s="6">
        <v>79.510000000000005</v>
      </c>
      <c r="Q90" s="2"/>
      <c r="R90" s="7">
        <f t="shared" si="65"/>
        <v>4.0545666031381541E-5</v>
      </c>
      <c r="S90" s="2"/>
      <c r="T90" s="6"/>
      <c r="U90" s="2"/>
      <c r="V90" s="7">
        <f t="shared" si="66"/>
        <v>0</v>
      </c>
      <c r="W90" s="2"/>
      <c r="X90" s="6">
        <f t="shared" si="67"/>
        <v>79.510000000000005</v>
      </c>
      <c r="Y90" s="2"/>
      <c r="Z90" s="7">
        <f t="shared" si="68"/>
        <v>0</v>
      </c>
    </row>
    <row r="91" spans="1:26" s="24" customFormat="1" hidden="1" outlineLevel="2" x14ac:dyDescent="0.25">
      <c r="A91" s="27"/>
      <c r="B91" s="11" t="str">
        <f>CONCATENATE("          ", "6298", " - ", "VEHICLE MILEAGE")</f>
        <v xml:space="preserve">          6298 - VEHICLE MILEAGE</v>
      </c>
      <c r="C91" s="11"/>
      <c r="D91" s="6"/>
      <c r="E91" s="2"/>
      <c r="F91" s="7">
        <f t="shared" si="61"/>
        <v>0</v>
      </c>
      <c r="G91" s="2"/>
      <c r="H91" s="6">
        <v>50</v>
      </c>
      <c r="I91" s="2"/>
      <c r="J91" s="7">
        <f t="shared" si="62"/>
        <v>0</v>
      </c>
      <c r="K91" s="2"/>
      <c r="L91" s="6">
        <f t="shared" si="63"/>
        <v>-50</v>
      </c>
      <c r="M91" s="2"/>
      <c r="N91" s="7">
        <f t="shared" si="64"/>
        <v>-1</v>
      </c>
      <c r="O91" s="11"/>
      <c r="P91" s="6"/>
      <c r="Q91" s="2"/>
      <c r="R91" s="7">
        <f t="shared" si="65"/>
        <v>0</v>
      </c>
      <c r="S91" s="2"/>
      <c r="T91" s="6">
        <v>600</v>
      </c>
      <c r="U91" s="2"/>
      <c r="V91" s="7">
        <f t="shared" si="66"/>
        <v>2.4183299738699446E-4</v>
      </c>
      <c r="W91" s="2"/>
      <c r="X91" s="6">
        <f t="shared" si="67"/>
        <v>-600</v>
      </c>
      <c r="Y91" s="2"/>
      <c r="Z91" s="7">
        <f t="shared" si="68"/>
        <v>-1</v>
      </c>
    </row>
    <row r="92" spans="1:26" s="60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8" t="s">
        <v>0</v>
      </c>
      <c r="C93" s="10"/>
      <c r="D93" s="4">
        <f>SUM(0)</f>
        <v>0</v>
      </c>
      <c r="E93" s="4"/>
      <c r="F93" s="13">
        <f>IF(D$12=0,0,D93/D$12)</f>
        <v>0</v>
      </c>
      <c r="G93" s="4"/>
      <c r="H93" s="4">
        <f>SUM(0)</f>
        <v>0</v>
      </c>
      <c r="I93" s="4"/>
      <c r="J93" s="13">
        <f>IF(H$12=0,0,H93/H$12)</f>
        <v>0</v>
      </c>
      <c r="K93" s="4"/>
      <c r="L93" s="4">
        <f>+D93-H93</f>
        <v>0</v>
      </c>
      <c r="M93" s="4"/>
      <c r="N93" s="13">
        <f>IF(H93=0,0,L93/H93)</f>
        <v>0</v>
      </c>
      <c r="O93" s="10"/>
      <c r="P93" s="4">
        <f>SUM(0)</f>
        <v>0</v>
      </c>
      <c r="Q93" s="4"/>
      <c r="R93" s="13">
        <f>IF(P$12=0,0,P93/P$12)</f>
        <v>0</v>
      </c>
      <c r="S93" s="4"/>
      <c r="T93" s="4">
        <f>SUM(0)</f>
        <v>0</v>
      </c>
      <c r="U93" s="4"/>
      <c r="V93" s="13">
        <f>IF(T$12=0,0,T93/T$12)</f>
        <v>0</v>
      </c>
      <c r="W93" s="4"/>
      <c r="X93" s="4">
        <f>+P93-T93</f>
        <v>0</v>
      </c>
      <c r="Y93" s="4"/>
      <c r="Z93" s="13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9" t="s">
        <v>3</v>
      </c>
      <c r="C95" s="29"/>
      <c r="D95" s="22">
        <f>+D23-D25+D93</f>
        <v>-62469</v>
      </c>
      <c r="E95" s="14"/>
      <c r="F95" s="20">
        <f>IF(D$12=0,0,D95/D$12)</f>
        <v>1.8735929832264706</v>
      </c>
      <c r="G95" s="14"/>
      <c r="H95" s="22">
        <f>+H23-H25+H93</f>
        <v>-48476.456506372291</v>
      </c>
      <c r="I95" s="14"/>
      <c r="J95" s="20">
        <f>IF(H$12=0,0,H95/H$12)</f>
        <v>0</v>
      </c>
      <c r="K95" s="15"/>
      <c r="L95" s="22">
        <f>+D95-H95</f>
        <v>-13992.543493627709</v>
      </c>
      <c r="M95" s="15"/>
      <c r="N95" s="20">
        <f>IF(H95=0,0,L95/H95)</f>
        <v>0.28864616975022445</v>
      </c>
      <c r="O95" s="28"/>
      <c r="P95" s="22">
        <f>+P23-P25+P93</f>
        <v>295219.22999999975</v>
      </c>
      <c r="Q95" s="14"/>
      <c r="R95" s="20">
        <f>IF(P$12=0,0,P95/P$12)</f>
        <v>0.15054534405259218</v>
      </c>
      <c r="S95" s="14"/>
      <c r="T95" s="22">
        <f>+T23-T25+T93</f>
        <v>706112.61247687251</v>
      </c>
      <c r="U95" s="14"/>
      <c r="V95" s="20">
        <f>IF(T$12=0,0,T95/T$12)</f>
        <v>0.2846022159467389</v>
      </c>
      <c r="W95" s="15"/>
      <c r="X95" s="22">
        <f>+P95-T95</f>
        <v>-410893.38247687276</v>
      </c>
      <c r="Y95" s="15"/>
      <c r="Z95" s="20">
        <f>IF(T95=0,0,X95/T95)</f>
        <v>-0.58190913916061915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60800.25</v>
      </c>
      <c r="E97" s="4"/>
      <c r="F97" s="13">
        <f>IF(D$12=0,0,D97/D$12)</f>
        <v>-1.8235432258946873</v>
      </c>
      <c r="G97" s="4"/>
      <c r="H97" s="4">
        <v>33605</v>
      </c>
      <c r="I97" s="4"/>
      <c r="J97" s="13">
        <f>IF(H$12=0,0,H97/H$12)</f>
        <v>0</v>
      </c>
      <c r="K97" s="4"/>
      <c r="L97" s="4">
        <f>+D97-H97</f>
        <v>27195.25</v>
      </c>
      <c r="M97" s="4"/>
      <c r="N97" s="13">
        <f>IF(H97=0,0,L97/H97)</f>
        <v>0.80926201458116354</v>
      </c>
      <c r="O97" s="10"/>
      <c r="P97" s="4">
        <v>296971.20999999996</v>
      </c>
      <c r="Q97" s="4"/>
      <c r="R97" s="13">
        <f>IF(P$12=0,0,P97/P$12)</f>
        <v>0.15143875615136804</v>
      </c>
      <c r="S97" s="4"/>
      <c r="T97" s="4">
        <v>320976</v>
      </c>
      <c r="U97" s="4"/>
      <c r="V97" s="13">
        <f>IF(T$12=0,0,T97/T$12)</f>
        <v>0.12937098028214655</v>
      </c>
      <c r="W97" s="4"/>
      <c r="X97" s="4">
        <f>+P97-T97</f>
        <v>-24004.790000000037</v>
      </c>
      <c r="Y97" s="4"/>
      <c r="Z97" s="13">
        <f>IF(T97=0,0,X97/T97)</f>
        <v>-7.4786868800159625E-2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4</v>
      </c>
      <c r="C99" s="29"/>
      <c r="D99" s="31">
        <f>+D95-D97</f>
        <v>-123269.25</v>
      </c>
      <c r="E99" s="14"/>
      <c r="F99" s="33">
        <f>IF(D$12=0,0,D99/D$12)</f>
        <v>3.6971362091211577</v>
      </c>
      <c r="G99" s="14"/>
      <c r="H99" s="31">
        <f>+H95-H97</f>
        <v>-82081.456506372284</v>
      </c>
      <c r="I99" s="14"/>
      <c r="J99" s="33">
        <f>IF(H$12=0,0,H99/H$12)</f>
        <v>0</v>
      </c>
      <c r="K99" s="15"/>
      <c r="L99" s="31">
        <f>D99-H99</f>
        <v>-41187.793493627716</v>
      </c>
      <c r="M99" s="15"/>
      <c r="N99" s="33">
        <f>IF(H99=0,0,L99/H99)</f>
        <v>0.50179169871857909</v>
      </c>
      <c r="O99" s="28"/>
      <c r="P99" s="31">
        <f>+P95-P97</f>
        <v>-1751.9800000002142</v>
      </c>
      <c r="Q99" s="14"/>
      <c r="R99" s="33">
        <f>IF(P$12=0,0,P99/P$12)</f>
        <v>-8.9341209877585859E-4</v>
      </c>
      <c r="S99" s="14"/>
      <c r="T99" s="31">
        <f>+T95-T97</f>
        <v>385136.61247687251</v>
      </c>
      <c r="U99" s="14"/>
      <c r="V99" s="33">
        <f>IF(T$12=0,0,T99/T$12)</f>
        <v>0.15523123566459235</v>
      </c>
      <c r="W99" s="15"/>
      <c r="X99" s="31">
        <f>P99-T99</f>
        <v>-386888.59247687273</v>
      </c>
      <c r="Y99" s="15"/>
      <c r="Z99" s="33">
        <f>IF(T99=0,0,X99/T99)</f>
        <v>-1.004548983252288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5</v>
      </c>
      <c r="C102" s="29"/>
      <c r="D102" s="34">
        <f>SUM(D99:D101)</f>
        <v>-123269.25</v>
      </c>
      <c r="E102" s="14"/>
      <c r="F102" s="35">
        <f>IF(D$12=0,0,D102/D$12)</f>
        <v>3.6971362091211577</v>
      </c>
      <c r="G102" s="14"/>
      <c r="H102" s="34">
        <f>SUM(H99:H101)</f>
        <v>-82081.456506372284</v>
      </c>
      <c r="I102" s="14"/>
      <c r="J102" s="35">
        <f>IF(H$12=0,0,H102/H$12)</f>
        <v>0</v>
      </c>
      <c r="K102" s="15"/>
      <c r="L102" s="34">
        <f>+D102-H102</f>
        <v>-41187.793493627716</v>
      </c>
      <c r="M102" s="15"/>
      <c r="N102" s="35">
        <f>IF(H102=0,0,L102/H102)</f>
        <v>0.50179169871857909</v>
      </c>
      <c r="O102" s="28"/>
      <c r="P102" s="34">
        <f>SUM(P99:P101)</f>
        <v>-1751.9800000002142</v>
      </c>
      <c r="Q102" s="14"/>
      <c r="R102" s="35">
        <f>IF(P$12=0,0,P102/P$12)</f>
        <v>-8.9341209877585859E-4</v>
      </c>
      <c r="S102" s="14"/>
      <c r="T102" s="34">
        <f>SUM(T99:T101)</f>
        <v>385136.61247687251</v>
      </c>
      <c r="U102" s="14"/>
      <c r="V102" s="35">
        <f>IF(T$12=0,0,T102/T$12)</f>
        <v>0.15523123566459235</v>
      </c>
      <c r="W102" s="15"/>
      <c r="X102" s="34">
        <f>+P102-T102</f>
        <v>-386888.59247687273</v>
      </c>
      <c r="Y102" s="15"/>
      <c r="Z102" s="35">
        <f>IF(T102=0,0,X102/T102)</f>
        <v>-1.004548983252288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5">
        <v>44043.473987534722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62" t="s">
        <v>314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63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8"/>
  <sheetViews>
    <sheetView tabSelected="1" zoomScale="80" workbookViewId="0">
      <pane xSplit="3" ySplit="10" topLeftCell="D11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">
        <v>298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62378</v>
      </c>
      <c r="E12" s="4"/>
      <c r="F12" s="13"/>
      <c r="G12" s="4"/>
      <c r="H12" s="4">
        <f>SUM(OSRRefH13x_0)</f>
        <v>42235</v>
      </c>
      <c r="I12" s="4"/>
      <c r="J12" s="13"/>
      <c r="K12" s="4"/>
      <c r="L12" s="4">
        <f t="shared" ref="L12:L13" si="0">+D12-H12</f>
        <v>20143</v>
      </c>
      <c r="M12" s="4"/>
      <c r="N12" s="13">
        <f t="shared" ref="N12:N13" si="1">IF(H12=0,0,L12/H12)</f>
        <v>0.47692671954540072</v>
      </c>
      <c r="O12" s="10"/>
      <c r="P12" s="4">
        <f>SUM(OSRRefP13x_0)</f>
        <v>491678</v>
      </c>
      <c r="Q12" s="4"/>
      <c r="R12" s="13"/>
      <c r="S12" s="4"/>
      <c r="T12" s="4">
        <f>SUM(OSRRefT13x_0)</f>
        <v>490000</v>
      </c>
      <c r="U12" s="4"/>
      <c r="V12" s="13"/>
      <c r="W12" s="4"/>
      <c r="X12" s="4">
        <f t="shared" ref="X12:X13" si="2">+P12-T12</f>
        <v>1678</v>
      </c>
      <c r="Y12" s="4"/>
      <c r="Z12" s="13">
        <f t="shared" ref="Z12:Z13" si="3">IF(T12=0,0,X12/T12)</f>
        <v>3.4244897959183674E-3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--62378</f>
        <v>62378</v>
      </c>
      <c r="E13" s="2"/>
      <c r="F13" s="19"/>
      <c r="G13" s="2"/>
      <c r="H13" s="2">
        <v>42235</v>
      </c>
      <c r="I13" s="2"/>
      <c r="J13" s="19"/>
      <c r="K13" s="2"/>
      <c r="L13" s="2">
        <f t="shared" si="0"/>
        <v>20143</v>
      </c>
      <c r="M13" s="2"/>
      <c r="N13" s="19">
        <f t="shared" si="1"/>
        <v>0.47692671954540072</v>
      </c>
      <c r="O13" s="11"/>
      <c r="P13" s="2">
        <f>--491678</f>
        <v>491678</v>
      </c>
      <c r="Q13" s="2"/>
      <c r="R13" s="19"/>
      <c r="S13" s="2"/>
      <c r="T13" s="2">
        <v>490000</v>
      </c>
      <c r="U13" s="2"/>
      <c r="V13" s="19"/>
      <c r="W13" s="2"/>
      <c r="X13" s="2">
        <f t="shared" si="2"/>
        <v>1678</v>
      </c>
      <c r="Y13" s="2"/>
      <c r="Z13" s="19">
        <f t="shared" si="3"/>
        <v>3.4244897959183674E-3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0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62378</v>
      </c>
      <c r="E17" s="14"/>
      <c r="F17" s="20">
        <f>IF(D$12=0,0,D17/D$12)</f>
        <v>1</v>
      </c>
      <c r="G17" s="14"/>
      <c r="H17" s="22">
        <f>H12-H15</f>
        <v>42235</v>
      </c>
      <c r="I17" s="14"/>
      <c r="J17" s="20">
        <f>IF(H$12=0,0,H17/H$12)</f>
        <v>1</v>
      </c>
      <c r="K17" s="15"/>
      <c r="L17" s="22">
        <f>+D17-H17</f>
        <v>20143</v>
      </c>
      <c r="M17" s="15"/>
      <c r="N17" s="20">
        <f>IF(H17=0,0,L17/H17)</f>
        <v>0.47692671954540072</v>
      </c>
      <c r="O17" s="28"/>
      <c r="P17" s="22">
        <f>P12-P15</f>
        <v>491678</v>
      </c>
      <c r="Q17" s="14"/>
      <c r="R17" s="20">
        <f>IF(P$12=0,0,P17/P$12)</f>
        <v>1</v>
      </c>
      <c r="S17" s="14"/>
      <c r="T17" s="22">
        <f>T12-T15</f>
        <v>490000</v>
      </c>
      <c r="U17" s="14"/>
      <c r="V17" s="20">
        <f>IF(T$12=0,0,T17/T$12)</f>
        <v>1</v>
      </c>
      <c r="W17" s="15"/>
      <c r="X17" s="22">
        <f>+P17-T17</f>
        <v>1678</v>
      </c>
      <c r="Y17" s="15"/>
      <c r="Z17" s="20">
        <f>IF(T17=0,0,X17/T17)</f>
        <v>3.4244897959183674E-3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57512.240000000005</v>
      </c>
      <c r="E19" s="21"/>
      <c r="F19" s="32">
        <f t="shared" ref="F19:F29" si="4">IF(D$12=0,0,D19/D$12)</f>
        <v>0.92199557536310883</v>
      </c>
      <c r="G19" s="21"/>
      <c r="H19" s="21">
        <f>SUM(OSRRefH22x_0)</f>
        <v>31986.117783346148</v>
      </c>
      <c r="I19" s="21"/>
      <c r="J19" s="32">
        <f t="shared" ref="J19:J29" si="5">IF(H$12=0,0,H19/H$12)</f>
        <v>0.75733675348280216</v>
      </c>
      <c r="K19" s="4"/>
      <c r="L19" s="21">
        <f t="shared" ref="L19:L29" si="6">+D19-H19</f>
        <v>25526.122216653857</v>
      </c>
      <c r="M19" s="4"/>
      <c r="N19" s="32">
        <f t="shared" ref="N19:N29" si="7">IF(H19=0,0,L19/H19)</f>
        <v>0.79803752332658062</v>
      </c>
      <c r="O19" s="10"/>
      <c r="P19" s="21">
        <f>SUM(OSRRefP22x_0)</f>
        <v>461510.73000000004</v>
      </c>
      <c r="Q19" s="21"/>
      <c r="R19" s="32">
        <f t="shared" ref="R19:R29" si="8">IF(P$12=0,0,P19/P$12)</f>
        <v>0.93864425497988524</v>
      </c>
      <c r="S19" s="21"/>
      <c r="T19" s="21">
        <f>SUM(OSRRefT22x_0)</f>
        <v>454160.24257350003</v>
      </c>
      <c r="U19" s="21"/>
      <c r="V19" s="32">
        <f t="shared" ref="V19:V29" si="9">IF(T$12=0,0,T19/T$12)</f>
        <v>0.92685763790510212</v>
      </c>
      <c r="W19" s="4"/>
      <c r="X19" s="21">
        <f t="shared" ref="X19:X29" si="10">+P19-T19</f>
        <v>7350.4874265000108</v>
      </c>
      <c r="Y19" s="4"/>
      <c r="Z19" s="32">
        <f t="shared" ref="Z19:Z29" si="11">IF(T19=0,0,X19/T19)</f>
        <v>1.6184788401662941E-2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3268.84</v>
      </c>
      <c r="E20" s="1"/>
      <c r="F20" s="5">
        <f t="shared" si="4"/>
        <v>5.2403732085029978E-2</v>
      </c>
      <c r="G20" s="1"/>
      <c r="H20" s="1">
        <f>SUM(OSRRefH22_0x_0)</f>
        <v>2391.2443218076878</v>
      </c>
      <c r="I20" s="1"/>
      <c r="J20" s="5">
        <f t="shared" si="5"/>
        <v>5.6617599663967982E-2</v>
      </c>
      <c r="K20" s="1"/>
      <c r="L20" s="1">
        <f t="shared" si="6"/>
        <v>877.59567819231233</v>
      </c>
      <c r="M20" s="1"/>
      <c r="N20" s="5">
        <f t="shared" si="7"/>
        <v>0.36700376878632129</v>
      </c>
      <c r="O20" s="12"/>
      <c r="P20" s="1">
        <f>SUM(OSRRefP22_0x_0)</f>
        <v>52039.48</v>
      </c>
      <c r="Q20" s="1"/>
      <c r="R20" s="5">
        <f t="shared" si="8"/>
        <v>0.10584057045464715</v>
      </c>
      <c r="S20" s="1"/>
      <c r="T20" s="1">
        <f>SUM(OSRRefT22_0x_0)</f>
        <v>15800.947573499992</v>
      </c>
      <c r="U20" s="1"/>
      <c r="V20" s="5">
        <f t="shared" si="9"/>
        <v>3.2246831782653043E-2</v>
      </c>
      <c r="W20" s="1"/>
      <c r="X20" s="1">
        <f t="shared" si="10"/>
        <v>36238.532426500009</v>
      </c>
      <c r="Y20" s="1"/>
      <c r="Z20" s="5">
        <f t="shared" si="11"/>
        <v>2.2934404571581641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975.83</v>
      </c>
      <c r="E21" s="2"/>
      <c r="F21" s="7">
        <f t="shared" si="4"/>
        <v>1.5643816730257463E-2</v>
      </c>
      <c r="G21" s="2"/>
      <c r="H21" s="6">
        <v>1291.3139433461499</v>
      </c>
      <c r="I21" s="2"/>
      <c r="J21" s="7">
        <f t="shared" si="5"/>
        <v>3.0574498481026398E-2</v>
      </c>
      <c r="K21" s="2"/>
      <c r="L21" s="6">
        <f t="shared" si="6"/>
        <v>-315.48394334614989</v>
      </c>
      <c r="M21" s="2"/>
      <c r="N21" s="7">
        <f t="shared" si="7"/>
        <v>-0.24431234942654156</v>
      </c>
      <c r="O21" s="11"/>
      <c r="P21" s="6">
        <v>13042.21</v>
      </c>
      <c r="Q21" s="2"/>
      <c r="R21" s="7">
        <f t="shared" si="8"/>
        <v>2.6525917368684381E-2</v>
      </c>
      <c r="S21" s="2"/>
      <c r="T21" s="6">
        <v>6111.3758534999943</v>
      </c>
      <c r="U21" s="2"/>
      <c r="V21" s="7">
        <f t="shared" si="9"/>
        <v>1.2472195619387743E-2</v>
      </c>
      <c r="W21" s="2"/>
      <c r="X21" s="6">
        <f t="shared" si="10"/>
        <v>6930.8341465000049</v>
      </c>
      <c r="Y21" s="2"/>
      <c r="Z21" s="7">
        <f t="shared" si="11"/>
        <v>1.1340873663547801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78.95</v>
      </c>
      <c r="E22" s="2"/>
      <c r="F22" s="7">
        <f t="shared" si="4"/>
        <v>1.2656705889897079E-3</v>
      </c>
      <c r="G22" s="2"/>
      <c r="H22" s="6">
        <v>320.59277307692298</v>
      </c>
      <c r="I22" s="2"/>
      <c r="J22" s="7">
        <f t="shared" si="5"/>
        <v>7.5906895484058948E-3</v>
      </c>
      <c r="K22" s="2"/>
      <c r="L22" s="6">
        <f t="shared" si="6"/>
        <v>-241.64277307692299</v>
      </c>
      <c r="M22" s="2"/>
      <c r="N22" s="7">
        <f t="shared" si="7"/>
        <v>-0.75373743069043941</v>
      </c>
      <c r="O22" s="11"/>
      <c r="P22" s="6">
        <v>741.24</v>
      </c>
      <c r="Q22" s="2"/>
      <c r="R22" s="7">
        <f t="shared" si="8"/>
        <v>1.5075720288481487E-3</v>
      </c>
      <c r="S22" s="2"/>
      <c r="T22" s="6">
        <v>2820.5680499999999</v>
      </c>
      <c r="U22" s="2"/>
      <c r="V22" s="7">
        <f t="shared" si="9"/>
        <v>5.7562613265306119E-3</v>
      </c>
      <c r="W22" s="2"/>
      <c r="X22" s="6">
        <f t="shared" si="10"/>
        <v>-2079.3280500000001</v>
      </c>
      <c r="Y22" s="2"/>
      <c r="Z22" s="7">
        <f t="shared" si="11"/>
        <v>-0.7372018732184108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1285.8599999999999</v>
      </c>
      <c r="E23" s="2"/>
      <c r="F23" s="7">
        <f t="shared" si="4"/>
        <v>2.0613998525121035E-2</v>
      </c>
      <c r="G23" s="2"/>
      <c r="H23" s="6">
        <v>138.1</v>
      </c>
      <c r="I23" s="2"/>
      <c r="J23" s="7">
        <f t="shared" si="5"/>
        <v>3.2697999289688644E-3</v>
      </c>
      <c r="K23" s="2"/>
      <c r="L23" s="6">
        <f t="shared" si="6"/>
        <v>1147.76</v>
      </c>
      <c r="M23" s="2"/>
      <c r="N23" s="7">
        <f t="shared" si="7"/>
        <v>8.311078928312817</v>
      </c>
      <c r="O23" s="11"/>
      <c r="P23" s="6">
        <v>15213.590000000002</v>
      </c>
      <c r="Q23" s="2"/>
      <c r="R23" s="7">
        <f t="shared" si="8"/>
        <v>3.094218167174452E-2</v>
      </c>
      <c r="S23" s="2"/>
      <c r="T23" s="6">
        <v>1657.2</v>
      </c>
      <c r="U23" s="2"/>
      <c r="V23" s="7">
        <f t="shared" si="9"/>
        <v>3.3820408163265309E-3</v>
      </c>
      <c r="W23" s="2"/>
      <c r="X23" s="6">
        <f t="shared" si="10"/>
        <v>13556.390000000001</v>
      </c>
      <c r="Y23" s="2"/>
      <c r="Z23" s="7">
        <f t="shared" si="11"/>
        <v>8.1802980931692009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-495.12</v>
      </c>
      <c r="E24" s="2"/>
      <c r="F24" s="7">
        <f t="shared" si="4"/>
        <v>-7.9374138317996733E-3</v>
      </c>
      <c r="G24" s="2"/>
      <c r="H24" s="6">
        <v>43.87059</v>
      </c>
      <c r="I24" s="2"/>
      <c r="J24" s="7">
        <f t="shared" si="5"/>
        <v>1.0387259382029122E-3</v>
      </c>
      <c r="K24" s="2"/>
      <c r="L24" s="6">
        <f t="shared" si="6"/>
        <v>-538.99059</v>
      </c>
      <c r="M24" s="2"/>
      <c r="N24" s="7">
        <f t="shared" si="7"/>
        <v>-12.285920704508419</v>
      </c>
      <c r="O24" s="11"/>
      <c r="P24" s="6">
        <v>0</v>
      </c>
      <c r="Q24" s="2"/>
      <c r="R24" s="7">
        <f t="shared" si="8"/>
        <v>0</v>
      </c>
      <c r="S24" s="2"/>
      <c r="T24" s="6">
        <v>385.97246999999999</v>
      </c>
      <c r="U24" s="2"/>
      <c r="V24" s="7">
        <f t="shared" si="9"/>
        <v>7.8769891836734688E-4</v>
      </c>
      <c r="W24" s="2"/>
      <c r="X24" s="6">
        <f t="shared" si="10"/>
        <v>-385.97246999999999</v>
      </c>
      <c r="Y24" s="2"/>
      <c r="Z24" s="7">
        <f t="shared" si="11"/>
        <v>-1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550.21</v>
      </c>
      <c r="E25" s="2"/>
      <c r="F25" s="7">
        <f t="shared" si="4"/>
        <v>8.8205777678027515E-3</v>
      </c>
      <c r="G25" s="2"/>
      <c r="H25" s="6">
        <v>56.936630769230796</v>
      </c>
      <c r="I25" s="2"/>
      <c r="J25" s="7">
        <f t="shared" si="5"/>
        <v>1.3480911748367656E-3</v>
      </c>
      <c r="K25" s="2"/>
      <c r="L25" s="6">
        <f t="shared" si="6"/>
        <v>493.27336923076922</v>
      </c>
      <c r="M25" s="2"/>
      <c r="N25" s="7">
        <f t="shared" si="7"/>
        <v>8.6635503816523638</v>
      </c>
      <c r="O25" s="11"/>
      <c r="P25" s="6">
        <v>8309.2900000000009</v>
      </c>
      <c r="Q25" s="2"/>
      <c r="R25" s="7">
        <f t="shared" si="8"/>
        <v>1.6899861291332946E-2</v>
      </c>
      <c r="S25" s="2"/>
      <c r="T25" s="6">
        <v>740.17620000000045</v>
      </c>
      <c r="U25" s="2"/>
      <c r="V25" s="7">
        <f t="shared" si="9"/>
        <v>1.5105636734693887E-3</v>
      </c>
      <c r="W25" s="2"/>
      <c r="X25" s="6">
        <f t="shared" si="10"/>
        <v>7569.1138000000001</v>
      </c>
      <c r="Y25" s="2"/>
      <c r="Z25" s="7">
        <f t="shared" si="11"/>
        <v>10.226097245493703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484.71</v>
      </c>
      <c r="E27" s="2"/>
      <c r="F27" s="7">
        <f t="shared" si="4"/>
        <v>7.7705280707941896E-3</v>
      </c>
      <c r="G27" s="2"/>
      <c r="H27" s="6">
        <v>33.102692307692301</v>
      </c>
      <c r="I27" s="2"/>
      <c r="J27" s="7">
        <f t="shared" si="5"/>
        <v>7.8377393885858417E-4</v>
      </c>
      <c r="K27" s="2"/>
      <c r="L27" s="6">
        <f t="shared" si="6"/>
        <v>451.6073076923077</v>
      </c>
      <c r="M27" s="2"/>
      <c r="N27" s="7">
        <f t="shared" si="7"/>
        <v>13.642615636655167</v>
      </c>
      <c r="O27" s="11"/>
      <c r="P27" s="6">
        <v>8433.2199999999993</v>
      </c>
      <c r="Q27" s="2"/>
      <c r="R27" s="7">
        <f t="shared" si="8"/>
        <v>1.7151916498195974E-2</v>
      </c>
      <c r="S27" s="2"/>
      <c r="T27" s="6">
        <v>430.33499999999998</v>
      </c>
      <c r="U27" s="2"/>
      <c r="V27" s="7">
        <f t="shared" si="9"/>
        <v>8.7823469387755099E-4</v>
      </c>
      <c r="W27" s="2"/>
      <c r="X27" s="6">
        <f t="shared" si="10"/>
        <v>8002.8849999999993</v>
      </c>
      <c r="Y27" s="2"/>
      <c r="Z27" s="7">
        <f t="shared" si="11"/>
        <v>18.596872204212996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281.62</v>
      </c>
      <c r="E28" s="2"/>
      <c r="F28" s="7">
        <f t="shared" si="4"/>
        <v>4.514732758344288E-3</v>
      </c>
      <c r="G28" s="2"/>
      <c r="H28" s="6">
        <v>357.32769230769196</v>
      </c>
      <c r="I28" s="2"/>
      <c r="J28" s="7">
        <f t="shared" si="5"/>
        <v>8.4604638879529296E-3</v>
      </c>
      <c r="K28" s="2"/>
      <c r="L28" s="6">
        <f t="shared" si="6"/>
        <v>-75.707692307691957</v>
      </c>
      <c r="M28" s="2"/>
      <c r="N28" s="7">
        <f t="shared" si="7"/>
        <v>-0.21187188661129763</v>
      </c>
      <c r="O28" s="11"/>
      <c r="P28" s="6">
        <v>4824.46</v>
      </c>
      <c r="Q28" s="2"/>
      <c r="R28" s="7">
        <f t="shared" si="8"/>
        <v>9.812234836620715E-3</v>
      </c>
      <c r="S28" s="2"/>
      <c r="T28" s="6">
        <v>1855.3199999999979</v>
      </c>
      <c r="U28" s="2"/>
      <c r="V28" s="7">
        <f t="shared" si="9"/>
        <v>3.7863673469387712E-3</v>
      </c>
      <c r="W28" s="2"/>
      <c r="X28" s="6">
        <f t="shared" si="10"/>
        <v>2969.1400000000021</v>
      </c>
      <c r="Y28" s="2"/>
      <c r="Z28" s="7">
        <f t="shared" si="11"/>
        <v>1.6003384860832663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106.78</v>
      </c>
      <c r="E29" s="2"/>
      <c r="F29" s="7">
        <f t="shared" si="4"/>
        <v>1.7118214755202155E-3</v>
      </c>
      <c r="G29" s="2"/>
      <c r="H29" s="6">
        <v>150</v>
      </c>
      <c r="I29" s="2"/>
      <c r="J29" s="7">
        <f t="shared" si="5"/>
        <v>3.5515567657156389E-3</v>
      </c>
      <c r="K29" s="2"/>
      <c r="L29" s="6">
        <f t="shared" si="6"/>
        <v>-43.22</v>
      </c>
      <c r="M29" s="2"/>
      <c r="N29" s="7">
        <f t="shared" si="7"/>
        <v>-0.28813333333333335</v>
      </c>
      <c r="O29" s="11"/>
      <c r="P29" s="6">
        <v>1475.47</v>
      </c>
      <c r="Q29" s="2"/>
      <c r="R29" s="7">
        <f t="shared" si="8"/>
        <v>3.0008867592204655E-3</v>
      </c>
      <c r="S29" s="2"/>
      <c r="T29" s="6">
        <v>1800</v>
      </c>
      <c r="U29" s="2"/>
      <c r="V29" s="7">
        <f t="shared" si="9"/>
        <v>3.6734693877551019E-3</v>
      </c>
      <c r="W29" s="2"/>
      <c r="X29" s="6">
        <f t="shared" si="10"/>
        <v>-324.52999999999997</v>
      </c>
      <c r="Y29" s="2"/>
      <c r="Z29" s="7">
        <f t="shared" si="11"/>
        <v>-0.18029444444444442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12822.880000000001</v>
      </c>
      <c r="E30" s="1"/>
      <c r="F30" s="5">
        <f t="shared" ref="F30:F40" si="12">IF(D$12=0,0,D30/D$12)</f>
        <v>0.20556734746224631</v>
      </c>
      <c r="G30" s="1"/>
      <c r="H30" s="1">
        <f>SUM(OSRRefH22_1x_0)</f>
        <v>16482.87346153846</v>
      </c>
      <c r="I30" s="1"/>
      <c r="J30" s="5">
        <f t="shared" ref="J30:J40" si="13">IF(H$12=0,0,H30/H$12)</f>
        <v>0.39026573840507778</v>
      </c>
      <c r="K30" s="1"/>
      <c r="L30" s="1">
        <f t="shared" ref="L30:L40" si="14">+D30-H30</f>
        <v>-3659.9934615384591</v>
      </c>
      <c r="M30" s="1"/>
      <c r="N30" s="5">
        <f t="shared" ref="N30:N40" si="15">IF(H30=0,0,L30/H30)</f>
        <v>-0.22204826543616787</v>
      </c>
      <c r="O30" s="12"/>
      <c r="P30" s="1">
        <f>SUM(OSRRefP22_1x_0)</f>
        <v>190012.33</v>
      </c>
      <c r="Q30" s="1"/>
      <c r="R30" s="5">
        <f t="shared" ref="R30:R40" si="16">IF(P$12=0,0,P30/P$12)</f>
        <v>0.38645684777435635</v>
      </c>
      <c r="S30" s="1"/>
      <c r="T30" s="1">
        <f>SUM(OSRRefT22_1x_0)</f>
        <v>146165.29499999998</v>
      </c>
      <c r="U30" s="1"/>
      <c r="V30" s="5">
        <f t="shared" ref="V30:V40" si="17">IF(T$12=0,0,T30/T$12)</f>
        <v>0.29829652040816323</v>
      </c>
      <c r="W30" s="1"/>
      <c r="X30" s="1">
        <f t="shared" ref="X30:X40" si="18">+P30-T30</f>
        <v>43847.035000000003</v>
      </c>
      <c r="Y30" s="1"/>
      <c r="Z30" s="5">
        <f t="shared" ref="Z30:Z40" si="19">IF(T30=0,0,X30/T30)</f>
        <v>0.29998253005270509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6105.68</v>
      </c>
      <c r="E32" s="2"/>
      <c r="F32" s="7">
        <f t="shared" si="12"/>
        <v>9.7881945557728695E-2</v>
      </c>
      <c r="G32" s="2"/>
      <c r="H32" s="6">
        <v>595.84846153846195</v>
      </c>
      <c r="I32" s="2"/>
      <c r="J32" s="7">
        <f t="shared" si="13"/>
        <v>1.4107930899454528E-2</v>
      </c>
      <c r="K32" s="2"/>
      <c r="L32" s="6">
        <f t="shared" si="14"/>
        <v>5509.831538461538</v>
      </c>
      <c r="M32" s="2"/>
      <c r="N32" s="7">
        <f t="shared" si="15"/>
        <v>9.2470349327332766</v>
      </c>
      <c r="O32" s="11"/>
      <c r="P32" s="6">
        <v>70386.490000000005</v>
      </c>
      <c r="Q32" s="2"/>
      <c r="R32" s="7">
        <f t="shared" si="16"/>
        <v>0.1431556628525173</v>
      </c>
      <c r="S32" s="2"/>
      <c r="T32" s="6">
        <v>7746.0300000000034</v>
      </c>
      <c r="U32" s="2"/>
      <c r="V32" s="7">
        <f t="shared" si="17"/>
        <v>1.5808224489795925E-2</v>
      </c>
      <c r="W32" s="2"/>
      <c r="X32" s="6">
        <f t="shared" si="18"/>
        <v>62640.46</v>
      </c>
      <c r="Y32" s="2"/>
      <c r="Z32" s="7">
        <f t="shared" si="19"/>
        <v>8.0867825195616305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5578.65</v>
      </c>
      <c r="I34" s="2"/>
      <c r="J34" s="7">
        <f t="shared" si="13"/>
        <v>0.1320859476737303</v>
      </c>
      <c r="K34" s="2"/>
      <c r="L34" s="6">
        <f t="shared" si="14"/>
        <v>-5578.65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39523.89</v>
      </c>
      <c r="U34" s="2"/>
      <c r="V34" s="7">
        <f t="shared" si="17"/>
        <v>8.0660999999999997E-2</v>
      </c>
      <c r="W34" s="2"/>
      <c r="X34" s="6">
        <f t="shared" si="18"/>
        <v>-39523.89</v>
      </c>
      <c r="Y34" s="2"/>
      <c r="Z34" s="7">
        <f t="shared" si="19"/>
        <v>-1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6717.2</v>
      </c>
      <c r="E35" s="2"/>
      <c r="F35" s="7">
        <f t="shared" si="12"/>
        <v>0.10768540190451761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6717.2</v>
      </c>
      <c r="M35" s="2"/>
      <c r="N35" s="7">
        <f t="shared" si="15"/>
        <v>0</v>
      </c>
      <c r="O35" s="11"/>
      <c r="P35" s="6">
        <v>87917.69</v>
      </c>
      <c r="Q35" s="2"/>
      <c r="R35" s="7">
        <f t="shared" si="16"/>
        <v>0.17881151892091979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87917.69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2"/>
        <v>0</v>
      </c>
      <c r="G37" s="2"/>
      <c r="H37" s="6">
        <v>10308.375</v>
      </c>
      <c r="I37" s="2"/>
      <c r="J37" s="7">
        <f t="shared" si="13"/>
        <v>0.24407185983189297</v>
      </c>
      <c r="K37" s="2"/>
      <c r="L37" s="6">
        <f t="shared" si="14"/>
        <v>-10308.375</v>
      </c>
      <c r="M37" s="2"/>
      <c r="N37" s="7">
        <f t="shared" si="15"/>
        <v>-1</v>
      </c>
      <c r="O37" s="11"/>
      <c r="P37" s="6">
        <v>25787.41</v>
      </c>
      <c r="Q37" s="2"/>
      <c r="R37" s="7">
        <f t="shared" si="16"/>
        <v>5.244776052619804E-2</v>
      </c>
      <c r="S37" s="2"/>
      <c r="T37" s="6">
        <v>30300.374999999996</v>
      </c>
      <c r="U37" s="2"/>
      <c r="V37" s="7">
        <f t="shared" si="17"/>
        <v>6.183749999999999E-2</v>
      </c>
      <c r="W37" s="2"/>
      <c r="X37" s="6">
        <f t="shared" si="18"/>
        <v>-4512.9649999999965</v>
      </c>
      <c r="Y37" s="2"/>
      <c r="Z37" s="7">
        <f t="shared" si="19"/>
        <v>-0.14894089594600718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5920.74</v>
      </c>
      <c r="Q38" s="2"/>
      <c r="R38" s="7">
        <f t="shared" si="16"/>
        <v>1.2041905474721261E-2</v>
      </c>
      <c r="S38" s="2"/>
      <c r="T38" s="6">
        <v>68595</v>
      </c>
      <c r="U38" s="2"/>
      <c r="V38" s="7">
        <f t="shared" si="17"/>
        <v>0.13998979591836735</v>
      </c>
      <c r="W38" s="2"/>
      <c r="X38" s="6">
        <f t="shared" si="18"/>
        <v>-62674.26</v>
      </c>
      <c r="Y38" s="2"/>
      <c r="Z38" s="7">
        <f t="shared" si="19"/>
        <v>-0.91368554559370219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6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1" si="20">IF(D$12=0,0,D41/D$12)</f>
        <v>0</v>
      </c>
      <c r="G41" s="1"/>
      <c r="H41" s="1">
        <f>SUM(OSRRefH22_2x_0)</f>
        <v>400</v>
      </c>
      <c r="I41" s="1"/>
      <c r="J41" s="5">
        <f t="shared" ref="J41:J61" si="21">IF(H$12=0,0,H41/H$12)</f>
        <v>9.4708180419083698E-3</v>
      </c>
      <c r="K41" s="1"/>
      <c r="L41" s="1">
        <f t="shared" ref="L41:L61" si="22">+D41-H41</f>
        <v>-400</v>
      </c>
      <c r="M41" s="1"/>
      <c r="N41" s="5">
        <f t="shared" ref="N41:N61" si="23">IF(H41=0,0,L41/H41)</f>
        <v>-1</v>
      </c>
      <c r="O41" s="12"/>
      <c r="P41" s="1">
        <f>SUM(OSRRefP22_2x_0)</f>
        <v>2066.92</v>
      </c>
      <c r="Q41" s="1"/>
      <c r="R41" s="5">
        <f t="shared" ref="R41:R61" si="24">IF(P$12=0,0,P41/P$12)</f>
        <v>4.2038081834045865E-3</v>
      </c>
      <c r="S41" s="1"/>
      <c r="T41" s="1">
        <f>SUM(OSRRefT22_2x_0)</f>
        <v>4800</v>
      </c>
      <c r="U41" s="1"/>
      <c r="V41" s="5">
        <f t="shared" ref="V41:V61" si="25">IF(T$12=0,0,T41/T$12)</f>
        <v>9.7959183673469383E-3</v>
      </c>
      <c r="W41" s="1"/>
      <c r="X41" s="1">
        <f t="shared" ref="X41:X61" si="26">+P41-T41</f>
        <v>-2733.08</v>
      </c>
      <c r="Y41" s="1"/>
      <c r="Z41" s="5">
        <f t="shared" ref="Z41:Z61" si="27">IF(T41=0,0,X41/T41)</f>
        <v>-0.56939166666666663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400</v>
      </c>
      <c r="I42" s="2"/>
      <c r="J42" s="7">
        <f t="shared" si="21"/>
        <v>9.4708180419083698E-3</v>
      </c>
      <c r="K42" s="2"/>
      <c r="L42" s="6">
        <f t="shared" si="22"/>
        <v>-400</v>
      </c>
      <c r="M42" s="2"/>
      <c r="N42" s="7">
        <f t="shared" si="23"/>
        <v>-1</v>
      </c>
      <c r="O42" s="11"/>
      <c r="P42" s="6">
        <v>2066.92</v>
      </c>
      <c r="Q42" s="2"/>
      <c r="R42" s="7">
        <f t="shared" si="24"/>
        <v>4.2038081834045865E-3</v>
      </c>
      <c r="S42" s="2"/>
      <c r="T42" s="6">
        <v>4800</v>
      </c>
      <c r="U42" s="2"/>
      <c r="V42" s="7">
        <f t="shared" si="25"/>
        <v>9.7959183673469383E-3</v>
      </c>
      <c r="W42" s="2"/>
      <c r="X42" s="6">
        <f t="shared" si="26"/>
        <v>-2733.08</v>
      </c>
      <c r="Y42" s="2"/>
      <c r="Z42" s="7">
        <f t="shared" si="27"/>
        <v>-0.56939166666666663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SUM(OSRRefD22_3x_0)</f>
        <v>163.22</v>
      </c>
      <c r="E43" s="1"/>
      <c r="F43" s="5">
        <f t="shared" si="20"/>
        <v>2.6166276571868287E-3</v>
      </c>
      <c r="G43" s="1"/>
      <c r="H43" s="1">
        <f>SUM(OSRRefH22_3x_0)</f>
        <v>2000</v>
      </c>
      <c r="I43" s="1"/>
      <c r="J43" s="5">
        <f t="shared" si="21"/>
        <v>4.7354090209541851E-2</v>
      </c>
      <c r="K43" s="1"/>
      <c r="L43" s="1">
        <f t="shared" si="22"/>
        <v>-1836.78</v>
      </c>
      <c r="M43" s="1"/>
      <c r="N43" s="5">
        <f t="shared" si="23"/>
        <v>-0.91839000000000004</v>
      </c>
      <c r="O43" s="12"/>
      <c r="P43" s="1">
        <f>SUM(OSRRefP22_3x_0)</f>
        <v>17997.099999999999</v>
      </c>
      <c r="Q43" s="1"/>
      <c r="R43" s="5">
        <f t="shared" si="24"/>
        <v>3.6603427446418181E-2</v>
      </c>
      <c r="S43" s="1"/>
      <c r="T43" s="1">
        <f>SUM(OSRRefT22_3x_0)</f>
        <v>21700</v>
      </c>
      <c r="U43" s="1"/>
      <c r="V43" s="5">
        <f t="shared" si="25"/>
        <v>4.4285714285714282E-2</v>
      </c>
      <c r="W43" s="1"/>
      <c r="X43" s="1">
        <f t="shared" si="26"/>
        <v>-3702.9000000000015</v>
      </c>
      <c r="Y43" s="1"/>
      <c r="Z43" s="5">
        <f t="shared" si="27"/>
        <v>-0.17064055299539177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163.22</v>
      </c>
      <c r="E44" s="2"/>
      <c r="F44" s="7">
        <f t="shared" si="20"/>
        <v>2.6166276571868287E-3</v>
      </c>
      <c r="G44" s="2"/>
      <c r="H44" s="6">
        <v>2000</v>
      </c>
      <c r="I44" s="2"/>
      <c r="J44" s="7">
        <f t="shared" si="21"/>
        <v>4.7354090209541851E-2</v>
      </c>
      <c r="K44" s="2"/>
      <c r="L44" s="6">
        <f t="shared" si="22"/>
        <v>-1836.78</v>
      </c>
      <c r="M44" s="2"/>
      <c r="N44" s="7">
        <f t="shared" si="23"/>
        <v>-0.91839000000000004</v>
      </c>
      <c r="O44" s="11"/>
      <c r="P44" s="6">
        <v>17997.099999999999</v>
      </c>
      <c r="Q44" s="2"/>
      <c r="R44" s="7">
        <f t="shared" si="24"/>
        <v>3.6603427446418181E-2</v>
      </c>
      <c r="S44" s="2"/>
      <c r="T44" s="6">
        <v>21700</v>
      </c>
      <c r="U44" s="2"/>
      <c r="V44" s="7">
        <f t="shared" si="25"/>
        <v>4.4285714285714282E-2</v>
      </c>
      <c r="W44" s="2"/>
      <c r="X44" s="6">
        <f t="shared" si="26"/>
        <v>-3702.9000000000015</v>
      </c>
      <c r="Y44" s="2"/>
      <c r="Z44" s="7">
        <f t="shared" si="27"/>
        <v>-0.17064055299539177</v>
      </c>
    </row>
    <row r="45" spans="1:26" s="26" customFormat="1" outlineLevel="1" collapsed="1" x14ac:dyDescent="0.25">
      <c r="A45" s="25"/>
      <c r="B45" s="12" t="str">
        <f>CONCATENATE("     ","Employees' Appreciation                           ")</f>
        <v xml:space="preserve">     Employees' Appreciation                           </v>
      </c>
      <c r="C45" s="12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1.7757783828578194E-3</v>
      </c>
      <c r="K45" s="1"/>
      <c r="L45" s="1">
        <f t="shared" si="22"/>
        <v>-75</v>
      </c>
      <c r="M45" s="1"/>
      <c r="N45" s="5">
        <f t="shared" si="23"/>
        <v>-1</v>
      </c>
      <c r="O45" s="12"/>
      <c r="P45" s="1">
        <f>SUM(OSRRefP22_4x_0)</f>
        <v>64.239999999999995</v>
      </c>
      <c r="Q45" s="1"/>
      <c r="R45" s="5">
        <f t="shared" si="24"/>
        <v>1.306546154190344E-4</v>
      </c>
      <c r="S45" s="1"/>
      <c r="T45" s="1">
        <f>SUM(OSRRefT22_4x_0)</f>
        <v>900</v>
      </c>
      <c r="U45" s="1"/>
      <c r="V45" s="5">
        <f t="shared" si="25"/>
        <v>1.8367346938775509E-3</v>
      </c>
      <c r="W45" s="1"/>
      <c r="X45" s="1">
        <f t="shared" si="26"/>
        <v>-835.76</v>
      </c>
      <c r="Y45" s="1"/>
      <c r="Z45" s="5">
        <f t="shared" si="27"/>
        <v>-0.92862222222222224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1.7757783828578194E-3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1.306546154190344E-4</v>
      </c>
      <c r="S46" s="2"/>
      <c r="T46" s="6">
        <v>900</v>
      </c>
      <c r="U46" s="2"/>
      <c r="V46" s="7">
        <f t="shared" si="25"/>
        <v>1.8367346938775509E-3</v>
      </c>
      <c r="W46" s="2"/>
      <c r="X46" s="6">
        <f t="shared" si="26"/>
        <v>-835.76</v>
      </c>
      <c r="Y46" s="2"/>
      <c r="Z46" s="7">
        <f t="shared" si="27"/>
        <v>-0.92862222222222224</v>
      </c>
    </row>
    <row r="47" spans="1:26" s="26" customFormat="1" outlineLevel="1" collapsed="1" x14ac:dyDescent="0.25">
      <c r="A47" s="25"/>
      <c r="B47" s="12" t="str">
        <f>CONCATENATE("     ","Freight out/Postage                               ")</f>
        <v xml:space="preserve">     Freight out/Postage                               </v>
      </c>
      <c r="C47" s="12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2.3677045104770924E-4</v>
      </c>
      <c r="K47" s="1"/>
      <c r="L47" s="1">
        <f t="shared" si="22"/>
        <v>-10</v>
      </c>
      <c r="M47" s="1"/>
      <c r="N47" s="5">
        <f t="shared" si="23"/>
        <v>-1</v>
      </c>
      <c r="O47" s="12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120</v>
      </c>
      <c r="U47" s="1"/>
      <c r="V47" s="5">
        <f t="shared" si="25"/>
        <v>2.4489795918367346E-4</v>
      </c>
      <c r="W47" s="1"/>
      <c r="X47" s="1">
        <f t="shared" si="26"/>
        <v>-120</v>
      </c>
      <c r="Y47" s="1"/>
      <c r="Z47" s="5">
        <f t="shared" si="27"/>
        <v>-1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2.3677045104770924E-4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120</v>
      </c>
      <c r="U48" s="2"/>
      <c r="V48" s="7">
        <f t="shared" si="25"/>
        <v>2.4489795918367346E-4</v>
      </c>
      <c r="W48" s="2"/>
      <c r="X48" s="6">
        <f t="shared" si="26"/>
        <v>-120</v>
      </c>
      <c r="Y48" s="2"/>
      <c r="Z48" s="7">
        <f t="shared" si="27"/>
        <v>-1</v>
      </c>
    </row>
    <row r="49" spans="1:26" s="26" customFormat="1" outlineLevel="1" collapsed="1" x14ac:dyDescent="0.25">
      <c r="A49" s="25"/>
      <c r="B49" s="12" t="str">
        <f>CONCATENATE("     ","General                                           ")</f>
        <v xml:space="preserve">     General                                           </v>
      </c>
      <c r="C49" s="12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1.1838522552385462E-3</v>
      </c>
      <c r="K49" s="1"/>
      <c r="L49" s="1">
        <f t="shared" si="22"/>
        <v>-50</v>
      </c>
      <c r="M49" s="1"/>
      <c r="N49" s="5">
        <f t="shared" si="23"/>
        <v>-1</v>
      </c>
      <c r="O49" s="12"/>
      <c r="P49" s="1">
        <f>SUM(OSRRefP22_6x_0)</f>
        <v>47.34</v>
      </c>
      <c r="Q49" s="1"/>
      <c r="R49" s="5">
        <f t="shared" si="24"/>
        <v>9.6282526368883712E-5</v>
      </c>
      <c r="S49" s="1"/>
      <c r="T49" s="1">
        <f>SUM(OSRRefT22_6x_0)</f>
        <v>600</v>
      </c>
      <c r="U49" s="1"/>
      <c r="V49" s="5">
        <f t="shared" si="25"/>
        <v>1.2244897959183673E-3</v>
      </c>
      <c r="W49" s="1"/>
      <c r="X49" s="1">
        <f t="shared" si="26"/>
        <v>-552.66</v>
      </c>
      <c r="Y49" s="1"/>
      <c r="Z49" s="5">
        <f t="shared" si="27"/>
        <v>-0.92109999999999992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1.1838522552385462E-3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>
        <v>47.34</v>
      </c>
      <c r="Q50" s="2"/>
      <c r="R50" s="7">
        <f t="shared" si="24"/>
        <v>9.6282526368883712E-5</v>
      </c>
      <c r="S50" s="2"/>
      <c r="T50" s="6">
        <v>600</v>
      </c>
      <c r="U50" s="2"/>
      <c r="V50" s="7">
        <f t="shared" si="25"/>
        <v>1.2244897959183673E-3</v>
      </c>
      <c r="W50" s="2"/>
      <c r="X50" s="6">
        <f t="shared" si="26"/>
        <v>-552.66</v>
      </c>
      <c r="Y50" s="2"/>
      <c r="Z50" s="7">
        <f t="shared" si="27"/>
        <v>-0.92109999999999992</v>
      </c>
    </row>
    <row r="51" spans="1:26" s="26" customFormat="1" outlineLevel="1" collapsed="1" x14ac:dyDescent="0.25">
      <c r="A51" s="25"/>
      <c r="B51" s="12" t="str">
        <f>CONCATENATE("     ","Insurance                                         ")</f>
        <v xml:space="preserve">     Insurance                                         </v>
      </c>
      <c r="C51" s="12"/>
      <c r="D51" s="1">
        <f>SUM(OSRRefD22_7x_0)</f>
        <v>29.01</v>
      </c>
      <c r="E51" s="1"/>
      <c r="F51" s="5">
        <f t="shared" si="20"/>
        <v>4.6506781236974574E-4</v>
      </c>
      <c r="G51" s="1"/>
      <c r="H51" s="1">
        <f>SUM(OSRRefH22_7x_0)</f>
        <v>27</v>
      </c>
      <c r="I51" s="1"/>
      <c r="J51" s="5">
        <f t="shared" si="21"/>
        <v>6.3928021782881498E-4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2"/>
      <c r="P51" s="1">
        <f>SUM(OSRRefP22_7x_0)</f>
        <v>348.12</v>
      </c>
      <c r="Q51" s="1"/>
      <c r="R51" s="5">
        <f t="shared" si="24"/>
        <v>7.0802435740464291E-4</v>
      </c>
      <c r="S51" s="1"/>
      <c r="T51" s="1">
        <f>SUM(OSRRefT22_7x_0)</f>
        <v>324</v>
      </c>
      <c r="U51" s="1"/>
      <c r="V51" s="5">
        <f t="shared" si="25"/>
        <v>6.6122448979591842E-4</v>
      </c>
      <c r="W51" s="1"/>
      <c r="X51" s="1">
        <f t="shared" si="26"/>
        <v>24.120000000000005</v>
      </c>
      <c r="Y51" s="1"/>
      <c r="Z51" s="5">
        <f t="shared" si="27"/>
        <v>7.4444444444444452E-2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4.6506781236974574E-4</v>
      </c>
      <c r="G52" s="2"/>
      <c r="H52" s="6">
        <v>27</v>
      </c>
      <c r="I52" s="2"/>
      <c r="J52" s="7">
        <f t="shared" si="21"/>
        <v>6.3928021782881498E-4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348.12</v>
      </c>
      <c r="Q52" s="2"/>
      <c r="R52" s="7">
        <f t="shared" si="24"/>
        <v>7.0802435740464291E-4</v>
      </c>
      <c r="S52" s="2"/>
      <c r="T52" s="6">
        <v>324</v>
      </c>
      <c r="U52" s="2"/>
      <c r="V52" s="7">
        <f t="shared" si="25"/>
        <v>6.6122448979591842E-4</v>
      </c>
      <c r="W52" s="2"/>
      <c r="X52" s="6">
        <f t="shared" si="26"/>
        <v>24.120000000000005</v>
      </c>
      <c r="Y52" s="2"/>
      <c r="Z52" s="7">
        <f t="shared" si="27"/>
        <v>7.4444444444444452E-2</v>
      </c>
    </row>
    <row r="53" spans="1:26" s="26" customFormat="1" outlineLevel="1" collapsed="1" x14ac:dyDescent="0.25">
      <c r="A53" s="25"/>
      <c r="B53" s="12" t="str">
        <f>CONCATENATE("     ","Professional Services                             ")</f>
        <v xml:space="preserve">     Professional Services                             </v>
      </c>
      <c r="C53" s="12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9.4708180419083698E-3</v>
      </c>
      <c r="K53" s="1"/>
      <c r="L53" s="1">
        <f t="shared" si="22"/>
        <v>-400</v>
      </c>
      <c r="M53" s="1"/>
      <c r="N53" s="5">
        <f t="shared" si="23"/>
        <v>-1</v>
      </c>
      <c r="O53" s="12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4800</v>
      </c>
      <c r="U53" s="1"/>
      <c r="V53" s="5">
        <f t="shared" si="25"/>
        <v>9.7959183673469383E-3</v>
      </c>
      <c r="W53" s="1"/>
      <c r="X53" s="1">
        <f t="shared" si="26"/>
        <v>-4800</v>
      </c>
      <c r="Y53" s="1"/>
      <c r="Z53" s="5">
        <f t="shared" si="27"/>
        <v>-1</v>
      </c>
    </row>
    <row r="54" spans="1:26" s="24" customFormat="1" hidden="1" outlineLevel="2" x14ac:dyDescent="0.25">
      <c r="A54" s="27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9.4708180419083698E-3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4800</v>
      </c>
      <c r="U54" s="2"/>
      <c r="V54" s="7">
        <f t="shared" si="25"/>
        <v>9.7959183673469383E-3</v>
      </c>
      <c r="W54" s="2"/>
      <c r="X54" s="6">
        <f t="shared" si="26"/>
        <v>-4800</v>
      </c>
      <c r="Y54" s="2"/>
      <c r="Z54" s="7">
        <f t="shared" si="27"/>
        <v>-1</v>
      </c>
    </row>
    <row r="55" spans="1:26" s="26" customFormat="1" outlineLevel="1" collapsed="1" x14ac:dyDescent="0.25">
      <c r="A55" s="25"/>
      <c r="B55" s="12" t="str">
        <f>CONCATENATE("     ","Rent                                              ")</f>
        <v xml:space="preserve">     Rent                                              </v>
      </c>
      <c r="C55" s="12"/>
      <c r="D55" s="1">
        <f>SUM(OSRRefD22_9x_0)</f>
        <v>800</v>
      </c>
      <c r="E55" s="1"/>
      <c r="F55" s="5">
        <f t="shared" si="20"/>
        <v>1.282503446728013E-2</v>
      </c>
      <c r="G55" s="1"/>
      <c r="H55" s="1">
        <f>SUM(OSRRefH22_9x_0)</f>
        <v>800</v>
      </c>
      <c r="I55" s="1"/>
      <c r="J55" s="5">
        <f t="shared" si="21"/>
        <v>1.894163608381674E-2</v>
      </c>
      <c r="K55" s="1"/>
      <c r="L55" s="1">
        <f t="shared" si="22"/>
        <v>0</v>
      </c>
      <c r="M55" s="1"/>
      <c r="N55" s="5">
        <f t="shared" si="23"/>
        <v>0</v>
      </c>
      <c r="O55" s="12"/>
      <c r="P55" s="1">
        <f>SUM(OSRRefP22_9x_0)</f>
        <v>8000</v>
      </c>
      <c r="Q55" s="1"/>
      <c r="R55" s="5">
        <f t="shared" si="24"/>
        <v>1.6270811384686727E-2</v>
      </c>
      <c r="S55" s="1"/>
      <c r="T55" s="1">
        <f>SUM(OSRRefT22_9x_0)</f>
        <v>9600</v>
      </c>
      <c r="U55" s="1"/>
      <c r="V55" s="5">
        <f t="shared" si="25"/>
        <v>1.9591836734693877E-2</v>
      </c>
      <c r="W55" s="1"/>
      <c r="X55" s="1">
        <f t="shared" si="26"/>
        <v>-1600</v>
      </c>
      <c r="Y55" s="1"/>
      <c r="Z55" s="5">
        <f t="shared" si="27"/>
        <v>-0.16666666666666666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1.282503446728013E-2</v>
      </c>
      <c r="G56" s="2"/>
      <c r="H56" s="6">
        <v>800</v>
      </c>
      <c r="I56" s="2"/>
      <c r="J56" s="7">
        <f t="shared" si="21"/>
        <v>1.894163608381674E-2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8000</v>
      </c>
      <c r="Q56" s="2"/>
      <c r="R56" s="7">
        <f t="shared" si="24"/>
        <v>1.6270811384686727E-2</v>
      </c>
      <c r="S56" s="2"/>
      <c r="T56" s="6">
        <v>9600</v>
      </c>
      <c r="U56" s="2"/>
      <c r="V56" s="7">
        <f t="shared" si="25"/>
        <v>1.9591836734693877E-2</v>
      </c>
      <c r="W56" s="2"/>
      <c r="X56" s="6">
        <f t="shared" si="26"/>
        <v>-1600</v>
      </c>
      <c r="Y56" s="2"/>
      <c r="Z56" s="7">
        <f t="shared" si="27"/>
        <v>-0.16666666666666666</v>
      </c>
    </row>
    <row r="57" spans="1:26" s="26" customFormat="1" outlineLevel="1" collapsed="1" x14ac:dyDescent="0.25">
      <c r="A57" s="25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SUM(OSRRefD22_10x_0)</f>
        <v>682.35</v>
      </c>
      <c r="E57" s="1"/>
      <c r="F57" s="5">
        <f t="shared" si="20"/>
        <v>1.0938952835935748E-2</v>
      </c>
      <c r="G57" s="1"/>
      <c r="H57" s="1">
        <f>SUM(OSRRefH22_10x_0)</f>
        <v>2000</v>
      </c>
      <c r="I57" s="1"/>
      <c r="J57" s="5">
        <f t="shared" si="21"/>
        <v>4.7354090209541851E-2</v>
      </c>
      <c r="K57" s="1"/>
      <c r="L57" s="1">
        <f t="shared" si="22"/>
        <v>-1317.65</v>
      </c>
      <c r="M57" s="1"/>
      <c r="N57" s="5">
        <f t="shared" si="23"/>
        <v>-0.65882499999999999</v>
      </c>
      <c r="O57" s="12"/>
      <c r="P57" s="1">
        <f>SUM(OSRRefP22_10x_0)</f>
        <v>119203.11</v>
      </c>
      <c r="Q57" s="1"/>
      <c r="R57" s="5">
        <f t="shared" si="24"/>
        <v>0.24244141490975801</v>
      </c>
      <c r="S57" s="1"/>
      <c r="T57" s="1">
        <f>SUM(OSRRefT22_10x_0)</f>
        <v>147200</v>
      </c>
      <c r="U57" s="1"/>
      <c r="V57" s="5">
        <f t="shared" si="25"/>
        <v>0.30040816326530612</v>
      </c>
      <c r="W57" s="1"/>
      <c r="X57" s="1">
        <f t="shared" si="26"/>
        <v>-27996.89</v>
      </c>
      <c r="Y57" s="1"/>
      <c r="Z57" s="5">
        <f t="shared" si="27"/>
        <v>-0.19019626358695652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8.8942356582966901E-4</v>
      </c>
      <c r="S58" s="2"/>
      <c r="T58" s="6">
        <v>125000</v>
      </c>
      <c r="U58" s="2"/>
      <c r="V58" s="7">
        <f t="shared" si="25"/>
        <v>0.25510204081632654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4.7354090209541851E-2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22200</v>
      </c>
      <c r="U59" s="2"/>
      <c r="V59" s="7">
        <f t="shared" si="25"/>
        <v>4.5306122448979594E-2</v>
      </c>
      <c r="W59" s="2"/>
      <c r="X59" s="6">
        <f t="shared" si="26"/>
        <v>-22200</v>
      </c>
      <c r="Y59" s="2"/>
      <c r="Z59" s="7">
        <f t="shared" si="27"/>
        <v>-1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0"/>
        <v>0</v>
      </c>
      <c r="G60" s="2"/>
      <c r="H60" s="6"/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>
        <v>117094</v>
      </c>
      <c r="Q60" s="2"/>
      <c r="R60" s="7">
        <f t="shared" si="24"/>
        <v>0.23815179853481344</v>
      </c>
      <c r="S60" s="2"/>
      <c r="T60" s="6"/>
      <c r="U60" s="2"/>
      <c r="V60" s="7">
        <f t="shared" si="25"/>
        <v>0</v>
      </c>
      <c r="W60" s="2"/>
      <c r="X60" s="6">
        <f t="shared" si="26"/>
        <v>117094</v>
      </c>
      <c r="Y60" s="2"/>
      <c r="Z60" s="7">
        <f t="shared" si="27"/>
        <v>0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682.35</v>
      </c>
      <c r="E61" s="2"/>
      <c r="F61" s="7">
        <f t="shared" si="20"/>
        <v>1.0938952835935748E-2</v>
      </c>
      <c r="G61" s="2"/>
      <c r="H61" s="6"/>
      <c r="I61" s="2"/>
      <c r="J61" s="7">
        <f t="shared" si="21"/>
        <v>0</v>
      </c>
      <c r="K61" s="2"/>
      <c r="L61" s="6">
        <f t="shared" si="22"/>
        <v>682.35</v>
      </c>
      <c r="M61" s="2"/>
      <c r="N61" s="7">
        <f t="shared" si="23"/>
        <v>0</v>
      </c>
      <c r="O61" s="11"/>
      <c r="P61" s="6">
        <v>1671.8</v>
      </c>
      <c r="Q61" s="2"/>
      <c r="R61" s="7">
        <f t="shared" si="24"/>
        <v>3.4001928091149086E-3</v>
      </c>
      <c r="S61" s="2"/>
      <c r="T61" s="6"/>
      <c r="U61" s="2"/>
      <c r="V61" s="7">
        <f t="shared" si="25"/>
        <v>0</v>
      </c>
      <c r="W61" s="2"/>
      <c r="X61" s="6">
        <f t="shared" si="26"/>
        <v>1671.8</v>
      </c>
      <c r="Y61" s="2"/>
      <c r="Z61" s="7">
        <f t="shared" si="27"/>
        <v>0</v>
      </c>
    </row>
    <row r="62" spans="1:26" s="26" customFormat="1" outlineLevel="1" collapsed="1" x14ac:dyDescent="0.25">
      <c r="A62" s="25"/>
      <c r="B62" s="12" t="str">
        <f>CONCATENATE("     ","Subscriptions &amp; Dues                              ")</f>
        <v xml:space="preserve">     Subscriptions &amp; Dues                              </v>
      </c>
      <c r="C62" s="12"/>
      <c r="D62" s="1">
        <f>SUM(OSRRefD22_11x_0)</f>
        <v>0</v>
      </c>
      <c r="E62" s="1"/>
      <c r="F62" s="5">
        <f t="shared" ref="F62:F67" si="28">IF(D$12=0,0,D62/D$12)</f>
        <v>0</v>
      </c>
      <c r="G62" s="1"/>
      <c r="H62" s="1">
        <f>SUM(OSRRefH22_11x_0)</f>
        <v>0</v>
      </c>
      <c r="I62" s="1"/>
      <c r="J62" s="5">
        <f t="shared" ref="J62:J67" si="29">IF(H$12=0,0,H62/H$12)</f>
        <v>0</v>
      </c>
      <c r="K62" s="1"/>
      <c r="L62" s="1">
        <f t="shared" ref="L62:L67" si="30">+D62-H62</f>
        <v>0</v>
      </c>
      <c r="M62" s="1"/>
      <c r="N62" s="5">
        <f t="shared" ref="N62:N67" si="31">IF(H62=0,0,L62/H62)</f>
        <v>0</v>
      </c>
      <c r="O62" s="12"/>
      <c r="P62" s="1">
        <f>SUM(OSRRefP22_11x_0)</f>
        <v>1740</v>
      </c>
      <c r="Q62" s="1"/>
      <c r="R62" s="5">
        <f t="shared" ref="R62:R67" si="32">IF(P$12=0,0,P62/P$12)</f>
        <v>3.5389014761693627E-3</v>
      </c>
      <c r="S62" s="1"/>
      <c r="T62" s="1">
        <f>SUM(OSRRefT22_11x_0)</f>
        <v>850</v>
      </c>
      <c r="U62" s="1"/>
      <c r="V62" s="5">
        <f t="shared" ref="V62:V67" si="33">IF(T$12=0,0,T62/T$12)</f>
        <v>1.7346938775510204E-3</v>
      </c>
      <c r="W62" s="1"/>
      <c r="X62" s="1">
        <f t="shared" ref="X62:X67" si="34">+P62-T62</f>
        <v>890</v>
      </c>
      <c r="Y62" s="1"/>
      <c r="Z62" s="5">
        <f t="shared" ref="Z62:Z67" si="35">IF(T62=0,0,X62/T62)</f>
        <v>1.0470588235294118</v>
      </c>
    </row>
    <row r="63" spans="1:26" s="24" customFormat="1" hidden="1" outlineLevel="2" x14ac:dyDescent="0.25">
      <c r="A63" s="27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1740</v>
      </c>
      <c r="Q63" s="2"/>
      <c r="R63" s="7">
        <f t="shared" si="32"/>
        <v>3.5389014761693627E-3</v>
      </c>
      <c r="S63" s="2"/>
      <c r="T63" s="6">
        <v>850</v>
      </c>
      <c r="U63" s="2"/>
      <c r="V63" s="7">
        <f t="shared" si="33"/>
        <v>1.7346938775510204E-3</v>
      </c>
      <c r="W63" s="2"/>
      <c r="X63" s="6">
        <f t="shared" si="34"/>
        <v>890</v>
      </c>
      <c r="Y63" s="2"/>
      <c r="Z63" s="7">
        <f t="shared" si="35"/>
        <v>1.0470588235294118</v>
      </c>
    </row>
    <row r="64" spans="1:26" s="26" customFormat="1" outlineLevel="1" collapsed="1" x14ac:dyDescent="0.25">
      <c r="A64" s="25"/>
      <c r="B64" s="12" t="str">
        <f>CONCATENATE("     ","Supplies                                          ")</f>
        <v xml:space="preserve">     Supplies                                          </v>
      </c>
      <c r="C64" s="12"/>
      <c r="D64" s="1">
        <f>SUM(OSRRefD22_12x_0)</f>
        <v>39762.83</v>
      </c>
      <c r="E64" s="1"/>
      <c r="F64" s="5">
        <f t="shared" si="28"/>
        <v>0.63744958158325049</v>
      </c>
      <c r="G64" s="1"/>
      <c r="H64" s="1">
        <f>SUM(OSRRefH22_12x_0)</f>
        <v>7000</v>
      </c>
      <c r="I64" s="1"/>
      <c r="J64" s="5">
        <f t="shared" si="29"/>
        <v>0.16573931573339648</v>
      </c>
      <c r="K64" s="1"/>
      <c r="L64" s="1">
        <f t="shared" si="30"/>
        <v>32762.83</v>
      </c>
      <c r="M64" s="1"/>
      <c r="N64" s="5">
        <f t="shared" si="31"/>
        <v>4.6804042857142862</v>
      </c>
      <c r="O64" s="12"/>
      <c r="P64" s="1">
        <f>SUM(OSRRefP22_12x_0)</f>
        <v>64725.189999999995</v>
      </c>
      <c r="Q64" s="1"/>
      <c r="R64" s="5">
        <f t="shared" si="32"/>
        <v>0.13164141979100141</v>
      </c>
      <c r="S64" s="1"/>
      <c r="T64" s="1">
        <f>SUM(OSRRefT22_12x_0)</f>
        <v>84100</v>
      </c>
      <c r="U64" s="1"/>
      <c r="V64" s="5">
        <f t="shared" si="33"/>
        <v>0.17163265306122449</v>
      </c>
      <c r="W64" s="1"/>
      <c r="X64" s="1">
        <f t="shared" si="34"/>
        <v>-19374.810000000005</v>
      </c>
      <c r="Y64" s="1"/>
      <c r="Z64" s="5">
        <f t="shared" si="35"/>
        <v>-0.23037824019024977</v>
      </c>
    </row>
    <row r="65" spans="1:26" s="24" customFormat="1" hidden="1" outlineLevel="2" x14ac:dyDescent="0.25">
      <c r="A65" s="27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28"/>
        <v>0</v>
      </c>
      <c r="G65" s="2"/>
      <c r="H65" s="6">
        <v>7000</v>
      </c>
      <c r="I65" s="2"/>
      <c r="J65" s="7">
        <f t="shared" si="29"/>
        <v>0.16573931573339648</v>
      </c>
      <c r="K65" s="2"/>
      <c r="L65" s="6">
        <f t="shared" si="30"/>
        <v>-7000</v>
      </c>
      <c r="M65" s="2"/>
      <c r="N65" s="7">
        <f t="shared" si="31"/>
        <v>-1</v>
      </c>
      <c r="O65" s="11"/>
      <c r="P65" s="6">
        <v>413.27</v>
      </c>
      <c r="Q65" s="2"/>
      <c r="R65" s="7">
        <f t="shared" si="32"/>
        <v>8.4052977761868539E-4</v>
      </c>
      <c r="S65" s="2"/>
      <c r="T65" s="6">
        <v>84100</v>
      </c>
      <c r="U65" s="2"/>
      <c r="V65" s="7">
        <f t="shared" si="33"/>
        <v>0.17163265306122449</v>
      </c>
      <c r="W65" s="2"/>
      <c r="X65" s="6">
        <f t="shared" si="34"/>
        <v>-83686.73</v>
      </c>
      <c r="Y65" s="2"/>
      <c r="Z65" s="7">
        <f t="shared" si="35"/>
        <v>-0.99508596908442326</v>
      </c>
    </row>
    <row r="66" spans="1:26" s="24" customFormat="1" hidden="1" outlineLevel="2" x14ac:dyDescent="0.25">
      <c r="A66" s="27"/>
      <c r="B66" s="11" t="str">
        <f>CONCATENATE("          ", "6241", " - ", "OFFICE EXPENSE")</f>
        <v xml:space="preserve">          6241 - OFFICE EXPENSE</v>
      </c>
      <c r="C66" s="11"/>
      <c r="D66" s="6">
        <v>39762.83</v>
      </c>
      <c r="E66" s="2"/>
      <c r="F66" s="7">
        <f t="shared" si="28"/>
        <v>0.63744958158325049</v>
      </c>
      <c r="G66" s="2"/>
      <c r="H66" s="6"/>
      <c r="I66" s="2"/>
      <c r="J66" s="7">
        <f t="shared" si="29"/>
        <v>0</v>
      </c>
      <c r="K66" s="2"/>
      <c r="L66" s="6">
        <f t="shared" si="30"/>
        <v>39762.83</v>
      </c>
      <c r="M66" s="2"/>
      <c r="N66" s="7">
        <f t="shared" si="31"/>
        <v>0</v>
      </c>
      <c r="O66" s="11"/>
      <c r="P66" s="6">
        <v>64108.4</v>
      </c>
      <c r="Q66" s="2"/>
      <c r="R66" s="7">
        <f t="shared" si="32"/>
        <v>0.13038696057175631</v>
      </c>
      <c r="S66" s="2"/>
      <c r="T66" s="6"/>
      <c r="U66" s="2"/>
      <c r="V66" s="7">
        <f t="shared" si="33"/>
        <v>0</v>
      </c>
      <c r="W66" s="2"/>
      <c r="X66" s="6">
        <f t="shared" si="34"/>
        <v>64108.4</v>
      </c>
      <c r="Y66" s="2"/>
      <c r="Z66" s="7">
        <f t="shared" si="35"/>
        <v>0</v>
      </c>
    </row>
    <row r="67" spans="1:26" s="24" customFormat="1" hidden="1" outlineLevel="2" x14ac:dyDescent="0.25">
      <c r="A67" s="27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203.52</v>
      </c>
      <c r="Q67" s="2"/>
      <c r="R67" s="7">
        <f t="shared" si="32"/>
        <v>4.139294416264303E-4</v>
      </c>
      <c r="S67" s="2"/>
      <c r="T67" s="6"/>
      <c r="U67" s="2"/>
      <c r="V67" s="7">
        <f t="shared" si="33"/>
        <v>0</v>
      </c>
      <c r="W67" s="2"/>
      <c r="X67" s="6">
        <f t="shared" si="34"/>
        <v>203.52</v>
      </c>
      <c r="Y67" s="2"/>
      <c r="Z67" s="7">
        <f t="shared" si="35"/>
        <v>0</v>
      </c>
    </row>
    <row r="68" spans="1:26" s="26" customFormat="1" outlineLevel="1" collapsed="1" x14ac:dyDescent="0.25">
      <c r="A68" s="25"/>
      <c r="B68" s="12" t="str">
        <f>CONCATENATE("     ","Telephone/Data Lines                              ")</f>
        <v xml:space="preserve">     Telephone/Data Lines                              </v>
      </c>
      <c r="C68" s="12"/>
      <c r="D68" s="1">
        <f>SUM(OSRRefD22_13x_0)</f>
        <v>-16.89</v>
      </c>
      <c r="E68" s="1"/>
      <c r="F68" s="5">
        <f t="shared" ref="F68:F71" si="36">IF(D$12=0,0,D68/D$12)</f>
        <v>-2.7076854019045178E-4</v>
      </c>
      <c r="G68" s="1"/>
      <c r="H68" s="1">
        <f>SUM(OSRRefH22_13x_0)</f>
        <v>350</v>
      </c>
      <c r="I68" s="1"/>
      <c r="J68" s="5">
        <f t="shared" ref="J68:J71" si="37">IF(H$12=0,0,H68/H$12)</f>
        <v>8.2869657866698233E-3</v>
      </c>
      <c r="K68" s="1"/>
      <c r="L68" s="1">
        <f t="shared" ref="L68:L71" si="38">+D68-H68</f>
        <v>-366.89</v>
      </c>
      <c r="M68" s="1"/>
      <c r="N68" s="5">
        <f t="shared" ref="N68:N71" si="39">IF(H68=0,0,L68/H68)</f>
        <v>-1.0482571428571428</v>
      </c>
      <c r="O68" s="12"/>
      <c r="P68" s="1">
        <f>SUM(OSRRefP22_13x_0)</f>
        <v>2080.66</v>
      </c>
      <c r="Q68" s="1"/>
      <c r="R68" s="5">
        <f t="shared" ref="R68:R71" si="40">IF(P$12=0,0,P68/P$12)</f>
        <v>4.2317533019577847E-3</v>
      </c>
      <c r="S68" s="1"/>
      <c r="T68" s="1">
        <f>SUM(OSRRefT22_13x_0)</f>
        <v>4200</v>
      </c>
      <c r="U68" s="1"/>
      <c r="V68" s="5">
        <f t="shared" ref="V68:V71" si="41">IF(T$12=0,0,T68/T$12)</f>
        <v>8.5714285714285719E-3</v>
      </c>
      <c r="W68" s="1"/>
      <c r="X68" s="1">
        <f t="shared" ref="X68:X71" si="42">+P68-T68</f>
        <v>-2119.34</v>
      </c>
      <c r="Y68" s="1"/>
      <c r="Z68" s="5">
        <f t="shared" ref="Z68:Z71" si="43">IF(T68=0,0,X68/T68)</f>
        <v>-0.50460476190476189</v>
      </c>
    </row>
    <row r="69" spans="1:26" s="24" customFormat="1" hidden="1" outlineLevel="2" x14ac:dyDescent="0.25">
      <c r="A69" s="27"/>
      <c r="B69" s="11" t="str">
        <f>CONCATENATE("          ", "6309", " - ", "TELEPHONE")</f>
        <v xml:space="preserve">          6309 - TELEPHONE</v>
      </c>
      <c r="C69" s="11"/>
      <c r="D69" s="6">
        <v>-16.89</v>
      </c>
      <c r="E69" s="2"/>
      <c r="F69" s="7">
        <f t="shared" si="36"/>
        <v>-2.7076854019045178E-4</v>
      </c>
      <c r="G69" s="2"/>
      <c r="H69" s="6">
        <v>350</v>
      </c>
      <c r="I69" s="2"/>
      <c r="J69" s="7">
        <f t="shared" si="37"/>
        <v>8.2869657866698233E-3</v>
      </c>
      <c r="K69" s="2"/>
      <c r="L69" s="6">
        <f t="shared" si="38"/>
        <v>-366.89</v>
      </c>
      <c r="M69" s="2"/>
      <c r="N69" s="7">
        <f t="shared" si="39"/>
        <v>-1.0482571428571428</v>
      </c>
      <c r="O69" s="11"/>
      <c r="P69" s="6">
        <v>2080.66</v>
      </c>
      <c r="Q69" s="2"/>
      <c r="R69" s="7">
        <f t="shared" si="40"/>
        <v>4.2317533019577847E-3</v>
      </c>
      <c r="S69" s="2"/>
      <c r="T69" s="6">
        <v>4200</v>
      </c>
      <c r="U69" s="2"/>
      <c r="V69" s="7">
        <f t="shared" si="41"/>
        <v>8.5714285714285719E-3</v>
      </c>
      <c r="W69" s="2"/>
      <c r="X69" s="6">
        <f t="shared" si="42"/>
        <v>-2119.34</v>
      </c>
      <c r="Y69" s="2"/>
      <c r="Z69" s="7">
        <f t="shared" si="43"/>
        <v>-0.50460476190476189</v>
      </c>
    </row>
    <row r="70" spans="1:26" s="26" customFormat="1" outlineLevel="1" collapsed="1" x14ac:dyDescent="0.25">
      <c r="A70" s="25"/>
      <c r="B70" s="12" t="str">
        <f>CONCATENATE("     ","Training                                          ")</f>
        <v xml:space="preserve">     Training                                          </v>
      </c>
      <c r="C70" s="12"/>
      <c r="D70" s="1">
        <f>SUM(OSRRefD22_14x_0)</f>
        <v>0</v>
      </c>
      <c r="E70" s="1"/>
      <c r="F70" s="5">
        <f t="shared" si="36"/>
        <v>0</v>
      </c>
      <c r="G70" s="1"/>
      <c r="H70" s="1">
        <f>SUM(OSRRefH22_14x_0)</f>
        <v>0</v>
      </c>
      <c r="I70" s="1"/>
      <c r="J70" s="5">
        <f t="shared" si="37"/>
        <v>0</v>
      </c>
      <c r="K70" s="1"/>
      <c r="L70" s="1">
        <f t="shared" si="38"/>
        <v>0</v>
      </c>
      <c r="M70" s="1"/>
      <c r="N70" s="5">
        <f t="shared" si="39"/>
        <v>0</v>
      </c>
      <c r="O70" s="12"/>
      <c r="P70" s="1">
        <f>SUM(OSRRefP22_14x_0)</f>
        <v>3186.24</v>
      </c>
      <c r="Q70" s="1"/>
      <c r="R70" s="5">
        <f t="shared" si="40"/>
        <v>6.4803387582930286E-3</v>
      </c>
      <c r="S70" s="1"/>
      <c r="T70" s="1">
        <f>SUM(OSRRefT22_14x_0)</f>
        <v>13000</v>
      </c>
      <c r="U70" s="1"/>
      <c r="V70" s="5">
        <f t="shared" si="41"/>
        <v>2.6530612244897958E-2</v>
      </c>
      <c r="W70" s="1"/>
      <c r="X70" s="1">
        <f t="shared" si="42"/>
        <v>-9813.76</v>
      </c>
      <c r="Y70" s="1"/>
      <c r="Z70" s="5">
        <f t="shared" si="43"/>
        <v>-0.7549046153846154</v>
      </c>
    </row>
    <row r="71" spans="1:26" s="24" customFormat="1" hidden="1" outlineLevel="2" x14ac:dyDescent="0.25">
      <c r="A71" s="27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36"/>
        <v>0</v>
      </c>
      <c r="G71" s="2"/>
      <c r="H71" s="6"/>
      <c r="I71" s="2"/>
      <c r="J71" s="7">
        <f t="shared" si="37"/>
        <v>0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>
        <v>3186.24</v>
      </c>
      <c r="Q71" s="2"/>
      <c r="R71" s="7">
        <f t="shared" si="40"/>
        <v>6.4803387582930286E-3</v>
      </c>
      <c r="S71" s="2"/>
      <c r="T71" s="6">
        <v>13000</v>
      </c>
      <c r="U71" s="2"/>
      <c r="V71" s="7">
        <f t="shared" si="41"/>
        <v>2.6530612244897958E-2</v>
      </c>
      <c r="W71" s="2"/>
      <c r="X71" s="6">
        <f t="shared" si="42"/>
        <v>-9813.76</v>
      </c>
      <c r="Y71" s="2"/>
      <c r="Z71" s="7">
        <f t="shared" si="43"/>
        <v>-0.7549046153846154</v>
      </c>
    </row>
    <row r="72" spans="1:26" s="60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8" t="s">
        <v>0</v>
      </c>
      <c r="C73" s="10"/>
      <c r="D73" s="4">
        <f>SUM(OSRRefD25x_0)</f>
        <v>0.04</v>
      </c>
      <c r="E73" s="4"/>
      <c r="F73" s="13">
        <f t="shared" ref="F73:F74" si="44">IF(D$12=0,0,D73/D$12)</f>
        <v>6.4125172336400659E-7</v>
      </c>
      <c r="G73" s="4"/>
      <c r="H73" s="4">
        <f>SUM(OSRRefH25x_0)</f>
        <v>2500</v>
      </c>
      <c r="I73" s="4"/>
      <c r="J73" s="13">
        <f t="shared" ref="J73:J74" si="45">IF(H$12=0,0,H73/H$12)</f>
        <v>5.9192612761927312E-2</v>
      </c>
      <c r="K73" s="4"/>
      <c r="L73" s="4">
        <f t="shared" ref="L73:L74" si="46">+D73-H73</f>
        <v>-2499.96</v>
      </c>
      <c r="M73" s="4"/>
      <c r="N73" s="13">
        <f t="shared" ref="N73:N74" si="47">IF(H73=0,0,L73/H73)</f>
        <v>-0.99998399999999998</v>
      </c>
      <c r="O73" s="10"/>
      <c r="P73" s="4">
        <f>SUM(OSRRefP25x_0)</f>
        <v>20670.75</v>
      </c>
      <c r="Q73" s="4"/>
      <c r="R73" s="13">
        <f t="shared" ref="R73:R74" si="48">IF(P$12=0,0,P73/P$12)</f>
        <v>4.2041234303751646E-2</v>
      </c>
      <c r="S73" s="4"/>
      <c r="T73" s="4">
        <f>SUM(OSRRefT25x_0)</f>
        <v>35650</v>
      </c>
      <c r="U73" s="4"/>
      <c r="V73" s="13">
        <f t="shared" ref="V73:V74" si="49">IF(T$12=0,0,T73/T$12)</f>
        <v>7.2755102040816325E-2</v>
      </c>
      <c r="W73" s="4"/>
      <c r="X73" s="4">
        <f t="shared" ref="X73:X74" si="50">+P73-T73</f>
        <v>-14979.25</v>
      </c>
      <c r="Y73" s="4"/>
      <c r="Z73" s="13">
        <f t="shared" ref="Z73:Z74" si="51">IF(T73=0,0,X73/T73)</f>
        <v>-0.42017531556802246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--0.04</f>
        <v>0.04</v>
      </c>
      <c r="E74" s="2"/>
      <c r="F74" s="19">
        <f t="shared" si="44"/>
        <v>6.4125172336400659E-7</v>
      </c>
      <c r="G74" s="2"/>
      <c r="H74" s="2">
        <v>2500</v>
      </c>
      <c r="I74" s="2"/>
      <c r="J74" s="19">
        <f t="shared" si="45"/>
        <v>5.9192612761927312E-2</v>
      </c>
      <c r="K74" s="2"/>
      <c r="L74" s="2">
        <f t="shared" si="46"/>
        <v>-2499.96</v>
      </c>
      <c r="M74" s="2"/>
      <c r="N74" s="19">
        <f t="shared" si="47"/>
        <v>-0.99998399999999998</v>
      </c>
      <c r="O74" s="11"/>
      <c r="P74" s="2">
        <f>--20670.75</f>
        <v>20670.75</v>
      </c>
      <c r="Q74" s="2"/>
      <c r="R74" s="19">
        <f t="shared" si="48"/>
        <v>4.2041234303751646E-2</v>
      </c>
      <c r="S74" s="2"/>
      <c r="T74" s="2">
        <v>35650</v>
      </c>
      <c r="U74" s="2"/>
      <c r="V74" s="19">
        <f t="shared" si="49"/>
        <v>7.2755102040816325E-2</v>
      </c>
      <c r="W74" s="2"/>
      <c r="X74" s="2">
        <f t="shared" si="50"/>
        <v>-14979.25</v>
      </c>
      <c r="Y74" s="2"/>
      <c r="Z74" s="19">
        <f t="shared" si="51"/>
        <v>-0.42017531556802246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2">
        <f>+D17-D19+D73</f>
        <v>4865.7999999999947</v>
      </c>
      <c r="E76" s="14"/>
      <c r="F76" s="20">
        <f>IF(D$12=0,0,D76/D$12)</f>
        <v>7.8005065888614486E-2</v>
      </c>
      <c r="G76" s="14"/>
      <c r="H76" s="22">
        <f>+H17-H19+H73</f>
        <v>12748.882216653852</v>
      </c>
      <c r="I76" s="14"/>
      <c r="J76" s="20">
        <f>IF(H$12=0,0,H76/H$12)</f>
        <v>0.30185585927912517</v>
      </c>
      <c r="K76" s="15"/>
      <c r="L76" s="22">
        <f>+D76-H76</f>
        <v>-7883.0822166538574</v>
      </c>
      <c r="M76" s="15"/>
      <c r="N76" s="20">
        <f>IF(H76=0,0,L76/H76)</f>
        <v>-0.61833516716910253</v>
      </c>
      <c r="O76" s="28"/>
      <c r="P76" s="22">
        <f>+P17-P19+P73</f>
        <v>50838.01999999996</v>
      </c>
      <c r="Q76" s="14"/>
      <c r="R76" s="20">
        <f>IF(P$12=0,0,P76/P$12)</f>
        <v>0.10339697932386635</v>
      </c>
      <c r="S76" s="14"/>
      <c r="T76" s="22">
        <f>+T17-T19+T73</f>
        <v>71489.757426499971</v>
      </c>
      <c r="U76" s="14"/>
      <c r="V76" s="20">
        <f>IF(T$12=0,0,T76/T$12)</f>
        <v>0.14589746413571422</v>
      </c>
      <c r="W76" s="15"/>
      <c r="X76" s="22">
        <f>+P76-T76</f>
        <v>-20651.737426500011</v>
      </c>
      <c r="Y76" s="15"/>
      <c r="Z76" s="20">
        <f>IF(T76=0,0,X76/T76)</f>
        <v>-0.28887687089626046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23621.15</v>
      </c>
      <c r="E78" s="4"/>
      <c r="F78" s="13">
        <f>IF(D$12=0,0,D78/D$12)</f>
        <v>0.37867757863349261</v>
      </c>
      <c r="G78" s="4"/>
      <c r="H78" s="4">
        <v>11529</v>
      </c>
      <c r="I78" s="4"/>
      <c r="J78" s="13">
        <f>IF(H$12=0,0,H78/H$12)</f>
        <v>0.27297265301290397</v>
      </c>
      <c r="K78" s="4"/>
      <c r="L78" s="4">
        <f>+D78-H78</f>
        <v>12092.150000000001</v>
      </c>
      <c r="M78" s="4"/>
      <c r="N78" s="13">
        <f>IF(H78=0,0,L78/H78)</f>
        <v>1.0488463873709777</v>
      </c>
      <c r="O78" s="10"/>
      <c r="P78" s="4">
        <v>74459.100000000006</v>
      </c>
      <c r="Q78" s="4"/>
      <c r="R78" s="13">
        <f>IF(P$12=0,0,P78/P$12)</f>
        <v>0.15143874649669092</v>
      </c>
      <c r="S78" s="4"/>
      <c r="T78" s="4">
        <v>63392</v>
      </c>
      <c r="U78" s="4"/>
      <c r="V78" s="13">
        <f>IF(T$12=0,0,T78/T$12)</f>
        <v>0.12937142857142858</v>
      </c>
      <c r="W78" s="4"/>
      <c r="X78" s="4">
        <f>+P78-T78</f>
        <v>11067.100000000006</v>
      </c>
      <c r="Y78" s="4"/>
      <c r="Z78" s="13">
        <f>IF(T78=0,0,X78/T78)</f>
        <v>0.17458196617869773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1">
        <f>+D76-D78</f>
        <v>-18755.350000000006</v>
      </c>
      <c r="E80" s="14"/>
      <c r="F80" s="33">
        <f>IF(D$12=0,0,D80/D$12)</f>
        <v>-0.30067251274487811</v>
      </c>
      <c r="G80" s="14"/>
      <c r="H80" s="31">
        <f>+H76-H78</f>
        <v>1219.8822166538521</v>
      </c>
      <c r="I80" s="14"/>
      <c r="J80" s="33">
        <f>IF(H$12=0,0,H80/H$12)</f>
        <v>2.8883206266221192E-2</v>
      </c>
      <c r="K80" s="15"/>
      <c r="L80" s="31">
        <f>D80-H80</f>
        <v>-19975.232216653858</v>
      </c>
      <c r="M80" s="15"/>
      <c r="N80" s="33">
        <f>IF(H80=0,0,L80/H80)</f>
        <v>-16.374722037875181</v>
      </c>
      <c r="O80" s="28"/>
      <c r="P80" s="31">
        <f>+P76-P78</f>
        <v>-23621.080000000045</v>
      </c>
      <c r="Q80" s="14"/>
      <c r="R80" s="33">
        <f>IF(P$12=0,0,P80/P$12)</f>
        <v>-4.804176717282458E-2</v>
      </c>
      <c r="S80" s="14"/>
      <c r="T80" s="31">
        <f>+T76-T78</f>
        <v>8097.7574264999712</v>
      </c>
      <c r="U80" s="14"/>
      <c r="V80" s="33">
        <f>IF(T$12=0,0,T80/T$12)</f>
        <v>1.6526035564285654E-2</v>
      </c>
      <c r="W80" s="15"/>
      <c r="X80" s="31">
        <f>P80-T80</f>
        <v>-31718.837426500017</v>
      </c>
      <c r="Y80" s="15"/>
      <c r="Z80" s="33">
        <f>IF(T80=0,0,X80/T80)</f>
        <v>-3.9169903166893945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4">
        <f>SUM(D80:D82)</f>
        <v>-18755.350000000006</v>
      </c>
      <c r="E83" s="14"/>
      <c r="F83" s="35">
        <f>IF(D$12=0,0,D83/D$12)</f>
        <v>-0.30067251274487811</v>
      </c>
      <c r="G83" s="14"/>
      <c r="H83" s="34">
        <f>SUM(H80:H82)</f>
        <v>1219.8822166538521</v>
      </c>
      <c r="I83" s="14"/>
      <c r="J83" s="35">
        <f>IF(H$12=0,0,H83/H$12)</f>
        <v>2.8883206266221192E-2</v>
      </c>
      <c r="K83" s="15"/>
      <c r="L83" s="34">
        <f>+D83-H83</f>
        <v>-19975.232216653858</v>
      </c>
      <c r="M83" s="15"/>
      <c r="N83" s="35">
        <f>IF(H83=0,0,L83/H83)</f>
        <v>-16.374722037875181</v>
      </c>
      <c r="O83" s="28"/>
      <c r="P83" s="34">
        <f>SUM(P80:P82)</f>
        <v>-23621.080000000045</v>
      </c>
      <c r="Q83" s="14"/>
      <c r="R83" s="35">
        <f>IF(P$12=0,0,P83/P$12)</f>
        <v>-4.804176717282458E-2</v>
      </c>
      <c r="S83" s="14"/>
      <c r="T83" s="34">
        <f>SUM(T80:T82)</f>
        <v>8097.7574264999712</v>
      </c>
      <c r="U83" s="14"/>
      <c r="V83" s="35">
        <f>IF(T$12=0,0,T83/T$12)</f>
        <v>1.6526035564285654E-2</v>
      </c>
      <c r="W83" s="15"/>
      <c r="X83" s="34">
        <f>+P83-T83</f>
        <v>-31718.837426500017</v>
      </c>
      <c r="Y83" s="15"/>
      <c r="Z83" s="35">
        <f>IF(T83=0,0,X83/T83)</f>
        <v>-3.9169903166893945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5">
        <v>44043.473106168982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2" t="s">
        <v>314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63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tabSelected="1" zoomScale="80" workbookViewId="0">
      <pane xSplit="3" ySplit="10" topLeftCell="D72" activePane="bottomRight" state="frozen"/>
      <selection activeCell="P220" sqref="P220"/>
      <selection pane="topRight" activeCell="P220" sqref="P220"/>
      <selection pane="bottomLeft" activeCell="P220" sqref="P220"/>
      <selection pane="bottomRight" activeCell="P220" sqref="P220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",RIGHT(202012,2),", ",2020)</f>
        <v>Period 12, 2020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44012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str">
        <f>CONCATENATE("Department ","501", " - ", "ID Card Services")</f>
        <v>Department 501 - ID Card Services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62378</v>
      </c>
      <c r="E12" s="4"/>
      <c r="F12" s="13"/>
      <c r="G12" s="4"/>
      <c r="H12" s="4">
        <f>SUM(OSRRefH13x_0)</f>
        <v>42235</v>
      </c>
      <c r="I12" s="4"/>
      <c r="J12" s="13"/>
      <c r="K12" s="4"/>
      <c r="L12" s="4">
        <f t="shared" ref="L12:L13" si="0">+D12-H12</f>
        <v>20143</v>
      </c>
      <c r="M12" s="4"/>
      <c r="N12" s="13">
        <f t="shared" ref="N12:N13" si="1">IF(H12=0,0,L12/H12)</f>
        <v>0.47692671954540072</v>
      </c>
      <c r="O12" s="10"/>
      <c r="P12" s="4">
        <f>SUM(OSRRefP13x_0)</f>
        <v>491678</v>
      </c>
      <c r="Q12" s="4"/>
      <c r="R12" s="13"/>
      <c r="S12" s="4"/>
      <c r="T12" s="4">
        <f>SUM(OSRRefT13x_0)</f>
        <v>490000</v>
      </c>
      <c r="U12" s="4"/>
      <c r="V12" s="13"/>
      <c r="W12" s="4"/>
      <c r="X12" s="4">
        <f t="shared" ref="X12:X13" si="2">+P12-T12</f>
        <v>1678</v>
      </c>
      <c r="Y12" s="4"/>
      <c r="Z12" s="13">
        <f t="shared" ref="Z12:Z13" si="3">IF(T12=0,0,X12/T12)</f>
        <v>3.4244897959183674E-3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--62378</f>
        <v>62378</v>
      </c>
      <c r="E13" s="2"/>
      <c r="F13" s="19"/>
      <c r="G13" s="2"/>
      <c r="H13" s="2">
        <v>42235</v>
      </c>
      <c r="I13" s="2"/>
      <c r="J13" s="19"/>
      <c r="K13" s="2"/>
      <c r="L13" s="2">
        <f t="shared" si="0"/>
        <v>20143</v>
      </c>
      <c r="M13" s="2"/>
      <c r="N13" s="19">
        <f t="shared" si="1"/>
        <v>0.47692671954540072</v>
      </c>
      <c r="O13" s="11"/>
      <c r="P13" s="2">
        <f>--491678</f>
        <v>491678</v>
      </c>
      <c r="Q13" s="2"/>
      <c r="R13" s="19"/>
      <c r="S13" s="2"/>
      <c r="T13" s="2">
        <v>490000</v>
      </c>
      <c r="U13" s="2"/>
      <c r="V13" s="19"/>
      <c r="W13" s="2"/>
      <c r="X13" s="2">
        <f t="shared" si="2"/>
        <v>1678</v>
      </c>
      <c r="Y13" s="2"/>
      <c r="Z13" s="19">
        <f t="shared" si="3"/>
        <v>3.4244897959183674E-3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3">
        <f>IF(D$12=0,0,D15/D$12)</f>
        <v>0</v>
      </c>
      <c r="G15" s="4"/>
      <c r="H15" s="4">
        <f>SUM(0)</f>
        <v>0</v>
      </c>
      <c r="I15" s="4"/>
      <c r="J15" s="13">
        <f>IF(H$12=0,0,H15/H$12)</f>
        <v>0</v>
      </c>
      <c r="K15" s="4"/>
      <c r="L15" s="4">
        <f>+D15-H15</f>
        <v>0</v>
      </c>
      <c r="M15" s="4"/>
      <c r="N15" s="13">
        <f>IF(H15=0,0,L15/H15)</f>
        <v>0</v>
      </c>
      <c r="O15" s="10"/>
      <c r="P15" s="4">
        <f>SUM(0)</f>
        <v>0</v>
      </c>
      <c r="Q15" s="4"/>
      <c r="R15" s="13">
        <f>IF(P$12=0,0,P15/P$12)</f>
        <v>0</v>
      </c>
      <c r="S15" s="4"/>
      <c r="T15" s="4">
        <f>SUM(0)</f>
        <v>0</v>
      </c>
      <c r="U15" s="4"/>
      <c r="V15" s="13">
        <f>IF(T$12=0,0,T15/T$12)</f>
        <v>0</v>
      </c>
      <c r="W15" s="4"/>
      <c r="X15" s="4">
        <f>+P15-T15</f>
        <v>0</v>
      </c>
      <c r="Y15" s="4"/>
      <c r="Z15" s="13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62378</v>
      </c>
      <c r="E17" s="14"/>
      <c r="F17" s="20">
        <f>IF(D$12=0,0,D17/D$12)</f>
        <v>1</v>
      </c>
      <c r="G17" s="14"/>
      <c r="H17" s="22">
        <f>H12-H15</f>
        <v>42235</v>
      </c>
      <c r="I17" s="14"/>
      <c r="J17" s="20">
        <f>IF(H$12=0,0,H17/H$12)</f>
        <v>1</v>
      </c>
      <c r="K17" s="15"/>
      <c r="L17" s="22">
        <f>+D17-H17</f>
        <v>20143</v>
      </c>
      <c r="M17" s="15"/>
      <c r="N17" s="20">
        <f>IF(H17=0,0,L17/H17)</f>
        <v>0.47692671954540072</v>
      </c>
      <c r="O17" s="28"/>
      <c r="P17" s="22">
        <f>P12-P15</f>
        <v>491678</v>
      </c>
      <c r="Q17" s="14"/>
      <c r="R17" s="20">
        <f>IF(P$12=0,0,P17/P$12)</f>
        <v>1</v>
      </c>
      <c r="S17" s="14"/>
      <c r="T17" s="22">
        <f>T12-T15</f>
        <v>490000</v>
      </c>
      <c r="U17" s="14"/>
      <c r="V17" s="20">
        <f>IF(T$12=0,0,T17/T$12)</f>
        <v>1</v>
      </c>
      <c r="W17" s="15"/>
      <c r="X17" s="22">
        <f>+P17-T17</f>
        <v>1678</v>
      </c>
      <c r="Y17" s="15"/>
      <c r="Z17" s="20">
        <f>IF(T17=0,0,X17/T17)</f>
        <v>3.4244897959183674E-3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57512.240000000005</v>
      </c>
      <c r="E19" s="21"/>
      <c r="F19" s="32">
        <f t="shared" ref="F19:F29" si="4">IF(D$12=0,0,D19/D$12)</f>
        <v>0.92199557536310883</v>
      </c>
      <c r="G19" s="21"/>
      <c r="H19" s="21">
        <f>SUM(OSRRefH22x_0)</f>
        <v>31986.117783346148</v>
      </c>
      <c r="I19" s="21"/>
      <c r="J19" s="32">
        <f t="shared" ref="J19:J29" si="5">IF(H$12=0,0,H19/H$12)</f>
        <v>0.75733675348280216</v>
      </c>
      <c r="K19" s="4"/>
      <c r="L19" s="21">
        <f t="shared" ref="L19:L29" si="6">+D19-H19</f>
        <v>25526.122216653857</v>
      </c>
      <c r="M19" s="4"/>
      <c r="N19" s="32">
        <f t="shared" ref="N19:N29" si="7">IF(H19=0,0,L19/H19)</f>
        <v>0.79803752332658062</v>
      </c>
      <c r="O19" s="10"/>
      <c r="P19" s="21">
        <f>SUM(OSRRefP22x_0)</f>
        <v>461510.73000000004</v>
      </c>
      <c r="Q19" s="21"/>
      <c r="R19" s="32">
        <f t="shared" ref="R19:R29" si="8">IF(P$12=0,0,P19/P$12)</f>
        <v>0.93864425497988524</v>
      </c>
      <c r="S19" s="21"/>
      <c r="T19" s="21">
        <f>SUM(OSRRefT22x_0)</f>
        <v>454160.24257350003</v>
      </c>
      <c r="U19" s="21"/>
      <c r="V19" s="32">
        <f t="shared" ref="V19:V29" si="9">IF(T$12=0,0,T19/T$12)</f>
        <v>0.92685763790510212</v>
      </c>
      <c r="W19" s="4"/>
      <c r="X19" s="21">
        <f t="shared" ref="X19:X29" si="10">+P19-T19</f>
        <v>7350.4874265000108</v>
      </c>
      <c r="Y19" s="4"/>
      <c r="Z19" s="32">
        <f t="shared" ref="Z19:Z29" si="11">IF(T19=0,0,X19/T19)</f>
        <v>1.6184788401662941E-2</v>
      </c>
    </row>
    <row r="20" spans="1:26" s="26" customFormat="1" outlineLevel="1" collapsed="1" x14ac:dyDescent="0.25">
      <c r="A20" s="25"/>
      <c r="B20" s="12" t="str">
        <f>CONCATENATE("     ","*Benefits                                         ")</f>
        <v xml:space="preserve">     *Benefits                                         </v>
      </c>
      <c r="C20" s="12"/>
      <c r="D20" s="1">
        <f>SUM(OSRRefD22_0x_0)</f>
        <v>3268.84</v>
      </c>
      <c r="E20" s="1"/>
      <c r="F20" s="5">
        <f t="shared" si="4"/>
        <v>5.2403732085029978E-2</v>
      </c>
      <c r="G20" s="1"/>
      <c r="H20" s="1">
        <f>SUM(OSRRefH22_0x_0)</f>
        <v>2391.2443218076878</v>
      </c>
      <c r="I20" s="1"/>
      <c r="J20" s="5">
        <f t="shared" si="5"/>
        <v>5.6617599663967982E-2</v>
      </c>
      <c r="K20" s="1"/>
      <c r="L20" s="1">
        <f t="shared" si="6"/>
        <v>877.59567819231233</v>
      </c>
      <c r="M20" s="1"/>
      <c r="N20" s="5">
        <f t="shared" si="7"/>
        <v>0.36700376878632129</v>
      </c>
      <c r="O20" s="12"/>
      <c r="P20" s="1">
        <f>SUM(OSRRefP22_0x_0)</f>
        <v>52039.48</v>
      </c>
      <c r="Q20" s="1"/>
      <c r="R20" s="5">
        <f t="shared" si="8"/>
        <v>0.10584057045464715</v>
      </c>
      <c r="S20" s="1"/>
      <c r="T20" s="1">
        <f>SUM(OSRRefT22_0x_0)</f>
        <v>15800.947573499992</v>
      </c>
      <c r="U20" s="1"/>
      <c r="V20" s="5">
        <f t="shared" si="9"/>
        <v>3.2246831782653043E-2</v>
      </c>
      <c r="W20" s="1"/>
      <c r="X20" s="1">
        <f t="shared" si="10"/>
        <v>36238.532426500009</v>
      </c>
      <c r="Y20" s="1"/>
      <c r="Z20" s="5">
        <f t="shared" si="11"/>
        <v>2.2934404571581641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975.83</v>
      </c>
      <c r="E21" s="2"/>
      <c r="F21" s="7">
        <f t="shared" si="4"/>
        <v>1.5643816730257463E-2</v>
      </c>
      <c r="G21" s="2"/>
      <c r="H21" s="6">
        <v>1291.3139433461499</v>
      </c>
      <c r="I21" s="2"/>
      <c r="J21" s="7">
        <f t="shared" si="5"/>
        <v>3.0574498481026398E-2</v>
      </c>
      <c r="K21" s="2"/>
      <c r="L21" s="6">
        <f t="shared" si="6"/>
        <v>-315.48394334614989</v>
      </c>
      <c r="M21" s="2"/>
      <c r="N21" s="7">
        <f t="shared" si="7"/>
        <v>-0.24431234942654156</v>
      </c>
      <c r="O21" s="11"/>
      <c r="P21" s="6">
        <v>13042.21</v>
      </c>
      <c r="Q21" s="2"/>
      <c r="R21" s="7">
        <f t="shared" si="8"/>
        <v>2.6525917368684381E-2</v>
      </c>
      <c r="S21" s="2"/>
      <c r="T21" s="6">
        <v>6111.3758534999943</v>
      </c>
      <c r="U21" s="2"/>
      <c r="V21" s="7">
        <f t="shared" si="9"/>
        <v>1.2472195619387743E-2</v>
      </c>
      <c r="W21" s="2"/>
      <c r="X21" s="6">
        <f t="shared" si="10"/>
        <v>6930.8341465000049</v>
      </c>
      <c r="Y21" s="2"/>
      <c r="Z21" s="7">
        <f t="shared" si="11"/>
        <v>1.1340873663547801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78.95</v>
      </c>
      <c r="E22" s="2"/>
      <c r="F22" s="7">
        <f t="shared" si="4"/>
        <v>1.2656705889897079E-3</v>
      </c>
      <c r="G22" s="2"/>
      <c r="H22" s="6">
        <v>320.59277307692298</v>
      </c>
      <c r="I22" s="2"/>
      <c r="J22" s="7">
        <f t="shared" si="5"/>
        <v>7.5906895484058948E-3</v>
      </c>
      <c r="K22" s="2"/>
      <c r="L22" s="6">
        <f t="shared" si="6"/>
        <v>-241.64277307692299</v>
      </c>
      <c r="M22" s="2"/>
      <c r="N22" s="7">
        <f t="shared" si="7"/>
        <v>-0.75373743069043941</v>
      </c>
      <c r="O22" s="11"/>
      <c r="P22" s="6">
        <v>741.24</v>
      </c>
      <c r="Q22" s="2"/>
      <c r="R22" s="7">
        <f t="shared" si="8"/>
        <v>1.5075720288481487E-3</v>
      </c>
      <c r="S22" s="2"/>
      <c r="T22" s="6">
        <v>2820.5680499999999</v>
      </c>
      <c r="U22" s="2"/>
      <c r="V22" s="7">
        <f t="shared" si="9"/>
        <v>5.7562613265306119E-3</v>
      </c>
      <c r="W22" s="2"/>
      <c r="X22" s="6">
        <f t="shared" si="10"/>
        <v>-2079.3280500000001</v>
      </c>
      <c r="Y22" s="2"/>
      <c r="Z22" s="7">
        <f t="shared" si="11"/>
        <v>-0.7372018732184108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1285.8599999999999</v>
      </c>
      <c r="E23" s="2"/>
      <c r="F23" s="7">
        <f t="shared" si="4"/>
        <v>2.0613998525121035E-2</v>
      </c>
      <c r="G23" s="2"/>
      <c r="H23" s="6">
        <v>138.1</v>
      </c>
      <c r="I23" s="2"/>
      <c r="J23" s="7">
        <f t="shared" si="5"/>
        <v>3.2697999289688644E-3</v>
      </c>
      <c r="K23" s="2"/>
      <c r="L23" s="6">
        <f t="shared" si="6"/>
        <v>1147.76</v>
      </c>
      <c r="M23" s="2"/>
      <c r="N23" s="7">
        <f t="shared" si="7"/>
        <v>8.311078928312817</v>
      </c>
      <c r="O23" s="11"/>
      <c r="P23" s="6">
        <v>15213.590000000002</v>
      </c>
      <c r="Q23" s="2"/>
      <c r="R23" s="7">
        <f t="shared" si="8"/>
        <v>3.094218167174452E-2</v>
      </c>
      <c r="S23" s="2"/>
      <c r="T23" s="6">
        <v>1657.2</v>
      </c>
      <c r="U23" s="2"/>
      <c r="V23" s="7">
        <f t="shared" si="9"/>
        <v>3.3820408163265309E-3</v>
      </c>
      <c r="W23" s="2"/>
      <c r="X23" s="6">
        <f t="shared" si="10"/>
        <v>13556.390000000001</v>
      </c>
      <c r="Y23" s="2"/>
      <c r="Z23" s="7">
        <f t="shared" si="11"/>
        <v>8.1802980931692009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-495.12</v>
      </c>
      <c r="E24" s="2"/>
      <c r="F24" s="7">
        <f t="shared" si="4"/>
        <v>-7.9374138317996733E-3</v>
      </c>
      <c r="G24" s="2"/>
      <c r="H24" s="6">
        <v>43.87059</v>
      </c>
      <c r="I24" s="2"/>
      <c r="J24" s="7">
        <f t="shared" si="5"/>
        <v>1.0387259382029122E-3</v>
      </c>
      <c r="K24" s="2"/>
      <c r="L24" s="6">
        <f t="shared" si="6"/>
        <v>-538.99059</v>
      </c>
      <c r="M24" s="2"/>
      <c r="N24" s="7">
        <f t="shared" si="7"/>
        <v>-12.285920704508419</v>
      </c>
      <c r="O24" s="11"/>
      <c r="P24" s="6">
        <v>0</v>
      </c>
      <c r="Q24" s="2"/>
      <c r="R24" s="7">
        <f t="shared" si="8"/>
        <v>0</v>
      </c>
      <c r="S24" s="2"/>
      <c r="T24" s="6">
        <v>385.97246999999999</v>
      </c>
      <c r="U24" s="2"/>
      <c r="V24" s="7">
        <f t="shared" si="9"/>
        <v>7.8769891836734688E-4</v>
      </c>
      <c r="W24" s="2"/>
      <c r="X24" s="6">
        <f t="shared" si="10"/>
        <v>-385.97246999999999</v>
      </c>
      <c r="Y24" s="2"/>
      <c r="Z24" s="7">
        <f t="shared" si="11"/>
        <v>-1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550.21</v>
      </c>
      <c r="E25" s="2"/>
      <c r="F25" s="7">
        <f t="shared" si="4"/>
        <v>8.8205777678027515E-3</v>
      </c>
      <c r="G25" s="2"/>
      <c r="H25" s="6">
        <v>56.936630769230796</v>
      </c>
      <c r="I25" s="2"/>
      <c r="J25" s="7">
        <f t="shared" si="5"/>
        <v>1.3480911748367656E-3</v>
      </c>
      <c r="K25" s="2"/>
      <c r="L25" s="6">
        <f t="shared" si="6"/>
        <v>493.27336923076922</v>
      </c>
      <c r="M25" s="2"/>
      <c r="N25" s="7">
        <f t="shared" si="7"/>
        <v>8.6635503816523638</v>
      </c>
      <c r="O25" s="11"/>
      <c r="P25" s="6">
        <v>8309.2900000000009</v>
      </c>
      <c r="Q25" s="2"/>
      <c r="R25" s="7">
        <f t="shared" si="8"/>
        <v>1.6899861291332946E-2</v>
      </c>
      <c r="S25" s="2"/>
      <c r="T25" s="6">
        <v>740.17620000000045</v>
      </c>
      <c r="U25" s="2"/>
      <c r="V25" s="7">
        <f t="shared" si="9"/>
        <v>1.5105636734693887E-3</v>
      </c>
      <c r="W25" s="2"/>
      <c r="X25" s="6">
        <f t="shared" si="10"/>
        <v>7569.1138000000001</v>
      </c>
      <c r="Y25" s="2"/>
      <c r="Z25" s="7">
        <f t="shared" si="11"/>
        <v>10.226097245493703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484.71</v>
      </c>
      <c r="E27" s="2"/>
      <c r="F27" s="7">
        <f t="shared" si="4"/>
        <v>7.7705280707941896E-3</v>
      </c>
      <c r="G27" s="2"/>
      <c r="H27" s="6">
        <v>33.102692307692301</v>
      </c>
      <c r="I27" s="2"/>
      <c r="J27" s="7">
        <f t="shared" si="5"/>
        <v>7.8377393885858417E-4</v>
      </c>
      <c r="K27" s="2"/>
      <c r="L27" s="6">
        <f t="shared" si="6"/>
        <v>451.6073076923077</v>
      </c>
      <c r="M27" s="2"/>
      <c r="N27" s="7">
        <f t="shared" si="7"/>
        <v>13.642615636655167</v>
      </c>
      <c r="O27" s="11"/>
      <c r="P27" s="6">
        <v>8433.2199999999993</v>
      </c>
      <c r="Q27" s="2"/>
      <c r="R27" s="7">
        <f t="shared" si="8"/>
        <v>1.7151916498195974E-2</v>
      </c>
      <c r="S27" s="2"/>
      <c r="T27" s="6">
        <v>430.33499999999998</v>
      </c>
      <c r="U27" s="2"/>
      <c r="V27" s="7">
        <f t="shared" si="9"/>
        <v>8.7823469387755099E-4</v>
      </c>
      <c r="W27" s="2"/>
      <c r="X27" s="6">
        <f t="shared" si="10"/>
        <v>8002.8849999999993</v>
      </c>
      <c r="Y27" s="2"/>
      <c r="Z27" s="7">
        <f t="shared" si="11"/>
        <v>18.596872204212996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281.62</v>
      </c>
      <c r="E28" s="2"/>
      <c r="F28" s="7">
        <f t="shared" si="4"/>
        <v>4.514732758344288E-3</v>
      </c>
      <c r="G28" s="2"/>
      <c r="H28" s="6">
        <v>357.32769230769196</v>
      </c>
      <c r="I28" s="2"/>
      <c r="J28" s="7">
        <f t="shared" si="5"/>
        <v>8.4604638879529296E-3</v>
      </c>
      <c r="K28" s="2"/>
      <c r="L28" s="6">
        <f t="shared" si="6"/>
        <v>-75.707692307691957</v>
      </c>
      <c r="M28" s="2"/>
      <c r="N28" s="7">
        <f t="shared" si="7"/>
        <v>-0.21187188661129763</v>
      </c>
      <c r="O28" s="11"/>
      <c r="P28" s="6">
        <v>4824.46</v>
      </c>
      <c r="Q28" s="2"/>
      <c r="R28" s="7">
        <f t="shared" si="8"/>
        <v>9.812234836620715E-3</v>
      </c>
      <c r="S28" s="2"/>
      <c r="T28" s="6">
        <v>1855.3199999999979</v>
      </c>
      <c r="U28" s="2"/>
      <c r="V28" s="7">
        <f t="shared" si="9"/>
        <v>3.7863673469387712E-3</v>
      </c>
      <c r="W28" s="2"/>
      <c r="X28" s="6">
        <f t="shared" si="10"/>
        <v>2969.1400000000021</v>
      </c>
      <c r="Y28" s="2"/>
      <c r="Z28" s="7">
        <f t="shared" si="11"/>
        <v>1.6003384860832663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106.78</v>
      </c>
      <c r="E29" s="2"/>
      <c r="F29" s="7">
        <f t="shared" si="4"/>
        <v>1.7118214755202155E-3</v>
      </c>
      <c r="G29" s="2"/>
      <c r="H29" s="6">
        <v>150</v>
      </c>
      <c r="I29" s="2"/>
      <c r="J29" s="7">
        <f t="shared" si="5"/>
        <v>3.5515567657156389E-3</v>
      </c>
      <c r="K29" s="2"/>
      <c r="L29" s="6">
        <f t="shared" si="6"/>
        <v>-43.22</v>
      </c>
      <c r="M29" s="2"/>
      <c r="N29" s="7">
        <f t="shared" si="7"/>
        <v>-0.28813333333333335</v>
      </c>
      <c r="O29" s="11"/>
      <c r="P29" s="6">
        <v>1475.47</v>
      </c>
      <c r="Q29" s="2"/>
      <c r="R29" s="7">
        <f t="shared" si="8"/>
        <v>3.0008867592204655E-3</v>
      </c>
      <c r="S29" s="2"/>
      <c r="T29" s="6">
        <v>1800</v>
      </c>
      <c r="U29" s="2"/>
      <c r="V29" s="7">
        <f t="shared" si="9"/>
        <v>3.6734693877551019E-3</v>
      </c>
      <c r="W29" s="2"/>
      <c r="X29" s="6">
        <f t="shared" si="10"/>
        <v>-324.52999999999997</v>
      </c>
      <c r="Y29" s="2"/>
      <c r="Z29" s="7">
        <f t="shared" si="11"/>
        <v>-0.18029444444444442</v>
      </c>
    </row>
    <row r="30" spans="1:26" s="26" customFormat="1" outlineLevel="1" collapsed="1" x14ac:dyDescent="0.25">
      <c r="A30" s="25"/>
      <c r="B30" s="12" t="str">
        <f>CONCATENATE("     ","*Payroll                                          ")</f>
        <v xml:space="preserve">     *Payroll                                          </v>
      </c>
      <c r="C30" s="12"/>
      <c r="D30" s="1">
        <f>SUM(OSRRefD22_1x_0)</f>
        <v>12822.880000000001</v>
      </c>
      <c r="E30" s="1"/>
      <c r="F30" s="5">
        <f t="shared" ref="F30:F40" si="12">IF(D$12=0,0,D30/D$12)</f>
        <v>0.20556734746224631</v>
      </c>
      <c r="G30" s="1"/>
      <c r="H30" s="1">
        <f>SUM(OSRRefH22_1x_0)</f>
        <v>16482.87346153846</v>
      </c>
      <c r="I30" s="1"/>
      <c r="J30" s="5">
        <f t="shared" ref="J30:J40" si="13">IF(H$12=0,0,H30/H$12)</f>
        <v>0.39026573840507778</v>
      </c>
      <c r="K30" s="1"/>
      <c r="L30" s="1">
        <f t="shared" ref="L30:L40" si="14">+D30-H30</f>
        <v>-3659.9934615384591</v>
      </c>
      <c r="M30" s="1"/>
      <c r="N30" s="5">
        <f t="shared" ref="N30:N40" si="15">IF(H30=0,0,L30/H30)</f>
        <v>-0.22204826543616787</v>
      </c>
      <c r="O30" s="12"/>
      <c r="P30" s="1">
        <f>SUM(OSRRefP22_1x_0)</f>
        <v>190012.33</v>
      </c>
      <c r="Q30" s="1"/>
      <c r="R30" s="5">
        <f t="shared" ref="R30:R40" si="16">IF(P$12=0,0,P30/P$12)</f>
        <v>0.38645684777435635</v>
      </c>
      <c r="S30" s="1"/>
      <c r="T30" s="1">
        <f>SUM(OSRRefT22_1x_0)</f>
        <v>146165.29499999998</v>
      </c>
      <c r="U30" s="1"/>
      <c r="V30" s="5">
        <f t="shared" ref="V30:V40" si="17">IF(T$12=0,0,T30/T$12)</f>
        <v>0.29829652040816323</v>
      </c>
      <c r="W30" s="1"/>
      <c r="X30" s="1">
        <f t="shared" ref="X30:X40" si="18">+P30-T30</f>
        <v>43847.035000000003</v>
      </c>
      <c r="Y30" s="1"/>
      <c r="Z30" s="5">
        <f t="shared" ref="Z30:Z40" si="19">IF(T30=0,0,X30/T30)</f>
        <v>0.29998253005270509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6105.68</v>
      </c>
      <c r="E32" s="2"/>
      <c r="F32" s="7">
        <f t="shared" si="12"/>
        <v>9.7881945557728695E-2</v>
      </c>
      <c r="G32" s="2"/>
      <c r="H32" s="6">
        <v>595.84846153846195</v>
      </c>
      <c r="I32" s="2"/>
      <c r="J32" s="7">
        <f t="shared" si="13"/>
        <v>1.4107930899454528E-2</v>
      </c>
      <c r="K32" s="2"/>
      <c r="L32" s="6">
        <f t="shared" si="14"/>
        <v>5509.831538461538</v>
      </c>
      <c r="M32" s="2"/>
      <c r="N32" s="7">
        <f t="shared" si="15"/>
        <v>9.2470349327332766</v>
      </c>
      <c r="O32" s="11"/>
      <c r="P32" s="6">
        <v>70386.490000000005</v>
      </c>
      <c r="Q32" s="2"/>
      <c r="R32" s="7">
        <f t="shared" si="16"/>
        <v>0.1431556628525173</v>
      </c>
      <c r="S32" s="2"/>
      <c r="T32" s="6">
        <v>7746.0300000000034</v>
      </c>
      <c r="U32" s="2"/>
      <c r="V32" s="7">
        <f t="shared" si="17"/>
        <v>1.5808224489795925E-2</v>
      </c>
      <c r="W32" s="2"/>
      <c r="X32" s="6">
        <f t="shared" si="18"/>
        <v>62640.46</v>
      </c>
      <c r="Y32" s="2"/>
      <c r="Z32" s="7">
        <f t="shared" si="19"/>
        <v>8.0867825195616305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5578.65</v>
      </c>
      <c r="I34" s="2"/>
      <c r="J34" s="7">
        <f t="shared" si="13"/>
        <v>0.1320859476737303</v>
      </c>
      <c r="K34" s="2"/>
      <c r="L34" s="6">
        <f t="shared" si="14"/>
        <v>-5578.65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39523.89</v>
      </c>
      <c r="U34" s="2"/>
      <c r="V34" s="7">
        <f t="shared" si="17"/>
        <v>8.0660999999999997E-2</v>
      </c>
      <c r="W34" s="2"/>
      <c r="X34" s="6">
        <f t="shared" si="18"/>
        <v>-39523.89</v>
      </c>
      <c r="Y34" s="2"/>
      <c r="Z34" s="7">
        <f t="shared" si="19"/>
        <v>-1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6717.2</v>
      </c>
      <c r="E35" s="2"/>
      <c r="F35" s="7">
        <f t="shared" si="12"/>
        <v>0.10768540190451761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6717.2</v>
      </c>
      <c r="M35" s="2"/>
      <c r="N35" s="7">
        <f t="shared" si="15"/>
        <v>0</v>
      </c>
      <c r="O35" s="11"/>
      <c r="P35" s="6">
        <v>87917.69</v>
      </c>
      <c r="Q35" s="2"/>
      <c r="R35" s="7">
        <f t="shared" si="16"/>
        <v>0.17881151892091979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87917.69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2"/>
        <v>0</v>
      </c>
      <c r="G37" s="2"/>
      <c r="H37" s="6">
        <v>10308.375</v>
      </c>
      <c r="I37" s="2"/>
      <c r="J37" s="7">
        <f t="shared" si="13"/>
        <v>0.24407185983189297</v>
      </c>
      <c r="K37" s="2"/>
      <c r="L37" s="6">
        <f t="shared" si="14"/>
        <v>-10308.375</v>
      </c>
      <c r="M37" s="2"/>
      <c r="N37" s="7">
        <f t="shared" si="15"/>
        <v>-1</v>
      </c>
      <c r="O37" s="11"/>
      <c r="P37" s="6">
        <v>25787.41</v>
      </c>
      <c r="Q37" s="2"/>
      <c r="R37" s="7">
        <f t="shared" si="16"/>
        <v>5.244776052619804E-2</v>
      </c>
      <c r="S37" s="2"/>
      <c r="T37" s="6">
        <v>30300.374999999996</v>
      </c>
      <c r="U37" s="2"/>
      <c r="V37" s="7">
        <f t="shared" si="17"/>
        <v>6.183749999999999E-2</v>
      </c>
      <c r="W37" s="2"/>
      <c r="X37" s="6">
        <f t="shared" si="18"/>
        <v>-4512.9649999999965</v>
      </c>
      <c r="Y37" s="2"/>
      <c r="Z37" s="7">
        <f t="shared" si="19"/>
        <v>-0.14894089594600718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5920.74</v>
      </c>
      <c r="Q38" s="2"/>
      <c r="R38" s="7">
        <f t="shared" si="16"/>
        <v>1.2041905474721261E-2</v>
      </c>
      <c r="S38" s="2"/>
      <c r="T38" s="6">
        <v>68595</v>
      </c>
      <c r="U38" s="2"/>
      <c r="V38" s="7">
        <f t="shared" si="17"/>
        <v>0.13998979591836735</v>
      </c>
      <c r="W38" s="2"/>
      <c r="X38" s="6">
        <f t="shared" si="18"/>
        <v>-62674.26</v>
      </c>
      <c r="Y38" s="2"/>
      <c r="Z38" s="7">
        <f t="shared" si="19"/>
        <v>-0.91368554559370219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6" customFormat="1" outlineLevel="1" collapsed="1" x14ac:dyDescent="0.25">
      <c r="A41" s="25"/>
      <c r="B41" s="12" t="str">
        <f>CONCATENATE("     ","Advertising/Promo                                 ")</f>
        <v xml:space="preserve">     Advertising/Promo                                 </v>
      </c>
      <c r="C41" s="12"/>
      <c r="D41" s="1">
        <f>SUM(OSRRefD22_2x_0)</f>
        <v>0</v>
      </c>
      <c r="E41" s="1"/>
      <c r="F41" s="5">
        <f t="shared" ref="F41:F61" si="20">IF(D$12=0,0,D41/D$12)</f>
        <v>0</v>
      </c>
      <c r="G41" s="1"/>
      <c r="H41" s="1">
        <f>SUM(OSRRefH22_2x_0)</f>
        <v>400</v>
      </c>
      <c r="I41" s="1"/>
      <c r="J41" s="5">
        <f t="shared" ref="J41:J61" si="21">IF(H$12=0,0,H41/H$12)</f>
        <v>9.4708180419083698E-3</v>
      </c>
      <c r="K41" s="1"/>
      <c r="L41" s="1">
        <f t="shared" ref="L41:L61" si="22">+D41-H41</f>
        <v>-400</v>
      </c>
      <c r="M41" s="1"/>
      <c r="N41" s="5">
        <f t="shared" ref="N41:N61" si="23">IF(H41=0,0,L41/H41)</f>
        <v>-1</v>
      </c>
      <c r="O41" s="12"/>
      <c r="P41" s="1">
        <f>SUM(OSRRefP22_2x_0)</f>
        <v>2066.92</v>
      </c>
      <c r="Q41" s="1"/>
      <c r="R41" s="5">
        <f t="shared" ref="R41:R61" si="24">IF(P$12=0,0,P41/P$12)</f>
        <v>4.2038081834045865E-3</v>
      </c>
      <c r="S41" s="1"/>
      <c r="T41" s="1">
        <f>SUM(OSRRefT22_2x_0)</f>
        <v>4800</v>
      </c>
      <c r="U41" s="1"/>
      <c r="V41" s="5">
        <f t="shared" ref="V41:V61" si="25">IF(T$12=0,0,T41/T$12)</f>
        <v>9.7959183673469383E-3</v>
      </c>
      <c r="W41" s="1"/>
      <c r="X41" s="1">
        <f t="shared" ref="X41:X61" si="26">+P41-T41</f>
        <v>-2733.08</v>
      </c>
      <c r="Y41" s="1"/>
      <c r="Z41" s="5">
        <f t="shared" ref="Z41:Z61" si="27">IF(T41=0,0,X41/T41)</f>
        <v>-0.56939166666666663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400</v>
      </c>
      <c r="I42" s="2"/>
      <c r="J42" s="7">
        <f t="shared" si="21"/>
        <v>9.4708180419083698E-3</v>
      </c>
      <c r="K42" s="2"/>
      <c r="L42" s="6">
        <f t="shared" si="22"/>
        <v>-400</v>
      </c>
      <c r="M42" s="2"/>
      <c r="N42" s="7">
        <f t="shared" si="23"/>
        <v>-1</v>
      </c>
      <c r="O42" s="11"/>
      <c r="P42" s="6">
        <v>2066.92</v>
      </c>
      <c r="Q42" s="2"/>
      <c r="R42" s="7">
        <f t="shared" si="24"/>
        <v>4.2038081834045865E-3</v>
      </c>
      <c r="S42" s="2"/>
      <c r="T42" s="6">
        <v>4800</v>
      </c>
      <c r="U42" s="2"/>
      <c r="V42" s="7">
        <f t="shared" si="25"/>
        <v>9.7959183673469383E-3</v>
      </c>
      <c r="W42" s="2"/>
      <c r="X42" s="6">
        <f t="shared" si="26"/>
        <v>-2733.08</v>
      </c>
      <c r="Y42" s="2"/>
      <c r="Z42" s="7">
        <f t="shared" si="27"/>
        <v>-0.56939166666666663</v>
      </c>
    </row>
    <row r="43" spans="1:26" s="26" customFormat="1" outlineLevel="1" collapsed="1" x14ac:dyDescent="0.25">
      <c r="A43" s="25"/>
      <c r="B43" s="12" t="str">
        <f>CONCATENATE("     ","Bank/card Fees                                    ")</f>
        <v xml:space="preserve">     Bank/card Fees                                    </v>
      </c>
      <c r="C43" s="12"/>
      <c r="D43" s="1">
        <f>SUM(OSRRefD22_3x_0)</f>
        <v>163.22</v>
      </c>
      <c r="E43" s="1"/>
      <c r="F43" s="5">
        <f t="shared" si="20"/>
        <v>2.6166276571868287E-3</v>
      </c>
      <c r="G43" s="1"/>
      <c r="H43" s="1">
        <f>SUM(OSRRefH22_3x_0)</f>
        <v>2000</v>
      </c>
      <c r="I43" s="1"/>
      <c r="J43" s="5">
        <f t="shared" si="21"/>
        <v>4.7354090209541851E-2</v>
      </c>
      <c r="K43" s="1"/>
      <c r="L43" s="1">
        <f t="shared" si="22"/>
        <v>-1836.78</v>
      </c>
      <c r="M43" s="1"/>
      <c r="N43" s="5">
        <f t="shared" si="23"/>
        <v>-0.91839000000000004</v>
      </c>
      <c r="O43" s="12"/>
      <c r="P43" s="1">
        <f>SUM(OSRRefP22_3x_0)</f>
        <v>17997.099999999999</v>
      </c>
      <c r="Q43" s="1"/>
      <c r="R43" s="5">
        <f t="shared" si="24"/>
        <v>3.6603427446418181E-2</v>
      </c>
      <c r="S43" s="1"/>
      <c r="T43" s="1">
        <f>SUM(OSRRefT22_3x_0)</f>
        <v>21700</v>
      </c>
      <c r="U43" s="1"/>
      <c r="V43" s="5">
        <f t="shared" si="25"/>
        <v>4.4285714285714282E-2</v>
      </c>
      <c r="W43" s="1"/>
      <c r="X43" s="1">
        <f t="shared" si="26"/>
        <v>-3702.9000000000015</v>
      </c>
      <c r="Y43" s="1"/>
      <c r="Z43" s="5">
        <f t="shared" si="27"/>
        <v>-0.17064055299539177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163.22</v>
      </c>
      <c r="E44" s="2"/>
      <c r="F44" s="7">
        <f t="shared" si="20"/>
        <v>2.6166276571868287E-3</v>
      </c>
      <c r="G44" s="2"/>
      <c r="H44" s="6">
        <v>2000</v>
      </c>
      <c r="I44" s="2"/>
      <c r="J44" s="7">
        <f t="shared" si="21"/>
        <v>4.7354090209541851E-2</v>
      </c>
      <c r="K44" s="2"/>
      <c r="L44" s="6">
        <f t="shared" si="22"/>
        <v>-1836.78</v>
      </c>
      <c r="M44" s="2"/>
      <c r="N44" s="7">
        <f t="shared" si="23"/>
        <v>-0.91839000000000004</v>
      </c>
      <c r="O44" s="11"/>
      <c r="P44" s="6">
        <v>17997.099999999999</v>
      </c>
      <c r="Q44" s="2"/>
      <c r="R44" s="7">
        <f t="shared" si="24"/>
        <v>3.6603427446418181E-2</v>
      </c>
      <c r="S44" s="2"/>
      <c r="T44" s="6">
        <v>21700</v>
      </c>
      <c r="U44" s="2"/>
      <c r="V44" s="7">
        <f t="shared" si="25"/>
        <v>4.4285714285714282E-2</v>
      </c>
      <c r="W44" s="2"/>
      <c r="X44" s="6">
        <f t="shared" si="26"/>
        <v>-3702.9000000000015</v>
      </c>
      <c r="Y44" s="2"/>
      <c r="Z44" s="7">
        <f t="shared" si="27"/>
        <v>-0.17064055299539177</v>
      </c>
    </row>
    <row r="45" spans="1:26" s="26" customFormat="1" outlineLevel="1" collapsed="1" x14ac:dyDescent="0.25">
      <c r="A45" s="25"/>
      <c r="B45" s="12" t="str">
        <f>CONCATENATE("     ","Employees' Appreciation                           ")</f>
        <v xml:space="preserve">     Employees' Appreciation                           </v>
      </c>
      <c r="C45" s="12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1.7757783828578194E-3</v>
      </c>
      <c r="K45" s="1"/>
      <c r="L45" s="1">
        <f t="shared" si="22"/>
        <v>-75</v>
      </c>
      <c r="M45" s="1"/>
      <c r="N45" s="5">
        <f t="shared" si="23"/>
        <v>-1</v>
      </c>
      <c r="O45" s="12"/>
      <c r="P45" s="1">
        <f>SUM(OSRRefP22_4x_0)</f>
        <v>64.239999999999995</v>
      </c>
      <c r="Q45" s="1"/>
      <c r="R45" s="5">
        <f t="shared" si="24"/>
        <v>1.306546154190344E-4</v>
      </c>
      <c r="S45" s="1"/>
      <c r="T45" s="1">
        <f>SUM(OSRRefT22_4x_0)</f>
        <v>900</v>
      </c>
      <c r="U45" s="1"/>
      <c r="V45" s="5">
        <f t="shared" si="25"/>
        <v>1.8367346938775509E-3</v>
      </c>
      <c r="W45" s="1"/>
      <c r="X45" s="1">
        <f t="shared" si="26"/>
        <v>-835.76</v>
      </c>
      <c r="Y45" s="1"/>
      <c r="Z45" s="5">
        <f t="shared" si="27"/>
        <v>-0.92862222222222224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1.7757783828578194E-3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1.306546154190344E-4</v>
      </c>
      <c r="S46" s="2"/>
      <c r="T46" s="6">
        <v>900</v>
      </c>
      <c r="U46" s="2"/>
      <c r="V46" s="7">
        <f t="shared" si="25"/>
        <v>1.8367346938775509E-3</v>
      </c>
      <c r="W46" s="2"/>
      <c r="X46" s="6">
        <f t="shared" si="26"/>
        <v>-835.76</v>
      </c>
      <c r="Y46" s="2"/>
      <c r="Z46" s="7">
        <f t="shared" si="27"/>
        <v>-0.92862222222222224</v>
      </c>
    </row>
    <row r="47" spans="1:26" s="26" customFormat="1" outlineLevel="1" collapsed="1" x14ac:dyDescent="0.25">
      <c r="A47" s="25"/>
      <c r="B47" s="12" t="str">
        <f>CONCATENATE("     ","Freight out/Postage                               ")</f>
        <v xml:space="preserve">     Freight out/Postage                               </v>
      </c>
      <c r="C47" s="12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2.3677045104770924E-4</v>
      </c>
      <c r="K47" s="1"/>
      <c r="L47" s="1">
        <f t="shared" si="22"/>
        <v>-10</v>
      </c>
      <c r="M47" s="1"/>
      <c r="N47" s="5">
        <f t="shared" si="23"/>
        <v>-1</v>
      </c>
      <c r="O47" s="12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120</v>
      </c>
      <c r="U47" s="1"/>
      <c r="V47" s="5">
        <f t="shared" si="25"/>
        <v>2.4489795918367346E-4</v>
      </c>
      <c r="W47" s="1"/>
      <c r="X47" s="1">
        <f t="shared" si="26"/>
        <v>-120</v>
      </c>
      <c r="Y47" s="1"/>
      <c r="Z47" s="5">
        <f t="shared" si="27"/>
        <v>-1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2.3677045104770924E-4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120</v>
      </c>
      <c r="U48" s="2"/>
      <c r="V48" s="7">
        <f t="shared" si="25"/>
        <v>2.4489795918367346E-4</v>
      </c>
      <c r="W48" s="2"/>
      <c r="X48" s="6">
        <f t="shared" si="26"/>
        <v>-120</v>
      </c>
      <c r="Y48" s="2"/>
      <c r="Z48" s="7">
        <f t="shared" si="27"/>
        <v>-1</v>
      </c>
    </row>
    <row r="49" spans="1:26" s="26" customFormat="1" outlineLevel="1" collapsed="1" x14ac:dyDescent="0.25">
      <c r="A49" s="25"/>
      <c r="B49" s="12" t="str">
        <f>CONCATENATE("     ","General                                           ")</f>
        <v xml:space="preserve">     General                                           </v>
      </c>
      <c r="C49" s="12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1.1838522552385462E-3</v>
      </c>
      <c r="K49" s="1"/>
      <c r="L49" s="1">
        <f t="shared" si="22"/>
        <v>-50</v>
      </c>
      <c r="M49" s="1"/>
      <c r="N49" s="5">
        <f t="shared" si="23"/>
        <v>-1</v>
      </c>
      <c r="O49" s="12"/>
      <c r="P49" s="1">
        <f>SUM(OSRRefP22_6x_0)</f>
        <v>47.34</v>
      </c>
      <c r="Q49" s="1"/>
      <c r="R49" s="5">
        <f t="shared" si="24"/>
        <v>9.6282526368883712E-5</v>
      </c>
      <c r="S49" s="1"/>
      <c r="T49" s="1">
        <f>SUM(OSRRefT22_6x_0)</f>
        <v>600</v>
      </c>
      <c r="U49" s="1"/>
      <c r="V49" s="5">
        <f t="shared" si="25"/>
        <v>1.2244897959183673E-3</v>
      </c>
      <c r="W49" s="1"/>
      <c r="X49" s="1">
        <f t="shared" si="26"/>
        <v>-552.66</v>
      </c>
      <c r="Y49" s="1"/>
      <c r="Z49" s="5">
        <f t="shared" si="27"/>
        <v>-0.92109999999999992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1.1838522552385462E-3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>
        <v>47.34</v>
      </c>
      <c r="Q50" s="2"/>
      <c r="R50" s="7">
        <f t="shared" si="24"/>
        <v>9.6282526368883712E-5</v>
      </c>
      <c r="S50" s="2"/>
      <c r="T50" s="6">
        <v>600</v>
      </c>
      <c r="U50" s="2"/>
      <c r="V50" s="7">
        <f t="shared" si="25"/>
        <v>1.2244897959183673E-3</v>
      </c>
      <c r="W50" s="2"/>
      <c r="X50" s="6">
        <f t="shared" si="26"/>
        <v>-552.66</v>
      </c>
      <c r="Y50" s="2"/>
      <c r="Z50" s="7">
        <f t="shared" si="27"/>
        <v>-0.92109999999999992</v>
      </c>
    </row>
    <row r="51" spans="1:26" s="26" customFormat="1" outlineLevel="1" collapsed="1" x14ac:dyDescent="0.25">
      <c r="A51" s="25"/>
      <c r="B51" s="12" t="str">
        <f>CONCATENATE("     ","Insurance                                         ")</f>
        <v xml:space="preserve">     Insurance                                         </v>
      </c>
      <c r="C51" s="12"/>
      <c r="D51" s="1">
        <f>SUM(OSRRefD22_7x_0)</f>
        <v>29.01</v>
      </c>
      <c r="E51" s="1"/>
      <c r="F51" s="5">
        <f t="shared" si="20"/>
        <v>4.6506781236974574E-4</v>
      </c>
      <c r="G51" s="1"/>
      <c r="H51" s="1">
        <f>SUM(OSRRefH22_7x_0)</f>
        <v>27</v>
      </c>
      <c r="I51" s="1"/>
      <c r="J51" s="5">
        <f t="shared" si="21"/>
        <v>6.3928021782881498E-4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2"/>
      <c r="P51" s="1">
        <f>SUM(OSRRefP22_7x_0)</f>
        <v>348.12</v>
      </c>
      <c r="Q51" s="1"/>
      <c r="R51" s="5">
        <f t="shared" si="24"/>
        <v>7.0802435740464291E-4</v>
      </c>
      <c r="S51" s="1"/>
      <c r="T51" s="1">
        <f>SUM(OSRRefT22_7x_0)</f>
        <v>324</v>
      </c>
      <c r="U51" s="1"/>
      <c r="V51" s="5">
        <f t="shared" si="25"/>
        <v>6.6122448979591842E-4</v>
      </c>
      <c r="W51" s="1"/>
      <c r="X51" s="1">
        <f t="shared" si="26"/>
        <v>24.120000000000005</v>
      </c>
      <c r="Y51" s="1"/>
      <c r="Z51" s="5">
        <f t="shared" si="27"/>
        <v>7.4444444444444452E-2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4.6506781236974574E-4</v>
      </c>
      <c r="G52" s="2"/>
      <c r="H52" s="6">
        <v>27</v>
      </c>
      <c r="I52" s="2"/>
      <c r="J52" s="7">
        <f t="shared" si="21"/>
        <v>6.3928021782881498E-4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348.12</v>
      </c>
      <c r="Q52" s="2"/>
      <c r="R52" s="7">
        <f t="shared" si="24"/>
        <v>7.0802435740464291E-4</v>
      </c>
      <c r="S52" s="2"/>
      <c r="T52" s="6">
        <v>324</v>
      </c>
      <c r="U52" s="2"/>
      <c r="V52" s="7">
        <f t="shared" si="25"/>
        <v>6.6122448979591842E-4</v>
      </c>
      <c r="W52" s="2"/>
      <c r="X52" s="6">
        <f t="shared" si="26"/>
        <v>24.120000000000005</v>
      </c>
      <c r="Y52" s="2"/>
      <c r="Z52" s="7">
        <f t="shared" si="27"/>
        <v>7.4444444444444452E-2</v>
      </c>
    </row>
    <row r="53" spans="1:26" s="26" customFormat="1" outlineLevel="1" collapsed="1" x14ac:dyDescent="0.25">
      <c r="A53" s="25"/>
      <c r="B53" s="12" t="str">
        <f>CONCATENATE("     ","Professional Services                             ")</f>
        <v xml:space="preserve">     Professional Services                             </v>
      </c>
      <c r="C53" s="12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9.4708180419083698E-3</v>
      </c>
      <c r="K53" s="1"/>
      <c r="L53" s="1">
        <f t="shared" si="22"/>
        <v>-400</v>
      </c>
      <c r="M53" s="1"/>
      <c r="N53" s="5">
        <f t="shared" si="23"/>
        <v>-1</v>
      </c>
      <c r="O53" s="12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4800</v>
      </c>
      <c r="U53" s="1"/>
      <c r="V53" s="5">
        <f t="shared" si="25"/>
        <v>9.7959183673469383E-3</v>
      </c>
      <c r="W53" s="1"/>
      <c r="X53" s="1">
        <f t="shared" si="26"/>
        <v>-4800</v>
      </c>
      <c r="Y53" s="1"/>
      <c r="Z53" s="5">
        <f t="shared" si="27"/>
        <v>-1</v>
      </c>
    </row>
    <row r="54" spans="1:26" s="24" customFormat="1" hidden="1" outlineLevel="2" x14ac:dyDescent="0.25">
      <c r="A54" s="27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9.4708180419083698E-3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4800</v>
      </c>
      <c r="U54" s="2"/>
      <c r="V54" s="7">
        <f t="shared" si="25"/>
        <v>9.7959183673469383E-3</v>
      </c>
      <c r="W54" s="2"/>
      <c r="X54" s="6">
        <f t="shared" si="26"/>
        <v>-4800</v>
      </c>
      <c r="Y54" s="2"/>
      <c r="Z54" s="7">
        <f t="shared" si="27"/>
        <v>-1</v>
      </c>
    </row>
    <row r="55" spans="1:26" s="26" customFormat="1" outlineLevel="1" collapsed="1" x14ac:dyDescent="0.25">
      <c r="A55" s="25"/>
      <c r="B55" s="12" t="str">
        <f>CONCATENATE("     ","Rent                                              ")</f>
        <v xml:space="preserve">     Rent                                              </v>
      </c>
      <c r="C55" s="12"/>
      <c r="D55" s="1">
        <f>SUM(OSRRefD22_9x_0)</f>
        <v>800</v>
      </c>
      <c r="E55" s="1"/>
      <c r="F55" s="5">
        <f t="shared" si="20"/>
        <v>1.282503446728013E-2</v>
      </c>
      <c r="G55" s="1"/>
      <c r="H55" s="1">
        <f>SUM(OSRRefH22_9x_0)</f>
        <v>800</v>
      </c>
      <c r="I55" s="1"/>
      <c r="J55" s="5">
        <f t="shared" si="21"/>
        <v>1.894163608381674E-2</v>
      </c>
      <c r="K55" s="1"/>
      <c r="L55" s="1">
        <f t="shared" si="22"/>
        <v>0</v>
      </c>
      <c r="M55" s="1"/>
      <c r="N55" s="5">
        <f t="shared" si="23"/>
        <v>0</v>
      </c>
      <c r="O55" s="12"/>
      <c r="P55" s="1">
        <f>SUM(OSRRefP22_9x_0)</f>
        <v>8000</v>
      </c>
      <c r="Q55" s="1"/>
      <c r="R55" s="5">
        <f t="shared" si="24"/>
        <v>1.6270811384686727E-2</v>
      </c>
      <c r="S55" s="1"/>
      <c r="T55" s="1">
        <f>SUM(OSRRefT22_9x_0)</f>
        <v>9600</v>
      </c>
      <c r="U55" s="1"/>
      <c r="V55" s="5">
        <f t="shared" si="25"/>
        <v>1.9591836734693877E-2</v>
      </c>
      <c r="W55" s="1"/>
      <c r="X55" s="1">
        <f t="shared" si="26"/>
        <v>-1600</v>
      </c>
      <c r="Y55" s="1"/>
      <c r="Z55" s="5">
        <f t="shared" si="27"/>
        <v>-0.16666666666666666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1.282503446728013E-2</v>
      </c>
      <c r="G56" s="2"/>
      <c r="H56" s="6">
        <v>800</v>
      </c>
      <c r="I56" s="2"/>
      <c r="J56" s="7">
        <f t="shared" si="21"/>
        <v>1.894163608381674E-2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8000</v>
      </c>
      <c r="Q56" s="2"/>
      <c r="R56" s="7">
        <f t="shared" si="24"/>
        <v>1.6270811384686727E-2</v>
      </c>
      <c r="S56" s="2"/>
      <c r="T56" s="6">
        <v>9600</v>
      </c>
      <c r="U56" s="2"/>
      <c r="V56" s="7">
        <f t="shared" si="25"/>
        <v>1.9591836734693877E-2</v>
      </c>
      <c r="W56" s="2"/>
      <c r="X56" s="6">
        <f t="shared" si="26"/>
        <v>-1600</v>
      </c>
      <c r="Y56" s="2"/>
      <c r="Z56" s="7">
        <f t="shared" si="27"/>
        <v>-0.16666666666666666</v>
      </c>
    </row>
    <row r="57" spans="1:26" s="26" customFormat="1" outlineLevel="1" collapsed="1" x14ac:dyDescent="0.25">
      <c r="A57" s="25"/>
      <c r="B57" s="12" t="str">
        <f>CONCATENATE("     ","Repair and Maintenance                            ")</f>
        <v xml:space="preserve">     Repair and Maintenance                            </v>
      </c>
      <c r="C57" s="12"/>
      <c r="D57" s="1">
        <f>SUM(OSRRefD22_10x_0)</f>
        <v>682.35</v>
      </c>
      <c r="E57" s="1"/>
      <c r="F57" s="5">
        <f t="shared" si="20"/>
        <v>1.0938952835935748E-2</v>
      </c>
      <c r="G57" s="1"/>
      <c r="H57" s="1">
        <f>SUM(OSRRefH22_10x_0)</f>
        <v>2000</v>
      </c>
      <c r="I57" s="1"/>
      <c r="J57" s="5">
        <f t="shared" si="21"/>
        <v>4.7354090209541851E-2</v>
      </c>
      <c r="K57" s="1"/>
      <c r="L57" s="1">
        <f t="shared" si="22"/>
        <v>-1317.65</v>
      </c>
      <c r="M57" s="1"/>
      <c r="N57" s="5">
        <f t="shared" si="23"/>
        <v>-0.65882499999999999</v>
      </c>
      <c r="O57" s="12"/>
      <c r="P57" s="1">
        <f>SUM(OSRRefP22_10x_0)</f>
        <v>119203.11</v>
      </c>
      <c r="Q57" s="1"/>
      <c r="R57" s="5">
        <f t="shared" si="24"/>
        <v>0.24244141490975801</v>
      </c>
      <c r="S57" s="1"/>
      <c r="T57" s="1">
        <f>SUM(OSRRefT22_10x_0)</f>
        <v>147200</v>
      </c>
      <c r="U57" s="1"/>
      <c r="V57" s="5">
        <f t="shared" si="25"/>
        <v>0.30040816326530612</v>
      </c>
      <c r="W57" s="1"/>
      <c r="X57" s="1">
        <f t="shared" si="26"/>
        <v>-27996.89</v>
      </c>
      <c r="Y57" s="1"/>
      <c r="Z57" s="5">
        <f t="shared" si="27"/>
        <v>-0.19019626358695652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8.8942356582966901E-4</v>
      </c>
      <c r="S58" s="2"/>
      <c r="T58" s="6">
        <v>125000</v>
      </c>
      <c r="U58" s="2"/>
      <c r="V58" s="7">
        <f t="shared" si="25"/>
        <v>0.25510204081632654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4.7354090209541851E-2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22200</v>
      </c>
      <c r="U59" s="2"/>
      <c r="V59" s="7">
        <f t="shared" si="25"/>
        <v>4.5306122448979594E-2</v>
      </c>
      <c r="W59" s="2"/>
      <c r="X59" s="6">
        <f t="shared" si="26"/>
        <v>-22200</v>
      </c>
      <c r="Y59" s="2"/>
      <c r="Z59" s="7">
        <f t="shared" si="27"/>
        <v>-1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0"/>
        <v>0</v>
      </c>
      <c r="G60" s="2"/>
      <c r="H60" s="6"/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>
        <v>117094</v>
      </c>
      <c r="Q60" s="2"/>
      <c r="R60" s="7">
        <f t="shared" si="24"/>
        <v>0.23815179853481344</v>
      </c>
      <c r="S60" s="2"/>
      <c r="T60" s="6"/>
      <c r="U60" s="2"/>
      <c r="V60" s="7">
        <f t="shared" si="25"/>
        <v>0</v>
      </c>
      <c r="W60" s="2"/>
      <c r="X60" s="6">
        <f t="shared" si="26"/>
        <v>117094</v>
      </c>
      <c r="Y60" s="2"/>
      <c r="Z60" s="7">
        <f t="shared" si="27"/>
        <v>0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682.35</v>
      </c>
      <c r="E61" s="2"/>
      <c r="F61" s="7">
        <f t="shared" si="20"/>
        <v>1.0938952835935748E-2</v>
      </c>
      <c r="G61" s="2"/>
      <c r="H61" s="6"/>
      <c r="I61" s="2"/>
      <c r="J61" s="7">
        <f t="shared" si="21"/>
        <v>0</v>
      </c>
      <c r="K61" s="2"/>
      <c r="L61" s="6">
        <f t="shared" si="22"/>
        <v>682.35</v>
      </c>
      <c r="M61" s="2"/>
      <c r="N61" s="7">
        <f t="shared" si="23"/>
        <v>0</v>
      </c>
      <c r="O61" s="11"/>
      <c r="P61" s="6">
        <v>1671.8</v>
      </c>
      <c r="Q61" s="2"/>
      <c r="R61" s="7">
        <f t="shared" si="24"/>
        <v>3.4001928091149086E-3</v>
      </c>
      <c r="S61" s="2"/>
      <c r="T61" s="6"/>
      <c r="U61" s="2"/>
      <c r="V61" s="7">
        <f t="shared" si="25"/>
        <v>0</v>
      </c>
      <c r="W61" s="2"/>
      <c r="X61" s="6">
        <f t="shared" si="26"/>
        <v>1671.8</v>
      </c>
      <c r="Y61" s="2"/>
      <c r="Z61" s="7">
        <f t="shared" si="27"/>
        <v>0</v>
      </c>
    </row>
    <row r="62" spans="1:26" s="26" customFormat="1" outlineLevel="1" collapsed="1" x14ac:dyDescent="0.25">
      <c r="A62" s="25"/>
      <c r="B62" s="12" t="str">
        <f>CONCATENATE("     ","Subscriptions &amp; Dues                              ")</f>
        <v xml:space="preserve">     Subscriptions &amp; Dues                              </v>
      </c>
      <c r="C62" s="12"/>
      <c r="D62" s="1">
        <f>SUM(OSRRefD22_11x_0)</f>
        <v>0</v>
      </c>
      <c r="E62" s="1"/>
      <c r="F62" s="5">
        <f t="shared" ref="F62:F67" si="28">IF(D$12=0,0,D62/D$12)</f>
        <v>0</v>
      </c>
      <c r="G62" s="1"/>
      <c r="H62" s="1">
        <f>SUM(OSRRefH22_11x_0)</f>
        <v>0</v>
      </c>
      <c r="I62" s="1"/>
      <c r="J62" s="5">
        <f t="shared" ref="J62:J67" si="29">IF(H$12=0,0,H62/H$12)</f>
        <v>0</v>
      </c>
      <c r="K62" s="1"/>
      <c r="L62" s="1">
        <f t="shared" ref="L62:L67" si="30">+D62-H62</f>
        <v>0</v>
      </c>
      <c r="M62" s="1"/>
      <c r="N62" s="5">
        <f t="shared" ref="N62:N67" si="31">IF(H62=0,0,L62/H62)</f>
        <v>0</v>
      </c>
      <c r="O62" s="12"/>
      <c r="P62" s="1">
        <f>SUM(OSRRefP22_11x_0)</f>
        <v>1740</v>
      </c>
      <c r="Q62" s="1"/>
      <c r="R62" s="5">
        <f t="shared" ref="R62:R67" si="32">IF(P$12=0,0,P62/P$12)</f>
        <v>3.5389014761693627E-3</v>
      </c>
      <c r="S62" s="1"/>
      <c r="T62" s="1">
        <f>SUM(OSRRefT22_11x_0)</f>
        <v>850</v>
      </c>
      <c r="U62" s="1"/>
      <c r="V62" s="5">
        <f t="shared" ref="V62:V67" si="33">IF(T$12=0,0,T62/T$12)</f>
        <v>1.7346938775510204E-3</v>
      </c>
      <c r="W62" s="1"/>
      <c r="X62" s="1">
        <f t="shared" ref="X62:X67" si="34">+P62-T62</f>
        <v>890</v>
      </c>
      <c r="Y62" s="1"/>
      <c r="Z62" s="5">
        <f t="shared" ref="Z62:Z67" si="35">IF(T62=0,0,X62/T62)</f>
        <v>1.0470588235294118</v>
      </c>
    </row>
    <row r="63" spans="1:26" s="24" customFormat="1" hidden="1" outlineLevel="2" x14ac:dyDescent="0.25">
      <c r="A63" s="27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1740</v>
      </c>
      <c r="Q63" s="2"/>
      <c r="R63" s="7">
        <f t="shared" si="32"/>
        <v>3.5389014761693627E-3</v>
      </c>
      <c r="S63" s="2"/>
      <c r="T63" s="6">
        <v>850</v>
      </c>
      <c r="U63" s="2"/>
      <c r="V63" s="7">
        <f t="shared" si="33"/>
        <v>1.7346938775510204E-3</v>
      </c>
      <c r="W63" s="2"/>
      <c r="X63" s="6">
        <f t="shared" si="34"/>
        <v>890</v>
      </c>
      <c r="Y63" s="2"/>
      <c r="Z63" s="7">
        <f t="shared" si="35"/>
        <v>1.0470588235294118</v>
      </c>
    </row>
    <row r="64" spans="1:26" s="26" customFormat="1" outlineLevel="1" collapsed="1" x14ac:dyDescent="0.25">
      <c r="A64" s="25"/>
      <c r="B64" s="12" t="str">
        <f>CONCATENATE("     ","Supplies                                          ")</f>
        <v xml:space="preserve">     Supplies                                          </v>
      </c>
      <c r="C64" s="12"/>
      <c r="D64" s="1">
        <f>SUM(OSRRefD22_12x_0)</f>
        <v>39762.83</v>
      </c>
      <c r="E64" s="1"/>
      <c r="F64" s="5">
        <f t="shared" si="28"/>
        <v>0.63744958158325049</v>
      </c>
      <c r="G64" s="1"/>
      <c r="H64" s="1">
        <f>SUM(OSRRefH22_12x_0)</f>
        <v>7000</v>
      </c>
      <c r="I64" s="1"/>
      <c r="J64" s="5">
        <f t="shared" si="29"/>
        <v>0.16573931573339648</v>
      </c>
      <c r="K64" s="1"/>
      <c r="L64" s="1">
        <f t="shared" si="30"/>
        <v>32762.83</v>
      </c>
      <c r="M64" s="1"/>
      <c r="N64" s="5">
        <f t="shared" si="31"/>
        <v>4.6804042857142862</v>
      </c>
      <c r="O64" s="12"/>
      <c r="P64" s="1">
        <f>SUM(OSRRefP22_12x_0)</f>
        <v>64725.189999999995</v>
      </c>
      <c r="Q64" s="1"/>
      <c r="R64" s="5">
        <f t="shared" si="32"/>
        <v>0.13164141979100141</v>
      </c>
      <c r="S64" s="1"/>
      <c r="T64" s="1">
        <f>SUM(OSRRefT22_12x_0)</f>
        <v>84100</v>
      </c>
      <c r="U64" s="1"/>
      <c r="V64" s="5">
        <f t="shared" si="33"/>
        <v>0.17163265306122449</v>
      </c>
      <c r="W64" s="1"/>
      <c r="X64" s="1">
        <f t="shared" si="34"/>
        <v>-19374.810000000005</v>
      </c>
      <c r="Y64" s="1"/>
      <c r="Z64" s="5">
        <f t="shared" si="35"/>
        <v>-0.23037824019024977</v>
      </c>
    </row>
    <row r="65" spans="1:26" s="24" customFormat="1" hidden="1" outlineLevel="2" x14ac:dyDescent="0.25">
      <c r="A65" s="27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28"/>
        <v>0</v>
      </c>
      <c r="G65" s="2"/>
      <c r="H65" s="6">
        <v>7000</v>
      </c>
      <c r="I65" s="2"/>
      <c r="J65" s="7">
        <f t="shared" si="29"/>
        <v>0.16573931573339648</v>
      </c>
      <c r="K65" s="2"/>
      <c r="L65" s="6">
        <f t="shared" si="30"/>
        <v>-7000</v>
      </c>
      <c r="M65" s="2"/>
      <c r="N65" s="7">
        <f t="shared" si="31"/>
        <v>-1</v>
      </c>
      <c r="O65" s="11"/>
      <c r="P65" s="6">
        <v>413.27</v>
      </c>
      <c r="Q65" s="2"/>
      <c r="R65" s="7">
        <f t="shared" si="32"/>
        <v>8.4052977761868539E-4</v>
      </c>
      <c r="S65" s="2"/>
      <c r="T65" s="6">
        <v>84100</v>
      </c>
      <c r="U65" s="2"/>
      <c r="V65" s="7">
        <f t="shared" si="33"/>
        <v>0.17163265306122449</v>
      </c>
      <c r="W65" s="2"/>
      <c r="X65" s="6">
        <f t="shared" si="34"/>
        <v>-83686.73</v>
      </c>
      <c r="Y65" s="2"/>
      <c r="Z65" s="7">
        <f t="shared" si="35"/>
        <v>-0.99508596908442326</v>
      </c>
    </row>
    <row r="66" spans="1:26" s="24" customFormat="1" hidden="1" outlineLevel="2" x14ac:dyDescent="0.25">
      <c r="A66" s="27"/>
      <c r="B66" s="11" t="str">
        <f>CONCATENATE("          ", "6241", " - ", "OFFICE EXPENSE")</f>
        <v xml:space="preserve">          6241 - OFFICE EXPENSE</v>
      </c>
      <c r="C66" s="11"/>
      <c r="D66" s="6">
        <v>39762.83</v>
      </c>
      <c r="E66" s="2"/>
      <c r="F66" s="7">
        <f t="shared" si="28"/>
        <v>0.63744958158325049</v>
      </c>
      <c r="G66" s="2"/>
      <c r="H66" s="6"/>
      <c r="I66" s="2"/>
      <c r="J66" s="7">
        <f t="shared" si="29"/>
        <v>0</v>
      </c>
      <c r="K66" s="2"/>
      <c r="L66" s="6">
        <f t="shared" si="30"/>
        <v>39762.83</v>
      </c>
      <c r="M66" s="2"/>
      <c r="N66" s="7">
        <f t="shared" si="31"/>
        <v>0</v>
      </c>
      <c r="O66" s="11"/>
      <c r="P66" s="6">
        <v>64108.4</v>
      </c>
      <c r="Q66" s="2"/>
      <c r="R66" s="7">
        <f t="shared" si="32"/>
        <v>0.13038696057175631</v>
      </c>
      <c r="S66" s="2"/>
      <c r="T66" s="6"/>
      <c r="U66" s="2"/>
      <c r="V66" s="7">
        <f t="shared" si="33"/>
        <v>0</v>
      </c>
      <c r="W66" s="2"/>
      <c r="X66" s="6">
        <f t="shared" si="34"/>
        <v>64108.4</v>
      </c>
      <c r="Y66" s="2"/>
      <c r="Z66" s="7">
        <f t="shared" si="35"/>
        <v>0</v>
      </c>
    </row>
    <row r="67" spans="1:26" s="24" customFormat="1" hidden="1" outlineLevel="2" x14ac:dyDescent="0.25">
      <c r="A67" s="27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203.52</v>
      </c>
      <c r="Q67" s="2"/>
      <c r="R67" s="7">
        <f t="shared" si="32"/>
        <v>4.139294416264303E-4</v>
      </c>
      <c r="S67" s="2"/>
      <c r="T67" s="6"/>
      <c r="U67" s="2"/>
      <c r="V67" s="7">
        <f t="shared" si="33"/>
        <v>0</v>
      </c>
      <c r="W67" s="2"/>
      <c r="X67" s="6">
        <f t="shared" si="34"/>
        <v>203.52</v>
      </c>
      <c r="Y67" s="2"/>
      <c r="Z67" s="7">
        <f t="shared" si="35"/>
        <v>0</v>
      </c>
    </row>
    <row r="68" spans="1:26" s="26" customFormat="1" outlineLevel="1" collapsed="1" x14ac:dyDescent="0.25">
      <c r="A68" s="25"/>
      <c r="B68" s="12" t="str">
        <f>CONCATENATE("     ","Telephone/Data Lines                              ")</f>
        <v xml:space="preserve">     Telephone/Data Lines                              </v>
      </c>
      <c r="C68" s="12"/>
      <c r="D68" s="1">
        <f>SUM(OSRRefD22_13x_0)</f>
        <v>-16.89</v>
      </c>
      <c r="E68" s="1"/>
      <c r="F68" s="5">
        <f t="shared" ref="F68:F71" si="36">IF(D$12=0,0,D68/D$12)</f>
        <v>-2.7076854019045178E-4</v>
      </c>
      <c r="G68" s="1"/>
      <c r="H68" s="1">
        <f>SUM(OSRRefH22_13x_0)</f>
        <v>350</v>
      </c>
      <c r="I68" s="1"/>
      <c r="J68" s="5">
        <f t="shared" ref="J68:J71" si="37">IF(H$12=0,0,H68/H$12)</f>
        <v>8.2869657866698233E-3</v>
      </c>
      <c r="K68" s="1"/>
      <c r="L68" s="1">
        <f t="shared" ref="L68:L71" si="38">+D68-H68</f>
        <v>-366.89</v>
      </c>
      <c r="M68" s="1"/>
      <c r="N68" s="5">
        <f t="shared" ref="N68:N71" si="39">IF(H68=0,0,L68/H68)</f>
        <v>-1.0482571428571428</v>
      </c>
      <c r="O68" s="12"/>
      <c r="P68" s="1">
        <f>SUM(OSRRefP22_13x_0)</f>
        <v>2080.66</v>
      </c>
      <c r="Q68" s="1"/>
      <c r="R68" s="5">
        <f t="shared" ref="R68:R71" si="40">IF(P$12=0,0,P68/P$12)</f>
        <v>4.2317533019577847E-3</v>
      </c>
      <c r="S68" s="1"/>
      <c r="T68" s="1">
        <f>SUM(OSRRefT22_13x_0)</f>
        <v>4200</v>
      </c>
      <c r="U68" s="1"/>
      <c r="V68" s="5">
        <f t="shared" ref="V68:V71" si="41">IF(T$12=0,0,T68/T$12)</f>
        <v>8.5714285714285719E-3</v>
      </c>
      <c r="W68" s="1"/>
      <c r="X68" s="1">
        <f t="shared" ref="X68:X71" si="42">+P68-T68</f>
        <v>-2119.34</v>
      </c>
      <c r="Y68" s="1"/>
      <c r="Z68" s="5">
        <f t="shared" ref="Z68:Z71" si="43">IF(T68=0,0,X68/T68)</f>
        <v>-0.50460476190476189</v>
      </c>
    </row>
    <row r="69" spans="1:26" s="24" customFormat="1" hidden="1" outlineLevel="2" x14ac:dyDescent="0.25">
      <c r="A69" s="27"/>
      <c r="B69" s="11" t="str">
        <f>CONCATENATE("          ", "6309", " - ", "TELEPHONE")</f>
        <v xml:space="preserve">          6309 - TELEPHONE</v>
      </c>
      <c r="C69" s="11"/>
      <c r="D69" s="6">
        <v>-16.89</v>
      </c>
      <c r="E69" s="2"/>
      <c r="F69" s="7">
        <f t="shared" si="36"/>
        <v>-2.7076854019045178E-4</v>
      </c>
      <c r="G69" s="2"/>
      <c r="H69" s="6">
        <v>350</v>
      </c>
      <c r="I69" s="2"/>
      <c r="J69" s="7">
        <f t="shared" si="37"/>
        <v>8.2869657866698233E-3</v>
      </c>
      <c r="K69" s="2"/>
      <c r="L69" s="6">
        <f t="shared" si="38"/>
        <v>-366.89</v>
      </c>
      <c r="M69" s="2"/>
      <c r="N69" s="7">
        <f t="shared" si="39"/>
        <v>-1.0482571428571428</v>
      </c>
      <c r="O69" s="11"/>
      <c r="P69" s="6">
        <v>2080.66</v>
      </c>
      <c r="Q69" s="2"/>
      <c r="R69" s="7">
        <f t="shared" si="40"/>
        <v>4.2317533019577847E-3</v>
      </c>
      <c r="S69" s="2"/>
      <c r="T69" s="6">
        <v>4200</v>
      </c>
      <c r="U69" s="2"/>
      <c r="V69" s="7">
        <f t="shared" si="41"/>
        <v>8.5714285714285719E-3</v>
      </c>
      <c r="W69" s="2"/>
      <c r="X69" s="6">
        <f t="shared" si="42"/>
        <v>-2119.34</v>
      </c>
      <c r="Y69" s="2"/>
      <c r="Z69" s="7">
        <f t="shared" si="43"/>
        <v>-0.50460476190476189</v>
      </c>
    </row>
    <row r="70" spans="1:26" s="26" customFormat="1" outlineLevel="1" collapsed="1" x14ac:dyDescent="0.25">
      <c r="A70" s="25"/>
      <c r="B70" s="12" t="str">
        <f>CONCATENATE("     ","Training                                          ")</f>
        <v xml:space="preserve">     Training                                          </v>
      </c>
      <c r="C70" s="12"/>
      <c r="D70" s="1">
        <f>SUM(OSRRefD22_14x_0)</f>
        <v>0</v>
      </c>
      <c r="E70" s="1"/>
      <c r="F70" s="5">
        <f t="shared" si="36"/>
        <v>0</v>
      </c>
      <c r="G70" s="1"/>
      <c r="H70" s="1">
        <f>SUM(OSRRefH22_14x_0)</f>
        <v>0</v>
      </c>
      <c r="I70" s="1"/>
      <c r="J70" s="5">
        <f t="shared" si="37"/>
        <v>0</v>
      </c>
      <c r="K70" s="1"/>
      <c r="L70" s="1">
        <f t="shared" si="38"/>
        <v>0</v>
      </c>
      <c r="M70" s="1"/>
      <c r="N70" s="5">
        <f t="shared" si="39"/>
        <v>0</v>
      </c>
      <c r="O70" s="12"/>
      <c r="P70" s="1">
        <f>SUM(OSRRefP22_14x_0)</f>
        <v>3186.24</v>
      </c>
      <c r="Q70" s="1"/>
      <c r="R70" s="5">
        <f t="shared" si="40"/>
        <v>6.4803387582930286E-3</v>
      </c>
      <c r="S70" s="1"/>
      <c r="T70" s="1">
        <f>SUM(OSRRefT22_14x_0)</f>
        <v>13000</v>
      </c>
      <c r="U70" s="1"/>
      <c r="V70" s="5">
        <f t="shared" si="41"/>
        <v>2.6530612244897958E-2</v>
      </c>
      <c r="W70" s="1"/>
      <c r="X70" s="1">
        <f t="shared" si="42"/>
        <v>-9813.76</v>
      </c>
      <c r="Y70" s="1"/>
      <c r="Z70" s="5">
        <f t="shared" si="43"/>
        <v>-0.7549046153846154</v>
      </c>
    </row>
    <row r="71" spans="1:26" s="24" customFormat="1" hidden="1" outlineLevel="2" x14ac:dyDescent="0.25">
      <c r="A71" s="27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36"/>
        <v>0</v>
      </c>
      <c r="G71" s="2"/>
      <c r="H71" s="6"/>
      <c r="I71" s="2"/>
      <c r="J71" s="7">
        <f t="shared" si="37"/>
        <v>0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>
        <v>3186.24</v>
      </c>
      <c r="Q71" s="2"/>
      <c r="R71" s="7">
        <f t="shared" si="40"/>
        <v>6.4803387582930286E-3</v>
      </c>
      <c r="S71" s="2"/>
      <c r="T71" s="6">
        <v>13000</v>
      </c>
      <c r="U71" s="2"/>
      <c r="V71" s="7">
        <f t="shared" si="41"/>
        <v>2.6530612244897958E-2</v>
      </c>
      <c r="W71" s="2"/>
      <c r="X71" s="6">
        <f t="shared" si="42"/>
        <v>-9813.76</v>
      </c>
      <c r="Y71" s="2"/>
      <c r="Z71" s="7">
        <f t="shared" si="43"/>
        <v>-0.7549046153846154</v>
      </c>
    </row>
    <row r="72" spans="1:26" s="60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8" t="s">
        <v>0</v>
      </c>
      <c r="C73" s="10"/>
      <c r="D73" s="4">
        <f>SUM(OSRRefD25x_0)</f>
        <v>0.04</v>
      </c>
      <c r="E73" s="4"/>
      <c r="F73" s="13">
        <f t="shared" ref="F73:F74" si="44">IF(D$12=0,0,D73/D$12)</f>
        <v>6.4125172336400659E-7</v>
      </c>
      <c r="G73" s="4"/>
      <c r="H73" s="4">
        <f>SUM(OSRRefH25x_0)</f>
        <v>2500</v>
      </c>
      <c r="I73" s="4"/>
      <c r="J73" s="13">
        <f t="shared" ref="J73:J74" si="45">IF(H$12=0,0,H73/H$12)</f>
        <v>5.9192612761927312E-2</v>
      </c>
      <c r="K73" s="4"/>
      <c r="L73" s="4">
        <f t="shared" ref="L73:L74" si="46">+D73-H73</f>
        <v>-2499.96</v>
      </c>
      <c r="M73" s="4"/>
      <c r="N73" s="13">
        <f t="shared" ref="N73:N74" si="47">IF(H73=0,0,L73/H73)</f>
        <v>-0.99998399999999998</v>
      </c>
      <c r="O73" s="10"/>
      <c r="P73" s="4">
        <f>SUM(OSRRefP25x_0)</f>
        <v>20670.75</v>
      </c>
      <c r="Q73" s="4"/>
      <c r="R73" s="13">
        <f t="shared" ref="R73:R74" si="48">IF(P$12=0,0,P73/P$12)</f>
        <v>4.2041234303751646E-2</v>
      </c>
      <c r="S73" s="4"/>
      <c r="T73" s="4">
        <f>SUM(OSRRefT25x_0)</f>
        <v>35650</v>
      </c>
      <c r="U73" s="4"/>
      <c r="V73" s="13">
        <f t="shared" ref="V73:V74" si="49">IF(T$12=0,0,T73/T$12)</f>
        <v>7.2755102040816325E-2</v>
      </c>
      <c r="W73" s="4"/>
      <c r="X73" s="4">
        <f t="shared" ref="X73:X74" si="50">+P73-T73</f>
        <v>-14979.25</v>
      </c>
      <c r="Y73" s="4"/>
      <c r="Z73" s="13">
        <f t="shared" ref="Z73:Z74" si="51">IF(T73=0,0,X73/T73)</f>
        <v>-0.42017531556802246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--0.04</f>
        <v>0.04</v>
      </c>
      <c r="E74" s="2"/>
      <c r="F74" s="19">
        <f t="shared" si="44"/>
        <v>6.4125172336400659E-7</v>
      </c>
      <c r="G74" s="2"/>
      <c r="H74" s="2">
        <v>2500</v>
      </c>
      <c r="I74" s="2"/>
      <c r="J74" s="19">
        <f t="shared" si="45"/>
        <v>5.9192612761927312E-2</v>
      </c>
      <c r="K74" s="2"/>
      <c r="L74" s="2">
        <f t="shared" si="46"/>
        <v>-2499.96</v>
      </c>
      <c r="M74" s="2"/>
      <c r="N74" s="19">
        <f t="shared" si="47"/>
        <v>-0.99998399999999998</v>
      </c>
      <c r="O74" s="11"/>
      <c r="P74" s="2">
        <f>--20670.75</f>
        <v>20670.75</v>
      </c>
      <c r="Q74" s="2"/>
      <c r="R74" s="19">
        <f t="shared" si="48"/>
        <v>4.2041234303751646E-2</v>
      </c>
      <c r="S74" s="2"/>
      <c r="T74" s="2">
        <v>35650</v>
      </c>
      <c r="U74" s="2"/>
      <c r="V74" s="19">
        <f t="shared" si="49"/>
        <v>7.2755102040816325E-2</v>
      </c>
      <c r="W74" s="2"/>
      <c r="X74" s="2">
        <f t="shared" si="50"/>
        <v>-14979.25</v>
      </c>
      <c r="Y74" s="2"/>
      <c r="Z74" s="19">
        <f t="shared" si="51"/>
        <v>-0.42017531556802246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2">
        <f>+D17-D19+D73</f>
        <v>4865.7999999999947</v>
      </c>
      <c r="E76" s="14"/>
      <c r="F76" s="20">
        <f>IF(D$12=0,0,D76/D$12)</f>
        <v>7.8005065888614486E-2</v>
      </c>
      <c r="G76" s="14"/>
      <c r="H76" s="22">
        <f>+H17-H19+H73</f>
        <v>12748.882216653852</v>
      </c>
      <c r="I76" s="14"/>
      <c r="J76" s="20">
        <f>IF(H$12=0,0,H76/H$12)</f>
        <v>0.30185585927912517</v>
      </c>
      <c r="K76" s="15"/>
      <c r="L76" s="22">
        <f>+D76-H76</f>
        <v>-7883.0822166538574</v>
      </c>
      <c r="M76" s="15"/>
      <c r="N76" s="20">
        <f>IF(H76=0,0,L76/H76)</f>
        <v>-0.61833516716910253</v>
      </c>
      <c r="O76" s="28"/>
      <c r="P76" s="22">
        <f>+P17-P19+P73</f>
        <v>50838.01999999996</v>
      </c>
      <c r="Q76" s="14"/>
      <c r="R76" s="20">
        <f>IF(P$12=0,0,P76/P$12)</f>
        <v>0.10339697932386635</v>
      </c>
      <c r="S76" s="14"/>
      <c r="T76" s="22">
        <f>+T17-T19+T73</f>
        <v>71489.757426499971</v>
      </c>
      <c r="U76" s="14"/>
      <c r="V76" s="20">
        <f>IF(T$12=0,0,T76/T$12)</f>
        <v>0.14589746413571422</v>
      </c>
      <c r="W76" s="15"/>
      <c r="X76" s="22">
        <f>+P76-T76</f>
        <v>-20651.737426500011</v>
      </c>
      <c r="Y76" s="15"/>
      <c r="Z76" s="20">
        <f>IF(T76=0,0,X76/T76)</f>
        <v>-0.28887687089626046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23621.15</v>
      </c>
      <c r="E78" s="4"/>
      <c r="F78" s="13">
        <f>IF(D$12=0,0,D78/D$12)</f>
        <v>0.37867757863349261</v>
      </c>
      <c r="G78" s="4"/>
      <c r="H78" s="4">
        <v>11529</v>
      </c>
      <c r="I78" s="4"/>
      <c r="J78" s="13">
        <f>IF(H$12=0,0,H78/H$12)</f>
        <v>0.27297265301290397</v>
      </c>
      <c r="K78" s="4"/>
      <c r="L78" s="4">
        <f>+D78-H78</f>
        <v>12092.150000000001</v>
      </c>
      <c r="M78" s="4"/>
      <c r="N78" s="13">
        <f>IF(H78=0,0,L78/H78)</f>
        <v>1.0488463873709777</v>
      </c>
      <c r="O78" s="10"/>
      <c r="P78" s="4">
        <v>74459.100000000006</v>
      </c>
      <c r="Q78" s="4"/>
      <c r="R78" s="13">
        <f>IF(P$12=0,0,P78/P$12)</f>
        <v>0.15143874649669092</v>
      </c>
      <c r="S78" s="4"/>
      <c r="T78" s="4">
        <v>63392</v>
      </c>
      <c r="U78" s="4"/>
      <c r="V78" s="13">
        <f>IF(T$12=0,0,T78/T$12)</f>
        <v>0.12937142857142858</v>
      </c>
      <c r="W78" s="4"/>
      <c r="X78" s="4">
        <f>+P78-T78</f>
        <v>11067.100000000006</v>
      </c>
      <c r="Y78" s="4"/>
      <c r="Z78" s="13">
        <f>IF(T78=0,0,X78/T78)</f>
        <v>0.17458196617869773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1">
        <f>+D76-D78</f>
        <v>-18755.350000000006</v>
      </c>
      <c r="E80" s="14"/>
      <c r="F80" s="33">
        <f>IF(D$12=0,0,D80/D$12)</f>
        <v>-0.30067251274487811</v>
      </c>
      <c r="G80" s="14"/>
      <c r="H80" s="31">
        <f>+H76-H78</f>
        <v>1219.8822166538521</v>
      </c>
      <c r="I80" s="14"/>
      <c r="J80" s="33">
        <f>IF(H$12=0,0,H80/H$12)</f>
        <v>2.8883206266221192E-2</v>
      </c>
      <c r="K80" s="15"/>
      <c r="L80" s="31">
        <f>D80-H80</f>
        <v>-19975.232216653858</v>
      </c>
      <c r="M80" s="15"/>
      <c r="N80" s="33">
        <f>IF(H80=0,0,L80/H80)</f>
        <v>-16.374722037875181</v>
      </c>
      <c r="O80" s="28"/>
      <c r="P80" s="31">
        <f>+P76-P78</f>
        <v>-23621.080000000045</v>
      </c>
      <c r="Q80" s="14"/>
      <c r="R80" s="33">
        <f>IF(P$12=0,0,P80/P$12)</f>
        <v>-4.804176717282458E-2</v>
      </c>
      <c r="S80" s="14"/>
      <c r="T80" s="31">
        <f>+T76-T78</f>
        <v>8097.7574264999712</v>
      </c>
      <c r="U80" s="14"/>
      <c r="V80" s="33">
        <f>IF(T$12=0,0,T80/T$12)</f>
        <v>1.6526035564285654E-2</v>
      </c>
      <c r="W80" s="15"/>
      <c r="X80" s="31">
        <f>P80-T80</f>
        <v>-31718.837426500017</v>
      </c>
      <c r="Y80" s="15"/>
      <c r="Z80" s="33">
        <f>IF(T80=0,0,X80/T80)</f>
        <v>-3.9169903166893945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4">
        <f>SUM(D80:D82)</f>
        <v>-18755.350000000006</v>
      </c>
      <c r="E83" s="14"/>
      <c r="F83" s="35">
        <f>IF(D$12=0,0,D83/D$12)</f>
        <v>-0.30067251274487811</v>
      </c>
      <c r="G83" s="14"/>
      <c r="H83" s="34">
        <f>SUM(H80:H82)</f>
        <v>1219.8822166538521</v>
      </c>
      <c r="I83" s="14"/>
      <c r="J83" s="35">
        <f>IF(H$12=0,0,H83/H$12)</f>
        <v>2.8883206266221192E-2</v>
      </c>
      <c r="K83" s="15"/>
      <c r="L83" s="34">
        <f>+D83-H83</f>
        <v>-19975.232216653858</v>
      </c>
      <c r="M83" s="15"/>
      <c r="N83" s="35">
        <f>IF(H83=0,0,L83/H83)</f>
        <v>-16.374722037875181</v>
      </c>
      <c r="O83" s="28"/>
      <c r="P83" s="34">
        <f>SUM(P80:P82)</f>
        <v>-23621.080000000045</v>
      </c>
      <c r="Q83" s="14"/>
      <c r="R83" s="35">
        <f>IF(P$12=0,0,P83/P$12)</f>
        <v>-4.804176717282458E-2</v>
      </c>
      <c r="S83" s="14"/>
      <c r="T83" s="34">
        <f>SUM(T80:T82)</f>
        <v>8097.7574264999712</v>
      </c>
      <c r="U83" s="14"/>
      <c r="V83" s="35">
        <f>IF(T$12=0,0,T83/T$12)</f>
        <v>1.6526035564285654E-2</v>
      </c>
      <c r="W83" s="15"/>
      <c r="X83" s="34">
        <f>+P83-T83</f>
        <v>-31718.837426500017</v>
      </c>
      <c r="Y83" s="15"/>
      <c r="Z83" s="35">
        <f>IF(T83=0,0,X83/T83)</f>
        <v>-3.9169903166893945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5">
        <v>44043.474018634261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2" t="s">
        <v>314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63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 r:id="rId1"/>
  <headerFooter>
    <oddHeader>&amp;RPre-Audit</oddHead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49"/>
      <c r="G3" s="18"/>
      <c r="H3" s="18"/>
      <c r="I3" s="18"/>
      <c r="J3" s="37"/>
      <c r="K3" s="18"/>
      <c r="L3" s="18"/>
      <c r="M3" s="18"/>
      <c r="N3" s="49"/>
      <c r="O3" s="59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7"/>
      <c r="K4" s="18"/>
      <c r="L4" s="18"/>
      <c r="M4" s="18"/>
      <c r="N4" s="49"/>
      <c r="O4" s="59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7"/>
      <c r="K5" s="18"/>
      <c r="L5" s="18"/>
      <c r="M5" s="18"/>
      <c r="N5" s="49"/>
      <c r="O5" s="59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7"/>
      <c r="K6" s="18"/>
      <c r="L6" s="18"/>
      <c r="M6" s="18"/>
      <c r="N6" s="49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8"/>
    </row>
    <row r="8" spans="1:26" x14ac:dyDescent="0.25">
      <c r="B8" s="58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8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8"/>
      <c r="W9" s="16"/>
      <c r="X9" s="16"/>
      <c r="Y9" s="16"/>
      <c r="Z9" s="40"/>
    </row>
    <row r="10" spans="1:26" x14ac:dyDescent="0.25">
      <c r="A10" s="10"/>
      <c r="B10" s="57"/>
      <c r="C10" s="10"/>
      <c r="D10" s="42" t="s">
        <v>10</v>
      </c>
      <c r="E10" s="30"/>
      <c r="F10" s="39" t="s">
        <v>15</v>
      </c>
      <c r="G10" s="30"/>
      <c r="H10" s="45" t="s">
        <v>11</v>
      </c>
      <c r="I10" s="30"/>
      <c r="J10" s="46" t="s">
        <v>16</v>
      </c>
      <c r="K10" s="10"/>
      <c r="L10" s="42" t="s">
        <v>12</v>
      </c>
      <c r="M10" s="10"/>
      <c r="N10" s="39" t="s">
        <v>17</v>
      </c>
      <c r="O10" s="10"/>
      <c r="P10" s="56" t="s">
        <v>10</v>
      </c>
      <c r="Q10" s="30"/>
      <c r="R10" s="39" t="s">
        <v>15</v>
      </c>
      <c r="S10" s="30"/>
      <c r="T10" s="45" t="s">
        <v>11</v>
      </c>
      <c r="U10" s="30"/>
      <c r="V10" s="46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3"/>
      <c r="G12" s="4"/>
      <c r="H12" s="4" t="e">
        <f ca="1">SUM(_xll.OneStop.ReportPlayer.OSRFunctions.OSRRef(H13))</f>
        <v>#NAME?</v>
      </c>
      <c r="I12" s="4"/>
      <c r="J12" s="13"/>
      <c r="K12" s="4"/>
      <c r="L12" s="4" t="e">
        <f t="shared" ref="L12:L13" ca="1" si="0">+D12-H12</f>
        <v>#NAME?</v>
      </c>
      <c r="M12" s="4"/>
      <c r="N12" s="13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3"/>
      <c r="S12" s="4"/>
      <c r="T12" s="4" t="e">
        <f ca="1">SUM(_xll.OneStop.ReportPlayer.OSRFunctions.OSRRef(T13))</f>
        <v>#NAME?</v>
      </c>
      <c r="U12" s="4"/>
      <c r="V12" s="13"/>
      <c r="W12" s="4"/>
      <c r="X12" s="4" t="e">
        <f t="shared" ref="X12:X13" ca="1" si="2">+P12-T12</f>
        <v>#NAME?</v>
      </c>
      <c r="Y12" s="4"/>
      <c r="Z12" s="13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3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3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3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3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3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3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2" t="e">
        <f ca="1">CONCATENATE("     ",_xll.OneStop.ReportPlayer.OSRFunctions.OSRGet("d_Account","AccountCategory"))</f>
        <v>#NAME?</v>
      </c>
      <c r="C21" s="12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2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3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3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3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3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3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3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3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3" t="e">
        <f ca="1">IF(H$12=0,0,H29/H$12)</f>
        <v>#NAME?</v>
      </c>
      <c r="K29" s="4"/>
      <c r="L29" s="4" t="e">
        <f ca="1">+D29-H29</f>
        <v>#NAME?</v>
      </c>
      <c r="M29" s="4"/>
      <c r="N29" s="13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3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3" t="e">
        <f ca="1">IF(T$12=0,0,T29/T$12)</f>
        <v>#NAME?</v>
      </c>
      <c r="W29" s="4"/>
      <c r="X29" s="4" t="e">
        <f ca="1">+P29-T29</f>
        <v>#NAME?</v>
      </c>
      <c r="Y29" s="4"/>
      <c r="Z29" s="13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8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3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3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3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3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3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3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3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3" t="e">
        <f t="shared" ca="1" si="29"/>
        <v>#NAME?</v>
      </c>
      <c r="K34" s="4"/>
      <c r="L34" s="4" t="e">
        <f t="shared" ca="1" si="30"/>
        <v>#NAME?</v>
      </c>
      <c r="M34" s="4"/>
      <c r="N34" s="13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3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3" t="e">
        <f t="shared" ca="1" si="33"/>
        <v>#NAME?</v>
      </c>
      <c r="W34" s="4"/>
      <c r="X34" s="4" t="e">
        <f t="shared" ca="1" si="34"/>
        <v>#NAME?</v>
      </c>
      <c r="Y34" s="4"/>
      <c r="Z34" s="13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5" t="e">
        <f ca="1">IF(D$12=0,0,D36/D$12)</f>
        <v>#NAME?</v>
      </c>
      <c r="G36" s="14"/>
      <c r="H36" s="34" t="e">
        <f ca="1">SUM(H31:H35)</f>
        <v>#NAME?</v>
      </c>
      <c r="I36" s="14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8"/>
      <c r="P36" s="34" t="e">
        <f ca="1">SUM(P31:P35)</f>
        <v>#NAME?</v>
      </c>
      <c r="Q36" s="14"/>
      <c r="R36" s="35" t="e">
        <f ca="1">IF(P$12=0,0,P36/P$12)</f>
        <v>#NAME?</v>
      </c>
      <c r="S36" s="14"/>
      <c r="T36" s="34" t="e">
        <f ca="1">SUM(T31:T35)</f>
        <v>#NAME?</v>
      </c>
      <c r="U36" s="14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3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4648</vt:i4>
      </vt:variant>
    </vt:vector>
  </HeadingPairs>
  <TitlesOfParts>
    <vt:vector size="4748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308</vt:lpstr>
      <vt:lpstr>311</vt:lpstr>
      <vt:lpstr>324</vt:lpstr>
      <vt:lpstr>330</vt:lpstr>
      <vt:lpstr>307</vt:lpstr>
      <vt:lpstr>314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'204'!OSRRefD13x_0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'206'!OSRRefD22_10x_0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'314'!OSRRefD22_10x_0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'314'!OSRRefD22_11x_0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'316'!OSRRefD22_13x_0</vt:lpstr>
      <vt:lpstr>'317'!OSRRefD22_13x_0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'413'!OSRRefD22_13x_0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'317'!OSRRefD22_14x_0</vt:lpstr>
      <vt:lpstr>'321'!OSRRefD22_14x_0</vt:lpstr>
      <vt:lpstr>'322'!OSRRefD22_14x_0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'Div 6'!OSRRefD22_14x_0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'412'!OSRRefD22_15x_0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'330'!OSRRefD22_16x_0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'425'!OSRRefD22_16x_0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'418'!OSRRefD22_17x_0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'325'!OSRRefD22_18x_0</vt:lpstr>
      <vt:lpstr>'326'!OSRRefD22_18x_0</vt:lpstr>
      <vt:lpstr>'331'!OSRRefD22_18x_0</vt:lpstr>
      <vt:lpstr>'405'!OSRRefD22_18x_0</vt:lpstr>
      <vt:lpstr>'411'!OSRRefD22_18x_0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'405'!OSRRefD22_19x_0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'301'!OSRRefD22_23x_0</vt:lpstr>
      <vt:lpstr>'310'!OSRRefD22_23x_0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'Div 4'!OSRRefD22_25x_0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'205'!OSRRefD22_9x_0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'204'!OSRRefH13x_0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'206'!OSRRefH22_10x_0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'314'!OSRRefH22_10x_0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'314'!OSRRefH22_11x_0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'316'!OSRRefH22_13x_0</vt:lpstr>
      <vt:lpstr>'317'!OSRRefH22_13x_0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'413'!OSRRefH22_13x_0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'317'!OSRRefH22_14x_0</vt:lpstr>
      <vt:lpstr>'321'!OSRRefH22_14x_0</vt:lpstr>
      <vt:lpstr>'322'!OSRRefH22_14x_0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'Div 6'!OSRRefH22_14x_0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'412'!OSRRefH22_15x_0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'330'!OSRRefH22_16x_0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'425'!OSRRefH22_16x_0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'418'!OSRRefH22_17x_0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'325'!OSRRefH22_18x_0</vt:lpstr>
      <vt:lpstr>'326'!OSRRefH22_18x_0</vt:lpstr>
      <vt:lpstr>'331'!OSRRefH22_18x_0</vt:lpstr>
      <vt:lpstr>'405'!OSRRefH22_18x_0</vt:lpstr>
      <vt:lpstr>'411'!OSRRefH22_18x_0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'405'!OSRRefH22_19x_0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'301'!OSRRefH22_23x_0</vt:lpstr>
      <vt:lpstr>'310'!OSRRefH22_23x_0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'Div 4'!OSRRefH22_25x_0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'205'!OSRRefH22_9x_0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'204'!OSRRefP13x_0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'206'!OSRRefP22_10x_0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'314'!OSRRefP22_10x_0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'314'!OSRRefP22_11x_0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'316'!OSRRefP22_13x_0</vt:lpstr>
      <vt:lpstr>'317'!OSRRefP22_13x_0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'413'!OSRRefP22_13x_0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'317'!OSRRefP22_14x_0</vt:lpstr>
      <vt:lpstr>'321'!OSRRefP22_14x_0</vt:lpstr>
      <vt:lpstr>'322'!OSRRefP22_14x_0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'Div 6'!OSRRefP22_14x_0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'412'!OSRRefP22_15x_0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'330'!OSRRefP22_16x_0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'425'!OSRRefP22_16x_0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'418'!OSRRefP22_17x_0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'325'!OSRRefP22_18x_0</vt:lpstr>
      <vt:lpstr>'326'!OSRRefP22_18x_0</vt:lpstr>
      <vt:lpstr>'331'!OSRRefP22_18x_0</vt:lpstr>
      <vt:lpstr>'405'!OSRRefP22_18x_0</vt:lpstr>
      <vt:lpstr>'411'!OSRRefP22_18x_0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'405'!OSRRefP22_19x_0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'301'!OSRRefP22_23x_0</vt:lpstr>
      <vt:lpstr>'310'!OSRRefP22_23x_0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'Div 4'!OSRRefP22_25x_0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'205'!OSRRefP22_9x_0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'204'!OSRRefT13x_0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'206'!OSRRefT22_10x_0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'314'!OSRRefT22_10x_0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'314'!OSRRefT22_11x_0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'316'!OSRRefT22_13x_0</vt:lpstr>
      <vt:lpstr>'317'!OSRRefT22_13x_0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'413'!OSRRefT22_13x_0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'317'!OSRRefT22_14x_0</vt:lpstr>
      <vt:lpstr>'321'!OSRRefT22_14x_0</vt:lpstr>
      <vt:lpstr>'322'!OSRRefT22_14x_0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'Div 6'!OSRRefT22_14x_0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'412'!OSRRefT22_15x_0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'330'!OSRRefT22_16x_0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'425'!OSRRefT22_16x_0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'418'!OSRRefT22_17x_0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'325'!OSRRefT22_18x_0</vt:lpstr>
      <vt:lpstr>'326'!OSRRefT22_18x_0</vt:lpstr>
      <vt:lpstr>'331'!OSRRefT22_18x_0</vt:lpstr>
      <vt:lpstr>'405'!OSRRefT22_18x_0</vt:lpstr>
      <vt:lpstr>'411'!OSRRefT22_18x_0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'405'!OSRRefT22_19x_0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'301'!OSRRefT22_23x_0</vt:lpstr>
      <vt:lpstr>'310'!OSRRefT22_23x_0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'Div 4'!OSRRefT22_25x_0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'205'!OSRRefT22_9x_0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cp:lastPrinted>2020-07-31T19:13:44Z</cp:lastPrinted>
  <dcterms:modified xsi:type="dcterms:W3CDTF">2020-07-31T19:15:29Z</dcterms:modified>
</cp:coreProperties>
</file>